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4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5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6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7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7.xml" ContentType="application/vnd.ms-excel.threadedcomments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8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8.xml" ContentType="application/vnd.ms-excel.threaded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9.xml" ContentType="application/vnd.openxmlformats-officedocument.spreadsheetml.table+xml"/>
  <Override PartName="/xl/comments10.xml" ContentType="application/vnd.openxmlformats-officedocument.spreadsheetml.comments+xml"/>
  <Override PartName="/xl/threadedComments/threadedComment9.xml" ContentType="application/vnd.ms-excel.threadedcomments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0.xml" ContentType="application/vnd.openxmlformats-officedocument.spreadsheetml.table+xml"/>
  <Override PartName="/xl/comments11.xml" ContentType="application/vnd.openxmlformats-officedocument.spreadsheetml.comments+xml"/>
  <Override PartName="/xl/threadedComments/threadedComment10.xml" ContentType="application/vnd.ms-excel.threadedcomments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1.xml" ContentType="application/vnd.openxmlformats-officedocument.spreadsheetml.table+xml"/>
  <Override PartName="/xl/comments12.xml" ContentType="application/vnd.openxmlformats-officedocument.spreadsheetml.comments+xml"/>
  <Override PartName="/xl/threadedComments/threadedComment11.xml" ContentType="application/vnd.ms-excel.threadedcomments+xml"/>
  <Override PartName="/xl/drawings/drawing15.xml" ContentType="application/vnd.openxmlformats-officedocument.drawing+xml"/>
  <Override PartName="/xl/ctrlProps/ctrlProp14.xml" ContentType="application/vnd.ms-excel.controlproperties+xml"/>
  <Override PartName="/xl/tables/table12.xml" ContentType="application/vnd.openxmlformats-officedocument.spreadsheetml.table+xml"/>
  <Override PartName="/xl/comments13.xml" ContentType="application/vnd.openxmlformats-officedocument.spreadsheetml.comments+xml"/>
  <Override PartName="/xl/threadedComments/threadedComment12.xml" ContentType="application/vnd.ms-excel.threadedcomments+xml"/>
  <Override PartName="/xl/drawings/drawing16.xml" ContentType="application/vnd.openxmlformats-officedocument.drawing+xml"/>
  <Override PartName="/xl/ctrlProps/ctrlProp15.xml" ContentType="application/vnd.ms-excel.controlproperties+xml"/>
  <Override PartName="/xl/tables/table13.xml" ContentType="application/vnd.openxmlformats-officedocument.spreadsheetml.table+xml"/>
  <Override PartName="/xl/comments14.xml" ContentType="application/vnd.openxmlformats-officedocument.spreadsheetml.comments+xml"/>
  <Override PartName="/xl/threadedComments/threadedComment13.xml" ContentType="application/vnd.ms-excel.threadedcomments+xml"/>
  <Override PartName="/xl/drawings/drawing17.xml" ContentType="application/vnd.openxmlformats-officedocument.drawing+xml"/>
  <Override PartName="/xl/ctrlProps/ctrlProp16.xml" ContentType="application/vnd.ms-excel.controlproperties+xml"/>
  <Override PartName="/xl/tables/table14.xml" ContentType="application/vnd.openxmlformats-officedocument.spreadsheetml.table+xml"/>
  <Override PartName="/xl/comments15.xml" ContentType="application/vnd.openxmlformats-officedocument.spreadsheetml.comments+xml"/>
  <Override PartName="/xl/threadedComments/threadedComment14.xml" ContentType="application/vnd.ms-excel.threadedcomments+xml"/>
  <Override PartName="/xl/drawings/drawing18.xml" ContentType="application/vnd.openxmlformats-officedocument.drawing+xml"/>
  <Override PartName="/xl/ctrlProps/ctrlProp17.xml" ContentType="application/vnd.ms-excel.controlproperties+xml"/>
  <Override PartName="/xl/tables/table15.xml" ContentType="application/vnd.openxmlformats-officedocument.spreadsheetml.table+xml"/>
  <Override PartName="/xl/comments16.xml" ContentType="application/vnd.openxmlformats-officedocument.spreadsheetml.comments+xml"/>
  <Override PartName="/xl/threadedComments/threadedComment15.xml" ContentType="application/vnd.ms-excel.threadedcomments+xml"/>
  <Override PartName="/xl/drawings/drawing19.xml" ContentType="application/vnd.openxmlformats-officedocument.drawing+xml"/>
  <Override PartName="/xl/ctrlProps/ctrlProp18.xml" ContentType="application/vnd.ms-excel.controlproperties+xml"/>
  <Override PartName="/xl/tables/table16.xml" ContentType="application/vnd.openxmlformats-officedocument.spreadsheetml.table+xml"/>
  <Override PartName="/xl/comments17.xml" ContentType="application/vnd.openxmlformats-officedocument.spreadsheetml.comments+xml"/>
  <Override PartName="/xl/threadedComments/threadedComment16.xml" ContentType="application/vnd.ms-excel.threadedcomments+xml"/>
  <Override PartName="/xl/drawings/drawing20.xml" ContentType="application/vnd.openxmlformats-officedocument.drawing+xml"/>
  <Override PartName="/xl/ctrlProps/ctrlProp19.xml" ContentType="application/vnd.ms-excel.controlproperties+xml"/>
  <Override PartName="/xl/tables/table17.xml" ContentType="application/vnd.openxmlformats-officedocument.spreadsheetml.table+xml"/>
  <Override PartName="/xl/comments18.xml" ContentType="application/vnd.openxmlformats-officedocument.spreadsheetml.comments+xml"/>
  <Override PartName="/xl/threadedComments/threadedComment17.xml" ContentType="application/vnd.ms-excel.threadedcomments+xml"/>
  <Override PartName="/xl/drawings/drawing21.xml" ContentType="application/vnd.openxmlformats-officedocument.drawing+xml"/>
  <Override PartName="/xl/ctrlProps/ctrlProp20.xml" ContentType="application/vnd.ms-excel.controlproperties+xml"/>
  <Override PartName="/xl/tables/table18.xml" ContentType="application/vnd.openxmlformats-officedocument.spreadsheetml.table+xml"/>
  <Override PartName="/xl/comments19.xml" ContentType="application/vnd.openxmlformats-officedocument.spreadsheetml.comments+xml"/>
  <Override PartName="/xl/threadedComments/threadedComment18.xml" ContentType="application/vnd.ms-excel.threadedcomments+xml"/>
  <Override PartName="/xl/drawings/drawing22.xml" ContentType="application/vnd.openxmlformats-officedocument.drawing+xml"/>
  <Override PartName="/xl/ctrlProps/ctrlProp21.xml" ContentType="application/vnd.ms-excel.controlproperties+xml"/>
  <Override PartName="/xl/tables/table19.xml" ContentType="application/vnd.openxmlformats-officedocument.spreadsheetml.table+xml"/>
  <Override PartName="/xl/comments20.xml" ContentType="application/vnd.openxmlformats-officedocument.spreadsheetml.comments+xml"/>
  <Override PartName="/xl/threadedComments/threadedComment19.xml" ContentType="application/vnd.ms-excel.threadedcomments+xml"/>
  <Override PartName="/xl/drawings/drawing23.xml" ContentType="application/vnd.openxmlformats-officedocument.drawing+xml"/>
  <Override PartName="/xl/ctrlProps/ctrlProp22.xml" ContentType="application/vnd.ms-excel.controlproperties+xml"/>
  <Override PartName="/xl/tables/table20.xml" ContentType="application/vnd.openxmlformats-officedocument.spreadsheetml.table+xml"/>
  <Override PartName="/xl/comments21.xml" ContentType="application/vnd.openxmlformats-officedocument.spreadsheetml.comments+xml"/>
  <Override PartName="/xl/threadedComments/threadedComment20.xml" ContentType="application/vnd.ms-excel.threadedcomments+xml"/>
  <Override PartName="/xl/drawings/drawing24.xml" ContentType="application/vnd.openxmlformats-officedocument.drawing+xml"/>
  <Override PartName="/xl/ctrlProps/ctrlProp23.xml" ContentType="application/vnd.ms-excel.controlproperties+xml"/>
  <Override PartName="/xl/tables/table21.xml" ContentType="application/vnd.openxmlformats-officedocument.spreadsheetml.table+xml"/>
  <Override PartName="/xl/comments22.xml" ContentType="application/vnd.openxmlformats-officedocument.spreadsheetml.comments+xml"/>
  <Override PartName="/xl/threadedComments/threadedComment21.xml" ContentType="application/vnd.ms-excel.threadedcomments+xml"/>
  <Override PartName="/xl/drawings/drawing25.xml" ContentType="application/vnd.openxmlformats-officedocument.drawing+xml"/>
  <Override PartName="/xl/ctrlProps/ctrlProp24.xml" ContentType="application/vnd.ms-excel.controlproperties+xml"/>
  <Override PartName="/xl/tables/table22.xml" ContentType="application/vnd.openxmlformats-officedocument.spreadsheetml.table+xml"/>
  <Override PartName="/xl/comments23.xml" ContentType="application/vnd.openxmlformats-officedocument.spreadsheetml.comments+xml"/>
  <Override PartName="/xl/threadedComments/threadedComment22.xml" ContentType="application/vnd.ms-excel.threadedcomments+xml"/>
  <Override PartName="/xl/drawings/drawing26.xml" ContentType="application/vnd.openxmlformats-officedocument.drawing+xml"/>
  <Override PartName="/xl/ctrlProps/ctrlProp25.xml" ContentType="application/vnd.ms-excel.controlproperties+xml"/>
  <Override PartName="/xl/tables/table23.xml" ContentType="application/vnd.openxmlformats-officedocument.spreadsheetml.table+xml"/>
  <Override PartName="/xl/comments24.xml" ContentType="application/vnd.openxmlformats-officedocument.spreadsheetml.comments+xml"/>
  <Override PartName="/xl/threadedComments/threadedComment23.xml" ContentType="application/vnd.ms-excel.threadedcomments+xml"/>
  <Override PartName="/xl/drawings/drawing27.xml" ContentType="application/vnd.openxmlformats-officedocument.drawing+xml"/>
  <Override PartName="/xl/ctrlProps/ctrlProp26.xml" ContentType="application/vnd.ms-excel.controlproperties+xml"/>
  <Override PartName="/xl/tables/table24.xml" ContentType="application/vnd.openxmlformats-officedocument.spreadsheetml.table+xml"/>
  <Override PartName="/xl/comments25.xml" ContentType="application/vnd.openxmlformats-officedocument.spreadsheetml.comments+xml"/>
  <Override PartName="/xl/threadedComments/threadedComment24.xml" ContentType="application/vnd.ms-excel.threadedcomments+xml"/>
  <Override PartName="/xl/drawings/drawing28.xml" ContentType="application/vnd.openxmlformats-officedocument.drawing+xml"/>
  <Override PartName="/xl/ctrlProps/ctrlProp27.xml" ContentType="application/vnd.ms-excel.controlproperties+xml"/>
  <Override PartName="/xl/tables/table25.xml" ContentType="application/vnd.openxmlformats-officedocument.spreadsheetml.table+xml"/>
  <Override PartName="/xl/comments26.xml" ContentType="application/vnd.openxmlformats-officedocument.spreadsheetml.comments+xml"/>
  <Override PartName="/xl/threadedComments/threadedComment25.xml" ContentType="application/vnd.ms-excel.threadedcomments+xml"/>
  <Override PartName="/xl/drawings/drawing29.xml" ContentType="application/vnd.openxmlformats-officedocument.drawing+xml"/>
  <Override PartName="/xl/ctrlProps/ctrlProp28.xml" ContentType="application/vnd.ms-excel.controlproperties+xml"/>
  <Override PartName="/xl/tables/table26.xml" ContentType="application/vnd.openxmlformats-officedocument.spreadsheetml.table+xml"/>
  <Override PartName="/xl/comments27.xml" ContentType="application/vnd.openxmlformats-officedocument.spreadsheetml.comments+xml"/>
  <Override PartName="/xl/threadedComments/threadedComment26.xml" ContentType="application/vnd.ms-excel.threadedcomments+xml"/>
  <Override PartName="/xl/drawings/drawing30.xml" ContentType="application/vnd.openxmlformats-officedocument.drawing+xml"/>
  <Override PartName="/xl/ctrlProps/ctrlProp29.xml" ContentType="application/vnd.ms-excel.controlproperties+xml"/>
  <Override PartName="/xl/tables/table27.xml" ContentType="application/vnd.openxmlformats-officedocument.spreadsheetml.table+xml"/>
  <Override PartName="/xl/comments28.xml" ContentType="application/vnd.openxmlformats-officedocument.spreadsheetml.comments+xml"/>
  <Override PartName="/xl/threadedComments/threadedComment27.xml" ContentType="application/vnd.ms-excel.threadedcomments+xml"/>
  <Override PartName="/xl/drawings/drawing31.xml" ContentType="application/vnd.openxmlformats-officedocument.drawing+xml"/>
  <Override PartName="/xl/ctrlProps/ctrlProp30.xml" ContentType="application/vnd.ms-excel.controlproperties+xml"/>
  <Override PartName="/xl/tables/table28.xml" ContentType="application/vnd.openxmlformats-officedocument.spreadsheetml.table+xml"/>
  <Override PartName="/xl/comments29.xml" ContentType="application/vnd.openxmlformats-officedocument.spreadsheetml.comments+xml"/>
  <Override PartName="/xl/threadedComments/threadedComment28.xml" ContentType="application/vnd.ms-excel.threadedcomments+xml"/>
  <Override PartName="/xl/drawings/drawing32.xml" ContentType="application/vnd.openxmlformats-officedocument.drawing+xml"/>
  <Override PartName="/xl/ctrlProps/ctrlProp31.xml" ContentType="application/vnd.ms-excel.controlproperties+xml"/>
  <Override PartName="/xl/tables/table29.xml" ContentType="application/vnd.openxmlformats-officedocument.spreadsheetml.table+xml"/>
  <Override PartName="/xl/comments30.xml" ContentType="application/vnd.openxmlformats-officedocument.spreadsheetml.comments+xml"/>
  <Override PartName="/xl/threadedComments/threadedComment29.xml" ContentType="application/vnd.ms-excel.threadedcomments+xml"/>
  <Override PartName="/xl/drawings/drawing33.xml" ContentType="application/vnd.openxmlformats-officedocument.drawing+xml"/>
  <Override PartName="/xl/ctrlProps/ctrlProp32.xml" ContentType="application/vnd.ms-excel.controlproperties+xml"/>
  <Override PartName="/xl/tables/table30.xml" ContentType="application/vnd.openxmlformats-officedocument.spreadsheetml.table+xml"/>
  <Override PartName="/xl/comments31.xml" ContentType="application/vnd.openxmlformats-officedocument.spreadsheetml.comments+xml"/>
  <Override PartName="/xl/threadedComments/threadedComment30.xml" ContentType="application/vnd.ms-excel.threadedcomments+xml"/>
  <Override PartName="/xl/drawings/drawing34.xml" ContentType="application/vnd.openxmlformats-officedocument.drawing+xml"/>
  <Override PartName="/xl/ctrlProps/ctrlProp33.xml" ContentType="application/vnd.ms-excel.controlproperties+xml"/>
  <Override PartName="/xl/tables/table31.xml" ContentType="application/vnd.openxmlformats-officedocument.spreadsheetml.table+xml"/>
  <Override PartName="/xl/comments32.xml" ContentType="application/vnd.openxmlformats-officedocument.spreadsheetml.comments+xml"/>
  <Override PartName="/xl/threadedComments/threadedComment31.xml" ContentType="application/vnd.ms-excel.threadedcomments+xml"/>
  <Override PartName="/xl/drawings/drawing35.xml" ContentType="application/vnd.openxmlformats-officedocument.drawing+xml"/>
  <Override PartName="/xl/ctrlProps/ctrlProp34.xml" ContentType="application/vnd.ms-excel.controlproperties+xml"/>
  <Override PartName="/xl/tables/table32.xml" ContentType="application/vnd.openxmlformats-officedocument.spreadsheetml.table+xml"/>
  <Override PartName="/xl/comments33.xml" ContentType="application/vnd.openxmlformats-officedocument.spreadsheetml.comments+xml"/>
  <Override PartName="/xl/threadedComments/threadedComment32.xml" ContentType="application/vnd.ms-excel.threadedcomments+xml"/>
  <Override PartName="/xl/drawings/drawing36.xml" ContentType="application/vnd.openxmlformats-officedocument.drawing+xml"/>
  <Override PartName="/xl/ctrlProps/ctrlProp35.xml" ContentType="application/vnd.ms-excel.controlproperties+xml"/>
  <Override PartName="/xl/tables/table33.xml" ContentType="application/vnd.openxmlformats-officedocument.spreadsheetml.table+xml"/>
  <Override PartName="/xl/comments34.xml" ContentType="application/vnd.openxmlformats-officedocument.spreadsheetml.comments+xml"/>
  <Override PartName="/xl/threadedComments/threadedComment33.xml" ContentType="application/vnd.ms-excel.threadedcomments+xml"/>
  <Override PartName="/xl/drawings/drawing37.xml" ContentType="application/vnd.openxmlformats-officedocument.drawing+xml"/>
  <Override PartName="/xl/ctrlProps/ctrlProp36.xml" ContentType="application/vnd.ms-excel.controlproperties+xml"/>
  <Override PartName="/xl/tables/table34.xml" ContentType="application/vnd.openxmlformats-officedocument.spreadsheetml.table+xml"/>
  <Override PartName="/xl/comments35.xml" ContentType="application/vnd.openxmlformats-officedocument.spreadsheetml.comments+xml"/>
  <Override PartName="/xl/threadedComments/threadedComment34.xml" ContentType="application/vnd.ms-excel.threadedcomments+xml"/>
  <Override PartName="/xl/drawings/drawing38.xml" ContentType="application/vnd.openxmlformats-officedocument.drawing+xml"/>
  <Override PartName="/xl/ctrlProps/ctrlProp37.xml" ContentType="application/vnd.ms-excel.controlproperties+xml"/>
  <Override PartName="/xl/tables/table35.xml" ContentType="application/vnd.openxmlformats-officedocument.spreadsheetml.table+xml"/>
  <Override PartName="/xl/comments36.xml" ContentType="application/vnd.openxmlformats-officedocument.spreadsheetml.comments+xml"/>
  <Override PartName="/xl/threadedComments/threadedComment35.xml" ContentType="application/vnd.ms-excel.threadedcomments+xml"/>
  <Override PartName="/xl/drawings/drawing39.xml" ContentType="application/vnd.openxmlformats-officedocument.drawing+xml"/>
  <Override PartName="/xl/ctrlProps/ctrlProp38.xml" ContentType="application/vnd.ms-excel.controlproperties+xml"/>
  <Override PartName="/xl/tables/table36.xml" ContentType="application/vnd.openxmlformats-officedocument.spreadsheetml.table+xml"/>
  <Override PartName="/xl/comments37.xml" ContentType="application/vnd.openxmlformats-officedocument.spreadsheetml.comments+xml"/>
  <Override PartName="/xl/threadedComments/threadedComment36.xml" ContentType="application/vnd.ms-excel.threadedcomments+xml"/>
  <Override PartName="/xl/drawings/drawing40.xml" ContentType="application/vnd.openxmlformats-officedocument.drawing+xml"/>
  <Override PartName="/xl/ctrlProps/ctrlProp39.xml" ContentType="application/vnd.ms-excel.controlproperties+xml"/>
  <Override PartName="/xl/tables/table37.xml" ContentType="application/vnd.openxmlformats-officedocument.spreadsheetml.table+xml"/>
  <Override PartName="/xl/comments38.xml" ContentType="application/vnd.openxmlformats-officedocument.spreadsheetml.comments+xml"/>
  <Override PartName="/xl/threadedComments/threadedComment37.xml" ContentType="application/vnd.ms-excel.threadedcomments+xml"/>
  <Override PartName="/xl/drawings/drawing41.xml" ContentType="application/vnd.openxmlformats-officedocument.drawing+xml"/>
  <Override PartName="/xl/ctrlProps/ctrlProp40.xml" ContentType="application/vnd.ms-excel.controlproperties+xml"/>
  <Override PartName="/xl/tables/table38.xml" ContentType="application/vnd.openxmlformats-officedocument.spreadsheetml.table+xml"/>
  <Override PartName="/xl/comments39.xml" ContentType="application/vnd.openxmlformats-officedocument.spreadsheetml.comments+xml"/>
  <Override PartName="/xl/threadedComments/threadedComment38.xml" ContentType="application/vnd.ms-excel.threadedcomments+xml"/>
  <Override PartName="/xl/drawings/drawing42.xml" ContentType="application/vnd.openxmlformats-officedocument.drawing+xml"/>
  <Override PartName="/xl/ctrlProps/ctrlProp41.xml" ContentType="application/vnd.ms-excel.controlproperties+xml"/>
  <Override PartName="/xl/tables/table39.xml" ContentType="application/vnd.openxmlformats-officedocument.spreadsheetml.table+xml"/>
  <Override PartName="/xl/comments40.xml" ContentType="application/vnd.openxmlformats-officedocument.spreadsheetml.comments+xml"/>
  <Override PartName="/xl/threadedComments/threadedComment39.xml" ContentType="application/vnd.ms-excel.threadedcomments+xml"/>
  <Override PartName="/xl/drawings/drawing43.xml" ContentType="application/vnd.openxmlformats-officedocument.drawing+xml"/>
  <Override PartName="/xl/ctrlProps/ctrlProp42.xml" ContentType="application/vnd.ms-excel.controlproperties+xml"/>
  <Override PartName="/xl/tables/table40.xml" ContentType="application/vnd.openxmlformats-officedocument.spreadsheetml.table+xml"/>
  <Override PartName="/xl/comments41.xml" ContentType="application/vnd.openxmlformats-officedocument.spreadsheetml.comments+xml"/>
  <Override PartName="/xl/threadedComments/threadedComment40.xml" ContentType="application/vnd.ms-excel.threadedcomments+xml"/>
  <Override PartName="/xl/drawings/drawing44.xml" ContentType="application/vnd.openxmlformats-officedocument.drawing+xml"/>
  <Override PartName="/xl/tables/table41.xml" ContentType="application/vnd.openxmlformats-officedocument.spreadsheetml.table+xml"/>
  <Override PartName="/xl/comments42.xml" ContentType="application/vnd.openxmlformats-officedocument.spreadsheetml.comments+xml"/>
  <Override PartName="/xl/threadedComments/threadedComment41.xml" ContentType="application/vnd.ms-excel.threadedcomments+xml"/>
  <Override PartName="/xl/drawings/drawing45.xml" ContentType="application/vnd.openxmlformats-officedocument.drawing+xml"/>
  <Override PartName="/xl/ctrlProps/ctrlProp43.xml" ContentType="application/vnd.ms-excel.controlproperties+xml"/>
  <Override PartName="/xl/tables/table42.xml" ContentType="application/vnd.openxmlformats-officedocument.spreadsheetml.table+xml"/>
  <Override PartName="/xl/comments43.xml" ContentType="application/vnd.openxmlformats-officedocument.spreadsheetml.comments+xml"/>
  <Override PartName="/xl/threadedComments/threadedComment42.xml" ContentType="application/vnd.ms-excel.threadedcomments+xml"/>
  <Override PartName="/xl/drawings/drawing46.xml" ContentType="application/vnd.openxmlformats-officedocument.drawing+xml"/>
  <Override PartName="/xl/ctrlProps/ctrlProp44.xml" ContentType="application/vnd.ms-excel.controlproperties+xml"/>
  <Override PartName="/xl/tables/table43.xml" ContentType="application/vnd.openxmlformats-officedocument.spreadsheetml.table+xml"/>
  <Override PartName="/xl/comments44.xml" ContentType="application/vnd.openxmlformats-officedocument.spreadsheetml.comments+xml"/>
  <Override PartName="/xl/threadedComments/threadedComment43.xml" ContentType="application/vnd.ms-excel.threadedcomments+xml"/>
  <Override PartName="/xl/drawings/drawing47.xml" ContentType="application/vnd.openxmlformats-officedocument.drawing+xml"/>
  <Override PartName="/xl/ctrlProps/ctrlProp45.xml" ContentType="application/vnd.ms-excel.controlproperties+xml"/>
  <Override PartName="/xl/tables/table44.xml" ContentType="application/vnd.openxmlformats-officedocument.spreadsheetml.table+xml"/>
  <Override PartName="/xl/comments45.xml" ContentType="application/vnd.openxmlformats-officedocument.spreadsheetml.comments+xml"/>
  <Override PartName="/xl/threadedComments/threadedComment44.xml" ContentType="application/vnd.ms-excel.threadedcomments+xml"/>
  <Override PartName="/xl/drawings/drawing48.xml" ContentType="application/vnd.openxmlformats-officedocument.drawing+xml"/>
  <Override PartName="/xl/ctrlProps/ctrlProp46.xml" ContentType="application/vnd.ms-excel.controlproperties+xml"/>
  <Override PartName="/xl/tables/table45.xml" ContentType="application/vnd.openxmlformats-officedocument.spreadsheetml.table+xml"/>
  <Override PartName="/xl/comments46.xml" ContentType="application/vnd.openxmlformats-officedocument.spreadsheetml.comments+xml"/>
  <Override PartName="/xl/threadedComments/threadedComment45.xml" ContentType="application/vnd.ms-excel.threadedcomments+xml"/>
  <Override PartName="/xl/drawings/drawing49.xml" ContentType="application/vnd.openxmlformats-officedocument.drawing+xml"/>
  <Override PartName="/xl/ctrlProps/ctrlProp47.xml" ContentType="application/vnd.ms-excel.controlproperties+xml"/>
  <Override PartName="/xl/tables/table46.xml" ContentType="application/vnd.openxmlformats-officedocument.spreadsheetml.table+xml"/>
  <Override PartName="/xl/comments47.xml" ContentType="application/vnd.openxmlformats-officedocument.spreadsheetml.comments+xml"/>
  <Override PartName="/xl/threadedComments/threadedComment46.xml" ContentType="application/vnd.ms-excel.threadedcomments+xml"/>
  <Override PartName="/xl/drawings/drawing50.xml" ContentType="application/vnd.openxmlformats-officedocument.drawing+xml"/>
  <Override PartName="/xl/ctrlProps/ctrlProp48.xml" ContentType="application/vnd.ms-excel.controlproperties+xml"/>
  <Override PartName="/xl/tables/table47.xml" ContentType="application/vnd.openxmlformats-officedocument.spreadsheetml.table+xml"/>
  <Override PartName="/xl/comments48.xml" ContentType="application/vnd.openxmlformats-officedocument.spreadsheetml.comments+xml"/>
  <Override PartName="/xl/threadedComments/threadedComment47.xml" ContentType="application/vnd.ms-excel.threadedcomments+xml"/>
  <Override PartName="/xl/drawings/drawing51.xml" ContentType="application/vnd.openxmlformats-officedocument.drawing+xml"/>
  <Override PartName="/xl/ctrlProps/ctrlProp49.xml" ContentType="application/vnd.ms-excel.controlproperties+xml"/>
  <Override PartName="/xl/tables/table48.xml" ContentType="application/vnd.openxmlformats-officedocument.spreadsheetml.table+xml"/>
  <Override PartName="/xl/comments49.xml" ContentType="application/vnd.openxmlformats-officedocument.spreadsheetml.comments+xml"/>
  <Override PartName="/xl/threadedComments/threadedComment48.xml" ContentType="application/vnd.ms-excel.threadedcomments+xml"/>
  <Override PartName="/xl/drawings/drawing52.xml" ContentType="application/vnd.openxmlformats-officedocument.drawing+xml"/>
  <Override PartName="/xl/ctrlProps/ctrlProp50.xml" ContentType="application/vnd.ms-excel.controlproperties+xml"/>
  <Override PartName="/xl/tables/table49.xml" ContentType="application/vnd.openxmlformats-officedocument.spreadsheetml.table+xml"/>
  <Override PartName="/xl/comments50.xml" ContentType="application/vnd.openxmlformats-officedocument.spreadsheetml.comments+xml"/>
  <Override PartName="/xl/threadedComments/threadedComment49.xml" ContentType="application/vnd.ms-excel.threadedcomments+xml"/>
  <Override PartName="/xl/drawings/drawing53.xml" ContentType="application/vnd.openxmlformats-officedocument.drawing+xml"/>
  <Override PartName="/xl/ctrlProps/ctrlProp51.xml" ContentType="application/vnd.ms-excel.controlproperties+xml"/>
  <Override PartName="/xl/tables/table50.xml" ContentType="application/vnd.openxmlformats-officedocument.spreadsheetml.table+xml"/>
  <Override PartName="/xl/comments51.xml" ContentType="application/vnd.openxmlformats-officedocument.spreadsheetml.comments+xml"/>
  <Override PartName="/xl/threadedComments/threadedComment50.xml" ContentType="application/vnd.ms-excel.threadedcomments+xml"/>
  <Override PartName="/xl/drawings/drawing54.xml" ContentType="application/vnd.openxmlformats-officedocument.drawing+xml"/>
  <Override PartName="/xl/ctrlProps/ctrlProp52.xml" ContentType="application/vnd.ms-excel.controlproperties+xml"/>
  <Override PartName="/xl/tables/table51.xml" ContentType="application/vnd.openxmlformats-officedocument.spreadsheetml.table+xml"/>
  <Override PartName="/xl/comments52.xml" ContentType="application/vnd.openxmlformats-officedocument.spreadsheetml.comments+xml"/>
  <Override PartName="/xl/threadedComments/threadedComment51.xml" ContentType="application/vnd.ms-excel.threadedcomments+xml"/>
  <Override PartName="/xl/drawings/drawing55.xml" ContentType="application/vnd.openxmlformats-officedocument.drawing+xml"/>
  <Override PartName="/xl/ctrlProps/ctrlProp53.xml" ContentType="application/vnd.ms-excel.controlproperties+xml"/>
  <Override PartName="/xl/tables/table52.xml" ContentType="application/vnd.openxmlformats-officedocument.spreadsheetml.table+xml"/>
  <Override PartName="/xl/comments53.xml" ContentType="application/vnd.openxmlformats-officedocument.spreadsheetml.comments+xml"/>
  <Override PartName="/xl/threadedComments/threadedComment52.xml" ContentType="application/vnd.ms-excel.threadedcomments+xml"/>
  <Override PartName="/xl/drawings/drawing56.xml" ContentType="application/vnd.openxmlformats-officedocument.drawing+xml"/>
  <Override PartName="/xl/ctrlProps/ctrlProp54.xml" ContentType="application/vnd.ms-excel.controlproperties+xml"/>
  <Override PartName="/xl/tables/table53.xml" ContentType="application/vnd.openxmlformats-officedocument.spreadsheetml.table+xml"/>
  <Override PartName="/xl/comments54.xml" ContentType="application/vnd.openxmlformats-officedocument.spreadsheetml.comments+xml"/>
  <Override PartName="/xl/threadedComments/threadedComment53.xml" ContentType="application/vnd.ms-excel.threadedcomments+xml"/>
  <Override PartName="/xl/drawings/drawing57.xml" ContentType="application/vnd.openxmlformats-officedocument.drawing+xml"/>
  <Override PartName="/xl/tables/table54.xml" ContentType="application/vnd.openxmlformats-officedocument.spreadsheetml.table+xml"/>
  <Override PartName="/xl/comments55.xml" ContentType="application/vnd.openxmlformats-officedocument.spreadsheetml.comments+xml"/>
  <Override PartName="/xl/threadedComments/threadedComment54.xml" ContentType="application/vnd.ms-excel.threadedcomments+xml"/>
  <Override PartName="/xl/drawings/drawing58.xml" ContentType="application/vnd.openxmlformats-officedocument.drawing+xml"/>
  <Override PartName="/xl/tables/table55.xml" ContentType="application/vnd.openxmlformats-officedocument.spreadsheetml.table+xml"/>
  <Override PartName="/xl/comments56.xml" ContentType="application/vnd.openxmlformats-officedocument.spreadsheetml.comments+xml"/>
  <Override PartName="/xl/threadedComments/threadedComment55.xml" ContentType="application/vnd.ms-excel.threadedcomments+xml"/>
  <Override PartName="/xl/drawings/drawing59.xml" ContentType="application/vnd.openxmlformats-officedocument.drawing+xml"/>
  <Override PartName="/xl/tables/table56.xml" ContentType="application/vnd.openxmlformats-officedocument.spreadsheetml.table+xml"/>
  <Override PartName="/xl/comments57.xml" ContentType="application/vnd.openxmlformats-officedocument.spreadsheetml.comments+xml"/>
  <Override PartName="/xl/threadedComments/threadedComment56.xml" ContentType="application/vnd.ms-excel.threadedcomments+xml"/>
  <Override PartName="/xl/drawings/drawing60.xml" ContentType="application/vnd.openxmlformats-officedocument.drawing+xml"/>
  <Override PartName="/xl/tables/table57.xml" ContentType="application/vnd.openxmlformats-officedocument.spreadsheetml.table+xml"/>
  <Override PartName="/xl/comments58.xml" ContentType="application/vnd.openxmlformats-officedocument.spreadsheetml.comments+xml"/>
  <Override PartName="/xl/threadedComments/threadedComment57.xml" ContentType="application/vnd.ms-excel.threadedcomments+xml"/>
  <Override PartName="/xl/drawings/drawing61.xml" ContentType="application/vnd.openxmlformats-officedocument.drawing+xml"/>
  <Override PartName="/xl/tables/table58.xml" ContentType="application/vnd.openxmlformats-officedocument.spreadsheetml.table+xml"/>
  <Override PartName="/xl/comments59.xml" ContentType="application/vnd.openxmlformats-officedocument.spreadsheetml.comments+xml"/>
  <Override PartName="/xl/threadedComments/threadedComment58.xml" ContentType="application/vnd.ms-excel.threadedcomments+xml"/>
  <Override PartName="/xl/drawings/drawing62.xml" ContentType="application/vnd.openxmlformats-officedocument.drawing+xml"/>
  <Override PartName="/xl/tables/table59.xml" ContentType="application/vnd.openxmlformats-officedocument.spreadsheetml.table+xml"/>
  <Override PartName="/xl/comments60.xml" ContentType="application/vnd.openxmlformats-officedocument.spreadsheetml.comments+xml"/>
  <Override PartName="/xl/threadedComments/threadedComment59.xml" ContentType="application/vnd.ms-excel.threadedcomments+xml"/>
  <Override PartName="/xl/drawings/drawing63.xml" ContentType="application/vnd.openxmlformats-officedocument.drawing+xml"/>
  <Override PartName="/xl/ctrlProps/ctrlProp55.xml" ContentType="application/vnd.ms-excel.controlproperties+xml"/>
  <Override PartName="/xl/tables/table60.xml" ContentType="application/vnd.openxmlformats-officedocument.spreadsheetml.table+xml"/>
  <Override PartName="/xl/comments61.xml" ContentType="application/vnd.openxmlformats-officedocument.spreadsheetml.comments+xml"/>
  <Override PartName="/xl/threadedComments/threadedComment60.xml" ContentType="application/vnd.ms-excel.threadedcomments+xml"/>
  <Override PartName="/xl/drawings/drawing64.xml" ContentType="application/vnd.openxmlformats-officedocument.drawing+xml"/>
  <Override PartName="/xl/ctrlProps/ctrlProp56.xml" ContentType="application/vnd.ms-excel.controlproperties+xml"/>
  <Override PartName="/xl/tables/table61.xml" ContentType="application/vnd.openxmlformats-officedocument.spreadsheetml.table+xml"/>
  <Override PartName="/xl/comments62.xml" ContentType="application/vnd.openxmlformats-officedocument.spreadsheetml.comments+xml"/>
  <Override PartName="/xl/threadedComments/threadedComment61.xml" ContentType="application/vnd.ms-excel.threadedcomments+xml"/>
  <Override PartName="/xl/drawings/drawing65.xml" ContentType="application/vnd.openxmlformats-officedocument.drawing+xml"/>
  <Override PartName="/xl/ctrlProps/ctrlProp57.xml" ContentType="application/vnd.ms-excel.controlproperties+xml"/>
  <Override PartName="/xl/tables/table62.xml" ContentType="application/vnd.openxmlformats-officedocument.spreadsheetml.table+xml"/>
  <Override PartName="/xl/comments63.xml" ContentType="application/vnd.openxmlformats-officedocument.spreadsheetml.comments+xml"/>
  <Override PartName="/xl/threadedComments/threadedComment62.xml" ContentType="application/vnd.ms-excel.threadedcomments+xml"/>
  <Override PartName="/xl/drawings/drawing66.xml" ContentType="application/vnd.openxmlformats-officedocument.drawing+xml"/>
  <Override PartName="/xl/ctrlProps/ctrlProp58.xml" ContentType="application/vnd.ms-excel.controlproperties+xml"/>
  <Override PartName="/xl/tables/table63.xml" ContentType="application/vnd.openxmlformats-officedocument.spreadsheetml.table+xml"/>
  <Override PartName="/xl/comments64.xml" ContentType="application/vnd.openxmlformats-officedocument.spreadsheetml.comments+xml"/>
  <Override PartName="/xl/threadedComments/threadedComment63.xml" ContentType="application/vnd.ms-excel.threadedcomments+xml"/>
  <Override PartName="/xl/drawings/drawing67.xml" ContentType="application/vnd.openxmlformats-officedocument.drawing+xml"/>
  <Override PartName="/xl/ctrlProps/ctrlProp59.xml" ContentType="application/vnd.ms-excel.controlproperties+xml"/>
  <Override PartName="/xl/tables/table64.xml" ContentType="application/vnd.openxmlformats-officedocument.spreadsheetml.table+xml"/>
  <Override PartName="/xl/comments65.xml" ContentType="application/vnd.openxmlformats-officedocument.spreadsheetml.comments+xml"/>
  <Override PartName="/xl/threadedComments/threadedComment64.xml" ContentType="application/vnd.ms-excel.threadedcomments+xml"/>
  <Override PartName="/xl/drawings/drawing68.xml" ContentType="application/vnd.openxmlformats-officedocument.drawing+xml"/>
  <Override PartName="/xl/tables/table65.xml" ContentType="application/vnd.openxmlformats-officedocument.spreadsheetml.table+xml"/>
  <Override PartName="/xl/comments66.xml" ContentType="application/vnd.openxmlformats-officedocument.spreadsheetml.comments+xml"/>
  <Override PartName="/xl/threadedComments/threadedComment65.xml" ContentType="application/vnd.ms-excel.threadedcomments+xml"/>
  <Override PartName="/xl/drawings/drawing69.xml" ContentType="application/vnd.openxmlformats-officedocument.drawing+xml"/>
  <Override PartName="/xl/tables/table66.xml" ContentType="application/vnd.openxmlformats-officedocument.spreadsheetml.table+xml"/>
  <Override PartName="/xl/comments67.xml" ContentType="application/vnd.openxmlformats-officedocument.spreadsheetml.comments+xml"/>
  <Override PartName="/xl/threadedComments/threadedComment66.xml" ContentType="application/vnd.ms-excel.threadedcomments+xml"/>
  <Override PartName="/xl/drawings/drawing70.xml" ContentType="application/vnd.openxmlformats-officedocument.drawing+xml"/>
  <Override PartName="/xl/tables/table67.xml" ContentType="application/vnd.openxmlformats-officedocument.spreadsheetml.table+xml"/>
  <Override PartName="/xl/comments68.xml" ContentType="application/vnd.openxmlformats-officedocument.spreadsheetml.comments+xml"/>
  <Override PartName="/xl/threadedComments/threadedComment67.xml" ContentType="application/vnd.ms-excel.threadedcomments+xml"/>
  <Override PartName="/xl/drawings/drawing71.xml" ContentType="application/vnd.openxmlformats-officedocument.drawing+xml"/>
  <Override PartName="/xl/tables/table68.xml" ContentType="application/vnd.openxmlformats-officedocument.spreadsheetml.table+xml"/>
  <Override PartName="/xl/comments69.xml" ContentType="application/vnd.openxmlformats-officedocument.spreadsheetml.comments+xml"/>
  <Override PartName="/xl/threadedComments/threadedComment68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NFOUSUARIO\Documents\GitHub\ontradecalculatos\"/>
    </mc:Choice>
  </mc:AlternateContent>
  <xr:revisionPtr revIDLastSave="0" documentId="13_ncr:1_{AF0CB700-FC69-4173-A805-4464E27B904E}" xr6:coauthVersionLast="45" xr6:coauthVersionMax="45" xr10:uidLastSave="{00000000-0000-0000-0000-000000000000}"/>
  <workbookProtection workbookAlgorithmName="SHA-512" workbookHashValue="eZt8wGEEDqRNiVn196HP8ziFVekeA5gGqfoPXzBT+eqD5Y/qPj//m4vZoIP7rsXSQpVcJBDfTpDLtb7mbwLmjg==" workbookSaltValue="lVvAlYuwM3xIy+7kMY5aAg==" workbookSpinCount="100000" lockStructure="1"/>
  <bookViews>
    <workbookView xWindow="-110" yWindow="-110" windowWidth="19420" windowHeight="10420" tabRatio="925" firstSheet="2" activeTab="45" xr2:uid="{00000000-000D-0000-FFFF-FFFF00000000}"/>
  </bookViews>
  <sheets>
    <sheet name="PORTADA" sheetId="82" state="veryHidden" r:id="rId1"/>
    <sheet name="ARBOL" sheetId="81" state="hidden" r:id="rId2"/>
    <sheet name="PLANEACIÓN SERVE STRATEGY" sheetId="53" r:id="rId3"/>
    <sheet name="LUPE " sheetId="32" state="veryHidden" r:id="rId4"/>
    <sheet name="PALOMA" sheetId="33" state="veryHidden" r:id="rId5"/>
    <sheet name="TANQUERAY TONIC TEN" sheetId="41" state="veryHidden" r:id="rId6"/>
    <sheet name="TEA TEN" sheetId="40" state="veryHidden" r:id="rId7"/>
    <sheet name="PRECIOS DIALSA - mar 2019" sheetId="48" state="hidden" r:id="rId8"/>
    <sheet name="TANQUERAY TONIC RANGPUR" sheetId="42" state="veryHidden" r:id="rId9"/>
    <sheet name="LUPE" sheetId="83" state="veryHidden" r:id="rId10"/>
    <sheet name="TANQUERAY SOUTH SIDE" sheetId="44" state="veryHidden" r:id="rId11"/>
    <sheet name="TANQUERAY TONIC LONDON DRY" sheetId="43" state="hidden" r:id="rId12"/>
    <sheet name="DRY MARTINI LONDON DRY" sheetId="56" state="veryHidden" r:id="rId13"/>
    <sheet name="BULLEIT &amp; BEER " sheetId="80" state="hidden" r:id="rId14"/>
    <sheet name="BULLEIT OLD FASHION" sheetId="35" state="hidden" r:id="rId15"/>
    <sheet name="RYE &amp; BEER" sheetId="37" state="hidden" r:id="rId16"/>
    <sheet name="KETEL MULE" sheetId="58" state="hidden" r:id="rId17"/>
    <sheet name="SINGLETON 12" sheetId="59" state="hidden" r:id="rId18"/>
    <sheet name="SINGLETON PENICILIN" sheetId="22" state="hidden" r:id="rId19"/>
    <sheet name="SINGLETON OLD FASHION" sheetId="21" state="hidden" r:id="rId20"/>
    <sheet name="SINGLETON TAILFIRE" sheetId="60" state="veryHidden" r:id="rId21"/>
    <sheet name="ZACAPA 23" sheetId="47" state="hidden" r:id="rId22"/>
    <sheet name="ZACAPA PUNCH" sheetId="46" state="veryHidden" r:id="rId23"/>
    <sheet name="ZACAPA OLD FASHION" sheetId="45" state="hidden" r:id="rId24"/>
    <sheet name="ZACAPA MOJITO" sheetId="61" state="hidden" r:id="rId25"/>
    <sheet name="OLD PARR BEER " sheetId="62" state="veryHidden" r:id="rId26"/>
    <sheet name="OLD PARR GOLDEN" sheetId="3" state="veryHidden" r:id="rId27"/>
    <sheet name="OLD PARR BEER" sheetId="2" state="veryHidden" r:id="rId28"/>
    <sheet name="BOTLL OLD PARR 12" sheetId="63" state="veryHidden" r:id="rId29"/>
    <sheet name="OLD PARR 18" sheetId="31" state="hidden" r:id="rId30"/>
    <sheet name="BOTLL OLD PARR 18" sheetId="64" state="veryHidden" r:id="rId31"/>
    <sheet name="WHISKY BLACK &amp; WHITE" sheetId="66" state="veryHidden" r:id="rId32"/>
    <sheet name="BLACK &amp; BEER" sheetId="4" state="veryHidden" r:id="rId33"/>
    <sheet name="B&amp;W MEDIA BOTLL" sheetId="52" state="veryHidden" r:id="rId34"/>
    <sheet name="B&amp;W BOTLL" sheetId="65" state="veryHidden" r:id="rId35"/>
    <sheet name="WHISKY BUCHANAN'S 12" sheetId="68" state="hidden" r:id="rId36"/>
    <sheet name="BUCHANAN'S LIME 12 " sheetId="67" state="hidden" r:id="rId37"/>
    <sheet name="BUCHANAN'S PUNCH" sheetId="1" state="veryHidden" r:id="rId38"/>
    <sheet name="BUCHANAN'S MASTER" sheetId="69" state="hidden" r:id="rId39"/>
    <sheet name="BUCHANAN'S LIME MASTER" sheetId="7" state="hidden" r:id="rId40"/>
    <sheet name="WHISKY BUCHANAN'S 18" sheetId="70" state="veryHidden" r:id="rId41"/>
    <sheet name="BUCHANAN'S SPRITZ" sheetId="71" state="hidden" r:id="rId42"/>
    <sheet name="GORDON'S TONIC" sheetId="8" state="veryHidden" r:id="rId43"/>
    <sheet name="GORDON'S CUCUMBER TONIC" sheetId="9" state="veryHidden" r:id="rId44"/>
    <sheet name="GORDON'S PINK TONIC " sheetId="10" state="veryHidden" r:id="rId45"/>
    <sheet name="JOHNNIE RED &amp; LEMON" sheetId="11" r:id="rId46"/>
    <sheet name="JOHNNIE RED &amp; RED COLA" sheetId="12" state="hidden" r:id="rId47"/>
    <sheet name="BOTLL JOHNNIE WALKER RED" sheetId="72" state="veryHidden" r:id="rId48"/>
    <sheet name="JOHNNIE BLACK &amp; LEMON" sheetId="73" state="hidden" r:id="rId49"/>
    <sheet name="JW BLACK &amp; SODA" sheetId="14" state="hidden" r:id="rId50"/>
    <sheet name="JW BLACK SOUR" sheetId="13" state="hidden" r:id="rId51"/>
    <sheet name="JW DOBLE BLACK" sheetId="74" state="hidden" r:id="rId52"/>
    <sheet name="HAIG H.O.T" sheetId="15" state="hidden" r:id="rId53"/>
    <sheet name="HAIG HERVAL-FRUTAL" sheetId="16" state="hidden" r:id="rId54"/>
    <sheet name="BAILEY'S MARSHMALLOW" sheetId="18" state="hidden" r:id="rId55"/>
    <sheet name="BAILEY'S CAPPUCCINO" sheetId="19" state="veryHidden" r:id="rId56"/>
    <sheet name="PINK LIMONADE" sheetId="20" state="veryHidden" r:id="rId57"/>
    <sheet name="WHISKY BUCHNAN'S 18" sheetId="24" state="hidden" r:id="rId58"/>
    <sheet name="WHISKY JW GREEN LABEL" sheetId="27" state="hidden" r:id="rId59"/>
    <sheet name="JOHNNIE WALKER 18" sheetId="26" state="hidden" r:id="rId60"/>
    <sheet name="JW BLUE LABEL" sheetId="28" state="hidden" r:id="rId61"/>
    <sheet name="KING GEORGE V" sheetId="29" state="hidden" r:id="rId62"/>
    <sheet name="PRIVATE COLLECTION" sheetId="30" state="hidden" r:id="rId63"/>
    <sheet name="BOTLL SMIRNOFF N21" sheetId="75" state="veryHidden" r:id="rId64"/>
    <sheet name="LATA SMIRNOFF ICE" sheetId="76" state="veryHidden" r:id="rId65"/>
    <sheet name="SMIRNOFF X1" sheetId="77" state="veryHidden" r:id="rId66"/>
    <sheet name="BOTLL SMIRNOFF X1" sheetId="78" state="veryHidden" r:id="rId67"/>
    <sheet name="MEDIA SMIRNOFF X1" sheetId="79" state="veryHidden" r:id="rId68"/>
    <sheet name="BULLEIT BOURBON" sheetId="38" state="hidden" r:id="rId69"/>
    <sheet name="BULLEIT RYE" sheetId="39" state="hidden" r:id="rId70"/>
    <sheet name="DON JULIO 70" sheetId="36" state="hidden" r:id="rId71"/>
    <sheet name="DON JULIO AÑEJO" sheetId="34" state="hidden" r:id="rId72"/>
  </sheets>
  <externalReferences>
    <externalReference r:id="rId73"/>
  </externalReferences>
  <definedNames>
    <definedName name="_xlnm._FilterDatabase" localSheetId="1" hidden="1">ARBOL!$AK$6:$AO$171</definedName>
    <definedName name="_xlnm._FilterDatabase" localSheetId="7" hidden="1">'PRECIOS DIALSA - mar 2019'!$A$13:$AL$129</definedName>
    <definedName name="_xlnm.Print_Area" localSheetId="7">'PRECIOS DIALSA - mar 2019'!$B$10:$O$126</definedName>
    <definedName name="Estrato2y3">ARBOL!$L$3:$L$10</definedName>
    <definedName name="Estrato2y3BarElite">ARBOL!$G$3:$G$10</definedName>
    <definedName name="Estrato2y3BarEstandár">ARBOL!$G$11:$G$28</definedName>
    <definedName name="Estrato2y3DiscotecaElite">ARBOL!$G$29:$G$35</definedName>
    <definedName name="Estrato2y3DiscotecaEstándar">ARBOL!$G$36:$G$48</definedName>
    <definedName name="Estrato2y3Juegostípicos">ARBOL!$G$49:$G$58</definedName>
    <definedName name="Estrato2y3Licobares">ARBOL!$G$59:$G$76</definedName>
    <definedName name="Estrato2y3Reposteríaycafé">ARBOL!$G$77:$G$78</definedName>
    <definedName name="Estrato2y3RestauranteCasual">ARBOL!$G$79:$G$85</definedName>
    <definedName name="Estrato2y3RestauranteÉlite">ARBOL!$G$86:$G$88</definedName>
    <definedName name="Estrato2y3RestauranteFormal">ARBOL!$G$89:$G$95</definedName>
    <definedName name="Estrato4al6">ARBOL!$L$12:$L$21</definedName>
    <definedName name="Estrato4al6BarElite">ARBOL!$G$96:$G$131</definedName>
    <definedName name="Estrato4al6BarEstandár">ARBOL!$G$132:$G$173</definedName>
    <definedName name="Estrato4al6DiscotecaElite">ARBOL!$G$174:$G$182</definedName>
    <definedName name="Estrato4al6DiscotecaEstándar">ARBOL!$G$183:$G$197</definedName>
    <definedName name="Estrato4al6Juegostípicos">ARBOL!$G$198:$G$203</definedName>
    <definedName name="Estrato4al6Licobares">ARBOL!$G$204:$G$217</definedName>
    <definedName name="Estrato4al6Reposteríaycafé">ARBOL!$G$218:$G$219</definedName>
    <definedName name="Estrato4al6RestauranteCasual">ARBOL!$G$220:$G$252</definedName>
    <definedName name="Estrato4al6RestauranteÉlite">ARBOL!$G$253:$G$290</definedName>
    <definedName name="Estrato4al6RestauranteFormal">ARBOL!$G$291:$G$328</definedName>
    <definedName name="GIN" localSheetId="68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69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70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71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44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42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59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60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61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7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62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57">'[1]GUÍA DE SABORES'!#REF!,'[1]GUÍA DE SABORES'!#REF!,'[1]GUÍA DE SABORES'!#REF!,'[1]GUÍA DE SABORES'!#REF!,'[1]GUÍA DE SABORES'!$B$23,'[1]GUÍA DE SABORES'!$B$24,'[1]GUÍA DE SABORES'!$B$20,'[1]GUÍA DE SABORES'!$B$16</definedName>
    <definedName name="GIN" localSheetId="58">'[1]GUÍA DE SABORES'!#REF!,'[1]GUÍA DE SABORES'!#REF!,'[1]GUÍA DE SABORES'!#REF!,'[1]GUÍA DE SABORES'!#REF!,'[1]GUÍA DE SABORES'!$B$23,'[1]GUÍA DE SABORES'!$B$24,'[1]GUÍA DE SABORES'!$B$20,'[1]GUÍA DE SABORES'!$B$16</definedName>
    <definedName name="nFILA">PORTADA!$M$1</definedName>
    <definedName name="nFILAS">PORTADA!$M$2</definedName>
    <definedName name="Z_780F33C0_96AE_4728_BBC5_071F8736A777_.wvu.Cols" localSheetId="7" hidden="1">'PRECIOS DIALSA - mar 2019'!#REF!</definedName>
    <definedName name="Z_780F33C0_96AE_4728_BBC5_071F8736A777_.wvu.FilterData" localSheetId="7" hidden="1">'PRECIOS DIALSA - mar 2019'!$B$13:$O$129</definedName>
    <definedName name="Z_780F33C0_96AE_4728_BBC5_071F8736A777_.wvu.PrintArea" localSheetId="7" hidden="1">'PRECIOS DIALSA - mar 2019'!$B$10:$O$126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6" i="82" l="1"/>
  <c r="F112" i="83" l="1"/>
  <c r="E107" i="83"/>
  <c r="F107" i="83" s="1"/>
  <c r="F108" i="83" s="1"/>
  <c r="F99" i="83"/>
  <c r="E94" i="83"/>
  <c r="F94" i="83" s="1"/>
  <c r="F95" i="83" s="1"/>
  <c r="F86" i="83"/>
  <c r="E81" i="83"/>
  <c r="F81" i="83" s="1"/>
  <c r="F82" i="83" s="1"/>
  <c r="F73" i="83"/>
  <c r="B68" i="83"/>
  <c r="E68" i="83" s="1"/>
  <c r="F68" i="83" s="1"/>
  <c r="F69" i="83" s="1"/>
  <c r="F61" i="83"/>
  <c r="B56" i="83"/>
  <c r="E56" i="83" s="1"/>
  <c r="F56" i="83" s="1"/>
  <c r="F57" i="83" s="1"/>
  <c r="I41" i="83"/>
  <c r="I37" i="83"/>
  <c r="I36" i="83"/>
  <c r="I40" i="83" s="1"/>
  <c r="F25" i="83"/>
  <c r="M18" i="83"/>
  <c r="B18" i="83"/>
  <c r="E18" i="83" s="1"/>
  <c r="F18" i="83" s="1"/>
  <c r="M17" i="83"/>
  <c r="C17" i="83"/>
  <c r="B17" i="83"/>
  <c r="C16" i="83"/>
  <c r="B16" i="83"/>
  <c r="M13" i="83"/>
  <c r="F11" i="83"/>
  <c r="M10" i="83"/>
  <c r="F10" i="83"/>
  <c r="M9" i="83"/>
  <c r="F9" i="83"/>
  <c r="F83" i="83" l="1"/>
  <c r="F84" i="83" s="1"/>
  <c r="E17" i="83"/>
  <c r="F17" i="83" s="1"/>
  <c r="M20" i="83"/>
  <c r="M14" i="83"/>
  <c r="E16" i="83"/>
  <c r="F16" i="83" s="1"/>
  <c r="F70" i="83"/>
  <c r="F71" i="83" s="1"/>
  <c r="F109" i="83"/>
  <c r="F110" i="83" s="1"/>
  <c r="F58" i="83"/>
  <c r="F59" i="83" s="1"/>
  <c r="M12" i="83"/>
  <c r="I38" i="83"/>
  <c r="F96" i="83"/>
  <c r="F97" i="83" s="1"/>
  <c r="I39" i="83"/>
  <c r="F21" i="83" l="1"/>
  <c r="F22" i="83" s="1"/>
  <c r="F23" i="83" s="1"/>
  <c r="F27" i="83" s="1"/>
  <c r="F87" i="83"/>
  <c r="F88" i="83"/>
  <c r="F62" i="83"/>
  <c r="F63" i="83"/>
  <c r="F100" i="83"/>
  <c r="F101" i="83"/>
  <c r="F114" i="83"/>
  <c r="F113" i="83"/>
  <c r="F75" i="83"/>
  <c r="F74" i="83"/>
  <c r="F26" i="83"/>
  <c r="F89" i="83"/>
  <c r="I17" i="83"/>
  <c r="I18" i="83" l="1"/>
  <c r="F102" i="83"/>
  <c r="I9" i="83"/>
  <c r="F28" i="83"/>
  <c r="I16" i="83"/>
  <c r="I28" i="83"/>
  <c r="I23" i="83"/>
  <c r="F115" i="83"/>
  <c r="I24" i="83"/>
  <c r="F76" i="83"/>
  <c r="I11" i="83"/>
  <c r="F64" i="83"/>
  <c r="I10" i="83"/>
  <c r="I20" i="83" l="1"/>
  <c r="J19" i="83"/>
  <c r="I19" i="83"/>
  <c r="J20" i="83"/>
  <c r="J25" i="83"/>
  <c r="I25" i="83"/>
  <c r="J12" i="83"/>
  <c r="J13" i="83"/>
  <c r="I12" i="83"/>
  <c r="I13" i="83"/>
  <c r="I30" i="83"/>
  <c r="I33" i="83"/>
  <c r="I29" i="83"/>
  <c r="I32" i="83"/>
  <c r="I31" i="83"/>
  <c r="J3" i="82" l="1"/>
  <c r="N3" i="82"/>
  <c r="N4" i="82" s="1"/>
  <c r="D328" i="81" l="1"/>
  <c r="D327" i="81"/>
  <c r="D326" i="81"/>
  <c r="D325" i="81"/>
  <c r="D324" i="81"/>
  <c r="D323" i="81"/>
  <c r="D322" i="81"/>
  <c r="D321" i="81"/>
  <c r="D320" i="81"/>
  <c r="D319" i="81"/>
  <c r="D318" i="81"/>
  <c r="D317" i="81"/>
  <c r="D316" i="81"/>
  <c r="D315" i="81"/>
  <c r="D314" i="81"/>
  <c r="D313" i="81"/>
  <c r="D312" i="81"/>
  <c r="D311" i="81"/>
  <c r="D310" i="81"/>
  <c r="D309" i="81"/>
  <c r="D308" i="81"/>
  <c r="D307" i="81"/>
  <c r="D306" i="81"/>
  <c r="D305" i="81"/>
  <c r="D304" i="81"/>
  <c r="D303" i="81"/>
  <c r="D302" i="81"/>
  <c r="D301" i="81"/>
  <c r="D300" i="81"/>
  <c r="D299" i="81"/>
  <c r="D298" i="81"/>
  <c r="D297" i="81"/>
  <c r="D296" i="81"/>
  <c r="D295" i="81"/>
  <c r="D294" i="81"/>
  <c r="D293" i="81"/>
  <c r="D292" i="81"/>
  <c r="D291" i="81"/>
  <c r="D290" i="81"/>
  <c r="D289" i="81"/>
  <c r="D288" i="81"/>
  <c r="D287" i="81"/>
  <c r="D286" i="81"/>
  <c r="D285" i="81"/>
  <c r="D284" i="81"/>
  <c r="D283" i="81"/>
  <c r="D282" i="81"/>
  <c r="D281" i="81"/>
  <c r="D280" i="81"/>
  <c r="D279" i="81"/>
  <c r="D278" i="81"/>
  <c r="D277" i="81"/>
  <c r="D276" i="81"/>
  <c r="D275" i="81"/>
  <c r="D274" i="81"/>
  <c r="D273" i="81"/>
  <c r="D272" i="81"/>
  <c r="D271" i="81"/>
  <c r="D270" i="81"/>
  <c r="D269" i="81"/>
  <c r="D268" i="81"/>
  <c r="D267" i="81"/>
  <c r="D266" i="81"/>
  <c r="D265" i="81"/>
  <c r="D264" i="81"/>
  <c r="D263" i="81"/>
  <c r="D262" i="81"/>
  <c r="D261" i="81"/>
  <c r="D260" i="81"/>
  <c r="D259" i="81"/>
  <c r="D258" i="81"/>
  <c r="D257" i="81"/>
  <c r="D256" i="81"/>
  <c r="D255" i="81"/>
  <c r="D254" i="81"/>
  <c r="D253" i="81"/>
  <c r="D252" i="81"/>
  <c r="D251" i="81"/>
  <c r="D250" i="81"/>
  <c r="D249" i="81"/>
  <c r="D248" i="81"/>
  <c r="D247" i="81"/>
  <c r="D246" i="81"/>
  <c r="D245" i="81"/>
  <c r="D244" i="81"/>
  <c r="D243" i="81"/>
  <c r="D242" i="81"/>
  <c r="D241" i="81"/>
  <c r="D240" i="81"/>
  <c r="D239" i="81"/>
  <c r="D238" i="81"/>
  <c r="D237" i="81"/>
  <c r="D236" i="81"/>
  <c r="D235" i="81"/>
  <c r="D234" i="81"/>
  <c r="D233" i="81"/>
  <c r="D232" i="81"/>
  <c r="D231" i="81"/>
  <c r="D230" i="81"/>
  <c r="D229" i="81"/>
  <c r="D228" i="81"/>
  <c r="D227" i="81"/>
  <c r="D226" i="81"/>
  <c r="D225" i="81"/>
  <c r="D224" i="81"/>
  <c r="D223" i="81"/>
  <c r="D222" i="81"/>
  <c r="D221" i="81"/>
  <c r="D220" i="81"/>
  <c r="D219" i="81"/>
  <c r="D218" i="81"/>
  <c r="D217" i="81"/>
  <c r="D216" i="81"/>
  <c r="D215" i="81"/>
  <c r="D214" i="81"/>
  <c r="D213" i="81"/>
  <c r="D212" i="81"/>
  <c r="D211" i="81"/>
  <c r="D210" i="81"/>
  <c r="D209" i="81"/>
  <c r="D208" i="81"/>
  <c r="D207" i="81"/>
  <c r="D206" i="81"/>
  <c r="D205" i="81"/>
  <c r="D204" i="81"/>
  <c r="D203" i="81"/>
  <c r="D202" i="81"/>
  <c r="D201" i="81"/>
  <c r="D200" i="81"/>
  <c r="D199" i="81"/>
  <c r="D198" i="81"/>
  <c r="D197" i="81"/>
  <c r="D196" i="81"/>
  <c r="D195" i="81"/>
  <c r="D194" i="81"/>
  <c r="D193" i="81"/>
  <c r="D192" i="81"/>
  <c r="D191" i="81"/>
  <c r="D190" i="81"/>
  <c r="D189" i="81"/>
  <c r="D188" i="81"/>
  <c r="D187" i="81"/>
  <c r="D186" i="81"/>
  <c r="D185" i="81"/>
  <c r="D184" i="81"/>
  <c r="D183" i="81"/>
  <c r="D182" i="81"/>
  <c r="D181" i="81"/>
  <c r="D180" i="81"/>
  <c r="D179" i="81"/>
  <c r="D178" i="81"/>
  <c r="D177" i="81"/>
  <c r="D176" i="81"/>
  <c r="D175" i="81"/>
  <c r="D174" i="81"/>
  <c r="D173" i="81"/>
  <c r="D172" i="81"/>
  <c r="D171" i="81"/>
  <c r="D170" i="81"/>
  <c r="D169" i="81"/>
  <c r="D168" i="81"/>
  <c r="D167" i="81"/>
  <c r="D166" i="81"/>
  <c r="D165" i="81"/>
  <c r="D164" i="81"/>
  <c r="D163" i="81"/>
  <c r="D162" i="81"/>
  <c r="D161" i="81"/>
  <c r="D160" i="81"/>
  <c r="D159" i="81"/>
  <c r="D158" i="81"/>
  <c r="D157" i="81"/>
  <c r="D156" i="81"/>
  <c r="D155" i="81"/>
  <c r="D154" i="81"/>
  <c r="D153" i="81"/>
  <c r="D152" i="81"/>
  <c r="D151" i="81"/>
  <c r="D150" i="81"/>
  <c r="D149" i="81"/>
  <c r="D148" i="81"/>
  <c r="D147" i="81"/>
  <c r="D146" i="81"/>
  <c r="D145" i="81"/>
  <c r="D144" i="81"/>
  <c r="D143" i="81"/>
  <c r="D142" i="81"/>
  <c r="D141" i="81"/>
  <c r="D140" i="81"/>
  <c r="D139" i="81"/>
  <c r="D138" i="81"/>
  <c r="D137" i="81"/>
  <c r="D136" i="81"/>
  <c r="D135" i="81"/>
  <c r="D134" i="81"/>
  <c r="D133" i="81"/>
  <c r="D132" i="81"/>
  <c r="D131" i="81"/>
  <c r="D130" i="81"/>
  <c r="D129" i="81"/>
  <c r="D128" i="81"/>
  <c r="D127" i="81"/>
  <c r="D126" i="81"/>
  <c r="D125" i="81"/>
  <c r="D124" i="81"/>
  <c r="D123" i="81"/>
  <c r="D122" i="81"/>
  <c r="D121" i="81"/>
  <c r="D120" i="81"/>
  <c r="D119" i="81"/>
  <c r="D118" i="81"/>
  <c r="D117" i="81"/>
  <c r="D116" i="81"/>
  <c r="D115" i="81"/>
  <c r="D114" i="81"/>
  <c r="D113" i="81"/>
  <c r="D112" i="81"/>
  <c r="D111" i="81"/>
  <c r="D110" i="81"/>
  <c r="D109" i="81"/>
  <c r="D108" i="81"/>
  <c r="D107" i="81"/>
  <c r="D106" i="81"/>
  <c r="D105" i="81"/>
  <c r="D104" i="81"/>
  <c r="D103" i="81"/>
  <c r="D102" i="81"/>
  <c r="D101" i="81"/>
  <c r="D100" i="81"/>
  <c r="D99" i="81"/>
  <c r="D98" i="81"/>
  <c r="D97" i="81"/>
  <c r="D96" i="81"/>
  <c r="D95" i="81"/>
  <c r="D94" i="81"/>
  <c r="D93" i="81"/>
  <c r="D92" i="81"/>
  <c r="D91" i="81"/>
  <c r="D90" i="81"/>
  <c r="D89" i="81"/>
  <c r="D88" i="81"/>
  <c r="D87" i="81"/>
  <c r="D86" i="81"/>
  <c r="D85" i="81"/>
  <c r="D84" i="81"/>
  <c r="D83" i="81"/>
  <c r="D82" i="81"/>
  <c r="D81" i="81"/>
  <c r="D80" i="81"/>
  <c r="D79" i="81"/>
  <c r="D78" i="81"/>
  <c r="D77" i="81"/>
  <c r="D76" i="81"/>
  <c r="D75" i="81"/>
  <c r="D74" i="81"/>
  <c r="D73" i="81"/>
  <c r="D72" i="81"/>
  <c r="D71" i="81"/>
  <c r="D70" i="81"/>
  <c r="D69" i="81"/>
  <c r="D68" i="81"/>
  <c r="D67" i="81"/>
  <c r="D66" i="81"/>
  <c r="D65" i="81"/>
  <c r="D64" i="81"/>
  <c r="D63" i="81"/>
  <c r="D62" i="81"/>
  <c r="D61" i="81"/>
  <c r="D60" i="81"/>
  <c r="D59" i="81"/>
  <c r="D58" i="81"/>
  <c r="D57" i="81"/>
  <c r="D56" i="81"/>
  <c r="D55" i="81"/>
  <c r="D54" i="81"/>
  <c r="D53" i="81"/>
  <c r="D52" i="81"/>
  <c r="D51" i="81"/>
  <c r="D50" i="81"/>
  <c r="D49" i="81"/>
  <c r="D48" i="81"/>
  <c r="D47" i="81"/>
  <c r="D46" i="81"/>
  <c r="D45" i="81"/>
  <c r="D44" i="81"/>
  <c r="D43" i="81"/>
  <c r="D42" i="81"/>
  <c r="D41" i="81"/>
  <c r="D40" i="81"/>
  <c r="D39" i="81"/>
  <c r="D38" i="81"/>
  <c r="D37" i="81"/>
  <c r="D36" i="81"/>
  <c r="D35" i="81"/>
  <c r="D34" i="81"/>
  <c r="D33" i="81"/>
  <c r="D32" i="81"/>
  <c r="D31" i="81"/>
  <c r="D30" i="81"/>
  <c r="D29" i="81"/>
  <c r="D28" i="81"/>
  <c r="D27" i="81"/>
  <c r="D26" i="81"/>
  <c r="D25" i="81"/>
  <c r="D24" i="81"/>
  <c r="D23" i="81"/>
  <c r="D22" i="81"/>
  <c r="D21" i="81"/>
  <c r="D20" i="81"/>
  <c r="D19" i="81"/>
  <c r="D18" i="81"/>
  <c r="D17" i="81"/>
  <c r="D16" i="81"/>
  <c r="D15" i="81"/>
  <c r="D14" i="81"/>
  <c r="D13" i="81"/>
  <c r="D12" i="81"/>
  <c r="D11" i="81"/>
  <c r="D10" i="81"/>
  <c r="D9" i="81"/>
  <c r="D8" i="81"/>
  <c r="D7" i="81"/>
  <c r="D6" i="81"/>
  <c r="D5" i="81"/>
  <c r="D4" i="81"/>
  <c r="D3" i="81"/>
  <c r="H8" i="82" l="1"/>
  <c r="C328" i="81"/>
  <c r="C327" i="81"/>
  <c r="C326" i="81"/>
  <c r="C325" i="81"/>
  <c r="C324" i="81"/>
  <c r="C323" i="81"/>
  <c r="C322" i="81"/>
  <c r="C321" i="81"/>
  <c r="C320" i="81"/>
  <c r="C319" i="81"/>
  <c r="C318" i="81"/>
  <c r="C317" i="81"/>
  <c r="C316" i="81"/>
  <c r="C315" i="81"/>
  <c r="C314" i="81"/>
  <c r="C313" i="81"/>
  <c r="C312" i="81"/>
  <c r="C311" i="81"/>
  <c r="C310" i="81"/>
  <c r="C309" i="81"/>
  <c r="C308" i="81"/>
  <c r="C307" i="81"/>
  <c r="C306" i="81"/>
  <c r="C305" i="81"/>
  <c r="C304" i="81"/>
  <c r="C303" i="81"/>
  <c r="C302" i="81"/>
  <c r="C301" i="81"/>
  <c r="C300" i="81"/>
  <c r="C299" i="81"/>
  <c r="C298" i="81"/>
  <c r="C297" i="81"/>
  <c r="C296" i="81"/>
  <c r="C295" i="81"/>
  <c r="C294" i="81"/>
  <c r="C293" i="81"/>
  <c r="C292" i="81"/>
  <c r="C291" i="81"/>
  <c r="C290" i="81"/>
  <c r="C289" i="81"/>
  <c r="C288" i="81"/>
  <c r="C287" i="81"/>
  <c r="C286" i="81"/>
  <c r="C285" i="81"/>
  <c r="C284" i="81"/>
  <c r="C283" i="81"/>
  <c r="C282" i="81"/>
  <c r="C281" i="81"/>
  <c r="C280" i="81"/>
  <c r="C279" i="81"/>
  <c r="C278" i="81"/>
  <c r="C277" i="81"/>
  <c r="C276" i="81"/>
  <c r="C275" i="81"/>
  <c r="C274" i="81"/>
  <c r="C273" i="81"/>
  <c r="C272" i="81"/>
  <c r="C271" i="81"/>
  <c r="C270" i="81"/>
  <c r="C269" i="81"/>
  <c r="C268" i="81"/>
  <c r="C267" i="81"/>
  <c r="C266" i="81"/>
  <c r="C265" i="81"/>
  <c r="C264" i="81"/>
  <c r="C263" i="81"/>
  <c r="C262" i="81"/>
  <c r="C261" i="81"/>
  <c r="C260" i="81"/>
  <c r="C259" i="81"/>
  <c r="C258" i="81"/>
  <c r="C257" i="81"/>
  <c r="C256" i="81"/>
  <c r="C255" i="81"/>
  <c r="C254" i="81"/>
  <c r="C253" i="81"/>
  <c r="C252" i="81"/>
  <c r="C251" i="81"/>
  <c r="C250" i="81"/>
  <c r="C249" i="81"/>
  <c r="C248" i="81"/>
  <c r="C247" i="81"/>
  <c r="C246" i="81"/>
  <c r="C245" i="81"/>
  <c r="C244" i="81"/>
  <c r="C243" i="81"/>
  <c r="C242" i="81"/>
  <c r="C241" i="81"/>
  <c r="C240" i="81"/>
  <c r="C239" i="81"/>
  <c r="C238" i="81"/>
  <c r="C237" i="81"/>
  <c r="C236" i="81"/>
  <c r="C235" i="81"/>
  <c r="C234" i="81"/>
  <c r="C233" i="81"/>
  <c r="C232" i="81"/>
  <c r="C231" i="81"/>
  <c r="C230" i="81"/>
  <c r="C229" i="81"/>
  <c r="C228" i="81"/>
  <c r="C227" i="81"/>
  <c r="C226" i="81"/>
  <c r="C225" i="81"/>
  <c r="C224" i="81"/>
  <c r="C223" i="81"/>
  <c r="C222" i="81"/>
  <c r="C221" i="81"/>
  <c r="C220" i="81"/>
  <c r="C219" i="81"/>
  <c r="C218" i="81"/>
  <c r="C217" i="81"/>
  <c r="C216" i="81"/>
  <c r="C215" i="81"/>
  <c r="C214" i="81"/>
  <c r="C213" i="81"/>
  <c r="C212" i="81"/>
  <c r="C211" i="81"/>
  <c r="C210" i="81"/>
  <c r="C209" i="81"/>
  <c r="C208" i="81"/>
  <c r="C207" i="81"/>
  <c r="C206" i="81"/>
  <c r="C205" i="81"/>
  <c r="C204" i="81"/>
  <c r="C203" i="81"/>
  <c r="C202" i="81"/>
  <c r="C201" i="81"/>
  <c r="C200" i="81"/>
  <c r="C199" i="81"/>
  <c r="C198" i="81"/>
  <c r="C197" i="81"/>
  <c r="C196" i="81"/>
  <c r="C195" i="81"/>
  <c r="C194" i="81"/>
  <c r="C193" i="81"/>
  <c r="C192" i="81"/>
  <c r="C191" i="81"/>
  <c r="C190" i="81"/>
  <c r="C189" i="81"/>
  <c r="C188" i="81"/>
  <c r="C187" i="81"/>
  <c r="C186" i="81"/>
  <c r="C185" i="81"/>
  <c r="C184" i="81"/>
  <c r="C183" i="81"/>
  <c r="C182" i="81"/>
  <c r="C181" i="81"/>
  <c r="C180" i="81"/>
  <c r="C179" i="81"/>
  <c r="C178" i="81"/>
  <c r="C177" i="81"/>
  <c r="C176" i="81"/>
  <c r="C175" i="81"/>
  <c r="C174" i="81"/>
  <c r="C173" i="81"/>
  <c r="C172" i="81"/>
  <c r="C171" i="81"/>
  <c r="C170" i="81"/>
  <c r="C169" i="81"/>
  <c r="C168" i="81"/>
  <c r="C167" i="81"/>
  <c r="C166" i="81"/>
  <c r="C165" i="81"/>
  <c r="C164" i="81"/>
  <c r="C163" i="81"/>
  <c r="C162" i="81"/>
  <c r="C161" i="81"/>
  <c r="C160" i="81"/>
  <c r="C159" i="81"/>
  <c r="C158" i="81"/>
  <c r="C157" i="81"/>
  <c r="C156" i="81"/>
  <c r="C155" i="81"/>
  <c r="C154" i="81"/>
  <c r="C153" i="81"/>
  <c r="C152" i="81"/>
  <c r="C151" i="81"/>
  <c r="C150" i="81"/>
  <c r="C149" i="81"/>
  <c r="C148" i="81"/>
  <c r="C147" i="81"/>
  <c r="C146" i="81"/>
  <c r="C145" i="81"/>
  <c r="C144" i="81"/>
  <c r="C143" i="81"/>
  <c r="C142" i="81"/>
  <c r="C141" i="81"/>
  <c r="C140" i="81"/>
  <c r="C139" i="81"/>
  <c r="C138" i="81"/>
  <c r="C137" i="81"/>
  <c r="C136" i="81"/>
  <c r="C135" i="81"/>
  <c r="C134" i="81"/>
  <c r="C133" i="81"/>
  <c r="C132" i="81"/>
  <c r="C131" i="81"/>
  <c r="C130" i="81"/>
  <c r="C129" i="81"/>
  <c r="C128" i="81"/>
  <c r="C127" i="81"/>
  <c r="C126" i="81"/>
  <c r="C125" i="81"/>
  <c r="C124" i="81"/>
  <c r="C123" i="81"/>
  <c r="C122" i="81"/>
  <c r="C121" i="81"/>
  <c r="C120" i="81"/>
  <c r="C119" i="81"/>
  <c r="C118" i="81"/>
  <c r="C117" i="81"/>
  <c r="C116" i="81"/>
  <c r="C115" i="81"/>
  <c r="C114" i="81"/>
  <c r="C113" i="81"/>
  <c r="C112" i="81"/>
  <c r="C111" i="81"/>
  <c r="C110" i="81"/>
  <c r="C109" i="81"/>
  <c r="C108" i="81"/>
  <c r="C107" i="81"/>
  <c r="C106" i="81"/>
  <c r="C105" i="81"/>
  <c r="C104" i="81"/>
  <c r="C103" i="81"/>
  <c r="C102" i="81"/>
  <c r="C101" i="81"/>
  <c r="C100" i="81"/>
  <c r="C99" i="81"/>
  <c r="C98" i="81"/>
  <c r="C97" i="81"/>
  <c r="C96" i="81"/>
  <c r="C95" i="81"/>
  <c r="C94" i="81"/>
  <c r="C93" i="81"/>
  <c r="C92" i="81"/>
  <c r="C91" i="81"/>
  <c r="C90" i="81"/>
  <c r="C89" i="81"/>
  <c r="C88" i="81"/>
  <c r="C87" i="81"/>
  <c r="C86" i="81"/>
  <c r="C85" i="81"/>
  <c r="C84" i="81"/>
  <c r="C83" i="81"/>
  <c r="C82" i="81"/>
  <c r="C81" i="81"/>
  <c r="C80" i="81"/>
  <c r="C79" i="81"/>
  <c r="C78" i="81"/>
  <c r="C77" i="81"/>
  <c r="C76" i="81"/>
  <c r="C75" i="81"/>
  <c r="C74" i="81"/>
  <c r="C73" i="81"/>
  <c r="C72" i="81"/>
  <c r="C71" i="81"/>
  <c r="C70" i="81"/>
  <c r="C69" i="81"/>
  <c r="C68" i="81"/>
  <c r="C67" i="81"/>
  <c r="C66" i="81"/>
  <c r="C65" i="81"/>
  <c r="C64" i="81"/>
  <c r="C63" i="81"/>
  <c r="C62" i="81"/>
  <c r="C61" i="81"/>
  <c r="C60" i="81"/>
  <c r="C59" i="81"/>
  <c r="C58" i="81"/>
  <c r="C57" i="81"/>
  <c r="C56" i="81"/>
  <c r="C55" i="81"/>
  <c r="C54" i="81"/>
  <c r="C53" i="81"/>
  <c r="C52" i="81"/>
  <c r="C51" i="81"/>
  <c r="C50" i="81"/>
  <c r="C49" i="81"/>
  <c r="C48" i="81"/>
  <c r="C47" i="81"/>
  <c r="C46" i="81"/>
  <c r="C45" i="81"/>
  <c r="C44" i="81"/>
  <c r="C43" i="81"/>
  <c r="C42" i="81"/>
  <c r="C41" i="81"/>
  <c r="C40" i="81"/>
  <c r="C39" i="81"/>
  <c r="C38" i="81"/>
  <c r="C37" i="81"/>
  <c r="C36" i="81"/>
  <c r="C35" i="81"/>
  <c r="C34" i="81"/>
  <c r="C33" i="81"/>
  <c r="C32" i="81"/>
  <c r="C31" i="81"/>
  <c r="C30" i="81"/>
  <c r="C29" i="81"/>
  <c r="C28" i="81"/>
  <c r="C27" i="81"/>
  <c r="C26" i="81"/>
  <c r="C25" i="81"/>
  <c r="C24" i="81"/>
  <c r="C23" i="81"/>
  <c r="C22" i="81"/>
  <c r="C21" i="81"/>
  <c r="C20" i="81"/>
  <c r="C19" i="81"/>
  <c r="C18" i="81"/>
  <c r="C17" i="81"/>
  <c r="C16" i="81"/>
  <c r="C15" i="81"/>
  <c r="C14" i="81"/>
  <c r="C13" i="81"/>
  <c r="C12" i="81"/>
  <c r="C11" i="81"/>
  <c r="C10" i="81"/>
  <c r="C9" i="81"/>
  <c r="C8" i="81"/>
  <c r="C7" i="81"/>
  <c r="C6" i="81"/>
  <c r="C5" i="81"/>
  <c r="C4" i="81"/>
  <c r="C3" i="81"/>
  <c r="I3" i="82" l="1"/>
  <c r="C36" i="82" l="1"/>
  <c r="G36" i="82" s="1"/>
  <c r="C32" i="82"/>
  <c r="G32" i="82" s="1"/>
  <c r="C28" i="82"/>
  <c r="G28" i="82" s="1"/>
  <c r="C24" i="82"/>
  <c r="G24" i="82" s="1"/>
  <c r="C20" i="82"/>
  <c r="G20" i="82" s="1"/>
  <c r="C16" i="82"/>
  <c r="G16" i="82" s="1"/>
  <c r="C12" i="82"/>
  <c r="G12" i="82" s="1"/>
  <c r="C21" i="82"/>
  <c r="G21" i="82" s="1"/>
  <c r="C9" i="82"/>
  <c r="G9" i="82" s="1"/>
  <c r="C35" i="82"/>
  <c r="G35" i="82" s="1"/>
  <c r="C31" i="82"/>
  <c r="G31" i="82" s="1"/>
  <c r="C27" i="82"/>
  <c r="G27" i="82" s="1"/>
  <c r="C23" i="82"/>
  <c r="G23" i="82" s="1"/>
  <c r="C19" i="82"/>
  <c r="G19" i="82" s="1"/>
  <c r="C15" i="82"/>
  <c r="G15" i="82" s="1"/>
  <c r="C11" i="82"/>
  <c r="C25" i="82"/>
  <c r="G25" i="82" s="1"/>
  <c r="C17" i="82"/>
  <c r="G17" i="82" s="1"/>
  <c r="C34" i="82"/>
  <c r="G34" i="82" s="1"/>
  <c r="C30" i="82"/>
  <c r="G30" i="82" s="1"/>
  <c r="C26" i="82"/>
  <c r="G26" i="82" s="1"/>
  <c r="C22" i="82"/>
  <c r="G22" i="82" s="1"/>
  <c r="C18" i="82"/>
  <c r="G18" i="82" s="1"/>
  <c r="C14" i="82"/>
  <c r="G14" i="82" s="1"/>
  <c r="C10" i="82"/>
  <c r="C29" i="82"/>
  <c r="G29" i="82" s="1"/>
  <c r="C13" i="82"/>
  <c r="G13" i="82" s="1"/>
  <c r="C33" i="82"/>
  <c r="G33" i="82" s="1"/>
  <c r="C8" i="82"/>
  <c r="I13" i="82"/>
  <c r="I14" i="82"/>
  <c r="I12" i="82"/>
  <c r="I15" i="82"/>
  <c r="I1" i="82"/>
  <c r="A4" i="81"/>
  <c r="A5" i="81"/>
  <c r="A6" i="81"/>
  <c r="A7" i="81"/>
  <c r="A8" i="81"/>
  <c r="A9" i="81"/>
  <c r="A10" i="81"/>
  <c r="A11" i="81"/>
  <c r="A12" i="81"/>
  <c r="A13" i="81"/>
  <c r="A14" i="81"/>
  <c r="A15" i="81"/>
  <c r="A16" i="81"/>
  <c r="A17" i="81"/>
  <c r="A18" i="81"/>
  <c r="A19" i="81"/>
  <c r="A20" i="81"/>
  <c r="A21" i="81"/>
  <c r="A22" i="81"/>
  <c r="A23" i="81"/>
  <c r="A24" i="81"/>
  <c r="A25" i="81"/>
  <c r="A26" i="81"/>
  <c r="A27" i="81"/>
  <c r="A28" i="81"/>
  <c r="A29" i="81"/>
  <c r="A30" i="81"/>
  <c r="A31" i="81"/>
  <c r="A32" i="81"/>
  <c r="A33" i="81"/>
  <c r="A34" i="81"/>
  <c r="A35" i="81"/>
  <c r="A36" i="81"/>
  <c r="A37" i="81"/>
  <c r="A38" i="81"/>
  <c r="A39" i="81"/>
  <c r="A40" i="81"/>
  <c r="A41" i="81"/>
  <c r="A42" i="81"/>
  <c r="A43" i="81"/>
  <c r="A44" i="81"/>
  <c r="A45" i="81"/>
  <c r="A46" i="81"/>
  <c r="A47" i="81"/>
  <c r="A48" i="81"/>
  <c r="A49" i="81"/>
  <c r="A50" i="81"/>
  <c r="A51" i="81"/>
  <c r="A52" i="81"/>
  <c r="A53" i="81"/>
  <c r="A54" i="81"/>
  <c r="A55" i="81"/>
  <c r="A56" i="81"/>
  <c r="A57" i="81"/>
  <c r="A58" i="81"/>
  <c r="A59" i="81"/>
  <c r="A60" i="81"/>
  <c r="A61" i="81"/>
  <c r="A62" i="81"/>
  <c r="A63" i="81"/>
  <c r="A64" i="81"/>
  <c r="A65" i="81"/>
  <c r="A66" i="81"/>
  <c r="A67" i="81"/>
  <c r="A68" i="81"/>
  <c r="A69" i="81"/>
  <c r="A70" i="81"/>
  <c r="A71" i="81"/>
  <c r="A72" i="81"/>
  <c r="A73" i="81"/>
  <c r="A74" i="81"/>
  <c r="A75" i="81"/>
  <c r="A76" i="81"/>
  <c r="A77" i="81"/>
  <c r="A78" i="81"/>
  <c r="A79" i="81"/>
  <c r="A80" i="81"/>
  <c r="A81" i="81"/>
  <c r="A82" i="81"/>
  <c r="A83" i="81"/>
  <c r="A84" i="81"/>
  <c r="A85" i="81"/>
  <c r="A86" i="81"/>
  <c r="A87" i="81"/>
  <c r="A88" i="81"/>
  <c r="A89" i="81"/>
  <c r="A90" i="81"/>
  <c r="A91" i="81"/>
  <c r="A92" i="81"/>
  <c r="A93" i="81"/>
  <c r="A94" i="81"/>
  <c r="A95" i="81"/>
  <c r="A96" i="81"/>
  <c r="A97" i="81"/>
  <c r="A98" i="81"/>
  <c r="A99" i="81"/>
  <c r="A100" i="81"/>
  <c r="A101" i="81"/>
  <c r="A102" i="81"/>
  <c r="A103" i="81"/>
  <c r="A104" i="81"/>
  <c r="A105" i="81"/>
  <c r="A106" i="81"/>
  <c r="A107" i="81"/>
  <c r="A108" i="81"/>
  <c r="A109" i="81"/>
  <c r="A110" i="81"/>
  <c r="A111" i="81"/>
  <c r="A112" i="81"/>
  <c r="A113" i="81"/>
  <c r="A114" i="81"/>
  <c r="A115" i="81"/>
  <c r="A116" i="81"/>
  <c r="A117" i="81"/>
  <c r="A118" i="81"/>
  <c r="A119" i="81"/>
  <c r="A120" i="81"/>
  <c r="A121" i="81"/>
  <c r="A122" i="81"/>
  <c r="A123" i="81"/>
  <c r="A124" i="81"/>
  <c r="A125" i="81"/>
  <c r="A126" i="81"/>
  <c r="A127" i="81"/>
  <c r="A128" i="81"/>
  <c r="A129" i="81"/>
  <c r="A130" i="81"/>
  <c r="A131" i="81"/>
  <c r="A132" i="81"/>
  <c r="A133" i="81"/>
  <c r="A134" i="81"/>
  <c r="A135" i="81"/>
  <c r="A136" i="81"/>
  <c r="A137" i="81"/>
  <c r="A138" i="81"/>
  <c r="A139" i="81"/>
  <c r="A140" i="81"/>
  <c r="A141" i="81"/>
  <c r="A142" i="81"/>
  <c r="A143" i="81"/>
  <c r="A144" i="81"/>
  <c r="A145" i="81"/>
  <c r="A146" i="81"/>
  <c r="A147" i="81"/>
  <c r="A148" i="81"/>
  <c r="A149" i="81"/>
  <c r="A150" i="81"/>
  <c r="A151" i="81"/>
  <c r="A152" i="81"/>
  <c r="A153" i="81"/>
  <c r="A154" i="81"/>
  <c r="A155" i="81"/>
  <c r="A156" i="81"/>
  <c r="A157" i="81"/>
  <c r="A158" i="81"/>
  <c r="A159" i="81"/>
  <c r="A160" i="81"/>
  <c r="A161" i="81"/>
  <c r="A162" i="81"/>
  <c r="A163" i="81"/>
  <c r="A164" i="81"/>
  <c r="A165" i="81"/>
  <c r="A166" i="81"/>
  <c r="A167" i="81"/>
  <c r="A168" i="81"/>
  <c r="A169" i="81"/>
  <c r="A170" i="81"/>
  <c r="A171" i="81"/>
  <c r="A172" i="81"/>
  <c r="A173" i="81"/>
  <c r="A174" i="81"/>
  <c r="A175" i="81"/>
  <c r="A176" i="81"/>
  <c r="A177" i="81"/>
  <c r="A178" i="81"/>
  <c r="A179" i="81"/>
  <c r="A180" i="81"/>
  <c r="A181" i="81"/>
  <c r="A182" i="81"/>
  <c r="A183" i="81"/>
  <c r="A184" i="81"/>
  <c r="A185" i="81"/>
  <c r="A186" i="81"/>
  <c r="A187" i="81"/>
  <c r="A188" i="81"/>
  <c r="A189" i="81"/>
  <c r="A190" i="81"/>
  <c r="A191" i="81"/>
  <c r="A192" i="81"/>
  <c r="A193" i="81"/>
  <c r="A194" i="81"/>
  <c r="A195" i="81"/>
  <c r="A196" i="81"/>
  <c r="A197" i="81"/>
  <c r="A198" i="81"/>
  <c r="A199" i="81"/>
  <c r="A200" i="81"/>
  <c r="A201" i="81"/>
  <c r="A202" i="81"/>
  <c r="A203" i="81"/>
  <c r="A204" i="81"/>
  <c r="A205" i="81"/>
  <c r="A206" i="81"/>
  <c r="A207" i="81"/>
  <c r="A208" i="81"/>
  <c r="A209" i="81"/>
  <c r="A210" i="81"/>
  <c r="A211" i="81"/>
  <c r="A212" i="81"/>
  <c r="A213" i="81"/>
  <c r="A214" i="81"/>
  <c r="A215" i="81"/>
  <c r="A216" i="81"/>
  <c r="A217" i="81"/>
  <c r="A218" i="81"/>
  <c r="A219" i="81"/>
  <c r="A220" i="81"/>
  <c r="A221" i="81"/>
  <c r="A222" i="81"/>
  <c r="A223" i="81"/>
  <c r="A224" i="81"/>
  <c r="A225" i="81"/>
  <c r="A226" i="81"/>
  <c r="A227" i="81"/>
  <c r="A228" i="81"/>
  <c r="A229" i="81"/>
  <c r="A230" i="81"/>
  <c r="A231" i="81"/>
  <c r="A232" i="81"/>
  <c r="A233" i="81"/>
  <c r="A234" i="81"/>
  <c r="A235" i="81"/>
  <c r="A236" i="81"/>
  <c r="A237" i="81"/>
  <c r="A238" i="81"/>
  <c r="A239" i="81"/>
  <c r="A240" i="81"/>
  <c r="A241" i="81"/>
  <c r="A242" i="81"/>
  <c r="A243" i="81"/>
  <c r="A244" i="81"/>
  <c r="A245" i="81"/>
  <c r="A246" i="81"/>
  <c r="A247" i="81"/>
  <c r="A248" i="81"/>
  <c r="A249" i="81"/>
  <c r="A250" i="81"/>
  <c r="A251" i="81"/>
  <c r="A252" i="81"/>
  <c r="A253" i="81"/>
  <c r="A254" i="81"/>
  <c r="A255" i="81"/>
  <c r="A256" i="81"/>
  <c r="A257" i="81"/>
  <c r="A258" i="81"/>
  <c r="A259" i="81"/>
  <c r="A260" i="81"/>
  <c r="A261" i="81"/>
  <c r="A262" i="81"/>
  <c r="A263" i="81"/>
  <c r="A264" i="81"/>
  <c r="A265" i="81"/>
  <c r="A266" i="81"/>
  <c r="A267" i="81"/>
  <c r="A268" i="81"/>
  <c r="A269" i="81"/>
  <c r="A270" i="81"/>
  <c r="A271" i="81"/>
  <c r="A272" i="81"/>
  <c r="A273" i="81"/>
  <c r="A274" i="81"/>
  <c r="A275" i="81"/>
  <c r="A276" i="81"/>
  <c r="A277" i="81"/>
  <c r="A278" i="81"/>
  <c r="A279" i="81"/>
  <c r="A280" i="81"/>
  <c r="A281" i="81"/>
  <c r="A282" i="81"/>
  <c r="A283" i="81"/>
  <c r="A284" i="81"/>
  <c r="A285" i="81"/>
  <c r="A286" i="81"/>
  <c r="A287" i="81"/>
  <c r="A288" i="81"/>
  <c r="A289" i="81"/>
  <c r="A290" i="81"/>
  <c r="A291" i="81"/>
  <c r="A292" i="81"/>
  <c r="A293" i="81"/>
  <c r="A294" i="81"/>
  <c r="A295" i="81"/>
  <c r="A296" i="81"/>
  <c r="A297" i="81"/>
  <c r="A298" i="81"/>
  <c r="A299" i="81"/>
  <c r="A300" i="81"/>
  <c r="A301" i="81"/>
  <c r="A302" i="81"/>
  <c r="A303" i="81"/>
  <c r="A304" i="81"/>
  <c r="A305" i="81"/>
  <c r="A306" i="81"/>
  <c r="A307" i="81"/>
  <c r="A308" i="81"/>
  <c r="A309" i="81"/>
  <c r="A310" i="81"/>
  <c r="A311" i="81"/>
  <c r="A312" i="81"/>
  <c r="A313" i="81"/>
  <c r="A314" i="81"/>
  <c r="A315" i="81"/>
  <c r="A316" i="81"/>
  <c r="A317" i="81"/>
  <c r="A318" i="81"/>
  <c r="A319" i="81"/>
  <c r="A320" i="81"/>
  <c r="A321" i="81"/>
  <c r="A322" i="81"/>
  <c r="A323" i="81"/>
  <c r="A324" i="81"/>
  <c r="A325" i="81"/>
  <c r="A326" i="81"/>
  <c r="A327" i="81"/>
  <c r="A328" i="81"/>
  <c r="A3" i="81"/>
  <c r="B328" i="81"/>
  <c r="B327" i="81"/>
  <c r="B326" i="81"/>
  <c r="B325" i="81"/>
  <c r="B324" i="81"/>
  <c r="B323" i="81"/>
  <c r="B322" i="81"/>
  <c r="B321" i="81"/>
  <c r="B320" i="81"/>
  <c r="B319" i="81"/>
  <c r="B318" i="81"/>
  <c r="B317" i="81"/>
  <c r="B316" i="81"/>
  <c r="B315" i="81"/>
  <c r="B314" i="81"/>
  <c r="B313" i="81"/>
  <c r="B312" i="81"/>
  <c r="B311" i="81"/>
  <c r="B310" i="81"/>
  <c r="B309" i="81"/>
  <c r="B308" i="81"/>
  <c r="B307" i="81"/>
  <c r="B306" i="81"/>
  <c r="B305" i="81"/>
  <c r="B304" i="81"/>
  <c r="B303" i="81"/>
  <c r="B302" i="81"/>
  <c r="B301" i="81"/>
  <c r="B300" i="81"/>
  <c r="B299" i="81"/>
  <c r="B298" i="81"/>
  <c r="B297" i="81"/>
  <c r="B296" i="81"/>
  <c r="B295" i="81"/>
  <c r="B294" i="81"/>
  <c r="B293" i="81"/>
  <c r="B292" i="81"/>
  <c r="B291" i="81"/>
  <c r="B290" i="81"/>
  <c r="B289" i="81"/>
  <c r="B288" i="81"/>
  <c r="B287" i="81"/>
  <c r="B286" i="81"/>
  <c r="B285" i="81"/>
  <c r="B284" i="81"/>
  <c r="B283" i="81"/>
  <c r="B282" i="81"/>
  <c r="B281" i="81"/>
  <c r="B280" i="81"/>
  <c r="B279" i="81"/>
  <c r="B278" i="81"/>
  <c r="B277" i="81"/>
  <c r="B276" i="81"/>
  <c r="B275" i="81"/>
  <c r="B274" i="81"/>
  <c r="B273" i="81"/>
  <c r="B272" i="81"/>
  <c r="B271" i="81"/>
  <c r="B270" i="81"/>
  <c r="B269" i="81"/>
  <c r="B268" i="81"/>
  <c r="B267" i="81"/>
  <c r="B266" i="81"/>
  <c r="B265" i="81"/>
  <c r="B264" i="81"/>
  <c r="B263" i="81"/>
  <c r="B262" i="81"/>
  <c r="B261" i="81"/>
  <c r="B260" i="81"/>
  <c r="B259" i="81"/>
  <c r="B258" i="81"/>
  <c r="B257" i="81"/>
  <c r="B256" i="81"/>
  <c r="B255" i="81"/>
  <c r="B254" i="81"/>
  <c r="B253" i="81"/>
  <c r="B252" i="81"/>
  <c r="B251" i="81"/>
  <c r="B250" i="81"/>
  <c r="B249" i="81"/>
  <c r="B248" i="81"/>
  <c r="B247" i="81"/>
  <c r="B246" i="81"/>
  <c r="B245" i="81"/>
  <c r="B244" i="81"/>
  <c r="B243" i="81"/>
  <c r="B242" i="81"/>
  <c r="B241" i="81"/>
  <c r="B240" i="81"/>
  <c r="B239" i="81"/>
  <c r="B238" i="81"/>
  <c r="B237" i="81"/>
  <c r="B236" i="81"/>
  <c r="B235" i="81"/>
  <c r="B234" i="81"/>
  <c r="B233" i="81"/>
  <c r="B232" i="81"/>
  <c r="B231" i="81"/>
  <c r="B230" i="81"/>
  <c r="B229" i="81"/>
  <c r="B228" i="81"/>
  <c r="B227" i="81"/>
  <c r="B226" i="81"/>
  <c r="B225" i="81"/>
  <c r="B224" i="81"/>
  <c r="B223" i="81"/>
  <c r="B222" i="81"/>
  <c r="B221" i="81"/>
  <c r="B220" i="81"/>
  <c r="B219" i="81"/>
  <c r="B218" i="81"/>
  <c r="B217" i="81"/>
  <c r="B216" i="81"/>
  <c r="B215" i="81"/>
  <c r="B214" i="81"/>
  <c r="B213" i="81"/>
  <c r="B212" i="81"/>
  <c r="B211" i="81"/>
  <c r="B210" i="81"/>
  <c r="B209" i="81"/>
  <c r="B208" i="81"/>
  <c r="B207" i="81"/>
  <c r="B206" i="81"/>
  <c r="B205" i="81"/>
  <c r="B204" i="81"/>
  <c r="B203" i="81"/>
  <c r="B202" i="81"/>
  <c r="B201" i="81"/>
  <c r="B200" i="81"/>
  <c r="B199" i="81"/>
  <c r="B198" i="81"/>
  <c r="B197" i="81"/>
  <c r="B196" i="81"/>
  <c r="B195" i="81"/>
  <c r="B194" i="81"/>
  <c r="B193" i="81"/>
  <c r="B192" i="81"/>
  <c r="B191" i="81"/>
  <c r="B190" i="81"/>
  <c r="B189" i="81"/>
  <c r="B188" i="81"/>
  <c r="B187" i="81"/>
  <c r="B186" i="81"/>
  <c r="B185" i="81"/>
  <c r="B184" i="81"/>
  <c r="B183" i="81"/>
  <c r="B182" i="81"/>
  <c r="B181" i="81"/>
  <c r="B180" i="81"/>
  <c r="B179" i="81"/>
  <c r="B178" i="81"/>
  <c r="B177" i="81"/>
  <c r="B176" i="81"/>
  <c r="B175" i="81"/>
  <c r="B174" i="81"/>
  <c r="B173" i="81"/>
  <c r="B172" i="81"/>
  <c r="B171" i="81"/>
  <c r="B170" i="81"/>
  <c r="B169" i="81"/>
  <c r="B168" i="81"/>
  <c r="B167" i="81"/>
  <c r="B166" i="81"/>
  <c r="B165" i="81"/>
  <c r="B164" i="81"/>
  <c r="B163" i="81"/>
  <c r="B162" i="81"/>
  <c r="B161" i="81"/>
  <c r="B160" i="81"/>
  <c r="B159" i="81"/>
  <c r="B158" i="81"/>
  <c r="B157" i="81"/>
  <c r="B156" i="81"/>
  <c r="B155" i="81"/>
  <c r="B154" i="81"/>
  <c r="B153" i="81"/>
  <c r="B152" i="81"/>
  <c r="B151" i="81"/>
  <c r="B150" i="81"/>
  <c r="B149" i="81"/>
  <c r="B148" i="81"/>
  <c r="B147" i="81"/>
  <c r="B146" i="81"/>
  <c r="B145" i="81"/>
  <c r="B144" i="81"/>
  <c r="B143" i="81"/>
  <c r="B142" i="81"/>
  <c r="B141" i="81"/>
  <c r="B140" i="81"/>
  <c r="B139" i="81"/>
  <c r="B138" i="81"/>
  <c r="B137" i="81"/>
  <c r="B136" i="81"/>
  <c r="B135" i="81"/>
  <c r="B134" i="81"/>
  <c r="B133" i="81"/>
  <c r="B132" i="81"/>
  <c r="B131" i="81"/>
  <c r="B130" i="81"/>
  <c r="B129" i="81"/>
  <c r="B128" i="81"/>
  <c r="B127" i="81"/>
  <c r="B126" i="81"/>
  <c r="B125" i="81"/>
  <c r="B124" i="81"/>
  <c r="B123" i="81"/>
  <c r="B122" i="81"/>
  <c r="B121" i="81"/>
  <c r="B120" i="81"/>
  <c r="B119" i="81"/>
  <c r="B118" i="81"/>
  <c r="B117" i="81"/>
  <c r="B116" i="81"/>
  <c r="B115" i="81"/>
  <c r="B114" i="81"/>
  <c r="B113" i="81"/>
  <c r="B112" i="81"/>
  <c r="B111" i="81"/>
  <c r="B110" i="81"/>
  <c r="B109" i="81"/>
  <c r="B108" i="81"/>
  <c r="B107" i="81"/>
  <c r="B106" i="81"/>
  <c r="B105" i="81"/>
  <c r="B104" i="81"/>
  <c r="B103" i="81"/>
  <c r="B102" i="81"/>
  <c r="B101" i="81"/>
  <c r="B100" i="81"/>
  <c r="B99" i="81"/>
  <c r="B98" i="81"/>
  <c r="B97" i="81"/>
  <c r="B96" i="81"/>
  <c r="B95" i="81"/>
  <c r="B94" i="81"/>
  <c r="B93" i="81"/>
  <c r="B92" i="81"/>
  <c r="B91" i="81"/>
  <c r="B90" i="81"/>
  <c r="B89" i="81"/>
  <c r="B88" i="81"/>
  <c r="B87" i="81"/>
  <c r="B86" i="81"/>
  <c r="B85" i="81"/>
  <c r="B84" i="81"/>
  <c r="B83" i="81"/>
  <c r="B82" i="81"/>
  <c r="B81" i="81"/>
  <c r="B80" i="81"/>
  <c r="B79" i="81"/>
  <c r="B78" i="81"/>
  <c r="B77" i="81"/>
  <c r="B76" i="81"/>
  <c r="B75" i="81"/>
  <c r="B74" i="81"/>
  <c r="B73" i="81"/>
  <c r="B72" i="81"/>
  <c r="B71" i="81"/>
  <c r="B70" i="81"/>
  <c r="B69" i="81"/>
  <c r="B68" i="81"/>
  <c r="B67" i="81"/>
  <c r="B66" i="81"/>
  <c r="B65" i="81"/>
  <c r="B64" i="81"/>
  <c r="B63" i="81"/>
  <c r="B62" i="81"/>
  <c r="B61" i="81"/>
  <c r="B60" i="81"/>
  <c r="B59" i="81"/>
  <c r="B58" i="81"/>
  <c r="B57" i="81"/>
  <c r="B56" i="81"/>
  <c r="B55" i="81"/>
  <c r="B54" i="81"/>
  <c r="B53" i="81"/>
  <c r="B52" i="81"/>
  <c r="B51" i="81"/>
  <c r="B50" i="81"/>
  <c r="B49" i="81"/>
  <c r="B48" i="81"/>
  <c r="B47" i="81"/>
  <c r="B46" i="81"/>
  <c r="B45" i="81"/>
  <c r="B44" i="81"/>
  <c r="B43" i="81"/>
  <c r="B42" i="81"/>
  <c r="B41" i="81"/>
  <c r="B40" i="81"/>
  <c r="B39" i="81"/>
  <c r="B38" i="81"/>
  <c r="B37" i="81"/>
  <c r="B36" i="81"/>
  <c r="B35" i="81"/>
  <c r="B34" i="81"/>
  <c r="B33" i="81"/>
  <c r="B32" i="81"/>
  <c r="B31" i="81"/>
  <c r="B30" i="81"/>
  <c r="B29" i="81"/>
  <c r="B28" i="81"/>
  <c r="B27" i="81"/>
  <c r="B26" i="81"/>
  <c r="B25" i="81"/>
  <c r="B24" i="81"/>
  <c r="B23" i="81"/>
  <c r="B22" i="81"/>
  <c r="B21" i="81"/>
  <c r="B20" i="81"/>
  <c r="B19" i="81"/>
  <c r="B18" i="81"/>
  <c r="B17" i="81"/>
  <c r="B16" i="81"/>
  <c r="B15" i="81"/>
  <c r="B14" i="81"/>
  <c r="B13" i="81"/>
  <c r="B12" i="81"/>
  <c r="B11" i="81"/>
  <c r="B10" i="81"/>
  <c r="B9" i="81"/>
  <c r="B8" i="81"/>
  <c r="B7" i="81"/>
  <c r="B6" i="81"/>
  <c r="B5" i="81"/>
  <c r="B4" i="81"/>
  <c r="B3" i="81"/>
  <c r="B18" i="67"/>
  <c r="B17" i="67"/>
  <c r="C18" i="4"/>
  <c r="B18" i="4"/>
  <c r="F112" i="80"/>
  <c r="E107" i="80"/>
  <c r="F107" i="80" s="1"/>
  <c r="F108" i="80" s="1"/>
  <c r="F99" i="80"/>
  <c r="E94" i="80"/>
  <c r="F94" i="80" s="1"/>
  <c r="F95" i="80" s="1"/>
  <c r="F96" i="80" s="1"/>
  <c r="F86" i="80"/>
  <c r="E81" i="80"/>
  <c r="F81" i="80" s="1"/>
  <c r="F82" i="80" s="1"/>
  <c r="F83" i="80" s="1"/>
  <c r="F73" i="80"/>
  <c r="B68" i="80"/>
  <c r="E68" i="80" s="1"/>
  <c r="F68" i="80" s="1"/>
  <c r="F69" i="80" s="1"/>
  <c r="F61" i="80"/>
  <c r="B56" i="80"/>
  <c r="E56" i="80" s="1"/>
  <c r="F56" i="80" s="1"/>
  <c r="F57" i="80" s="1"/>
  <c r="I36" i="80"/>
  <c r="I37" i="80" s="1"/>
  <c r="F25" i="80"/>
  <c r="M18" i="80"/>
  <c r="C18" i="80"/>
  <c r="B18" i="80"/>
  <c r="M17" i="80"/>
  <c r="C17" i="80"/>
  <c r="B17" i="80"/>
  <c r="C16" i="80"/>
  <c r="B16" i="80"/>
  <c r="M13" i="80"/>
  <c r="F11" i="80"/>
  <c r="M10" i="80"/>
  <c r="F10" i="80"/>
  <c r="M9" i="80"/>
  <c r="M14" i="80"/>
  <c r="F9" i="80"/>
  <c r="I38" i="80"/>
  <c r="F112" i="79"/>
  <c r="E107" i="79"/>
  <c r="F107" i="79" s="1"/>
  <c r="F108" i="79" s="1"/>
  <c r="F109" i="79" s="1"/>
  <c r="F110" i="79" s="1"/>
  <c r="F99" i="79"/>
  <c r="E94" i="79"/>
  <c r="F94" i="79" s="1"/>
  <c r="F95" i="79" s="1"/>
  <c r="F96" i="79" s="1"/>
  <c r="F97" i="79" s="1"/>
  <c r="F86" i="79"/>
  <c r="E81" i="79"/>
  <c r="F81" i="79" s="1"/>
  <c r="F82" i="79" s="1"/>
  <c r="F83" i="79" s="1"/>
  <c r="F73" i="79"/>
  <c r="B68" i="79"/>
  <c r="E68" i="79" s="1"/>
  <c r="F68" i="79" s="1"/>
  <c r="F69" i="79" s="1"/>
  <c r="F61" i="79"/>
  <c r="B56" i="79"/>
  <c r="E56" i="79" s="1"/>
  <c r="F56" i="79" s="1"/>
  <c r="F57" i="79" s="1"/>
  <c r="F58" i="79" s="1"/>
  <c r="I36" i="79"/>
  <c r="I40" i="79" s="1"/>
  <c r="F25" i="79"/>
  <c r="M18" i="79"/>
  <c r="M17" i="79"/>
  <c r="C16" i="79"/>
  <c r="B16" i="79"/>
  <c r="M13" i="79"/>
  <c r="M10" i="79"/>
  <c r="M9" i="79"/>
  <c r="F9" i="79"/>
  <c r="E16" i="79" s="1"/>
  <c r="F16" i="79" s="1"/>
  <c r="F21" i="79" s="1"/>
  <c r="F22" i="79" s="1"/>
  <c r="F112" i="78"/>
  <c r="E107" i="78"/>
  <c r="F107" i="78" s="1"/>
  <c r="F108" i="78" s="1"/>
  <c r="F99" i="78"/>
  <c r="E94" i="78"/>
  <c r="F94" i="78" s="1"/>
  <c r="F95" i="78" s="1"/>
  <c r="F96" i="78" s="1"/>
  <c r="F86" i="78"/>
  <c r="E81" i="78"/>
  <c r="F81" i="78" s="1"/>
  <c r="F82" i="78" s="1"/>
  <c r="F73" i="78"/>
  <c r="B68" i="78"/>
  <c r="E68" i="78" s="1"/>
  <c r="F68" i="78" s="1"/>
  <c r="F69" i="78" s="1"/>
  <c r="F70" i="78" s="1"/>
  <c r="F61" i="78"/>
  <c r="B56" i="78"/>
  <c r="E56" i="78" s="1"/>
  <c r="F56" i="78" s="1"/>
  <c r="F57" i="78" s="1"/>
  <c r="I36" i="78"/>
  <c r="I40" i="78" s="1"/>
  <c r="F25" i="78"/>
  <c r="M18" i="78"/>
  <c r="M17" i="78"/>
  <c r="C16" i="78"/>
  <c r="B16" i="78"/>
  <c r="M13" i="78"/>
  <c r="M10" i="78"/>
  <c r="M9" i="78"/>
  <c r="M12" i="78" s="1"/>
  <c r="F9" i="78"/>
  <c r="F112" i="77"/>
  <c r="E107" i="77"/>
  <c r="F107" i="77" s="1"/>
  <c r="F108" i="77" s="1"/>
  <c r="F99" i="77"/>
  <c r="E94" i="77"/>
  <c r="F94" i="77" s="1"/>
  <c r="F95" i="77" s="1"/>
  <c r="F96" i="77" s="1"/>
  <c r="F97" i="77" s="1"/>
  <c r="F86" i="77"/>
  <c r="E81" i="77"/>
  <c r="F81" i="77" s="1"/>
  <c r="F82" i="77" s="1"/>
  <c r="F73" i="77"/>
  <c r="B68" i="77"/>
  <c r="E68" i="77" s="1"/>
  <c r="F68" i="77" s="1"/>
  <c r="F69" i="77" s="1"/>
  <c r="F70" i="77" s="1"/>
  <c r="F71" i="77" s="1"/>
  <c r="F61" i="77"/>
  <c r="B56" i="77"/>
  <c r="E56" i="77" s="1"/>
  <c r="F56" i="77" s="1"/>
  <c r="F57" i="77" s="1"/>
  <c r="I36" i="77"/>
  <c r="I38" i="77" s="1"/>
  <c r="F25" i="77"/>
  <c r="M18" i="77"/>
  <c r="M17" i="77"/>
  <c r="C16" i="77"/>
  <c r="B16" i="77"/>
  <c r="M13" i="77"/>
  <c r="M10" i="77"/>
  <c r="M9" i="77"/>
  <c r="F9" i="77"/>
  <c r="F112" i="76"/>
  <c r="E107" i="76"/>
  <c r="F107" i="76" s="1"/>
  <c r="F108" i="76" s="1"/>
  <c r="F99" i="76"/>
  <c r="E94" i="76"/>
  <c r="F94" i="76" s="1"/>
  <c r="F95" i="76" s="1"/>
  <c r="F86" i="76"/>
  <c r="E81" i="76"/>
  <c r="F81" i="76" s="1"/>
  <c r="F82" i="76" s="1"/>
  <c r="F73" i="76"/>
  <c r="B68" i="76"/>
  <c r="E68" i="76" s="1"/>
  <c r="F68" i="76" s="1"/>
  <c r="F69" i="76" s="1"/>
  <c r="F61" i="76"/>
  <c r="B56" i="76"/>
  <c r="E56" i="76" s="1"/>
  <c r="F56" i="76" s="1"/>
  <c r="F57" i="76" s="1"/>
  <c r="I36" i="76"/>
  <c r="F25" i="76"/>
  <c r="M18" i="76"/>
  <c r="M17" i="76"/>
  <c r="M20" i="76"/>
  <c r="C16" i="76"/>
  <c r="B16" i="76"/>
  <c r="M13" i="76"/>
  <c r="M10" i="76"/>
  <c r="M9" i="76"/>
  <c r="F9" i="76"/>
  <c r="F112" i="75"/>
  <c r="E107" i="75"/>
  <c r="F107" i="75" s="1"/>
  <c r="F108" i="75" s="1"/>
  <c r="F99" i="75"/>
  <c r="E94" i="75"/>
  <c r="F94" i="75" s="1"/>
  <c r="F95" i="75" s="1"/>
  <c r="F86" i="75"/>
  <c r="E81" i="75"/>
  <c r="F81" i="75" s="1"/>
  <c r="F82" i="75" s="1"/>
  <c r="F83" i="75" s="1"/>
  <c r="F84" i="75" s="1"/>
  <c r="F73" i="75"/>
  <c r="B68" i="75"/>
  <c r="E68" i="75" s="1"/>
  <c r="F68" i="75" s="1"/>
  <c r="F69" i="75" s="1"/>
  <c r="F61" i="75"/>
  <c r="B56" i="75"/>
  <c r="E56" i="75" s="1"/>
  <c r="F56" i="75" s="1"/>
  <c r="F57" i="75" s="1"/>
  <c r="F58" i="75" s="1"/>
  <c r="F59" i="75" s="1"/>
  <c r="F62" i="75" s="1"/>
  <c r="I36" i="75"/>
  <c r="F25" i="75"/>
  <c r="M18" i="75"/>
  <c r="M17" i="75"/>
  <c r="C16" i="75"/>
  <c r="B16" i="75"/>
  <c r="M13" i="75"/>
  <c r="M10" i="75"/>
  <c r="M9" i="75"/>
  <c r="F9" i="75"/>
  <c r="F112" i="74"/>
  <c r="E107" i="74"/>
  <c r="F107" i="74" s="1"/>
  <c r="F108" i="74" s="1"/>
  <c r="F99" i="74"/>
  <c r="E94" i="74"/>
  <c r="F94" i="74" s="1"/>
  <c r="F95" i="74" s="1"/>
  <c r="F86" i="74"/>
  <c r="E81" i="74"/>
  <c r="F81" i="74" s="1"/>
  <c r="F82" i="74" s="1"/>
  <c r="F83" i="74" s="1"/>
  <c r="F84" i="74" s="1"/>
  <c r="F73" i="74"/>
  <c r="B68" i="74"/>
  <c r="E68" i="74" s="1"/>
  <c r="F68" i="74" s="1"/>
  <c r="F69" i="74" s="1"/>
  <c r="F70" i="74" s="1"/>
  <c r="F71" i="74" s="1"/>
  <c r="F61" i="74"/>
  <c r="B56" i="74"/>
  <c r="E56" i="74" s="1"/>
  <c r="F56" i="74" s="1"/>
  <c r="F57" i="74" s="1"/>
  <c r="I36" i="74"/>
  <c r="F25" i="74"/>
  <c r="M18" i="74"/>
  <c r="M17" i="74"/>
  <c r="C16" i="74"/>
  <c r="B16" i="74"/>
  <c r="M13" i="74"/>
  <c r="M10" i="74"/>
  <c r="M9" i="74"/>
  <c r="F9" i="74"/>
  <c r="F112" i="73"/>
  <c r="E107" i="73"/>
  <c r="F107" i="73" s="1"/>
  <c r="F108" i="73" s="1"/>
  <c r="F99" i="73"/>
  <c r="E94" i="73"/>
  <c r="F94" i="73" s="1"/>
  <c r="F95" i="73" s="1"/>
  <c r="F86" i="73"/>
  <c r="E81" i="73"/>
  <c r="F81" i="73" s="1"/>
  <c r="F82" i="73" s="1"/>
  <c r="F83" i="73" s="1"/>
  <c r="F84" i="73" s="1"/>
  <c r="F73" i="73"/>
  <c r="B68" i="73"/>
  <c r="E68" i="73" s="1"/>
  <c r="F68" i="73" s="1"/>
  <c r="F69" i="73" s="1"/>
  <c r="F61" i="73"/>
  <c r="B56" i="73"/>
  <c r="E56" i="73" s="1"/>
  <c r="F56" i="73" s="1"/>
  <c r="F57" i="73" s="1"/>
  <c r="I36" i="73"/>
  <c r="I39" i="73" s="1"/>
  <c r="F25" i="73"/>
  <c r="M18" i="73"/>
  <c r="C18" i="73"/>
  <c r="B18" i="73"/>
  <c r="E18" i="73" s="1"/>
  <c r="F18" i="73" s="1"/>
  <c r="M17" i="73"/>
  <c r="M20" i="73" s="1"/>
  <c r="C17" i="73"/>
  <c r="B17" i="73"/>
  <c r="C16" i="73"/>
  <c r="B16" i="73"/>
  <c r="M13" i="73"/>
  <c r="F11" i="73"/>
  <c r="M10" i="73"/>
  <c r="M12" i="73" s="1"/>
  <c r="F10" i="73"/>
  <c r="M9" i="73"/>
  <c r="M14" i="73"/>
  <c r="F9" i="73"/>
  <c r="B16" i="72"/>
  <c r="C16" i="72"/>
  <c r="F112" i="72"/>
  <c r="F108" i="72"/>
  <c r="F109" i="72" s="1"/>
  <c r="F110" i="72" s="1"/>
  <c r="E107" i="72"/>
  <c r="F107" i="72" s="1"/>
  <c r="F99" i="72"/>
  <c r="E94" i="72"/>
  <c r="F94" i="72" s="1"/>
  <c r="F95" i="72" s="1"/>
  <c r="F86" i="72"/>
  <c r="E81" i="72"/>
  <c r="F81" i="72" s="1"/>
  <c r="F82" i="72" s="1"/>
  <c r="F73" i="72"/>
  <c r="B68" i="72"/>
  <c r="E68" i="72"/>
  <c r="F68" i="72" s="1"/>
  <c r="F69" i="72" s="1"/>
  <c r="F70" i="72" s="1"/>
  <c r="F61" i="72"/>
  <c r="B56" i="72"/>
  <c r="E56" i="72" s="1"/>
  <c r="F56" i="72" s="1"/>
  <c r="F57" i="72" s="1"/>
  <c r="F58" i="72" s="1"/>
  <c r="F59" i="72" s="1"/>
  <c r="I36" i="72"/>
  <c r="I40" i="72" s="1"/>
  <c r="F25" i="72"/>
  <c r="M18" i="72"/>
  <c r="M17" i="72"/>
  <c r="M20" i="72" s="1"/>
  <c r="M13" i="72"/>
  <c r="M10" i="72"/>
  <c r="M9" i="72"/>
  <c r="M12" i="72" s="1"/>
  <c r="F9" i="72"/>
  <c r="E16" i="72" s="1"/>
  <c r="F16" i="72" s="1"/>
  <c r="F21" i="72" s="1"/>
  <c r="F22" i="72" s="1"/>
  <c r="F23" i="72" s="1"/>
  <c r="F12" i="71"/>
  <c r="C19" i="71"/>
  <c r="B19" i="71"/>
  <c r="C18" i="71"/>
  <c r="C17" i="71"/>
  <c r="B18" i="71"/>
  <c r="B17" i="71"/>
  <c r="F11" i="71"/>
  <c r="F10" i="71"/>
  <c r="F112" i="71"/>
  <c r="E107" i="71"/>
  <c r="F107" i="71" s="1"/>
  <c r="F108" i="71" s="1"/>
  <c r="F99" i="71"/>
  <c r="E94" i="71"/>
  <c r="F94" i="71" s="1"/>
  <c r="F95" i="71" s="1"/>
  <c r="F96" i="71" s="1"/>
  <c r="F86" i="71"/>
  <c r="E81" i="71"/>
  <c r="F81" i="71" s="1"/>
  <c r="F82" i="71" s="1"/>
  <c r="F73" i="71"/>
  <c r="B68" i="71"/>
  <c r="E68" i="71" s="1"/>
  <c r="F68" i="71" s="1"/>
  <c r="F69" i="71" s="1"/>
  <c r="F61" i="71"/>
  <c r="B56" i="71"/>
  <c r="E56" i="71" s="1"/>
  <c r="F56" i="71" s="1"/>
  <c r="F57" i="71" s="1"/>
  <c r="I36" i="71"/>
  <c r="F25" i="71"/>
  <c r="M18" i="71"/>
  <c r="M17" i="71"/>
  <c r="C16" i="71"/>
  <c r="B16" i="71"/>
  <c r="M13" i="71"/>
  <c r="M10" i="71"/>
  <c r="M9" i="71"/>
  <c r="F9" i="71"/>
  <c r="F112" i="70"/>
  <c r="E107" i="70"/>
  <c r="F107" i="70" s="1"/>
  <c r="F108" i="70" s="1"/>
  <c r="F99" i="70"/>
  <c r="E94" i="70"/>
  <c r="F94" i="70" s="1"/>
  <c r="F95" i="70" s="1"/>
  <c r="F96" i="70" s="1"/>
  <c r="F97" i="70" s="1"/>
  <c r="F86" i="70"/>
  <c r="E81" i="70"/>
  <c r="F81" i="70" s="1"/>
  <c r="F82" i="70" s="1"/>
  <c r="F73" i="70"/>
  <c r="B68" i="70"/>
  <c r="E68" i="70" s="1"/>
  <c r="F68" i="70" s="1"/>
  <c r="F69" i="70" s="1"/>
  <c r="F70" i="70" s="1"/>
  <c r="F61" i="70"/>
  <c r="B56" i="70"/>
  <c r="E56" i="70" s="1"/>
  <c r="F56" i="70" s="1"/>
  <c r="F57" i="70" s="1"/>
  <c r="I36" i="70"/>
  <c r="F25" i="70"/>
  <c r="M18" i="70"/>
  <c r="M17" i="70"/>
  <c r="M20" i="70" s="1"/>
  <c r="C16" i="70"/>
  <c r="B16" i="70"/>
  <c r="M13" i="70"/>
  <c r="M10" i="70"/>
  <c r="M9" i="70"/>
  <c r="F9" i="70"/>
  <c r="F112" i="69"/>
  <c r="E107" i="69"/>
  <c r="F107" i="69" s="1"/>
  <c r="F108" i="69" s="1"/>
  <c r="F99" i="69"/>
  <c r="E94" i="69"/>
  <c r="F94" i="69" s="1"/>
  <c r="F95" i="69" s="1"/>
  <c r="F86" i="69"/>
  <c r="E81" i="69"/>
  <c r="F81" i="69" s="1"/>
  <c r="F82" i="69" s="1"/>
  <c r="F83" i="69" s="1"/>
  <c r="F73" i="69"/>
  <c r="B68" i="69"/>
  <c r="E68" i="69" s="1"/>
  <c r="F68" i="69" s="1"/>
  <c r="F69" i="69" s="1"/>
  <c r="F61" i="69"/>
  <c r="B56" i="69"/>
  <c r="E56" i="69" s="1"/>
  <c r="F56" i="69" s="1"/>
  <c r="F57" i="69" s="1"/>
  <c r="F58" i="69" s="1"/>
  <c r="F59" i="69" s="1"/>
  <c r="I36" i="69"/>
  <c r="F25" i="69"/>
  <c r="M18" i="69"/>
  <c r="M17" i="69"/>
  <c r="C16" i="69"/>
  <c r="B16" i="69"/>
  <c r="M13" i="69"/>
  <c r="M10" i="69"/>
  <c r="M9" i="69"/>
  <c r="F9" i="69"/>
  <c r="F10" i="1"/>
  <c r="F11" i="1"/>
  <c r="F12" i="1"/>
  <c r="B17" i="1"/>
  <c r="C17" i="1"/>
  <c r="B18" i="1"/>
  <c r="E18" i="1" s="1"/>
  <c r="F18" i="1" s="1"/>
  <c r="B19" i="1"/>
  <c r="F112" i="68"/>
  <c r="E107" i="68"/>
  <c r="F107" i="68" s="1"/>
  <c r="F108" i="68" s="1"/>
  <c r="F99" i="68"/>
  <c r="E94" i="68"/>
  <c r="F94" i="68" s="1"/>
  <c r="F95" i="68" s="1"/>
  <c r="F96" i="68" s="1"/>
  <c r="F97" i="68" s="1"/>
  <c r="F86" i="68"/>
  <c r="E81" i="68"/>
  <c r="F81" i="68" s="1"/>
  <c r="F82" i="68" s="1"/>
  <c r="F73" i="68"/>
  <c r="B68" i="68"/>
  <c r="E68" i="68" s="1"/>
  <c r="F68" i="68" s="1"/>
  <c r="F69" i="68" s="1"/>
  <c r="F61" i="68"/>
  <c r="B56" i="68"/>
  <c r="E56" i="68" s="1"/>
  <c r="F56" i="68" s="1"/>
  <c r="F57" i="68" s="1"/>
  <c r="I36" i="68"/>
  <c r="F25" i="68"/>
  <c r="M18" i="68"/>
  <c r="M17" i="68"/>
  <c r="C16" i="68"/>
  <c r="B16" i="68"/>
  <c r="M13" i="68"/>
  <c r="M10" i="68"/>
  <c r="M9" i="68"/>
  <c r="F9" i="68"/>
  <c r="F112" i="67"/>
  <c r="E107" i="67"/>
  <c r="F107" i="67" s="1"/>
  <c r="F108" i="67" s="1"/>
  <c r="F109" i="67" s="1"/>
  <c r="F99" i="67"/>
  <c r="E94" i="67"/>
  <c r="F94" i="67" s="1"/>
  <c r="F95" i="67" s="1"/>
  <c r="F96" i="67" s="1"/>
  <c r="F97" i="67" s="1"/>
  <c r="F86" i="67"/>
  <c r="E81" i="67"/>
  <c r="F81" i="67" s="1"/>
  <c r="F82" i="67" s="1"/>
  <c r="F73" i="67"/>
  <c r="B68" i="67"/>
  <c r="E68" i="67" s="1"/>
  <c r="F68" i="67" s="1"/>
  <c r="F69" i="67" s="1"/>
  <c r="F61" i="67"/>
  <c r="B56" i="67"/>
  <c r="E56" i="67" s="1"/>
  <c r="F56" i="67" s="1"/>
  <c r="F57" i="67" s="1"/>
  <c r="F58" i="67" s="1"/>
  <c r="F59" i="67" s="1"/>
  <c r="I36" i="67"/>
  <c r="F25" i="67"/>
  <c r="M18" i="67"/>
  <c r="C18" i="67"/>
  <c r="M17" i="67"/>
  <c r="C17" i="67"/>
  <c r="C16" i="67"/>
  <c r="B16" i="67"/>
  <c r="M13" i="67"/>
  <c r="F11" i="67"/>
  <c r="M10" i="67"/>
  <c r="F10" i="67"/>
  <c r="M9" i="67"/>
  <c r="F9" i="67"/>
  <c r="F112" i="66"/>
  <c r="E107" i="66"/>
  <c r="F107" i="66" s="1"/>
  <c r="F108" i="66" s="1"/>
  <c r="F99" i="66"/>
  <c r="E94" i="66"/>
  <c r="F94" i="66" s="1"/>
  <c r="F95" i="66" s="1"/>
  <c r="F86" i="66"/>
  <c r="E81" i="66"/>
  <c r="F81" i="66" s="1"/>
  <c r="F82" i="66" s="1"/>
  <c r="F83" i="66" s="1"/>
  <c r="F84" i="66" s="1"/>
  <c r="F73" i="66"/>
  <c r="B68" i="66"/>
  <c r="E68" i="66" s="1"/>
  <c r="F68" i="66" s="1"/>
  <c r="F69" i="66" s="1"/>
  <c r="F61" i="66"/>
  <c r="B56" i="66"/>
  <c r="E56" i="66" s="1"/>
  <c r="F56" i="66" s="1"/>
  <c r="F57" i="66" s="1"/>
  <c r="F58" i="66" s="1"/>
  <c r="F59" i="66" s="1"/>
  <c r="I36" i="66"/>
  <c r="I41" i="66" s="1"/>
  <c r="F25" i="66"/>
  <c r="M18" i="66"/>
  <c r="M17" i="66"/>
  <c r="C16" i="66"/>
  <c r="B16" i="66"/>
  <c r="M13" i="66"/>
  <c r="M10" i="66"/>
  <c r="M9" i="66"/>
  <c r="F9" i="66"/>
  <c r="F112" i="65"/>
  <c r="E107" i="65"/>
  <c r="F107" i="65" s="1"/>
  <c r="F108" i="65" s="1"/>
  <c r="F109" i="65" s="1"/>
  <c r="F99" i="65"/>
  <c r="E94" i="65"/>
  <c r="F94" i="65" s="1"/>
  <c r="F95" i="65" s="1"/>
  <c r="F96" i="65" s="1"/>
  <c r="F97" i="65" s="1"/>
  <c r="F86" i="65"/>
  <c r="E81" i="65"/>
  <c r="F81" i="65" s="1"/>
  <c r="F82" i="65" s="1"/>
  <c r="F73" i="65"/>
  <c r="B68" i="65"/>
  <c r="E68" i="65" s="1"/>
  <c r="F68" i="65" s="1"/>
  <c r="F69" i="65" s="1"/>
  <c r="F70" i="65" s="1"/>
  <c r="F71" i="65" s="1"/>
  <c r="F61" i="65"/>
  <c r="E56" i="65"/>
  <c r="F56" i="65" s="1"/>
  <c r="F57" i="65" s="1"/>
  <c r="F58" i="65" s="1"/>
  <c r="F59" i="65" s="1"/>
  <c r="I36" i="65"/>
  <c r="F25" i="65"/>
  <c r="M18" i="65"/>
  <c r="M17" i="65"/>
  <c r="C16" i="65"/>
  <c r="B16" i="65"/>
  <c r="E16" i="65" s="1"/>
  <c r="F16" i="65" s="1"/>
  <c r="F21" i="65" s="1"/>
  <c r="M13" i="65"/>
  <c r="M10" i="65"/>
  <c r="M9" i="65"/>
  <c r="F9" i="65"/>
  <c r="F112" i="64"/>
  <c r="E107" i="64"/>
  <c r="F107" i="64" s="1"/>
  <c r="F108" i="64" s="1"/>
  <c r="F109" i="64" s="1"/>
  <c r="F110" i="64" s="1"/>
  <c r="F114" i="64" s="1"/>
  <c r="F99" i="64"/>
  <c r="E94" i="64"/>
  <c r="F94" i="64" s="1"/>
  <c r="F95" i="64" s="1"/>
  <c r="F86" i="64"/>
  <c r="E81" i="64"/>
  <c r="F81" i="64" s="1"/>
  <c r="F82" i="64" s="1"/>
  <c r="F73" i="64"/>
  <c r="B68" i="64"/>
  <c r="E68" i="64" s="1"/>
  <c r="F68" i="64" s="1"/>
  <c r="F69" i="64" s="1"/>
  <c r="F61" i="64"/>
  <c r="B56" i="64"/>
  <c r="E56" i="64" s="1"/>
  <c r="F56" i="64" s="1"/>
  <c r="F57" i="64" s="1"/>
  <c r="I36" i="64"/>
  <c r="I40" i="64" s="1"/>
  <c r="F25" i="64"/>
  <c r="M18" i="64"/>
  <c r="M17" i="64"/>
  <c r="C16" i="64"/>
  <c r="B16" i="64"/>
  <c r="M13" i="64"/>
  <c r="M10" i="64"/>
  <c r="M12" i="64" s="1"/>
  <c r="M9" i="64"/>
  <c r="F9" i="64"/>
  <c r="F112" i="63"/>
  <c r="E107" i="63"/>
  <c r="F107" i="63" s="1"/>
  <c r="F108" i="63" s="1"/>
  <c r="F99" i="63"/>
  <c r="E94" i="63"/>
  <c r="F94" i="63" s="1"/>
  <c r="F95" i="63" s="1"/>
  <c r="F86" i="63"/>
  <c r="E81" i="63"/>
  <c r="F81" i="63" s="1"/>
  <c r="F82" i="63" s="1"/>
  <c r="F73" i="63"/>
  <c r="B68" i="63"/>
  <c r="E68" i="63" s="1"/>
  <c r="F68" i="63" s="1"/>
  <c r="F69" i="63" s="1"/>
  <c r="F70" i="63" s="1"/>
  <c r="F71" i="63" s="1"/>
  <c r="F61" i="63"/>
  <c r="E56" i="63"/>
  <c r="F56" i="63" s="1"/>
  <c r="F57" i="63" s="1"/>
  <c r="I36" i="63"/>
  <c r="F25" i="63"/>
  <c r="M18" i="63"/>
  <c r="M17" i="63"/>
  <c r="C16" i="63"/>
  <c r="B16" i="63"/>
  <c r="E16" i="63" s="1"/>
  <c r="F16" i="63" s="1"/>
  <c r="F21" i="63" s="1"/>
  <c r="F22" i="63" s="1"/>
  <c r="F23" i="63" s="1"/>
  <c r="M13" i="63"/>
  <c r="M10" i="63"/>
  <c r="M9" i="63"/>
  <c r="M12" i="63" s="1"/>
  <c r="F9" i="63"/>
  <c r="F112" i="62"/>
  <c r="E107" i="62"/>
  <c r="F107" i="62" s="1"/>
  <c r="F108" i="62" s="1"/>
  <c r="F109" i="62" s="1"/>
  <c r="F110" i="62" s="1"/>
  <c r="F114" i="62" s="1"/>
  <c r="F99" i="62"/>
  <c r="E94" i="62"/>
  <c r="F94" i="62" s="1"/>
  <c r="F95" i="62" s="1"/>
  <c r="F86" i="62"/>
  <c r="E81" i="62"/>
  <c r="F81" i="62" s="1"/>
  <c r="F82" i="62" s="1"/>
  <c r="F83" i="62" s="1"/>
  <c r="F73" i="62"/>
  <c r="B68" i="62"/>
  <c r="E68" i="62" s="1"/>
  <c r="F68" i="62" s="1"/>
  <c r="F69" i="62" s="1"/>
  <c r="F70" i="62" s="1"/>
  <c r="F71" i="62" s="1"/>
  <c r="F61" i="62"/>
  <c r="E56" i="62"/>
  <c r="F56" i="62" s="1"/>
  <c r="F57" i="62" s="1"/>
  <c r="F58" i="62" s="1"/>
  <c r="I36" i="62"/>
  <c r="I41" i="62" s="1"/>
  <c r="F25" i="62"/>
  <c r="M18" i="62"/>
  <c r="C18" i="62"/>
  <c r="B18" i="62"/>
  <c r="E18" i="62" s="1"/>
  <c r="F18" i="62" s="1"/>
  <c r="M17" i="62"/>
  <c r="M20" i="62" s="1"/>
  <c r="C17" i="62"/>
  <c r="B17" i="62"/>
  <c r="C16" i="62"/>
  <c r="B16" i="62"/>
  <c r="M13" i="62"/>
  <c r="F11" i="62"/>
  <c r="M10" i="62"/>
  <c r="F10" i="62"/>
  <c r="M9" i="62"/>
  <c r="F9" i="62"/>
  <c r="C19" i="61"/>
  <c r="B19" i="61"/>
  <c r="E19" i="61" s="1"/>
  <c r="F19" i="61" s="1"/>
  <c r="F12" i="61"/>
  <c r="F112" i="61"/>
  <c r="E107" i="61"/>
  <c r="F107" i="61" s="1"/>
  <c r="F108" i="61" s="1"/>
  <c r="F99" i="61"/>
  <c r="E94" i="61"/>
  <c r="F94" i="61" s="1"/>
  <c r="F95" i="61" s="1"/>
  <c r="F96" i="61" s="1"/>
  <c r="F86" i="61"/>
  <c r="E81" i="61"/>
  <c r="F81" i="61" s="1"/>
  <c r="F82" i="61" s="1"/>
  <c r="F73" i="61"/>
  <c r="B68" i="61"/>
  <c r="E68" i="61" s="1"/>
  <c r="F68" i="61" s="1"/>
  <c r="F69" i="61" s="1"/>
  <c r="F61" i="61"/>
  <c r="B56" i="61"/>
  <c r="E56" i="61" s="1"/>
  <c r="F56" i="61" s="1"/>
  <c r="F57" i="61" s="1"/>
  <c r="I36" i="61"/>
  <c r="I40" i="61" s="1"/>
  <c r="F25" i="61"/>
  <c r="M18" i="61"/>
  <c r="C18" i="61"/>
  <c r="B18" i="61"/>
  <c r="M17" i="61"/>
  <c r="C17" i="61"/>
  <c r="B17" i="61"/>
  <c r="C16" i="61"/>
  <c r="B16" i="61"/>
  <c r="E16" i="61" s="1"/>
  <c r="F16" i="61" s="1"/>
  <c r="M13" i="61"/>
  <c r="F11" i="61"/>
  <c r="M10" i="61"/>
  <c r="F10" i="61"/>
  <c r="M9" i="61"/>
  <c r="M14" i="61" s="1"/>
  <c r="F9" i="61"/>
  <c r="F112" i="60"/>
  <c r="E107" i="60"/>
  <c r="F107" i="60" s="1"/>
  <c r="F108" i="60" s="1"/>
  <c r="F109" i="60" s="1"/>
  <c r="F99" i="60"/>
  <c r="E94" i="60"/>
  <c r="F94" i="60" s="1"/>
  <c r="F95" i="60" s="1"/>
  <c r="F96" i="60" s="1"/>
  <c r="F97" i="60" s="1"/>
  <c r="F101" i="60" s="1"/>
  <c r="F86" i="60"/>
  <c r="E81" i="60"/>
  <c r="F81" i="60" s="1"/>
  <c r="F82" i="60" s="1"/>
  <c r="F83" i="60" s="1"/>
  <c r="F73" i="60"/>
  <c r="B68" i="60"/>
  <c r="E68" i="60" s="1"/>
  <c r="F68" i="60" s="1"/>
  <c r="F69" i="60" s="1"/>
  <c r="F70" i="60" s="1"/>
  <c r="F71" i="60" s="1"/>
  <c r="F61" i="60"/>
  <c r="E56" i="60"/>
  <c r="F56" i="60" s="1"/>
  <c r="F57" i="60" s="1"/>
  <c r="B56" i="60"/>
  <c r="I36" i="60"/>
  <c r="F25" i="60"/>
  <c r="M18" i="60"/>
  <c r="M17" i="60"/>
  <c r="C16" i="60"/>
  <c r="B16" i="60"/>
  <c r="M13" i="60"/>
  <c r="M10" i="60"/>
  <c r="M9" i="60"/>
  <c r="F9" i="60"/>
  <c r="F112" i="59"/>
  <c r="E107" i="59"/>
  <c r="F107" i="59" s="1"/>
  <c r="F108" i="59" s="1"/>
  <c r="F99" i="59"/>
  <c r="E94" i="59"/>
  <c r="F94" i="59" s="1"/>
  <c r="F95" i="59" s="1"/>
  <c r="F96" i="59" s="1"/>
  <c r="F97" i="59" s="1"/>
  <c r="F86" i="59"/>
  <c r="E81" i="59"/>
  <c r="F81" i="59" s="1"/>
  <c r="F82" i="59" s="1"/>
  <c r="F73" i="59"/>
  <c r="B68" i="59"/>
  <c r="E68" i="59" s="1"/>
  <c r="F68" i="59" s="1"/>
  <c r="F69" i="59" s="1"/>
  <c r="F61" i="59"/>
  <c r="B56" i="59"/>
  <c r="E56" i="59" s="1"/>
  <c r="F56" i="59" s="1"/>
  <c r="F57" i="59" s="1"/>
  <c r="F58" i="59" s="1"/>
  <c r="F59" i="59" s="1"/>
  <c r="I36" i="59"/>
  <c r="F25" i="59"/>
  <c r="M18" i="59"/>
  <c r="M17" i="59"/>
  <c r="C16" i="59"/>
  <c r="B16" i="59"/>
  <c r="M13" i="59"/>
  <c r="M10" i="59"/>
  <c r="M9" i="59"/>
  <c r="F9" i="59"/>
  <c r="F12" i="58"/>
  <c r="E19" i="58" s="1"/>
  <c r="F19" i="58" s="1"/>
  <c r="B17" i="58"/>
  <c r="F112" i="58"/>
  <c r="E107" i="58"/>
  <c r="F107" i="58" s="1"/>
  <c r="F108" i="58" s="1"/>
  <c r="F109" i="58" s="1"/>
  <c r="F99" i="58"/>
  <c r="E94" i="58"/>
  <c r="F94" i="58" s="1"/>
  <c r="F95" i="58" s="1"/>
  <c r="F86" i="58"/>
  <c r="E81" i="58"/>
  <c r="F81" i="58" s="1"/>
  <c r="F82" i="58" s="1"/>
  <c r="F83" i="58" s="1"/>
  <c r="F84" i="58" s="1"/>
  <c r="F73" i="58"/>
  <c r="B68" i="58"/>
  <c r="E68" i="58" s="1"/>
  <c r="F68" i="58" s="1"/>
  <c r="F69" i="58" s="1"/>
  <c r="F61" i="58"/>
  <c r="B56" i="58"/>
  <c r="E56" i="58" s="1"/>
  <c r="F56" i="58" s="1"/>
  <c r="F57" i="58" s="1"/>
  <c r="I36" i="58"/>
  <c r="I40" i="58"/>
  <c r="F25" i="58"/>
  <c r="C19" i="58"/>
  <c r="B19" i="58"/>
  <c r="M18" i="58"/>
  <c r="C18" i="58"/>
  <c r="B18" i="58"/>
  <c r="M17" i="58"/>
  <c r="C16" i="58"/>
  <c r="B16" i="58"/>
  <c r="M13" i="58"/>
  <c r="F11" i="58"/>
  <c r="M10" i="58"/>
  <c r="F10" i="58"/>
  <c r="M9" i="58"/>
  <c r="M14" i="58" s="1"/>
  <c r="F9" i="58"/>
  <c r="F112" i="56"/>
  <c r="E107" i="56"/>
  <c r="F107" i="56" s="1"/>
  <c r="F108" i="56" s="1"/>
  <c r="F99" i="56"/>
  <c r="E94" i="56"/>
  <c r="F94" i="56" s="1"/>
  <c r="F95" i="56" s="1"/>
  <c r="F96" i="56" s="1"/>
  <c r="F97" i="56" s="1"/>
  <c r="F86" i="56"/>
  <c r="E81" i="56"/>
  <c r="F81" i="56" s="1"/>
  <c r="F82" i="56" s="1"/>
  <c r="F73" i="56"/>
  <c r="B68" i="56"/>
  <c r="E68" i="56" s="1"/>
  <c r="F68" i="56" s="1"/>
  <c r="F69" i="56" s="1"/>
  <c r="F61" i="56"/>
  <c r="B56" i="56"/>
  <c r="E56" i="56" s="1"/>
  <c r="F56" i="56" s="1"/>
  <c r="F57" i="56" s="1"/>
  <c r="I36" i="56"/>
  <c r="I40" i="56" s="1"/>
  <c r="F25" i="56"/>
  <c r="M18" i="56"/>
  <c r="C18" i="56"/>
  <c r="B18" i="56"/>
  <c r="M17" i="56"/>
  <c r="C17" i="56"/>
  <c r="B17" i="56"/>
  <c r="C16" i="56"/>
  <c r="B16" i="56"/>
  <c r="M13" i="56"/>
  <c r="F11" i="56"/>
  <c r="M10" i="56"/>
  <c r="F10" i="56"/>
  <c r="M9" i="56"/>
  <c r="F9" i="56"/>
  <c r="I37" i="78"/>
  <c r="I37" i="79"/>
  <c r="I41" i="78"/>
  <c r="I41" i="79"/>
  <c r="I41" i="68"/>
  <c r="M20" i="77"/>
  <c r="I39" i="79"/>
  <c r="I39" i="78"/>
  <c r="I39" i="74"/>
  <c r="I37" i="73"/>
  <c r="I39" i="64"/>
  <c r="I38" i="60"/>
  <c r="I39" i="60"/>
  <c r="M12" i="79"/>
  <c r="I38" i="79"/>
  <c r="F58" i="78"/>
  <c r="I38" i="78"/>
  <c r="F109" i="77"/>
  <c r="F110" i="77" s="1"/>
  <c r="F58" i="77"/>
  <c r="F59" i="77" s="1"/>
  <c r="F63" i="77" s="1"/>
  <c r="E16" i="76"/>
  <c r="F16" i="76" s="1"/>
  <c r="F21" i="76" s="1"/>
  <c r="F83" i="76"/>
  <c r="I37" i="75"/>
  <c r="I39" i="75"/>
  <c r="F109" i="74"/>
  <c r="M12" i="74"/>
  <c r="I38" i="74"/>
  <c r="F109" i="73"/>
  <c r="F110" i="73" s="1"/>
  <c r="F114" i="73" s="1"/>
  <c r="F58" i="73"/>
  <c r="F59" i="73" s="1"/>
  <c r="F63" i="73" s="1"/>
  <c r="F96" i="72"/>
  <c r="I38" i="72"/>
  <c r="F70" i="71"/>
  <c r="F71" i="71" s="1"/>
  <c r="F109" i="71"/>
  <c r="F110" i="71" s="1"/>
  <c r="F58" i="70"/>
  <c r="F59" i="70" s="1"/>
  <c r="F63" i="70" s="1"/>
  <c r="F83" i="70"/>
  <c r="F84" i="70" s="1"/>
  <c r="F84" i="69"/>
  <c r="F109" i="68"/>
  <c r="I38" i="68"/>
  <c r="F110" i="67"/>
  <c r="F96" i="66"/>
  <c r="F97" i="66" s="1"/>
  <c r="I40" i="66"/>
  <c r="F83" i="65"/>
  <c r="F96" i="64"/>
  <c r="F97" i="64" s="1"/>
  <c r="F101" i="64" s="1"/>
  <c r="I38" i="62"/>
  <c r="I40" i="62"/>
  <c r="I37" i="62"/>
  <c r="I39" i="62"/>
  <c r="F109" i="61"/>
  <c r="F110" i="61" s="1"/>
  <c r="F83" i="61"/>
  <c r="F84" i="61" s="1"/>
  <c r="F83" i="59"/>
  <c r="F84" i="59" s="1"/>
  <c r="F88" i="59" s="1"/>
  <c r="I39" i="58"/>
  <c r="I37" i="58"/>
  <c r="I41" i="58"/>
  <c r="E18" i="58"/>
  <c r="F18" i="58" s="1"/>
  <c r="F58" i="58"/>
  <c r="I38" i="58"/>
  <c r="E18" i="56"/>
  <c r="F18" i="56" s="1"/>
  <c r="C20" i="22"/>
  <c r="F112" i="52"/>
  <c r="E107" i="52"/>
  <c r="F107" i="52" s="1"/>
  <c r="F108" i="52" s="1"/>
  <c r="F99" i="52"/>
  <c r="E94" i="52"/>
  <c r="F94" i="52" s="1"/>
  <c r="F95" i="52" s="1"/>
  <c r="F86" i="52"/>
  <c r="F87" i="52" s="1"/>
  <c r="E81" i="52"/>
  <c r="F81" i="52" s="1"/>
  <c r="F82" i="52" s="1"/>
  <c r="F83" i="52" s="1"/>
  <c r="F84" i="52" s="1"/>
  <c r="F73" i="52"/>
  <c r="B68" i="52"/>
  <c r="E68" i="52" s="1"/>
  <c r="F68" i="52" s="1"/>
  <c r="F69" i="52" s="1"/>
  <c r="F61" i="52"/>
  <c r="E56" i="52"/>
  <c r="F56" i="52" s="1"/>
  <c r="F57" i="52" s="1"/>
  <c r="I36" i="52"/>
  <c r="F25" i="52"/>
  <c r="M18" i="52"/>
  <c r="M17" i="52"/>
  <c r="C16" i="52"/>
  <c r="B16" i="52"/>
  <c r="M13" i="52"/>
  <c r="M10" i="52"/>
  <c r="M9" i="52"/>
  <c r="F9" i="52"/>
  <c r="B16" i="47"/>
  <c r="F9" i="47"/>
  <c r="F25" i="47"/>
  <c r="C16" i="47"/>
  <c r="B16" i="46"/>
  <c r="F9" i="46"/>
  <c r="B17" i="46"/>
  <c r="F10" i="46"/>
  <c r="B18" i="46"/>
  <c r="F11" i="46"/>
  <c r="B19" i="46"/>
  <c r="F12" i="46"/>
  <c r="B20" i="46"/>
  <c r="E20" i="46" s="1"/>
  <c r="F20" i="46" s="1"/>
  <c r="F13" i="46"/>
  <c r="F25" i="46"/>
  <c r="C20" i="46"/>
  <c r="C19" i="46"/>
  <c r="C18" i="46"/>
  <c r="C16" i="46"/>
  <c r="B16" i="45"/>
  <c r="E16" i="45" s="1"/>
  <c r="F16" i="45" s="1"/>
  <c r="F9" i="45"/>
  <c r="B17" i="45"/>
  <c r="F10" i="45"/>
  <c r="B18" i="45"/>
  <c r="E18" i="45" s="1"/>
  <c r="F18" i="45" s="1"/>
  <c r="F11" i="45"/>
  <c r="B19" i="45"/>
  <c r="F12" i="45"/>
  <c r="B20" i="45"/>
  <c r="E20" i="45" s="1"/>
  <c r="F20" i="45" s="1"/>
  <c r="F13" i="45"/>
  <c r="F25" i="45"/>
  <c r="C20" i="45"/>
  <c r="C19" i="45"/>
  <c r="C18" i="45"/>
  <c r="C17" i="45"/>
  <c r="C16" i="45"/>
  <c r="E107" i="47"/>
  <c r="F107" i="47" s="1"/>
  <c r="F108" i="47" s="1"/>
  <c r="F112" i="47"/>
  <c r="E94" i="47"/>
  <c r="F94" i="47" s="1"/>
  <c r="F95" i="47" s="1"/>
  <c r="F96" i="47" s="1"/>
  <c r="F99" i="47"/>
  <c r="E81" i="47"/>
  <c r="F81" i="47" s="1"/>
  <c r="F82" i="47" s="1"/>
  <c r="F86" i="47"/>
  <c r="B68" i="47"/>
  <c r="E68" i="47" s="1"/>
  <c r="F68" i="47" s="1"/>
  <c r="F69" i="47" s="1"/>
  <c r="F70" i="47" s="1"/>
  <c r="F73" i="47"/>
  <c r="B56" i="47"/>
  <c r="E56" i="47" s="1"/>
  <c r="F56" i="47" s="1"/>
  <c r="F57" i="47" s="1"/>
  <c r="F58" i="47" s="1"/>
  <c r="F59" i="47" s="1"/>
  <c r="F62" i="47" s="1"/>
  <c r="F61" i="47"/>
  <c r="I36" i="47"/>
  <c r="I41" i="47" s="1"/>
  <c r="M17" i="47"/>
  <c r="M18" i="47"/>
  <c r="M9" i="47"/>
  <c r="M13" i="47"/>
  <c r="M10" i="47"/>
  <c r="E107" i="46"/>
  <c r="F107" i="46" s="1"/>
  <c r="F108" i="46" s="1"/>
  <c r="F112" i="46"/>
  <c r="E94" i="46"/>
  <c r="F94" i="46" s="1"/>
  <c r="F95" i="46" s="1"/>
  <c r="F96" i="46" s="1"/>
  <c r="F97" i="46" s="1"/>
  <c r="F101" i="46" s="1"/>
  <c r="F99" i="46"/>
  <c r="E81" i="46"/>
  <c r="F81" i="46" s="1"/>
  <c r="F82" i="46" s="1"/>
  <c r="F83" i="46" s="1"/>
  <c r="F86" i="46"/>
  <c r="B68" i="46"/>
  <c r="E68" i="46" s="1"/>
  <c r="F68" i="46" s="1"/>
  <c r="F69" i="46" s="1"/>
  <c r="F73" i="46"/>
  <c r="B56" i="46"/>
  <c r="E56" i="46" s="1"/>
  <c r="F56" i="46" s="1"/>
  <c r="F57" i="46" s="1"/>
  <c r="F58" i="46" s="1"/>
  <c r="F59" i="46" s="1"/>
  <c r="F61" i="46"/>
  <c r="I36" i="46"/>
  <c r="M17" i="46"/>
  <c r="M18" i="46"/>
  <c r="M9" i="46"/>
  <c r="M13" i="46"/>
  <c r="M10" i="46"/>
  <c r="E107" i="45"/>
  <c r="F107" i="45" s="1"/>
  <c r="F108" i="45" s="1"/>
  <c r="F109" i="45" s="1"/>
  <c r="F112" i="45"/>
  <c r="E94" i="45"/>
  <c r="F94" i="45" s="1"/>
  <c r="F95" i="45" s="1"/>
  <c r="F96" i="45" s="1"/>
  <c r="F99" i="45"/>
  <c r="E81" i="45"/>
  <c r="F81" i="45" s="1"/>
  <c r="F82" i="45" s="1"/>
  <c r="F86" i="45"/>
  <c r="B68" i="45"/>
  <c r="E68" i="45" s="1"/>
  <c r="F68" i="45" s="1"/>
  <c r="F69" i="45" s="1"/>
  <c r="F70" i="45" s="1"/>
  <c r="F73" i="45"/>
  <c r="B56" i="45"/>
  <c r="E56" i="45" s="1"/>
  <c r="F56" i="45" s="1"/>
  <c r="F57" i="45" s="1"/>
  <c r="F58" i="45" s="1"/>
  <c r="F61" i="45"/>
  <c r="I36" i="45"/>
  <c r="M17" i="45"/>
  <c r="M18" i="45"/>
  <c r="M9" i="45"/>
  <c r="M13" i="45"/>
  <c r="M10" i="45"/>
  <c r="B16" i="44"/>
  <c r="F9" i="44"/>
  <c r="B17" i="44"/>
  <c r="F10" i="44"/>
  <c r="B18" i="44"/>
  <c r="F11" i="44"/>
  <c r="B19" i="44"/>
  <c r="F12" i="44"/>
  <c r="F25" i="44"/>
  <c r="C19" i="44"/>
  <c r="C18" i="44"/>
  <c r="C17" i="44"/>
  <c r="C16" i="44"/>
  <c r="B16" i="43"/>
  <c r="F9" i="43"/>
  <c r="B17" i="43"/>
  <c r="E17" i="43" s="1"/>
  <c r="F17" i="43" s="1"/>
  <c r="F10" i="43"/>
  <c r="B18" i="43"/>
  <c r="F11" i="43"/>
  <c r="F25" i="43"/>
  <c r="C18" i="43"/>
  <c r="C17" i="43"/>
  <c r="C16" i="43"/>
  <c r="B16" i="42"/>
  <c r="E16" i="42" s="1"/>
  <c r="F16" i="42" s="1"/>
  <c r="F9" i="42"/>
  <c r="B17" i="42"/>
  <c r="F10" i="42"/>
  <c r="B18" i="42"/>
  <c r="E18" i="42" s="1"/>
  <c r="F18" i="42" s="1"/>
  <c r="F11" i="42"/>
  <c r="F25" i="42"/>
  <c r="C18" i="42"/>
  <c r="C17" i="42"/>
  <c r="C16" i="42"/>
  <c r="E107" i="44"/>
  <c r="F107" i="44" s="1"/>
  <c r="F108" i="44" s="1"/>
  <c r="F109" i="44" s="1"/>
  <c r="F110" i="44" s="1"/>
  <c r="F113" i="44" s="1"/>
  <c r="F115" i="44" s="1"/>
  <c r="F112" i="44"/>
  <c r="E94" i="44"/>
  <c r="F94" i="44" s="1"/>
  <c r="F95" i="44" s="1"/>
  <c r="F99" i="44"/>
  <c r="E81" i="44"/>
  <c r="F81" i="44" s="1"/>
  <c r="F82" i="44" s="1"/>
  <c r="F86" i="44"/>
  <c r="B68" i="44"/>
  <c r="E68" i="44" s="1"/>
  <c r="F68" i="44" s="1"/>
  <c r="F69" i="44" s="1"/>
  <c r="F73" i="44"/>
  <c r="B56" i="44"/>
  <c r="E56" i="44" s="1"/>
  <c r="F56" i="44" s="1"/>
  <c r="F57" i="44" s="1"/>
  <c r="F58" i="44" s="1"/>
  <c r="F59" i="44" s="1"/>
  <c r="F63" i="44" s="1"/>
  <c r="F61" i="44"/>
  <c r="I36" i="44"/>
  <c r="I38" i="44" s="1"/>
  <c r="M17" i="44"/>
  <c r="M18" i="44"/>
  <c r="M9" i="44"/>
  <c r="M13" i="44"/>
  <c r="M10" i="44"/>
  <c r="E107" i="43"/>
  <c r="F107" i="43" s="1"/>
  <c r="F108" i="43" s="1"/>
  <c r="F109" i="43" s="1"/>
  <c r="F110" i="43" s="1"/>
  <c r="F112" i="43"/>
  <c r="E94" i="43"/>
  <c r="F94" i="43" s="1"/>
  <c r="F95" i="43" s="1"/>
  <c r="F99" i="43"/>
  <c r="E81" i="43"/>
  <c r="F81" i="43" s="1"/>
  <c r="F82" i="43" s="1"/>
  <c r="F86" i="43"/>
  <c r="B68" i="43"/>
  <c r="E68" i="43" s="1"/>
  <c r="F68" i="43" s="1"/>
  <c r="F69" i="43" s="1"/>
  <c r="F73" i="43"/>
  <c r="B56" i="43"/>
  <c r="E56" i="43" s="1"/>
  <c r="F56" i="43" s="1"/>
  <c r="F57" i="43" s="1"/>
  <c r="F58" i="43" s="1"/>
  <c r="F59" i="43" s="1"/>
  <c r="F61" i="43"/>
  <c r="I36" i="43"/>
  <c r="M17" i="43"/>
  <c r="M18" i="43"/>
  <c r="M9" i="43"/>
  <c r="M13" i="43"/>
  <c r="M10" i="43"/>
  <c r="E107" i="42"/>
  <c r="F107" i="42" s="1"/>
  <c r="F108" i="42" s="1"/>
  <c r="F109" i="42" s="1"/>
  <c r="F110" i="42" s="1"/>
  <c r="F114" i="42" s="1"/>
  <c r="F112" i="42"/>
  <c r="E94" i="42"/>
  <c r="F94" i="42" s="1"/>
  <c r="F95" i="42" s="1"/>
  <c r="F99" i="42"/>
  <c r="E81" i="42"/>
  <c r="F81" i="42" s="1"/>
  <c r="F82" i="42" s="1"/>
  <c r="F83" i="42" s="1"/>
  <c r="F84" i="42" s="1"/>
  <c r="F88" i="42" s="1"/>
  <c r="F86" i="42"/>
  <c r="B68" i="42"/>
  <c r="E68" i="42" s="1"/>
  <c r="F68" i="42" s="1"/>
  <c r="F69" i="42" s="1"/>
  <c r="F73" i="42"/>
  <c r="B56" i="42"/>
  <c r="E56" i="42" s="1"/>
  <c r="F56" i="42" s="1"/>
  <c r="F57" i="42" s="1"/>
  <c r="F58" i="42" s="1"/>
  <c r="F59" i="42" s="1"/>
  <c r="F61" i="42"/>
  <c r="I36" i="42"/>
  <c r="I41" i="42" s="1"/>
  <c r="M17" i="42"/>
  <c r="M18" i="42"/>
  <c r="M9" i="42"/>
  <c r="M13" i="42"/>
  <c r="M10" i="42"/>
  <c r="B16" i="41"/>
  <c r="E16" i="41" s="1"/>
  <c r="F16" i="41" s="1"/>
  <c r="F9" i="41"/>
  <c r="B17" i="41"/>
  <c r="F10" i="41"/>
  <c r="B18" i="41"/>
  <c r="F11" i="41"/>
  <c r="F25" i="41"/>
  <c r="C18" i="41"/>
  <c r="C17" i="41"/>
  <c r="C16" i="41"/>
  <c r="B16" i="40"/>
  <c r="F9" i="40"/>
  <c r="B17" i="40"/>
  <c r="F10" i="40"/>
  <c r="B18" i="40"/>
  <c r="F11" i="40"/>
  <c r="F25" i="40"/>
  <c r="C18" i="40"/>
  <c r="C17" i="40"/>
  <c r="C16" i="40"/>
  <c r="B12" i="39"/>
  <c r="F5" i="39"/>
  <c r="F21" i="39"/>
  <c r="C12" i="39"/>
  <c r="B12" i="38"/>
  <c r="E12" i="38" s="1"/>
  <c r="F12" i="38" s="1"/>
  <c r="F17" i="38" s="1"/>
  <c r="F5" i="38"/>
  <c r="F21" i="38"/>
  <c r="C12" i="38"/>
  <c r="E107" i="41"/>
  <c r="F107" i="41" s="1"/>
  <c r="F108" i="41" s="1"/>
  <c r="F109" i="41" s="1"/>
  <c r="F110" i="41" s="1"/>
  <c r="F112" i="41"/>
  <c r="E94" i="41"/>
  <c r="F94" i="41" s="1"/>
  <c r="F95" i="41" s="1"/>
  <c r="F96" i="41" s="1"/>
  <c r="F99" i="41"/>
  <c r="E81" i="41"/>
  <c r="F81" i="41" s="1"/>
  <c r="F82" i="41" s="1"/>
  <c r="F86" i="41"/>
  <c r="B68" i="41"/>
  <c r="E68" i="41" s="1"/>
  <c r="F68" i="41" s="1"/>
  <c r="F69" i="41" s="1"/>
  <c r="F73" i="41"/>
  <c r="B56" i="41"/>
  <c r="E56" i="41" s="1"/>
  <c r="F56" i="41" s="1"/>
  <c r="F57" i="41" s="1"/>
  <c r="F61" i="41"/>
  <c r="I36" i="41"/>
  <c r="M17" i="41"/>
  <c r="M18" i="41"/>
  <c r="M9" i="41"/>
  <c r="M13" i="41"/>
  <c r="M10" i="41"/>
  <c r="M12" i="41" s="1"/>
  <c r="E107" i="40"/>
  <c r="F107" i="40" s="1"/>
  <c r="F108" i="40" s="1"/>
  <c r="F112" i="40"/>
  <c r="E94" i="40"/>
  <c r="F94" i="40" s="1"/>
  <c r="F95" i="40" s="1"/>
  <c r="F96" i="40" s="1"/>
  <c r="F99" i="40"/>
  <c r="E81" i="40"/>
  <c r="F81" i="40" s="1"/>
  <c r="F82" i="40" s="1"/>
  <c r="F83" i="40" s="1"/>
  <c r="F84" i="40" s="1"/>
  <c r="F86" i="40"/>
  <c r="B68" i="40"/>
  <c r="E68" i="40" s="1"/>
  <c r="F68" i="40" s="1"/>
  <c r="F69" i="40" s="1"/>
  <c r="F70" i="40" s="1"/>
  <c r="F73" i="40"/>
  <c r="B56" i="40"/>
  <c r="E56" i="40" s="1"/>
  <c r="F56" i="40" s="1"/>
  <c r="F57" i="40" s="1"/>
  <c r="F61" i="40"/>
  <c r="I36" i="40"/>
  <c r="I39" i="40" s="1"/>
  <c r="I41" i="40"/>
  <c r="I40" i="40"/>
  <c r="M17" i="40"/>
  <c r="M18" i="40"/>
  <c r="M9" i="40"/>
  <c r="M13" i="40"/>
  <c r="M14" i="40" s="1"/>
  <c r="M10" i="40"/>
  <c r="E103" i="39"/>
  <c r="F103" i="39" s="1"/>
  <c r="F104" i="39" s="1"/>
  <c r="F108" i="39"/>
  <c r="E90" i="39"/>
  <c r="F90" i="39" s="1"/>
  <c r="F91" i="39" s="1"/>
  <c r="F92" i="39" s="1"/>
  <c r="F95" i="39"/>
  <c r="E77" i="39"/>
  <c r="F77" i="39" s="1"/>
  <c r="F78" i="39" s="1"/>
  <c r="F82" i="39"/>
  <c r="B64" i="39"/>
  <c r="E64" i="39" s="1"/>
  <c r="F64" i="39" s="1"/>
  <c r="F65" i="39" s="1"/>
  <c r="F66" i="39" s="1"/>
  <c r="F69" i="39"/>
  <c r="B52" i="39"/>
  <c r="E52" i="39" s="1"/>
  <c r="F52" i="39" s="1"/>
  <c r="F53" i="39" s="1"/>
  <c r="F57" i="39"/>
  <c r="I32" i="39"/>
  <c r="I34" i="39" s="1"/>
  <c r="M13" i="39"/>
  <c r="M14" i="39"/>
  <c r="M5" i="39"/>
  <c r="M8" i="39" s="1"/>
  <c r="M9" i="39"/>
  <c r="M6" i="39"/>
  <c r="E103" i="38"/>
  <c r="F103" i="38" s="1"/>
  <c r="F104" i="38" s="1"/>
  <c r="F108" i="38"/>
  <c r="E90" i="38"/>
  <c r="F90" i="38" s="1"/>
  <c r="F91" i="38" s="1"/>
  <c r="F95" i="38"/>
  <c r="E77" i="38"/>
  <c r="F77" i="38" s="1"/>
  <c r="F78" i="38" s="1"/>
  <c r="F82" i="38"/>
  <c r="B64" i="38"/>
  <c r="E64" i="38" s="1"/>
  <c r="F64" i="38" s="1"/>
  <c r="F65" i="38" s="1"/>
  <c r="F69" i="38"/>
  <c r="B52" i="38"/>
  <c r="E52" i="38" s="1"/>
  <c r="F52" i="38" s="1"/>
  <c r="F53" i="38" s="1"/>
  <c r="F57" i="38"/>
  <c r="I32" i="38"/>
  <c r="I36" i="38" s="1"/>
  <c r="M13" i="38"/>
  <c r="M14" i="38"/>
  <c r="M5" i="38"/>
  <c r="M9" i="38"/>
  <c r="M6" i="38"/>
  <c r="B16" i="37"/>
  <c r="F9" i="37"/>
  <c r="B17" i="37"/>
  <c r="F10" i="37"/>
  <c r="B18" i="37"/>
  <c r="F11" i="37"/>
  <c r="F25" i="37"/>
  <c r="C18" i="37"/>
  <c r="C17" i="37"/>
  <c r="C16" i="37"/>
  <c r="B16" i="35"/>
  <c r="F9" i="35"/>
  <c r="B17" i="35"/>
  <c r="F10" i="35"/>
  <c r="B18" i="35"/>
  <c r="F11" i="35"/>
  <c r="B19" i="35"/>
  <c r="F12" i="35"/>
  <c r="B20" i="35"/>
  <c r="F13" i="35"/>
  <c r="F25" i="35"/>
  <c r="C20" i="35"/>
  <c r="C19" i="35"/>
  <c r="C18" i="35"/>
  <c r="C17" i="35"/>
  <c r="C16" i="35"/>
  <c r="F5" i="36"/>
  <c r="B12" i="36"/>
  <c r="C12" i="36"/>
  <c r="F21" i="36"/>
  <c r="B12" i="34"/>
  <c r="F5" i="34"/>
  <c r="F21" i="34"/>
  <c r="C12" i="34"/>
  <c r="B16" i="33"/>
  <c r="F9" i="33"/>
  <c r="B17" i="33"/>
  <c r="F10" i="33"/>
  <c r="B18" i="33"/>
  <c r="F11" i="33"/>
  <c r="B19" i="33"/>
  <c r="F12" i="33"/>
  <c r="B20" i="33"/>
  <c r="F13" i="33"/>
  <c r="F25" i="33"/>
  <c r="C20" i="33"/>
  <c r="C19" i="33"/>
  <c r="C18" i="33"/>
  <c r="C16" i="33"/>
  <c r="E107" i="37"/>
  <c r="F107" i="37" s="1"/>
  <c r="F108" i="37" s="1"/>
  <c r="F109" i="37" s="1"/>
  <c r="F110" i="37" s="1"/>
  <c r="F112" i="37"/>
  <c r="E94" i="37"/>
  <c r="F94" i="37" s="1"/>
  <c r="F95" i="37" s="1"/>
  <c r="F99" i="37"/>
  <c r="E81" i="37"/>
  <c r="F81" i="37" s="1"/>
  <c r="F82" i="37" s="1"/>
  <c r="F86" i="37"/>
  <c r="B68" i="37"/>
  <c r="E68" i="37" s="1"/>
  <c r="F68" i="37" s="1"/>
  <c r="F69" i="37" s="1"/>
  <c r="F70" i="37" s="1"/>
  <c r="F73" i="37"/>
  <c r="B56" i="37"/>
  <c r="E56" i="37" s="1"/>
  <c r="F56" i="37" s="1"/>
  <c r="F57" i="37" s="1"/>
  <c r="F58" i="37" s="1"/>
  <c r="F59" i="37" s="1"/>
  <c r="F62" i="37" s="1"/>
  <c r="F61" i="37"/>
  <c r="I36" i="37"/>
  <c r="I40" i="37" s="1"/>
  <c r="M17" i="37"/>
  <c r="M18" i="37"/>
  <c r="M9" i="37"/>
  <c r="M13" i="37"/>
  <c r="M10" i="37"/>
  <c r="E103" i="36"/>
  <c r="F103" i="36" s="1"/>
  <c r="F104" i="36" s="1"/>
  <c r="F108" i="36"/>
  <c r="E90" i="36"/>
  <c r="F90" i="36" s="1"/>
  <c r="F91" i="36" s="1"/>
  <c r="F95" i="36"/>
  <c r="E77" i="36"/>
  <c r="F77" i="36" s="1"/>
  <c r="F78" i="36" s="1"/>
  <c r="F82" i="36"/>
  <c r="B64" i="36"/>
  <c r="E64" i="36" s="1"/>
  <c r="F64" i="36" s="1"/>
  <c r="F65" i="36" s="1"/>
  <c r="F66" i="36" s="1"/>
  <c r="F69" i="36"/>
  <c r="B52" i="36"/>
  <c r="E52" i="36" s="1"/>
  <c r="F52" i="36" s="1"/>
  <c r="F53" i="36" s="1"/>
  <c r="F57" i="36"/>
  <c r="I32" i="36"/>
  <c r="M13" i="36"/>
  <c r="M14" i="36"/>
  <c r="M5" i="36"/>
  <c r="M9" i="36"/>
  <c r="M6" i="36"/>
  <c r="E107" i="35"/>
  <c r="F107" i="35" s="1"/>
  <c r="F108" i="35" s="1"/>
  <c r="F109" i="35" s="1"/>
  <c r="F110" i="35" s="1"/>
  <c r="F114" i="35" s="1"/>
  <c r="F112" i="35"/>
  <c r="E94" i="35"/>
  <c r="F94" i="35" s="1"/>
  <c r="F95" i="35" s="1"/>
  <c r="F96" i="35" s="1"/>
  <c r="F97" i="35" s="1"/>
  <c r="F99" i="35"/>
  <c r="F100" i="35" s="1"/>
  <c r="I18" i="35" s="1"/>
  <c r="E81" i="35"/>
  <c r="F81" i="35" s="1"/>
  <c r="F82" i="35" s="1"/>
  <c r="F83" i="35" s="1"/>
  <c r="F84" i="35" s="1"/>
  <c r="F86" i="35"/>
  <c r="B68" i="35"/>
  <c r="E68" i="35" s="1"/>
  <c r="F68" i="35" s="1"/>
  <c r="F69" i="35" s="1"/>
  <c r="F70" i="35" s="1"/>
  <c r="F71" i="35" s="1"/>
  <c r="F73" i="35"/>
  <c r="B56" i="35"/>
  <c r="E56" i="35" s="1"/>
  <c r="F56" i="35" s="1"/>
  <c r="F57" i="35" s="1"/>
  <c r="F61" i="35"/>
  <c r="I36" i="35"/>
  <c r="M17" i="35"/>
  <c r="M18" i="35"/>
  <c r="M9" i="35"/>
  <c r="M13" i="35"/>
  <c r="M10" i="35"/>
  <c r="E103" i="34"/>
  <c r="F103" i="34" s="1"/>
  <c r="F104" i="34" s="1"/>
  <c r="F108" i="34"/>
  <c r="E90" i="34"/>
  <c r="F90" i="34" s="1"/>
  <c r="F91" i="34" s="1"/>
  <c r="F95" i="34"/>
  <c r="E77" i="34"/>
  <c r="F77" i="34" s="1"/>
  <c r="F78" i="34" s="1"/>
  <c r="F82" i="34"/>
  <c r="B64" i="34"/>
  <c r="E64" i="34" s="1"/>
  <c r="F64" i="34" s="1"/>
  <c r="F65" i="34" s="1"/>
  <c r="F66" i="34" s="1"/>
  <c r="F69" i="34"/>
  <c r="B52" i="34"/>
  <c r="E52" i="34" s="1"/>
  <c r="F52" i="34" s="1"/>
  <c r="F53" i="34" s="1"/>
  <c r="F57" i="34"/>
  <c r="I32" i="34"/>
  <c r="I37" i="34" s="1"/>
  <c r="M13" i="34"/>
  <c r="M14" i="34"/>
  <c r="M5" i="34"/>
  <c r="M9" i="34"/>
  <c r="M6" i="34"/>
  <c r="E107" i="33"/>
  <c r="F107" i="33" s="1"/>
  <c r="F108" i="33" s="1"/>
  <c r="F109" i="33" s="1"/>
  <c r="F112" i="33"/>
  <c r="E94" i="33"/>
  <c r="F94" i="33" s="1"/>
  <c r="F95" i="33" s="1"/>
  <c r="F99" i="33"/>
  <c r="E81" i="33"/>
  <c r="F81" i="33" s="1"/>
  <c r="F82" i="33" s="1"/>
  <c r="F86" i="33"/>
  <c r="B68" i="33"/>
  <c r="E68" i="33" s="1"/>
  <c r="F68" i="33" s="1"/>
  <c r="F69" i="33" s="1"/>
  <c r="F73" i="33"/>
  <c r="B56" i="33"/>
  <c r="E56" i="33" s="1"/>
  <c r="F56" i="33" s="1"/>
  <c r="F57" i="33" s="1"/>
  <c r="F58" i="33" s="1"/>
  <c r="F61" i="33"/>
  <c r="I36" i="33"/>
  <c r="I40" i="33" s="1"/>
  <c r="M17" i="33"/>
  <c r="M18" i="33"/>
  <c r="M9" i="33"/>
  <c r="M13" i="33"/>
  <c r="M10" i="33"/>
  <c r="B16" i="32"/>
  <c r="E16" i="32" s="1"/>
  <c r="F16" i="32" s="1"/>
  <c r="F9" i="32"/>
  <c r="B17" i="32"/>
  <c r="F10" i="32"/>
  <c r="B18" i="32"/>
  <c r="E18" i="32" s="1"/>
  <c r="F18" i="32" s="1"/>
  <c r="F11" i="32"/>
  <c r="B19" i="32"/>
  <c r="F12" i="32"/>
  <c r="E19" i="32" s="1"/>
  <c r="F19" i="32" s="1"/>
  <c r="F25" i="32"/>
  <c r="C19" i="32"/>
  <c r="C18" i="32"/>
  <c r="C17" i="32"/>
  <c r="C16" i="32"/>
  <c r="B16" i="31"/>
  <c r="F9" i="31"/>
  <c r="F25" i="31"/>
  <c r="C16" i="31"/>
  <c r="B12" i="30"/>
  <c r="F5" i="30"/>
  <c r="F21" i="30"/>
  <c r="C12" i="30"/>
  <c r="B12" i="29"/>
  <c r="F5" i="29"/>
  <c r="F21" i="29"/>
  <c r="C12" i="29"/>
  <c r="B12" i="28"/>
  <c r="F5" i="28"/>
  <c r="F21" i="28"/>
  <c r="C12" i="28"/>
  <c r="F5" i="27"/>
  <c r="B12" i="27"/>
  <c r="C12" i="27"/>
  <c r="F21" i="27"/>
  <c r="B12" i="26"/>
  <c r="F5" i="26"/>
  <c r="F21" i="26"/>
  <c r="C12" i="26"/>
  <c r="B12" i="24"/>
  <c r="F5" i="24"/>
  <c r="F21" i="24"/>
  <c r="C12" i="24"/>
  <c r="B16" i="22"/>
  <c r="F9" i="22"/>
  <c r="B17" i="22"/>
  <c r="F10" i="22"/>
  <c r="B18" i="22"/>
  <c r="E18" i="22" s="1"/>
  <c r="F18" i="22" s="1"/>
  <c r="F11" i="22"/>
  <c r="B19" i="22"/>
  <c r="F12" i="22"/>
  <c r="F25" i="22"/>
  <c r="C19" i="22"/>
  <c r="C18" i="22"/>
  <c r="C16" i="22"/>
  <c r="F9" i="21"/>
  <c r="F10" i="21"/>
  <c r="F11" i="21"/>
  <c r="F12" i="21"/>
  <c r="F13" i="21"/>
  <c r="B16" i="21"/>
  <c r="C16" i="21"/>
  <c r="B17" i="21"/>
  <c r="C17" i="21"/>
  <c r="B18" i="21"/>
  <c r="C18" i="21"/>
  <c r="B19" i="21"/>
  <c r="E19" i="21" s="1"/>
  <c r="F19" i="21" s="1"/>
  <c r="C19" i="21"/>
  <c r="B20" i="21"/>
  <c r="E20" i="21" s="1"/>
  <c r="F20" i="21" s="1"/>
  <c r="C20" i="21"/>
  <c r="F25" i="21"/>
  <c r="E107" i="32"/>
  <c r="F107" i="32" s="1"/>
  <c r="F108" i="32" s="1"/>
  <c r="F109" i="32" s="1"/>
  <c r="F110" i="32" s="1"/>
  <c r="F112" i="32"/>
  <c r="E94" i="32"/>
  <c r="F94" i="32" s="1"/>
  <c r="F95" i="32" s="1"/>
  <c r="F96" i="32" s="1"/>
  <c r="F99" i="32"/>
  <c r="E81" i="32"/>
  <c r="F81" i="32" s="1"/>
  <c r="F82" i="32" s="1"/>
  <c r="F83" i="32" s="1"/>
  <c r="F86" i="32"/>
  <c r="B68" i="32"/>
  <c r="E68" i="32" s="1"/>
  <c r="F68" i="32" s="1"/>
  <c r="F69" i="32" s="1"/>
  <c r="F70" i="32" s="1"/>
  <c r="F73" i="32"/>
  <c r="B56" i="32"/>
  <c r="E56" i="32" s="1"/>
  <c r="F56" i="32" s="1"/>
  <c r="F57" i="32" s="1"/>
  <c r="F58" i="32" s="1"/>
  <c r="F61" i="32"/>
  <c r="I36" i="32"/>
  <c r="I41" i="32" s="1"/>
  <c r="M17" i="32"/>
  <c r="M18" i="32"/>
  <c r="M9" i="32"/>
  <c r="M13" i="32"/>
  <c r="M10" i="32"/>
  <c r="E107" i="31"/>
  <c r="F107" i="31" s="1"/>
  <c r="F108" i="31" s="1"/>
  <c r="F109" i="31" s="1"/>
  <c r="F112" i="31"/>
  <c r="E94" i="31"/>
  <c r="F94" i="31" s="1"/>
  <c r="F95" i="31" s="1"/>
  <c r="F96" i="31" s="1"/>
  <c r="F97" i="31" s="1"/>
  <c r="F99" i="31"/>
  <c r="E81" i="31"/>
  <c r="F81" i="31" s="1"/>
  <c r="F82" i="31" s="1"/>
  <c r="F83" i="31" s="1"/>
  <c r="F84" i="31" s="1"/>
  <c r="F86" i="31"/>
  <c r="B68" i="31"/>
  <c r="E68" i="31"/>
  <c r="F68" i="31" s="1"/>
  <c r="F69" i="31" s="1"/>
  <c r="F70" i="31" s="1"/>
  <c r="F73" i="31"/>
  <c r="B56" i="31"/>
  <c r="E56" i="31" s="1"/>
  <c r="F56" i="31" s="1"/>
  <c r="F57" i="31" s="1"/>
  <c r="F61" i="31"/>
  <c r="I36" i="31"/>
  <c r="M17" i="31"/>
  <c r="M18" i="31"/>
  <c r="M9" i="31"/>
  <c r="M13" i="31"/>
  <c r="M10" i="31"/>
  <c r="E103" i="30"/>
  <c r="F103" i="30" s="1"/>
  <c r="F104" i="30" s="1"/>
  <c r="F108" i="30"/>
  <c r="E90" i="30"/>
  <c r="F90" i="30" s="1"/>
  <c r="F91" i="30" s="1"/>
  <c r="F95" i="30"/>
  <c r="E77" i="30"/>
  <c r="F77" i="30" s="1"/>
  <c r="F78" i="30" s="1"/>
  <c r="F79" i="30" s="1"/>
  <c r="F82" i="30"/>
  <c r="B64" i="30"/>
  <c r="E64" i="30" s="1"/>
  <c r="F64" i="30" s="1"/>
  <c r="F65" i="30" s="1"/>
  <c r="F69" i="30"/>
  <c r="B52" i="30"/>
  <c r="E52" i="30" s="1"/>
  <c r="F52" i="30" s="1"/>
  <c r="F53" i="30" s="1"/>
  <c r="F57" i="30"/>
  <c r="I32" i="30"/>
  <c r="M13" i="30"/>
  <c r="M14" i="30"/>
  <c r="M5" i="30"/>
  <c r="M9" i="30"/>
  <c r="M6" i="30"/>
  <c r="E103" i="29"/>
  <c r="F103" i="29" s="1"/>
  <c r="F104" i="29" s="1"/>
  <c r="F108" i="29"/>
  <c r="E90" i="29"/>
  <c r="F90" i="29" s="1"/>
  <c r="F91" i="29" s="1"/>
  <c r="F95" i="29"/>
  <c r="E77" i="29"/>
  <c r="F77" i="29" s="1"/>
  <c r="F78" i="29" s="1"/>
  <c r="F79" i="29" s="1"/>
  <c r="F82" i="29"/>
  <c r="B64" i="29"/>
  <c r="E64" i="29" s="1"/>
  <c r="F64" i="29" s="1"/>
  <c r="F65" i="29" s="1"/>
  <c r="F66" i="29" s="1"/>
  <c r="F67" i="29" s="1"/>
  <c r="F70" i="29" s="1"/>
  <c r="I7" i="29" s="1"/>
  <c r="F69" i="29"/>
  <c r="B52" i="29"/>
  <c r="E52" i="29" s="1"/>
  <c r="F52" i="29" s="1"/>
  <c r="F53" i="29" s="1"/>
  <c r="F57" i="29"/>
  <c r="I32" i="29"/>
  <c r="I35" i="29" s="1"/>
  <c r="M13" i="29"/>
  <c r="M14" i="29"/>
  <c r="M5" i="29"/>
  <c r="M9" i="29"/>
  <c r="M6" i="29"/>
  <c r="E103" i="28"/>
  <c r="F103" i="28" s="1"/>
  <c r="F104" i="28" s="1"/>
  <c r="F108" i="28"/>
  <c r="E90" i="28"/>
  <c r="F90" i="28" s="1"/>
  <c r="F91" i="28" s="1"/>
  <c r="F95" i="28"/>
  <c r="E77" i="28"/>
  <c r="F77" i="28" s="1"/>
  <c r="F78" i="28" s="1"/>
  <c r="F79" i="28" s="1"/>
  <c r="F80" i="28" s="1"/>
  <c r="F82" i="28"/>
  <c r="B64" i="28"/>
  <c r="E64" i="28" s="1"/>
  <c r="F64" i="28" s="1"/>
  <c r="F65" i="28" s="1"/>
  <c r="F69" i="28"/>
  <c r="B52" i="28"/>
  <c r="E52" i="28" s="1"/>
  <c r="F52" i="28" s="1"/>
  <c r="F53" i="28" s="1"/>
  <c r="F57" i="28"/>
  <c r="I32" i="28"/>
  <c r="M13" i="28"/>
  <c r="M14" i="28"/>
  <c r="M5" i="28"/>
  <c r="M9" i="28"/>
  <c r="M6" i="28"/>
  <c r="E103" i="27"/>
  <c r="F103" i="27" s="1"/>
  <c r="F104" i="27" s="1"/>
  <c r="F108" i="27"/>
  <c r="E90" i="27"/>
  <c r="F90" i="27" s="1"/>
  <c r="F91" i="27" s="1"/>
  <c r="F92" i="27" s="1"/>
  <c r="F93" i="27" s="1"/>
  <c r="F97" i="27" s="1"/>
  <c r="F95" i="27"/>
  <c r="E77" i="27"/>
  <c r="F77" i="27" s="1"/>
  <c r="F78" i="27" s="1"/>
  <c r="F82" i="27"/>
  <c r="B64" i="27"/>
  <c r="E64" i="27" s="1"/>
  <c r="F64" i="27" s="1"/>
  <c r="F65" i="27" s="1"/>
  <c r="F69" i="27"/>
  <c r="B52" i="27"/>
  <c r="E52" i="27" s="1"/>
  <c r="F52" i="27" s="1"/>
  <c r="F53" i="27" s="1"/>
  <c r="F57" i="27"/>
  <c r="I32" i="27"/>
  <c r="I33" i="27" s="1"/>
  <c r="M13" i="27"/>
  <c r="M14" i="27"/>
  <c r="M16" i="27" s="1"/>
  <c r="M5" i="27"/>
  <c r="M9" i="27"/>
  <c r="M6" i="27"/>
  <c r="E103" i="26"/>
  <c r="F103" i="26" s="1"/>
  <c r="F104" i="26" s="1"/>
  <c r="F108" i="26"/>
  <c r="E90" i="26"/>
  <c r="F90" i="26" s="1"/>
  <c r="F91" i="26" s="1"/>
  <c r="F95" i="26"/>
  <c r="E77" i="26"/>
  <c r="F77" i="26" s="1"/>
  <c r="F78" i="26" s="1"/>
  <c r="F79" i="26" s="1"/>
  <c r="F80" i="26" s="1"/>
  <c r="F82" i="26"/>
  <c r="B64" i="26"/>
  <c r="E64" i="26" s="1"/>
  <c r="F64" i="26" s="1"/>
  <c r="F65" i="26" s="1"/>
  <c r="F66" i="26" s="1"/>
  <c r="F69" i="26"/>
  <c r="B52" i="26"/>
  <c r="E52" i="26" s="1"/>
  <c r="F52" i="26" s="1"/>
  <c r="F53" i="26" s="1"/>
  <c r="F57" i="26"/>
  <c r="I32" i="26"/>
  <c r="I36" i="26" s="1"/>
  <c r="M13" i="26"/>
  <c r="M14" i="26"/>
  <c r="M5" i="26"/>
  <c r="M9" i="26"/>
  <c r="M6" i="26"/>
  <c r="E103" i="24"/>
  <c r="F103" i="24" s="1"/>
  <c r="F104" i="24" s="1"/>
  <c r="F108" i="24"/>
  <c r="E90" i="24"/>
  <c r="F90" i="24" s="1"/>
  <c r="F91" i="24" s="1"/>
  <c r="F95" i="24"/>
  <c r="E77" i="24"/>
  <c r="F77" i="24" s="1"/>
  <c r="F78" i="24" s="1"/>
  <c r="F79" i="24" s="1"/>
  <c r="F80" i="24" s="1"/>
  <c r="F82" i="24"/>
  <c r="B64" i="24"/>
  <c r="E64" i="24" s="1"/>
  <c r="F64" i="24" s="1"/>
  <c r="F65" i="24" s="1"/>
  <c r="F69" i="24"/>
  <c r="B52" i="24"/>
  <c r="E52" i="24" s="1"/>
  <c r="F52" i="24" s="1"/>
  <c r="F53" i="24" s="1"/>
  <c r="F57" i="24"/>
  <c r="I32" i="24"/>
  <c r="I35" i="24" s="1"/>
  <c r="M13" i="24"/>
  <c r="M14" i="24"/>
  <c r="M5" i="24"/>
  <c r="M9" i="24"/>
  <c r="M6" i="24"/>
  <c r="E107" i="22"/>
  <c r="F107" i="22" s="1"/>
  <c r="F108" i="22" s="1"/>
  <c r="F112" i="22"/>
  <c r="E94" i="22"/>
  <c r="F94" i="22" s="1"/>
  <c r="F95" i="22" s="1"/>
  <c r="F99" i="22"/>
  <c r="E81" i="22"/>
  <c r="F81" i="22" s="1"/>
  <c r="F82" i="22" s="1"/>
  <c r="F86" i="22"/>
  <c r="B68" i="22"/>
  <c r="E68" i="22" s="1"/>
  <c r="F68" i="22" s="1"/>
  <c r="F69" i="22" s="1"/>
  <c r="F70" i="22" s="1"/>
  <c r="F71" i="22" s="1"/>
  <c r="F75" i="22" s="1"/>
  <c r="F73" i="22"/>
  <c r="B56" i="22"/>
  <c r="E56" i="22" s="1"/>
  <c r="F56" i="22" s="1"/>
  <c r="F57" i="22" s="1"/>
  <c r="F61" i="22"/>
  <c r="I36" i="22"/>
  <c r="M17" i="22"/>
  <c r="M18" i="22"/>
  <c r="M9" i="22"/>
  <c r="M13" i="22"/>
  <c r="M10" i="22"/>
  <c r="B16" i="20"/>
  <c r="F9" i="20"/>
  <c r="E16" i="20" s="1"/>
  <c r="F16" i="20" s="1"/>
  <c r="B17" i="20"/>
  <c r="E10" i="20"/>
  <c r="F10" i="20" s="1"/>
  <c r="B18" i="20"/>
  <c r="F11" i="20"/>
  <c r="B19" i="20"/>
  <c r="F12" i="20"/>
  <c r="B20" i="20"/>
  <c r="F13" i="20"/>
  <c r="E20" i="20" s="1"/>
  <c r="F20" i="20" s="1"/>
  <c r="F25" i="20"/>
  <c r="C20" i="20"/>
  <c r="C19" i="20"/>
  <c r="C18" i="20"/>
  <c r="C17" i="20"/>
  <c r="C16" i="20"/>
  <c r="B16" i="19"/>
  <c r="F9" i="19"/>
  <c r="B17" i="19"/>
  <c r="F10" i="19"/>
  <c r="B18" i="19"/>
  <c r="F11" i="19"/>
  <c r="B19" i="19"/>
  <c r="F12" i="19"/>
  <c r="F25" i="19"/>
  <c r="C19" i="19"/>
  <c r="C18" i="19"/>
  <c r="C17" i="19"/>
  <c r="C16" i="19"/>
  <c r="E107" i="21"/>
  <c r="F107" i="21" s="1"/>
  <c r="F108" i="21" s="1"/>
  <c r="F112" i="21"/>
  <c r="E94" i="21"/>
  <c r="F94" i="21" s="1"/>
  <c r="F95" i="21" s="1"/>
  <c r="F96" i="21" s="1"/>
  <c r="F97" i="21" s="1"/>
  <c r="F101" i="21" s="1"/>
  <c r="F99" i="21"/>
  <c r="E81" i="21"/>
  <c r="F81" i="21" s="1"/>
  <c r="F82" i="21" s="1"/>
  <c r="F83" i="21" s="1"/>
  <c r="F84" i="21" s="1"/>
  <c r="F86" i="21"/>
  <c r="B68" i="21"/>
  <c r="E68" i="21" s="1"/>
  <c r="F68" i="21" s="1"/>
  <c r="F69" i="21" s="1"/>
  <c r="F73" i="21"/>
  <c r="B56" i="21"/>
  <c r="E56" i="21" s="1"/>
  <c r="F56" i="21" s="1"/>
  <c r="F57" i="21" s="1"/>
  <c r="F58" i="21" s="1"/>
  <c r="F61" i="21"/>
  <c r="I36" i="21"/>
  <c r="I40" i="21"/>
  <c r="M17" i="21"/>
  <c r="M18" i="21"/>
  <c r="M9" i="21"/>
  <c r="M13" i="21"/>
  <c r="M14" i="21"/>
  <c r="M10" i="21"/>
  <c r="E107" i="20"/>
  <c r="F107" i="20"/>
  <c r="F108" i="20" s="1"/>
  <c r="F112" i="20"/>
  <c r="E94" i="20"/>
  <c r="F94" i="20" s="1"/>
  <c r="F95" i="20" s="1"/>
  <c r="F96" i="20" s="1"/>
  <c r="F99" i="20"/>
  <c r="E81" i="20"/>
  <c r="F81" i="20"/>
  <c r="F82" i="20" s="1"/>
  <c r="F86" i="20"/>
  <c r="B68" i="20"/>
  <c r="E68" i="20"/>
  <c r="F68" i="20"/>
  <c r="F69" i="20" s="1"/>
  <c r="F70" i="20" s="1"/>
  <c r="F71" i="20" s="1"/>
  <c r="F75" i="20" s="1"/>
  <c r="F73" i="20"/>
  <c r="B56" i="20"/>
  <c r="E56" i="20"/>
  <c r="F56" i="20" s="1"/>
  <c r="F57" i="20" s="1"/>
  <c r="F58" i="20" s="1"/>
  <c r="F59" i="20" s="1"/>
  <c r="F61" i="20"/>
  <c r="I36" i="20"/>
  <c r="M17" i="20"/>
  <c r="M18" i="20"/>
  <c r="M9" i="20"/>
  <c r="M12" i="20" s="1"/>
  <c r="M13" i="20"/>
  <c r="M10" i="20"/>
  <c r="E107" i="19"/>
  <c r="F107" i="19" s="1"/>
  <c r="F108" i="19" s="1"/>
  <c r="F112" i="19"/>
  <c r="E94" i="19"/>
  <c r="F94" i="19" s="1"/>
  <c r="F95" i="19" s="1"/>
  <c r="F99" i="19"/>
  <c r="E81" i="19"/>
  <c r="F81" i="19"/>
  <c r="F82" i="19" s="1"/>
  <c r="F83" i="19" s="1"/>
  <c r="F84" i="19" s="1"/>
  <c r="F86" i="19"/>
  <c r="B68" i="19"/>
  <c r="E68" i="19"/>
  <c r="F68" i="19" s="1"/>
  <c r="F69" i="19" s="1"/>
  <c r="F73" i="19"/>
  <c r="B56" i="19"/>
  <c r="E56" i="19" s="1"/>
  <c r="F56" i="19" s="1"/>
  <c r="F57" i="19" s="1"/>
  <c r="F58" i="19" s="1"/>
  <c r="F59" i="19" s="1"/>
  <c r="F61" i="19"/>
  <c r="I36" i="19"/>
  <c r="I39" i="19" s="1"/>
  <c r="I41" i="19"/>
  <c r="I37" i="19"/>
  <c r="M17" i="19"/>
  <c r="M18" i="19"/>
  <c r="M9" i="19"/>
  <c r="M13" i="19"/>
  <c r="M10" i="19"/>
  <c r="M12" i="19" s="1"/>
  <c r="B16" i="18"/>
  <c r="F9" i="18"/>
  <c r="B17" i="18"/>
  <c r="F10" i="18"/>
  <c r="F25" i="18"/>
  <c r="C17" i="18"/>
  <c r="C16" i="18"/>
  <c r="B16" i="15"/>
  <c r="F9" i="15"/>
  <c r="B17" i="15"/>
  <c r="F10" i="15"/>
  <c r="B18" i="15"/>
  <c r="F11" i="15"/>
  <c r="F25" i="15"/>
  <c r="C18" i="15"/>
  <c r="C17" i="15"/>
  <c r="C16" i="15"/>
  <c r="B16" i="16"/>
  <c r="F9" i="16"/>
  <c r="B17" i="16"/>
  <c r="F10" i="16"/>
  <c r="B18" i="16"/>
  <c r="F11" i="16"/>
  <c r="E18" i="16" s="1"/>
  <c r="F18" i="16" s="1"/>
  <c r="B19" i="16"/>
  <c r="F12" i="16"/>
  <c r="F25" i="16"/>
  <c r="C19" i="16"/>
  <c r="C18" i="16"/>
  <c r="C17" i="16"/>
  <c r="C16" i="16"/>
  <c r="B16" i="14"/>
  <c r="F9" i="14"/>
  <c r="B17" i="14"/>
  <c r="F10" i="14"/>
  <c r="B18" i="14"/>
  <c r="F11" i="14"/>
  <c r="B19" i="14"/>
  <c r="F12" i="14"/>
  <c r="F25" i="14"/>
  <c r="C19" i="14"/>
  <c r="C18" i="14"/>
  <c r="C17" i="14"/>
  <c r="C16" i="14"/>
  <c r="E107" i="18"/>
  <c r="F107" i="18" s="1"/>
  <c r="F108" i="18" s="1"/>
  <c r="F112" i="18"/>
  <c r="E94" i="18"/>
  <c r="F94" i="18" s="1"/>
  <c r="F95" i="18" s="1"/>
  <c r="F99" i="18"/>
  <c r="E81" i="18"/>
  <c r="F81" i="18" s="1"/>
  <c r="F82" i="18" s="1"/>
  <c r="F83" i="18" s="1"/>
  <c r="F86" i="18"/>
  <c r="B68" i="18"/>
  <c r="E68" i="18" s="1"/>
  <c r="F68" i="18" s="1"/>
  <c r="F69" i="18" s="1"/>
  <c r="F73" i="18"/>
  <c r="B56" i="18"/>
  <c r="E56" i="18" s="1"/>
  <c r="F56" i="18" s="1"/>
  <c r="F57" i="18" s="1"/>
  <c r="F61" i="18"/>
  <c r="I36" i="18"/>
  <c r="I41" i="18" s="1"/>
  <c r="I40" i="18"/>
  <c r="M17" i="18"/>
  <c r="M18" i="18"/>
  <c r="M20" i="18" s="1"/>
  <c r="M9" i="18"/>
  <c r="M13" i="18"/>
  <c r="M10" i="18"/>
  <c r="E107" i="16"/>
  <c r="F107" i="16" s="1"/>
  <c r="F108" i="16" s="1"/>
  <c r="F112" i="16"/>
  <c r="E94" i="16"/>
  <c r="F94" i="16" s="1"/>
  <c r="F95" i="16" s="1"/>
  <c r="F99" i="16"/>
  <c r="E81" i="16"/>
  <c r="F81" i="16" s="1"/>
  <c r="F82" i="16" s="1"/>
  <c r="F83" i="16" s="1"/>
  <c r="F84" i="16" s="1"/>
  <c r="F86" i="16"/>
  <c r="B68" i="16"/>
  <c r="E68" i="16" s="1"/>
  <c r="F68" i="16" s="1"/>
  <c r="F69" i="16" s="1"/>
  <c r="F73" i="16"/>
  <c r="B56" i="16"/>
  <c r="E56" i="16" s="1"/>
  <c r="F56" i="16" s="1"/>
  <c r="F57" i="16" s="1"/>
  <c r="F61" i="16"/>
  <c r="I36" i="16"/>
  <c r="M17" i="16"/>
  <c r="M18" i="16"/>
  <c r="M9" i="16"/>
  <c r="M13" i="16"/>
  <c r="M10" i="16"/>
  <c r="E107" i="15"/>
  <c r="F107" i="15" s="1"/>
  <c r="F108" i="15" s="1"/>
  <c r="F112" i="15"/>
  <c r="E94" i="15"/>
  <c r="F94" i="15" s="1"/>
  <c r="F95" i="15" s="1"/>
  <c r="F99" i="15"/>
  <c r="E81" i="15"/>
  <c r="F81" i="15" s="1"/>
  <c r="F82" i="15"/>
  <c r="F86" i="15"/>
  <c r="B68" i="15"/>
  <c r="E68" i="15"/>
  <c r="F68" i="15" s="1"/>
  <c r="F69" i="15" s="1"/>
  <c r="F70" i="15" s="1"/>
  <c r="F73" i="15"/>
  <c r="B56" i="15"/>
  <c r="E56" i="15" s="1"/>
  <c r="F56" i="15" s="1"/>
  <c r="F57" i="15" s="1"/>
  <c r="F58" i="15" s="1"/>
  <c r="F61" i="15"/>
  <c r="I36" i="15"/>
  <c r="I39" i="15" s="1"/>
  <c r="I38" i="15"/>
  <c r="M17" i="15"/>
  <c r="M18" i="15"/>
  <c r="M9" i="15"/>
  <c r="M13" i="15"/>
  <c r="M14" i="15" s="1"/>
  <c r="M10" i="15"/>
  <c r="E107" i="14"/>
  <c r="F107" i="14" s="1"/>
  <c r="F108" i="14" s="1"/>
  <c r="F112" i="14"/>
  <c r="E94" i="14"/>
  <c r="F94" i="14" s="1"/>
  <c r="F95" i="14" s="1"/>
  <c r="F99" i="14"/>
  <c r="E81" i="14"/>
  <c r="F81" i="14" s="1"/>
  <c r="F82" i="14" s="1"/>
  <c r="F86" i="14"/>
  <c r="B68" i="14"/>
  <c r="E68" i="14"/>
  <c r="F68" i="14" s="1"/>
  <c r="F69" i="14" s="1"/>
  <c r="F70" i="14" s="1"/>
  <c r="F73" i="14"/>
  <c r="B56" i="14"/>
  <c r="E56" i="14"/>
  <c r="F56" i="14" s="1"/>
  <c r="F57" i="14" s="1"/>
  <c r="F61" i="14"/>
  <c r="I36" i="14"/>
  <c r="M17" i="14"/>
  <c r="M18" i="14"/>
  <c r="M9" i="14"/>
  <c r="M13" i="14"/>
  <c r="M10" i="14"/>
  <c r="B16" i="13"/>
  <c r="F9" i="13"/>
  <c r="B17" i="13"/>
  <c r="F10" i="13"/>
  <c r="B18" i="13"/>
  <c r="F11" i="13"/>
  <c r="B19" i="13"/>
  <c r="F12" i="13"/>
  <c r="F25" i="13"/>
  <c r="C19" i="13"/>
  <c r="C18" i="13"/>
  <c r="C17" i="13"/>
  <c r="C16" i="13"/>
  <c r="B16" i="12"/>
  <c r="F9" i="12"/>
  <c r="B17" i="12"/>
  <c r="F10" i="12"/>
  <c r="B18" i="12"/>
  <c r="F11" i="12"/>
  <c r="F25" i="12"/>
  <c r="C18" i="12"/>
  <c r="C17" i="12"/>
  <c r="C16" i="12"/>
  <c r="B16" i="11"/>
  <c r="F9" i="11"/>
  <c r="B17" i="11"/>
  <c r="E17" i="11" s="1"/>
  <c r="F17" i="11" s="1"/>
  <c r="F10" i="11"/>
  <c r="B18" i="11"/>
  <c r="F11" i="11"/>
  <c r="F25" i="11"/>
  <c r="C18" i="11"/>
  <c r="C17" i="11"/>
  <c r="C16" i="11"/>
  <c r="E107" i="13"/>
  <c r="F107" i="13" s="1"/>
  <c r="F108" i="13" s="1"/>
  <c r="F112" i="13"/>
  <c r="E94" i="13"/>
  <c r="F94" i="13" s="1"/>
  <c r="F95" i="13" s="1"/>
  <c r="F99" i="13"/>
  <c r="E81" i="13"/>
  <c r="F81" i="13" s="1"/>
  <c r="F82" i="13" s="1"/>
  <c r="F86" i="13"/>
  <c r="B68" i="13"/>
  <c r="E68" i="13" s="1"/>
  <c r="F68" i="13" s="1"/>
  <c r="F69" i="13" s="1"/>
  <c r="F73" i="13"/>
  <c r="B56" i="13"/>
  <c r="E56" i="13" s="1"/>
  <c r="F56" i="13" s="1"/>
  <c r="F57" i="13" s="1"/>
  <c r="F58" i="13" s="1"/>
  <c r="F61" i="13"/>
  <c r="I36" i="13"/>
  <c r="I38" i="13"/>
  <c r="M17" i="13"/>
  <c r="M18" i="13"/>
  <c r="M9" i="13"/>
  <c r="M13" i="13"/>
  <c r="M10" i="13"/>
  <c r="E107" i="12"/>
  <c r="F107" i="12"/>
  <c r="F108" i="12"/>
  <c r="F112" i="12"/>
  <c r="E94" i="12"/>
  <c r="F94" i="12"/>
  <c r="F95" i="12" s="1"/>
  <c r="F99" i="12"/>
  <c r="E81" i="12"/>
  <c r="F81" i="12" s="1"/>
  <c r="F82" i="12" s="1"/>
  <c r="F83" i="12" s="1"/>
  <c r="F86" i="12"/>
  <c r="B68" i="12"/>
  <c r="E68" i="12" s="1"/>
  <c r="F68" i="12" s="1"/>
  <c r="F69" i="12" s="1"/>
  <c r="F73" i="12"/>
  <c r="B56" i="12"/>
  <c r="E56" i="12" s="1"/>
  <c r="F56" i="12" s="1"/>
  <c r="F57" i="12" s="1"/>
  <c r="F61" i="12"/>
  <c r="I36" i="12"/>
  <c r="I39" i="12" s="1"/>
  <c r="M17" i="12"/>
  <c r="M18" i="12"/>
  <c r="M9" i="12"/>
  <c r="M13" i="12"/>
  <c r="M10" i="12"/>
  <c r="E107" i="11"/>
  <c r="F107" i="11" s="1"/>
  <c r="F108" i="11" s="1"/>
  <c r="F109" i="11" s="1"/>
  <c r="F112" i="11"/>
  <c r="E94" i="11"/>
  <c r="F94" i="11" s="1"/>
  <c r="F95" i="11" s="1"/>
  <c r="F99" i="11"/>
  <c r="E81" i="11"/>
  <c r="F81" i="11" s="1"/>
  <c r="F82" i="11" s="1"/>
  <c r="F86" i="11"/>
  <c r="B68" i="11"/>
  <c r="E68" i="11" s="1"/>
  <c r="F68" i="11" s="1"/>
  <c r="F69" i="11" s="1"/>
  <c r="F70" i="11" s="1"/>
  <c r="F73" i="11"/>
  <c r="B56" i="11"/>
  <c r="E56" i="11" s="1"/>
  <c r="F56" i="11" s="1"/>
  <c r="F57" i="11" s="1"/>
  <c r="F61" i="11"/>
  <c r="I36" i="11"/>
  <c r="I41" i="11"/>
  <c r="M17" i="11"/>
  <c r="M18" i="11"/>
  <c r="M9" i="11"/>
  <c r="M13" i="11"/>
  <c r="M10" i="11"/>
  <c r="B16" i="10"/>
  <c r="F9" i="10"/>
  <c r="B17" i="10"/>
  <c r="E17" i="10" s="1"/>
  <c r="F17" i="10" s="1"/>
  <c r="F10" i="10"/>
  <c r="B18" i="10"/>
  <c r="F11" i="10"/>
  <c r="E18" i="10" s="1"/>
  <c r="F18" i="10" s="1"/>
  <c r="F25" i="10"/>
  <c r="C18" i="10"/>
  <c r="C17" i="10"/>
  <c r="C16" i="10"/>
  <c r="B16" i="9"/>
  <c r="F9" i="9"/>
  <c r="B17" i="9"/>
  <c r="F10" i="9"/>
  <c r="E17" i="9" s="1"/>
  <c r="F17" i="9" s="1"/>
  <c r="B18" i="9"/>
  <c r="F11" i="9"/>
  <c r="F25" i="9"/>
  <c r="C18" i="9"/>
  <c r="C17" i="9"/>
  <c r="C16" i="9"/>
  <c r="B16" i="8"/>
  <c r="F9" i="8"/>
  <c r="E16" i="8" s="1"/>
  <c r="F16" i="8" s="1"/>
  <c r="B17" i="8"/>
  <c r="F10" i="8"/>
  <c r="B18" i="8"/>
  <c r="F11" i="8"/>
  <c r="F25" i="8"/>
  <c r="C18" i="8"/>
  <c r="C17" i="8"/>
  <c r="C16" i="8"/>
  <c r="E107" i="10"/>
  <c r="F107" i="10" s="1"/>
  <c r="F108" i="10" s="1"/>
  <c r="F109" i="10" s="1"/>
  <c r="F112" i="10"/>
  <c r="E94" i="10"/>
  <c r="F94" i="10" s="1"/>
  <c r="F95" i="10" s="1"/>
  <c r="F99" i="10"/>
  <c r="E81" i="10"/>
  <c r="F81" i="10" s="1"/>
  <c r="F82" i="10" s="1"/>
  <c r="F86" i="10"/>
  <c r="B68" i="10"/>
  <c r="E68" i="10"/>
  <c r="F68" i="10" s="1"/>
  <c r="F69" i="10" s="1"/>
  <c r="F73" i="10"/>
  <c r="B56" i="10"/>
  <c r="E56" i="10" s="1"/>
  <c r="F56" i="10" s="1"/>
  <c r="F57" i="10" s="1"/>
  <c r="F58" i="10" s="1"/>
  <c r="F61" i="10"/>
  <c r="I36" i="10"/>
  <c r="M17" i="10"/>
  <c r="M18" i="10"/>
  <c r="M9" i="10"/>
  <c r="M13" i="10"/>
  <c r="M10" i="10"/>
  <c r="E107" i="9"/>
  <c r="F107" i="9" s="1"/>
  <c r="F108" i="9" s="1"/>
  <c r="F112" i="9"/>
  <c r="E94" i="9"/>
  <c r="F94" i="9" s="1"/>
  <c r="F95" i="9" s="1"/>
  <c r="F99" i="9"/>
  <c r="E81" i="9"/>
  <c r="F81" i="9" s="1"/>
  <c r="F82" i="9" s="1"/>
  <c r="F86" i="9"/>
  <c r="B68" i="9"/>
  <c r="E68" i="9" s="1"/>
  <c r="F68" i="9" s="1"/>
  <c r="F69" i="9" s="1"/>
  <c r="F73" i="9"/>
  <c r="B56" i="9"/>
  <c r="E56" i="9" s="1"/>
  <c r="F56" i="9" s="1"/>
  <c r="F57" i="9" s="1"/>
  <c r="F61" i="9"/>
  <c r="I36" i="9"/>
  <c r="I40" i="9" s="1"/>
  <c r="M17" i="9"/>
  <c r="M18" i="9"/>
  <c r="M9" i="9"/>
  <c r="M13" i="9"/>
  <c r="M10" i="9"/>
  <c r="E107" i="8"/>
  <c r="F107" i="8" s="1"/>
  <c r="F108" i="8" s="1"/>
  <c r="F112" i="8"/>
  <c r="E94" i="8"/>
  <c r="F94" i="8" s="1"/>
  <c r="F95" i="8" s="1"/>
  <c r="F99" i="8"/>
  <c r="E81" i="8"/>
  <c r="F81" i="8" s="1"/>
  <c r="F82" i="8" s="1"/>
  <c r="F86" i="8"/>
  <c r="B68" i="8"/>
  <c r="E68" i="8" s="1"/>
  <c r="F68" i="8" s="1"/>
  <c r="F69" i="8" s="1"/>
  <c r="F73" i="8"/>
  <c r="B56" i="8"/>
  <c r="E56" i="8" s="1"/>
  <c r="F56" i="8" s="1"/>
  <c r="F57" i="8" s="1"/>
  <c r="F58" i="8" s="1"/>
  <c r="F61" i="8"/>
  <c r="I36" i="8"/>
  <c r="I37" i="8" s="1"/>
  <c r="M17" i="8"/>
  <c r="M18" i="8"/>
  <c r="M9" i="8"/>
  <c r="M13" i="8"/>
  <c r="M10" i="8"/>
  <c r="B16" i="7"/>
  <c r="F9" i="7"/>
  <c r="F10" i="7"/>
  <c r="F11" i="7"/>
  <c r="E18" i="7" s="1"/>
  <c r="F18" i="7" s="1"/>
  <c r="F25" i="7"/>
  <c r="C18" i="7"/>
  <c r="C17" i="7"/>
  <c r="C16" i="7"/>
  <c r="E107" i="7"/>
  <c r="F107" i="7" s="1"/>
  <c r="F108" i="7" s="1"/>
  <c r="F112" i="7"/>
  <c r="E94" i="7"/>
  <c r="F94" i="7" s="1"/>
  <c r="F95" i="7" s="1"/>
  <c r="F99" i="7"/>
  <c r="E81" i="7"/>
  <c r="F81" i="7" s="1"/>
  <c r="F82" i="7" s="1"/>
  <c r="F86" i="7"/>
  <c r="B68" i="7"/>
  <c r="E68" i="7" s="1"/>
  <c r="F68" i="7" s="1"/>
  <c r="F69" i="7" s="1"/>
  <c r="F70" i="7" s="1"/>
  <c r="F73" i="7"/>
  <c r="B56" i="7"/>
  <c r="E56" i="7" s="1"/>
  <c r="F56" i="7" s="1"/>
  <c r="F57" i="7" s="1"/>
  <c r="F58" i="7" s="1"/>
  <c r="F61" i="7"/>
  <c r="I36" i="7"/>
  <c r="I38" i="7" s="1"/>
  <c r="M17" i="7"/>
  <c r="M18" i="7"/>
  <c r="M20" i="7"/>
  <c r="M9" i="7"/>
  <c r="M13" i="7"/>
  <c r="M14" i="7" s="1"/>
  <c r="M10" i="7"/>
  <c r="B16" i="4"/>
  <c r="F9" i="4"/>
  <c r="B17" i="4"/>
  <c r="F10" i="4"/>
  <c r="F11" i="4"/>
  <c r="E18" i="4" s="1"/>
  <c r="F18" i="4" s="1"/>
  <c r="F25" i="4"/>
  <c r="C17" i="4"/>
  <c r="C16" i="4"/>
  <c r="E107" i="4"/>
  <c r="F107" i="4" s="1"/>
  <c r="F108" i="4" s="1"/>
  <c r="F112" i="4"/>
  <c r="E94" i="4"/>
  <c r="F94" i="4" s="1"/>
  <c r="F95" i="4" s="1"/>
  <c r="F99" i="4"/>
  <c r="E81" i="4"/>
  <c r="F81" i="4" s="1"/>
  <c r="F82" i="4" s="1"/>
  <c r="F83" i="4" s="1"/>
  <c r="F86" i="4"/>
  <c r="B68" i="4"/>
  <c r="E68" i="4" s="1"/>
  <c r="F68" i="4" s="1"/>
  <c r="F69" i="4" s="1"/>
  <c r="F70" i="4" s="1"/>
  <c r="F73" i="4"/>
  <c r="B56" i="4"/>
  <c r="E56" i="4" s="1"/>
  <c r="F56" i="4" s="1"/>
  <c r="F57" i="4" s="1"/>
  <c r="F61" i="4"/>
  <c r="I36" i="4"/>
  <c r="I41" i="4"/>
  <c r="M17" i="4"/>
  <c r="M18" i="4"/>
  <c r="M9" i="4"/>
  <c r="M13" i="4"/>
  <c r="M10" i="4"/>
  <c r="B16" i="3"/>
  <c r="E16" i="3" s="1"/>
  <c r="F16" i="3" s="1"/>
  <c r="F9" i="3"/>
  <c r="B17" i="3"/>
  <c r="F10" i="3"/>
  <c r="B18" i="3"/>
  <c r="F11" i="3"/>
  <c r="B19" i="3"/>
  <c r="F12" i="3"/>
  <c r="B20" i="3"/>
  <c r="F13" i="3"/>
  <c r="F25" i="3"/>
  <c r="C18" i="3"/>
  <c r="C17" i="3"/>
  <c r="C16" i="3"/>
  <c r="E107" i="3"/>
  <c r="F107" i="3" s="1"/>
  <c r="F108" i="3" s="1"/>
  <c r="F109" i="3" s="1"/>
  <c r="F112" i="3"/>
  <c r="E94" i="3"/>
  <c r="F94" i="3" s="1"/>
  <c r="F95" i="3" s="1"/>
  <c r="F99" i="3"/>
  <c r="E81" i="3"/>
  <c r="F81" i="3" s="1"/>
  <c r="F82" i="3" s="1"/>
  <c r="F86" i="3"/>
  <c r="B68" i="3"/>
  <c r="E68" i="3" s="1"/>
  <c r="F68" i="3" s="1"/>
  <c r="F69" i="3" s="1"/>
  <c r="F73" i="3"/>
  <c r="E56" i="3"/>
  <c r="F56" i="3" s="1"/>
  <c r="F57" i="3" s="1"/>
  <c r="F58" i="3" s="1"/>
  <c r="F61" i="3"/>
  <c r="I36" i="3"/>
  <c r="I39" i="3"/>
  <c r="M17" i="3"/>
  <c r="M18" i="3"/>
  <c r="M9" i="3"/>
  <c r="M13" i="3"/>
  <c r="M10" i="3"/>
  <c r="B16" i="2"/>
  <c r="F9" i="2"/>
  <c r="B17" i="2"/>
  <c r="F10" i="2"/>
  <c r="B18" i="2"/>
  <c r="F11" i="2"/>
  <c r="B19" i="2"/>
  <c r="F12" i="2"/>
  <c r="B20" i="2"/>
  <c r="F13" i="2"/>
  <c r="F25" i="2"/>
  <c r="C18" i="2"/>
  <c r="C17" i="2"/>
  <c r="C16" i="2"/>
  <c r="E107" i="2"/>
  <c r="F107" i="2" s="1"/>
  <c r="F108" i="2" s="1"/>
  <c r="F112" i="2"/>
  <c r="E94" i="2"/>
  <c r="F94" i="2" s="1"/>
  <c r="F95" i="2" s="1"/>
  <c r="F99" i="2"/>
  <c r="E81" i="2"/>
  <c r="F81" i="2" s="1"/>
  <c r="F82" i="2" s="1"/>
  <c r="F83" i="2" s="1"/>
  <c r="F86" i="2"/>
  <c r="B68" i="2"/>
  <c r="E68" i="2" s="1"/>
  <c r="F68" i="2" s="1"/>
  <c r="F69" i="2" s="1"/>
  <c r="F73" i="2"/>
  <c r="E56" i="2"/>
  <c r="F56" i="2" s="1"/>
  <c r="F57" i="2" s="1"/>
  <c r="F61" i="2"/>
  <c r="I36" i="2"/>
  <c r="I39" i="2" s="1"/>
  <c r="M17" i="2"/>
  <c r="M18" i="2"/>
  <c r="M9" i="2"/>
  <c r="M13" i="2"/>
  <c r="M10" i="2"/>
  <c r="E107" i="1"/>
  <c r="F107" i="1" s="1"/>
  <c r="F108" i="1" s="1"/>
  <c r="F112" i="1"/>
  <c r="E94" i="1"/>
  <c r="F94" i="1" s="1"/>
  <c r="F95" i="1" s="1"/>
  <c r="F96" i="1" s="1"/>
  <c r="F99" i="1"/>
  <c r="E81" i="1"/>
  <c r="F81" i="1" s="1"/>
  <c r="F82" i="1" s="1"/>
  <c r="F86" i="1"/>
  <c r="B68" i="1"/>
  <c r="E68" i="1" s="1"/>
  <c r="F68" i="1" s="1"/>
  <c r="F69" i="1" s="1"/>
  <c r="F73" i="1"/>
  <c r="B56" i="1"/>
  <c r="E56" i="1" s="1"/>
  <c r="F56" i="1" s="1"/>
  <c r="F57" i="1" s="1"/>
  <c r="F61" i="1"/>
  <c r="I36" i="1"/>
  <c r="I41" i="1" s="1"/>
  <c r="B16" i="1"/>
  <c r="F9" i="1"/>
  <c r="F25" i="1"/>
  <c r="M17" i="1"/>
  <c r="M18" i="1"/>
  <c r="C16" i="1"/>
  <c r="M9" i="1"/>
  <c r="M13" i="1"/>
  <c r="M10" i="1"/>
  <c r="I40" i="15"/>
  <c r="I41" i="15"/>
  <c r="I37" i="21"/>
  <c r="I38" i="33"/>
  <c r="I35" i="34"/>
  <c r="M20" i="10"/>
  <c r="F67" i="26"/>
  <c r="F70" i="26" s="1"/>
  <c r="I7" i="26" s="1"/>
  <c r="F105" i="28"/>
  <c r="F106" i="28" s="1"/>
  <c r="F66" i="24"/>
  <c r="I33" i="26"/>
  <c r="F92" i="30"/>
  <c r="F93" i="30" s="1"/>
  <c r="F96" i="30" s="1"/>
  <c r="F54" i="36"/>
  <c r="F92" i="36"/>
  <c r="F93" i="36" s="1"/>
  <c r="I33" i="24"/>
  <c r="I37" i="24"/>
  <c r="I34" i="26"/>
  <c r="F59" i="32"/>
  <c r="F63" i="32" s="1"/>
  <c r="F71" i="32"/>
  <c r="I39" i="1"/>
  <c r="I39" i="7"/>
  <c r="E17" i="7"/>
  <c r="F17" i="7" s="1"/>
  <c r="I38" i="14"/>
  <c r="I37" i="15"/>
  <c r="I35" i="26"/>
  <c r="F105" i="29"/>
  <c r="F106" i="29" s="1"/>
  <c r="I33" i="36"/>
  <c r="I36" i="36"/>
  <c r="E18" i="11"/>
  <c r="F18" i="11" s="1"/>
  <c r="I37" i="26"/>
  <c r="I36" i="27"/>
  <c r="I36" i="29"/>
  <c r="I39" i="32"/>
  <c r="F67" i="34"/>
  <c r="F71" i="34" s="1"/>
  <c r="F79" i="38"/>
  <c r="F80" i="38" s="1"/>
  <c r="F92" i="38"/>
  <c r="F93" i="38" s="1"/>
  <c r="F97" i="38" s="1"/>
  <c r="I37" i="33"/>
  <c r="F93" i="39"/>
  <c r="F97" i="39" s="1"/>
  <c r="F54" i="38"/>
  <c r="F55" i="38" s="1"/>
  <c r="F58" i="38" s="1"/>
  <c r="I41" i="43"/>
  <c r="I40" i="43"/>
  <c r="I38" i="43"/>
  <c r="I40" i="44"/>
  <c r="E18" i="37"/>
  <c r="F18" i="37" s="1"/>
  <c r="E16" i="37"/>
  <c r="F16" i="37" s="1"/>
  <c r="M12" i="2"/>
  <c r="F70" i="13"/>
  <c r="F96" i="13"/>
  <c r="F96" i="11"/>
  <c r="F59" i="8"/>
  <c r="F63" i="8" s="1"/>
  <c r="F71" i="7"/>
  <c r="F75" i="7" s="1"/>
  <c r="F88" i="52"/>
  <c r="F58" i="52"/>
  <c r="F109" i="52"/>
  <c r="F110" i="52" s="1"/>
  <c r="F71" i="31"/>
  <c r="F74" i="31" s="1"/>
  <c r="F76" i="31" s="1"/>
  <c r="F58" i="31"/>
  <c r="F59" i="31" s="1"/>
  <c r="F63" i="31" s="1"/>
  <c r="F83" i="45"/>
  <c r="F84" i="45" s="1"/>
  <c r="F71" i="45"/>
  <c r="F74" i="45" s="1"/>
  <c r="I11" i="45" s="1"/>
  <c r="F110" i="45"/>
  <c r="F114" i="45" s="1"/>
  <c r="F109" i="46"/>
  <c r="F110" i="46" s="1"/>
  <c r="F114" i="46" s="1"/>
  <c r="F71" i="47"/>
  <c r="F74" i="47" s="1"/>
  <c r="F83" i="22"/>
  <c r="F84" i="22" s="1"/>
  <c r="F88" i="22" s="1"/>
  <c r="F58" i="22"/>
  <c r="F96" i="37"/>
  <c r="F58" i="35"/>
  <c r="F59" i="35" s="1"/>
  <c r="F63" i="35" s="1"/>
  <c r="F70" i="43"/>
  <c r="F71" i="43" s="1"/>
  <c r="F75" i="43" s="1"/>
  <c r="F70" i="44"/>
  <c r="F71" i="44" s="1"/>
  <c r="F75" i="44" s="1"/>
  <c r="F83" i="44"/>
  <c r="F84" i="44" s="1"/>
  <c r="F88" i="44" s="1"/>
  <c r="F96" i="44"/>
  <c r="F70" i="42"/>
  <c r="F71" i="42" s="1"/>
  <c r="F96" i="42"/>
  <c r="F97" i="42" s="1"/>
  <c r="F100" i="42" s="1"/>
  <c r="F58" i="40"/>
  <c r="F59" i="40" s="1"/>
  <c r="F62" i="40" s="1"/>
  <c r="I10" i="40" s="1"/>
  <c r="F109" i="40"/>
  <c r="F110" i="40" s="1"/>
  <c r="F97" i="40"/>
  <c r="F101" i="40" s="1"/>
  <c r="F71" i="40"/>
  <c r="F58" i="41"/>
  <c r="F59" i="41" s="1"/>
  <c r="F97" i="41"/>
  <c r="I37" i="18"/>
  <c r="I39" i="18"/>
  <c r="I37" i="14"/>
  <c r="I37" i="9"/>
  <c r="I39" i="9"/>
  <c r="I38" i="47"/>
  <c r="I41" i="21"/>
  <c r="I41" i="37"/>
  <c r="I38" i="37"/>
  <c r="I39" i="37"/>
  <c r="I37" i="37"/>
  <c r="I37" i="43"/>
  <c r="I39" i="43"/>
  <c r="I37" i="44"/>
  <c r="I39" i="44"/>
  <c r="I40" i="41"/>
  <c r="I37" i="41"/>
  <c r="I39" i="41"/>
  <c r="I41" i="33"/>
  <c r="I39" i="33"/>
  <c r="F113" i="77"/>
  <c r="F114" i="77"/>
  <c r="F75" i="77"/>
  <c r="I37" i="20"/>
  <c r="I39" i="20"/>
  <c r="F75" i="74"/>
  <c r="F62" i="73"/>
  <c r="I10" i="73" s="1"/>
  <c r="F87" i="73"/>
  <c r="I17" i="73" s="1"/>
  <c r="F88" i="73"/>
  <c r="F113" i="71"/>
  <c r="F115" i="71" s="1"/>
  <c r="F114" i="71"/>
  <c r="F75" i="71"/>
  <c r="F101" i="70"/>
  <c r="F62" i="70"/>
  <c r="I10" i="70" s="1"/>
  <c r="F101" i="68"/>
  <c r="F100" i="68"/>
  <c r="F62" i="67"/>
  <c r="I10" i="67" s="1"/>
  <c r="F63" i="67"/>
  <c r="F88" i="66"/>
  <c r="F87" i="66"/>
  <c r="F62" i="66"/>
  <c r="F63" i="66"/>
  <c r="F113" i="64"/>
  <c r="F115" i="64" s="1"/>
  <c r="F74" i="63"/>
  <c r="F76" i="63" s="1"/>
  <c r="F75" i="63"/>
  <c r="F113" i="62"/>
  <c r="F115" i="62" s="1"/>
  <c r="F114" i="61"/>
  <c r="F87" i="61"/>
  <c r="F89" i="61" s="1"/>
  <c r="F88" i="61"/>
  <c r="F100" i="60"/>
  <c r="I18" i="60" s="1"/>
  <c r="I39" i="21"/>
  <c r="I38" i="21"/>
  <c r="M12" i="21"/>
  <c r="F70" i="21"/>
  <c r="F109" i="21"/>
  <c r="F110" i="21" s="1"/>
  <c r="F114" i="21" s="1"/>
  <c r="E18" i="21"/>
  <c r="F18" i="21" s="1"/>
  <c r="F101" i="59"/>
  <c r="F70" i="34"/>
  <c r="F72" i="34" s="1"/>
  <c r="F110" i="29"/>
  <c r="F96" i="27"/>
  <c r="F98" i="27" s="1"/>
  <c r="F113" i="32"/>
  <c r="F115" i="32" s="1"/>
  <c r="F114" i="32"/>
  <c r="F71" i="29"/>
  <c r="F97" i="30"/>
  <c r="F59" i="38"/>
  <c r="F74" i="32"/>
  <c r="F75" i="32"/>
  <c r="F63" i="19"/>
  <c r="F62" i="19"/>
  <c r="F64" i="19" s="1"/>
  <c r="F113" i="52"/>
  <c r="I24" i="52" s="1"/>
  <c r="F114" i="52"/>
  <c r="F88" i="31"/>
  <c r="F75" i="31"/>
  <c r="F75" i="45"/>
  <c r="F63" i="46"/>
  <c r="F100" i="46"/>
  <c r="I18" i="46" s="1"/>
  <c r="F63" i="47"/>
  <c r="F74" i="22"/>
  <c r="F87" i="35"/>
  <c r="F89" i="35" s="1"/>
  <c r="F88" i="35"/>
  <c r="F101" i="35"/>
  <c r="F113" i="35"/>
  <c r="F115" i="35" s="1"/>
  <c r="F62" i="44"/>
  <c r="F64" i="44" s="1"/>
  <c r="F113" i="42"/>
  <c r="F115" i="42" s="1"/>
  <c r="F88" i="40"/>
  <c r="F87" i="40"/>
  <c r="F89" i="40" s="1"/>
  <c r="F114" i="40"/>
  <c r="F101" i="41"/>
  <c r="F100" i="41"/>
  <c r="F115" i="77"/>
  <c r="I24" i="77"/>
  <c r="F89" i="73"/>
  <c r="F102" i="68"/>
  <c r="I18" i="68"/>
  <c r="I11" i="63"/>
  <c r="F102" i="60"/>
  <c r="F100" i="21"/>
  <c r="F102" i="21" s="1"/>
  <c r="F76" i="32"/>
  <c r="I11" i="32"/>
  <c r="I14" i="27"/>
  <c r="I10" i="19"/>
  <c r="F76" i="45"/>
  <c r="I11" i="22"/>
  <c r="F76" i="22"/>
  <c r="F102" i="35"/>
  <c r="I10" i="44"/>
  <c r="F64" i="40"/>
  <c r="F87" i="58" l="1"/>
  <c r="F88" i="58"/>
  <c r="F74" i="62"/>
  <c r="F76" i="62" s="1"/>
  <c r="F75" i="62"/>
  <c r="E18" i="2"/>
  <c r="F18" i="2" s="1"/>
  <c r="M12" i="9"/>
  <c r="E16" i="12"/>
  <c r="F16" i="12" s="1"/>
  <c r="I40" i="19"/>
  <c r="M8" i="29"/>
  <c r="M10" i="38"/>
  <c r="I35" i="39"/>
  <c r="F87" i="42"/>
  <c r="M20" i="47"/>
  <c r="M12" i="60"/>
  <c r="F113" i="61"/>
  <c r="I24" i="61" s="1"/>
  <c r="M20" i="63"/>
  <c r="M12" i="68"/>
  <c r="M20" i="69"/>
  <c r="F74" i="74"/>
  <c r="M14" i="9"/>
  <c r="E17" i="42"/>
  <c r="F17" i="42" s="1"/>
  <c r="E18" i="43"/>
  <c r="F18" i="43" s="1"/>
  <c r="E17" i="46"/>
  <c r="F17" i="46" s="1"/>
  <c r="E19" i="3"/>
  <c r="F19" i="3" s="1"/>
  <c r="E18" i="14"/>
  <c r="F18" i="14" s="1"/>
  <c r="E17" i="18"/>
  <c r="F17" i="18" s="1"/>
  <c r="F109" i="29"/>
  <c r="E19" i="22"/>
  <c r="F19" i="22" s="1"/>
  <c r="M20" i="33"/>
  <c r="M16" i="36"/>
  <c r="E17" i="33"/>
  <c r="F17" i="33" s="1"/>
  <c r="E17" i="35"/>
  <c r="F17" i="35" s="1"/>
  <c r="E16" i="68"/>
  <c r="F16" i="68" s="1"/>
  <c r="F21" i="68" s="1"/>
  <c r="F22" i="68" s="1"/>
  <c r="F100" i="70"/>
  <c r="I41" i="72"/>
  <c r="M12" i="76"/>
  <c r="E16" i="1"/>
  <c r="F16" i="1" s="1"/>
  <c r="E16" i="10"/>
  <c r="F16" i="10" s="1"/>
  <c r="I38" i="19"/>
  <c r="M8" i="38"/>
  <c r="M20" i="45"/>
  <c r="F113" i="45"/>
  <c r="F115" i="45" s="1"/>
  <c r="M14" i="47"/>
  <c r="I41" i="56"/>
  <c r="M14" i="59"/>
  <c r="M14" i="67"/>
  <c r="E18" i="80"/>
  <c r="F18" i="80" s="1"/>
  <c r="E17" i="80"/>
  <c r="F17" i="80" s="1"/>
  <c r="F89" i="58"/>
  <c r="I17" i="58"/>
  <c r="F63" i="65"/>
  <c r="F62" i="65"/>
  <c r="F114" i="43"/>
  <c r="F113" i="43"/>
  <c r="F109" i="20"/>
  <c r="F110" i="20"/>
  <c r="F101" i="31"/>
  <c r="F100" i="31"/>
  <c r="F102" i="31" s="1"/>
  <c r="F100" i="67"/>
  <c r="F101" i="67"/>
  <c r="F87" i="21"/>
  <c r="F88" i="21"/>
  <c r="F74" i="35"/>
  <c r="F75" i="35"/>
  <c r="F26" i="63"/>
  <c r="F27" i="63"/>
  <c r="F63" i="69"/>
  <c r="F62" i="69"/>
  <c r="F101" i="56"/>
  <c r="F100" i="56"/>
  <c r="F83" i="20"/>
  <c r="F84" i="20" s="1"/>
  <c r="F76" i="47"/>
  <c r="I11" i="47"/>
  <c r="F87" i="74"/>
  <c r="F88" i="74"/>
  <c r="I6" i="38"/>
  <c r="F60" i="38"/>
  <c r="F63" i="72"/>
  <c r="F62" i="72"/>
  <c r="F113" i="79"/>
  <c r="F114" i="79"/>
  <c r="F64" i="67"/>
  <c r="F64" i="70"/>
  <c r="E17" i="67"/>
  <c r="F17" i="67" s="1"/>
  <c r="I24" i="62"/>
  <c r="I17" i="35"/>
  <c r="I24" i="71"/>
  <c r="F74" i="20"/>
  <c r="F74" i="44"/>
  <c r="I39" i="47"/>
  <c r="F84" i="46"/>
  <c r="E17" i="3"/>
  <c r="F17" i="3" s="1"/>
  <c r="M12" i="33"/>
  <c r="M16" i="38"/>
  <c r="E12" i="39"/>
  <c r="F12" i="39" s="1"/>
  <c r="F17" i="39" s="1"/>
  <c r="E17" i="40"/>
  <c r="F17" i="40" s="1"/>
  <c r="E18" i="41"/>
  <c r="F18" i="41" s="1"/>
  <c r="F62" i="46"/>
  <c r="E17" i="45"/>
  <c r="F17" i="45" s="1"/>
  <c r="M12" i="52"/>
  <c r="I38" i="61"/>
  <c r="M12" i="58"/>
  <c r="M20" i="58"/>
  <c r="F84" i="76"/>
  <c r="I18" i="21"/>
  <c r="I24" i="42"/>
  <c r="F87" i="44"/>
  <c r="F75" i="47"/>
  <c r="F96" i="38"/>
  <c r="I14" i="38" s="1"/>
  <c r="F87" i="59"/>
  <c r="I37" i="47"/>
  <c r="M20" i="1"/>
  <c r="E20" i="3"/>
  <c r="F20" i="3" s="1"/>
  <c r="I41" i="9"/>
  <c r="M20" i="14"/>
  <c r="E19" i="14"/>
  <c r="F19" i="14" s="1"/>
  <c r="M20" i="22"/>
  <c r="E16" i="21"/>
  <c r="F16" i="21" s="1"/>
  <c r="E12" i="24"/>
  <c r="F12" i="24" s="1"/>
  <c r="F17" i="24" s="1"/>
  <c r="M14" i="33"/>
  <c r="E20" i="33"/>
  <c r="F20" i="33" s="1"/>
  <c r="E16" i="33"/>
  <c r="F16" i="33" s="1"/>
  <c r="I33" i="38"/>
  <c r="E17" i="41"/>
  <c r="F17" i="41" s="1"/>
  <c r="M14" i="45"/>
  <c r="M12" i="47"/>
  <c r="F59" i="52"/>
  <c r="I37" i="61"/>
  <c r="E16" i="62"/>
  <c r="F16" i="62" s="1"/>
  <c r="E17" i="1"/>
  <c r="F17" i="1" s="1"/>
  <c r="I11" i="62"/>
  <c r="F63" i="40"/>
  <c r="F114" i="44"/>
  <c r="F63" i="75"/>
  <c r="I40" i="47"/>
  <c r="F71" i="37"/>
  <c r="I38" i="32"/>
  <c r="M12" i="32"/>
  <c r="F96" i="39"/>
  <c r="I39" i="66"/>
  <c r="I41" i="61"/>
  <c r="E16" i="64"/>
  <c r="F16" i="64" s="1"/>
  <c r="F21" i="64" s="1"/>
  <c r="E16" i="71"/>
  <c r="F16" i="71" s="1"/>
  <c r="E18" i="8"/>
  <c r="F18" i="8" s="1"/>
  <c r="M14" i="13"/>
  <c r="E18" i="12"/>
  <c r="F18" i="12" s="1"/>
  <c r="E17" i="16"/>
  <c r="F17" i="16" s="1"/>
  <c r="M20" i="19"/>
  <c r="E17" i="19"/>
  <c r="F17" i="19" s="1"/>
  <c r="E17" i="20"/>
  <c r="F17" i="20" s="1"/>
  <c r="M10" i="27"/>
  <c r="M14" i="32"/>
  <c r="E17" i="32"/>
  <c r="F17" i="32" s="1"/>
  <c r="E19" i="33"/>
  <c r="F19" i="33" s="1"/>
  <c r="E19" i="35"/>
  <c r="F19" i="35" s="1"/>
  <c r="I37" i="40"/>
  <c r="E17" i="44"/>
  <c r="F17" i="44" s="1"/>
  <c r="E19" i="45"/>
  <c r="F19" i="45" s="1"/>
  <c r="F21" i="45" s="1"/>
  <c r="F22" i="45" s="1"/>
  <c r="F23" i="45" s="1"/>
  <c r="E19" i="46"/>
  <c r="F19" i="46" s="1"/>
  <c r="E16" i="52"/>
  <c r="F16" i="52" s="1"/>
  <c r="F21" i="52" s="1"/>
  <c r="F22" i="52" s="1"/>
  <c r="F23" i="52" s="1"/>
  <c r="I37" i="66"/>
  <c r="F100" i="59"/>
  <c r="I40" i="73"/>
  <c r="F71" i="26"/>
  <c r="F80" i="29"/>
  <c r="F84" i="29" s="1"/>
  <c r="I38" i="8"/>
  <c r="E16" i="13"/>
  <c r="F16" i="13" s="1"/>
  <c r="M16" i="29"/>
  <c r="M16" i="30"/>
  <c r="F87" i="31"/>
  <c r="E16" i="22"/>
  <c r="F16" i="22" s="1"/>
  <c r="E12" i="26"/>
  <c r="F12" i="26" s="1"/>
  <c r="F17" i="26" s="1"/>
  <c r="F18" i="26" s="1"/>
  <c r="F19" i="26" s="1"/>
  <c r="I33" i="34"/>
  <c r="E18" i="33"/>
  <c r="F18" i="33" s="1"/>
  <c r="E12" i="34"/>
  <c r="F12" i="34" s="1"/>
  <c r="F17" i="34" s="1"/>
  <c r="F18" i="34" s="1"/>
  <c r="F19" i="34" s="1"/>
  <c r="F22" i="34" s="1"/>
  <c r="F100" i="40"/>
  <c r="M12" i="44"/>
  <c r="M20" i="52"/>
  <c r="I38" i="66"/>
  <c r="E17" i="61"/>
  <c r="F17" i="61" s="1"/>
  <c r="E17" i="62"/>
  <c r="F17" i="62" s="1"/>
  <c r="M14" i="64"/>
  <c r="E16" i="67"/>
  <c r="F16" i="67" s="1"/>
  <c r="I24" i="44"/>
  <c r="F67" i="36"/>
  <c r="I37" i="1"/>
  <c r="F115" i="52"/>
  <c r="F87" i="22"/>
  <c r="F113" i="46"/>
  <c r="F113" i="40"/>
  <c r="F97" i="47"/>
  <c r="F100" i="47" s="1"/>
  <c r="F96" i="36"/>
  <c r="I36" i="34"/>
  <c r="M12" i="1"/>
  <c r="I40" i="1"/>
  <c r="E18" i="3"/>
  <c r="F18" i="3" s="1"/>
  <c r="F21" i="3" s="1"/>
  <c r="F22" i="3" s="1"/>
  <c r="F23" i="3" s="1"/>
  <c r="E16" i="7"/>
  <c r="F16" i="7" s="1"/>
  <c r="I39" i="8"/>
  <c r="E17" i="8"/>
  <c r="F17" i="8" s="1"/>
  <c r="F21" i="8" s="1"/>
  <c r="F22" i="8" s="1"/>
  <c r="F23" i="8" s="1"/>
  <c r="F27" i="8" s="1"/>
  <c r="M20" i="13"/>
  <c r="E16" i="11"/>
  <c r="F16" i="11" s="1"/>
  <c r="E17" i="12"/>
  <c r="F17" i="12" s="1"/>
  <c r="M12" i="14"/>
  <c r="I38" i="18"/>
  <c r="I34" i="34"/>
  <c r="M20" i="35"/>
  <c r="M20" i="68"/>
  <c r="M12" i="69"/>
  <c r="E17" i="73"/>
  <c r="F17" i="73" s="1"/>
  <c r="F113" i="73"/>
  <c r="F100" i="64"/>
  <c r="I38" i="64"/>
  <c r="I41" i="64"/>
  <c r="I37" i="64"/>
  <c r="F89" i="52"/>
  <c r="I17" i="52"/>
  <c r="F101" i="79"/>
  <c r="F100" i="79"/>
  <c r="F97" i="78"/>
  <c r="G11" i="82"/>
  <c r="D11" i="82"/>
  <c r="G10" i="82"/>
  <c r="D10" i="82"/>
  <c r="I18" i="70"/>
  <c r="F102" i="70"/>
  <c r="I10" i="75"/>
  <c r="F64" i="75"/>
  <c r="I18" i="40"/>
  <c r="F102" i="40"/>
  <c r="F62" i="20"/>
  <c r="F63" i="20"/>
  <c r="I18" i="59"/>
  <c r="F102" i="59"/>
  <c r="F27" i="72"/>
  <c r="F26" i="72"/>
  <c r="I16" i="72" s="1"/>
  <c r="I41" i="16"/>
  <c r="I37" i="16"/>
  <c r="I39" i="16"/>
  <c r="I38" i="16"/>
  <c r="I40" i="16"/>
  <c r="F79" i="39"/>
  <c r="F80" i="39" s="1"/>
  <c r="F105" i="39"/>
  <c r="F106" i="39" s="1"/>
  <c r="F109" i="47"/>
  <c r="F110" i="47" s="1"/>
  <c r="F62" i="52"/>
  <c r="F63" i="52"/>
  <c r="I41" i="63"/>
  <c r="I40" i="63"/>
  <c r="I37" i="63"/>
  <c r="I38" i="63"/>
  <c r="I39" i="63"/>
  <c r="I41" i="65"/>
  <c r="I38" i="65"/>
  <c r="I40" i="65"/>
  <c r="I37" i="65"/>
  <c r="I39" i="65"/>
  <c r="I38" i="70"/>
  <c r="I41" i="70"/>
  <c r="I37" i="70"/>
  <c r="I39" i="70"/>
  <c r="I40" i="70"/>
  <c r="I39" i="71"/>
  <c r="I38" i="71"/>
  <c r="F113" i="72"/>
  <c r="F114" i="72"/>
  <c r="F88" i="75"/>
  <c r="F87" i="75"/>
  <c r="I40" i="76"/>
  <c r="I39" i="76"/>
  <c r="F101" i="77"/>
  <c r="F100" i="77"/>
  <c r="F102" i="77" s="1"/>
  <c r="E16" i="78"/>
  <c r="F16" i="78" s="1"/>
  <c r="F21" i="78" s="1"/>
  <c r="F22" i="78" s="1"/>
  <c r="F23" i="78" s="1"/>
  <c r="I19" i="34"/>
  <c r="I18" i="31"/>
  <c r="I24" i="32"/>
  <c r="I17" i="61"/>
  <c r="I24" i="64"/>
  <c r="F64" i="73"/>
  <c r="F64" i="65"/>
  <c r="I10" i="65"/>
  <c r="F83" i="15"/>
  <c r="F84" i="15"/>
  <c r="I37" i="28"/>
  <c r="I34" i="28"/>
  <c r="F66" i="28"/>
  <c r="F67" i="28" s="1"/>
  <c r="F64" i="37"/>
  <c r="I10" i="37"/>
  <c r="F84" i="60"/>
  <c r="I12" i="34"/>
  <c r="F28" i="63"/>
  <c r="I24" i="35"/>
  <c r="F72" i="26"/>
  <c r="F23" i="34"/>
  <c r="F101" i="42"/>
  <c r="F62" i="35"/>
  <c r="F62" i="31"/>
  <c r="F64" i="31" s="1"/>
  <c r="F97" i="36"/>
  <c r="F63" i="37"/>
  <c r="F74" i="7"/>
  <c r="F76" i="7" s="1"/>
  <c r="F70" i="9"/>
  <c r="F71" i="9" s="1"/>
  <c r="F97" i="20"/>
  <c r="F59" i="21"/>
  <c r="I38" i="22"/>
  <c r="I39" i="22"/>
  <c r="I10" i="69"/>
  <c r="F64" i="69"/>
  <c r="F114" i="41"/>
  <c r="F113" i="41"/>
  <c r="F18" i="38"/>
  <c r="F19" i="38" s="1"/>
  <c r="F62" i="42"/>
  <c r="F63" i="42"/>
  <c r="I39" i="52"/>
  <c r="I38" i="52"/>
  <c r="I40" i="52"/>
  <c r="E20" i="2"/>
  <c r="F20" i="2" s="1"/>
  <c r="E16" i="2"/>
  <c r="F16" i="2" s="1"/>
  <c r="I41" i="3"/>
  <c r="I37" i="3"/>
  <c r="I40" i="3"/>
  <c r="I40" i="7"/>
  <c r="I37" i="7"/>
  <c r="I39" i="11"/>
  <c r="I40" i="11"/>
  <c r="I38" i="11"/>
  <c r="M14" i="22"/>
  <c r="M16" i="26"/>
  <c r="M20" i="40"/>
  <c r="M20" i="44"/>
  <c r="F96" i="58"/>
  <c r="F97" i="58" s="1"/>
  <c r="I41" i="59"/>
  <c r="I40" i="59"/>
  <c r="I37" i="59"/>
  <c r="I39" i="59"/>
  <c r="I41" i="67"/>
  <c r="I40" i="67"/>
  <c r="I37" i="67"/>
  <c r="F109" i="69"/>
  <c r="F110" i="69" s="1"/>
  <c r="M14" i="77"/>
  <c r="M12" i="77"/>
  <c r="F97" i="1"/>
  <c r="M14" i="1"/>
  <c r="M20" i="2"/>
  <c r="E18" i="19"/>
  <c r="F18" i="19" s="1"/>
  <c r="I36" i="24"/>
  <c r="I34" i="24"/>
  <c r="M14" i="31"/>
  <c r="E12" i="36"/>
  <c r="F12" i="36" s="1"/>
  <c r="F17" i="36" s="1"/>
  <c r="M20" i="46"/>
  <c r="E16" i="47"/>
  <c r="F16" i="47" s="1"/>
  <c r="F21" i="47" s="1"/>
  <c r="F22" i="47" s="1"/>
  <c r="F23" i="47" s="1"/>
  <c r="I40" i="68"/>
  <c r="I39" i="68"/>
  <c r="I37" i="68"/>
  <c r="M14" i="2"/>
  <c r="I38" i="3"/>
  <c r="I37" i="11"/>
  <c r="M16" i="24"/>
  <c r="E12" i="27"/>
  <c r="F12" i="27" s="1"/>
  <c r="F17" i="27" s="1"/>
  <c r="F18" i="27" s="1"/>
  <c r="F19" i="27" s="1"/>
  <c r="M20" i="41"/>
  <c r="E19" i="44"/>
  <c r="F19" i="44" s="1"/>
  <c r="I38" i="59"/>
  <c r="F96" i="63"/>
  <c r="F97" i="63" s="1"/>
  <c r="F101" i="63" s="1"/>
  <c r="M14" i="75"/>
  <c r="M12" i="75"/>
  <c r="M14" i="11"/>
  <c r="M12" i="12"/>
  <c r="E17" i="13"/>
  <c r="F17" i="13" s="1"/>
  <c r="E19" i="19"/>
  <c r="F19" i="19" s="1"/>
  <c r="E16" i="19"/>
  <c r="F16" i="19" s="1"/>
  <c r="E18" i="20"/>
  <c r="F18" i="20" s="1"/>
  <c r="M10" i="30"/>
  <c r="M20" i="31"/>
  <c r="E17" i="22"/>
  <c r="F17" i="22" s="1"/>
  <c r="E12" i="28"/>
  <c r="F12" i="28" s="1"/>
  <c r="F17" i="28" s="1"/>
  <c r="F18" i="28" s="1"/>
  <c r="F19" i="28" s="1"/>
  <c r="F23" i="28" s="1"/>
  <c r="E12" i="29"/>
  <c r="F12" i="29" s="1"/>
  <c r="F17" i="29" s="1"/>
  <c r="E12" i="30"/>
  <c r="F12" i="30" s="1"/>
  <c r="F17" i="30" s="1"/>
  <c r="M16" i="34"/>
  <c r="M10" i="36"/>
  <c r="M12" i="37"/>
  <c r="M20" i="43"/>
  <c r="F74" i="43"/>
  <c r="M14" i="44"/>
  <c r="M12" i="45"/>
  <c r="F84" i="62"/>
  <c r="F110" i="65"/>
  <c r="F23" i="68"/>
  <c r="F97" i="71"/>
  <c r="F23" i="79"/>
  <c r="E16" i="58"/>
  <c r="F16" i="58" s="1"/>
  <c r="M20" i="61"/>
  <c r="M12" i="67"/>
  <c r="M12" i="71"/>
  <c r="E17" i="71"/>
  <c r="F17" i="71" s="1"/>
  <c r="E19" i="71"/>
  <c r="F19" i="71" s="1"/>
  <c r="F74" i="77"/>
  <c r="M12" i="80"/>
  <c r="E18" i="67"/>
  <c r="F18" i="67" s="1"/>
  <c r="F21" i="67" s="1"/>
  <c r="M14" i="3"/>
  <c r="M20" i="4"/>
  <c r="M14" i="14"/>
  <c r="M12" i="15"/>
  <c r="M20" i="16"/>
  <c r="E18" i="15"/>
  <c r="F18" i="15" s="1"/>
  <c r="E19" i="20"/>
  <c r="F19" i="20" s="1"/>
  <c r="M8" i="36"/>
  <c r="M10" i="39"/>
  <c r="M12" i="40"/>
  <c r="I38" i="40"/>
  <c r="M14" i="41"/>
  <c r="M12" i="42"/>
  <c r="E16" i="44"/>
  <c r="F16" i="44" s="1"/>
  <c r="E18" i="46"/>
  <c r="F18" i="46" s="1"/>
  <c r="F71" i="70"/>
  <c r="I39" i="61"/>
  <c r="I39" i="72"/>
  <c r="E17" i="56"/>
  <c r="F17" i="56" s="1"/>
  <c r="M20" i="60"/>
  <c r="M12" i="61"/>
  <c r="E18" i="61"/>
  <c r="F18" i="61" s="1"/>
  <c r="M14" i="68"/>
  <c r="E18" i="71"/>
  <c r="F18" i="71" s="1"/>
  <c r="F21" i="71" s="1"/>
  <c r="F62" i="77"/>
  <c r="M20" i="78"/>
  <c r="I41" i="80"/>
  <c r="F74" i="71"/>
  <c r="M20" i="64"/>
  <c r="M12" i="70"/>
  <c r="F84" i="80"/>
  <c r="F88" i="80" s="1"/>
  <c r="F54" i="28"/>
  <c r="F55" i="28" s="1"/>
  <c r="F83" i="28"/>
  <c r="F84" i="28"/>
  <c r="I11" i="20"/>
  <c r="F76" i="20"/>
  <c r="I14" i="30"/>
  <c r="F98" i="30"/>
  <c r="F72" i="29"/>
  <c r="F89" i="21"/>
  <c r="I17" i="21"/>
  <c r="I10" i="47"/>
  <c r="F64" i="47"/>
  <c r="I10" i="31"/>
  <c r="F111" i="29"/>
  <c r="I20" i="29"/>
  <c r="I9" i="72"/>
  <c r="F63" i="41"/>
  <c r="F62" i="41"/>
  <c r="I18" i="42"/>
  <c r="F102" i="42"/>
  <c r="F75" i="42"/>
  <c r="F74" i="42"/>
  <c r="F98" i="36"/>
  <c r="I14" i="36"/>
  <c r="F84" i="24"/>
  <c r="F83" i="24"/>
  <c r="I18" i="41"/>
  <c r="F102" i="41"/>
  <c r="I10" i="20"/>
  <c r="F64" i="20"/>
  <c r="F88" i="19"/>
  <c r="F87" i="19"/>
  <c r="F109" i="80"/>
  <c r="F110" i="80" s="1"/>
  <c r="I11" i="7"/>
  <c r="I10" i="66"/>
  <c r="F64" i="66"/>
  <c r="I10" i="72"/>
  <c r="F64" i="72"/>
  <c r="F79" i="27"/>
  <c r="F80" i="27" s="1"/>
  <c r="F105" i="27"/>
  <c r="F106" i="27" s="1"/>
  <c r="M10" i="28"/>
  <c r="M8" i="28"/>
  <c r="F21" i="32"/>
  <c r="F22" i="32" s="1"/>
  <c r="F23" i="32" s="1"/>
  <c r="F70" i="33"/>
  <c r="F71" i="33" s="1"/>
  <c r="F96" i="33"/>
  <c r="F97" i="33" s="1"/>
  <c r="F97" i="37"/>
  <c r="F54" i="39"/>
  <c r="F55" i="39"/>
  <c r="F70" i="52"/>
  <c r="F71" i="52" s="1"/>
  <c r="F62" i="59"/>
  <c r="F63" i="59"/>
  <c r="F83" i="63"/>
  <c r="F84" i="63" s="1"/>
  <c r="F22" i="64"/>
  <c r="F23" i="64" s="1"/>
  <c r="F75" i="65"/>
  <c r="F74" i="65"/>
  <c r="F101" i="65"/>
  <c r="F100" i="65"/>
  <c r="F83" i="68"/>
  <c r="F84" i="68" s="1"/>
  <c r="I40" i="69"/>
  <c r="I41" i="69"/>
  <c r="I38" i="69"/>
  <c r="I39" i="69"/>
  <c r="I37" i="69"/>
  <c r="F70" i="69"/>
  <c r="F71" i="69" s="1"/>
  <c r="F96" i="69"/>
  <c r="F97" i="69" s="1"/>
  <c r="F70" i="75"/>
  <c r="F71" i="75" s="1"/>
  <c r="F96" i="76"/>
  <c r="F97" i="76" s="1"/>
  <c r="F109" i="76"/>
  <c r="F110" i="76" s="1"/>
  <c r="I23" i="63"/>
  <c r="F102" i="46"/>
  <c r="I24" i="45"/>
  <c r="I11" i="31"/>
  <c r="I7" i="34"/>
  <c r="F115" i="61"/>
  <c r="F101" i="47"/>
  <c r="F62" i="32"/>
  <c r="F109" i="22"/>
  <c r="F110" i="22" s="1"/>
  <c r="F96" i="19"/>
  <c r="F97" i="19" s="1"/>
  <c r="I40" i="31"/>
  <c r="I39" i="31"/>
  <c r="I38" i="31"/>
  <c r="I41" i="31"/>
  <c r="I37" i="31"/>
  <c r="F79" i="36"/>
  <c r="F80" i="36"/>
  <c r="F105" i="36"/>
  <c r="F106" i="36"/>
  <c r="I38" i="45"/>
  <c r="I40" i="45"/>
  <c r="I37" i="45"/>
  <c r="I41" i="45"/>
  <c r="I39" i="45"/>
  <c r="F83" i="47"/>
  <c r="F84" i="47" s="1"/>
  <c r="F114" i="67"/>
  <c r="F113" i="67"/>
  <c r="F87" i="69"/>
  <c r="F88" i="69"/>
  <c r="F58" i="56"/>
  <c r="F59" i="56" s="1"/>
  <c r="F83" i="56"/>
  <c r="F84" i="56" s="1"/>
  <c r="F59" i="58"/>
  <c r="F59" i="78"/>
  <c r="I9" i="63"/>
  <c r="J13" i="63" s="1"/>
  <c r="F113" i="21"/>
  <c r="F84" i="32"/>
  <c r="F109" i="28"/>
  <c r="F110" i="28"/>
  <c r="I41" i="10"/>
  <c r="I40" i="10"/>
  <c r="I37" i="10"/>
  <c r="I39" i="10"/>
  <c r="I38" i="10"/>
  <c r="F92" i="29"/>
  <c r="F93" i="29" s="1"/>
  <c r="I37" i="30"/>
  <c r="I35" i="30"/>
  <c r="I36" i="30"/>
  <c r="I34" i="30"/>
  <c r="I33" i="30"/>
  <c r="F54" i="34"/>
  <c r="F55" i="34" s="1"/>
  <c r="I40" i="35"/>
  <c r="I41" i="35"/>
  <c r="I37" i="35"/>
  <c r="I38" i="35"/>
  <c r="I39" i="35"/>
  <c r="F96" i="43"/>
  <c r="F97" i="43" s="1"/>
  <c r="F100" i="66"/>
  <c r="F101" i="66"/>
  <c r="M20" i="3"/>
  <c r="E16" i="4"/>
  <c r="F16" i="4" s="1"/>
  <c r="F21" i="7"/>
  <c r="F22" i="7" s="1"/>
  <c r="F23" i="7" s="1"/>
  <c r="M14" i="8"/>
  <c r="M20" i="9"/>
  <c r="I41" i="12"/>
  <c r="I37" i="12"/>
  <c r="I40" i="12"/>
  <c r="I41" i="22"/>
  <c r="I40" i="22"/>
  <c r="I37" i="22"/>
  <c r="F83" i="29"/>
  <c r="I13" i="29" s="1"/>
  <c r="F18" i="24"/>
  <c r="F19" i="24" s="1"/>
  <c r="F59" i="33"/>
  <c r="F105" i="34"/>
  <c r="F106" i="34" s="1"/>
  <c r="M14" i="35"/>
  <c r="I35" i="36"/>
  <c r="I37" i="36"/>
  <c r="I34" i="36"/>
  <c r="F18" i="36"/>
  <c r="F19" i="36" s="1"/>
  <c r="F105" i="38"/>
  <c r="F106" i="38" s="1"/>
  <c r="I40" i="42"/>
  <c r="I39" i="42"/>
  <c r="I38" i="42"/>
  <c r="I37" i="42"/>
  <c r="F83" i="77"/>
  <c r="F84" i="77" s="1"/>
  <c r="F70" i="79"/>
  <c r="F71" i="79" s="1"/>
  <c r="F21" i="22"/>
  <c r="E19" i="2"/>
  <c r="F19" i="2" s="1"/>
  <c r="E17" i="2"/>
  <c r="F17" i="2" s="1"/>
  <c r="F96" i="7"/>
  <c r="F97" i="7" s="1"/>
  <c r="F96" i="9"/>
  <c r="F97" i="9" s="1"/>
  <c r="I41" i="13"/>
  <c r="I37" i="13"/>
  <c r="I40" i="13"/>
  <c r="I39" i="13"/>
  <c r="E16" i="14"/>
  <c r="F16" i="14" s="1"/>
  <c r="E16" i="15"/>
  <c r="F16" i="15" s="1"/>
  <c r="F70" i="19"/>
  <c r="F71" i="19" s="1"/>
  <c r="F21" i="19"/>
  <c r="F22" i="19" s="1"/>
  <c r="F23" i="19" s="1"/>
  <c r="F67" i="24"/>
  <c r="F105" i="24"/>
  <c r="F106" i="24" s="1"/>
  <c r="M10" i="26"/>
  <c r="I36" i="28"/>
  <c r="I35" i="28"/>
  <c r="F54" i="30"/>
  <c r="F55" i="30"/>
  <c r="I37" i="32"/>
  <c r="I40" i="32"/>
  <c r="F92" i="34"/>
  <c r="F93" i="34" s="1"/>
  <c r="M20" i="37"/>
  <c r="E20" i="35"/>
  <c r="F20" i="35" s="1"/>
  <c r="E18" i="35"/>
  <c r="F18" i="35" s="1"/>
  <c r="E16" i="35"/>
  <c r="F16" i="35" s="1"/>
  <c r="E17" i="37"/>
  <c r="F17" i="37" s="1"/>
  <c r="F21" i="37" s="1"/>
  <c r="F22" i="37" s="1"/>
  <c r="F23" i="37" s="1"/>
  <c r="F59" i="45"/>
  <c r="F70" i="56"/>
  <c r="F71" i="56" s="1"/>
  <c r="F70" i="59"/>
  <c r="F71" i="59"/>
  <c r="F96" i="74"/>
  <c r="F97" i="74" s="1"/>
  <c r="I40" i="4"/>
  <c r="I38" i="4"/>
  <c r="I37" i="4"/>
  <c r="I41" i="8"/>
  <c r="I40" i="8"/>
  <c r="F109" i="8"/>
  <c r="F110" i="8"/>
  <c r="F114" i="8" s="1"/>
  <c r="E18" i="9"/>
  <c r="F18" i="9" s="1"/>
  <c r="E16" i="9"/>
  <c r="F16" i="9" s="1"/>
  <c r="M12" i="11"/>
  <c r="I38" i="12"/>
  <c r="M14" i="18"/>
  <c r="M12" i="18"/>
  <c r="E17" i="14"/>
  <c r="F17" i="14" s="1"/>
  <c r="M12" i="22"/>
  <c r="F59" i="22"/>
  <c r="M8" i="26"/>
  <c r="I33" i="28"/>
  <c r="I37" i="29"/>
  <c r="I34" i="29"/>
  <c r="I33" i="29"/>
  <c r="M8" i="30"/>
  <c r="F80" i="30"/>
  <c r="F97" i="32"/>
  <c r="F18" i="30"/>
  <c r="E16" i="31"/>
  <c r="F16" i="31" s="1"/>
  <c r="F21" i="31" s="1"/>
  <c r="F110" i="33"/>
  <c r="F67" i="39"/>
  <c r="I41" i="41"/>
  <c r="I38" i="41"/>
  <c r="F83" i="41"/>
  <c r="F84" i="41" s="1"/>
  <c r="I41" i="52"/>
  <c r="I37" i="52"/>
  <c r="F96" i="52"/>
  <c r="F97" i="52" s="1"/>
  <c r="M20" i="59"/>
  <c r="F58" i="61"/>
  <c r="F59" i="61" s="1"/>
  <c r="F109" i="66"/>
  <c r="F110" i="66" s="1"/>
  <c r="E16" i="69"/>
  <c r="F16" i="69" s="1"/>
  <c r="F21" i="69" s="1"/>
  <c r="F22" i="69" s="1"/>
  <c r="F23" i="69" s="1"/>
  <c r="F71" i="72"/>
  <c r="F96" i="73"/>
  <c r="F97" i="73" s="1"/>
  <c r="E16" i="74"/>
  <c r="F16" i="74" s="1"/>
  <c r="F21" i="74" s="1"/>
  <c r="F21" i="42"/>
  <c r="F22" i="42" s="1"/>
  <c r="I41" i="7"/>
  <c r="M12" i="8"/>
  <c r="F62" i="8"/>
  <c r="M20" i="11"/>
  <c r="M20" i="12"/>
  <c r="M14" i="16"/>
  <c r="E16" i="18"/>
  <c r="F16" i="18" s="1"/>
  <c r="F21" i="18" s="1"/>
  <c r="M14" i="19"/>
  <c r="M14" i="20"/>
  <c r="M20" i="20"/>
  <c r="M12" i="35"/>
  <c r="I39" i="46"/>
  <c r="I38" i="46"/>
  <c r="I39" i="56"/>
  <c r="E16" i="59"/>
  <c r="F16" i="59" s="1"/>
  <c r="F21" i="59" s="1"/>
  <c r="F22" i="59" s="1"/>
  <c r="F23" i="59" s="1"/>
  <c r="F97" i="61"/>
  <c r="M12" i="62"/>
  <c r="M14" i="62"/>
  <c r="F109" i="63"/>
  <c r="F110" i="63" s="1"/>
  <c r="F110" i="68"/>
  <c r="F110" i="74"/>
  <c r="I41" i="75"/>
  <c r="I38" i="75"/>
  <c r="I40" i="75"/>
  <c r="F109" i="75"/>
  <c r="F110" i="75" s="1"/>
  <c r="F109" i="78"/>
  <c r="F110" i="78"/>
  <c r="F21" i="10"/>
  <c r="F22" i="10" s="1"/>
  <c r="M12" i="3"/>
  <c r="M12" i="13"/>
  <c r="E19" i="13"/>
  <c r="F19" i="13" s="1"/>
  <c r="M20" i="15"/>
  <c r="M20" i="32"/>
  <c r="I37" i="38"/>
  <c r="I35" i="38"/>
  <c r="I34" i="38"/>
  <c r="M12" i="43"/>
  <c r="I38" i="56"/>
  <c r="I37" i="56"/>
  <c r="F70" i="58"/>
  <c r="F71" i="58" s="1"/>
  <c r="F83" i="64"/>
  <c r="F84" i="64"/>
  <c r="M14" i="65"/>
  <c r="M12" i="65"/>
  <c r="F84" i="65"/>
  <c r="I41" i="76"/>
  <c r="I37" i="76"/>
  <c r="I38" i="76"/>
  <c r="M20" i="79"/>
  <c r="E18" i="40"/>
  <c r="F18" i="40" s="1"/>
  <c r="E16" i="43"/>
  <c r="F16" i="43" s="1"/>
  <c r="F21" i="43" s="1"/>
  <c r="M12" i="46"/>
  <c r="E16" i="66"/>
  <c r="F16" i="66" s="1"/>
  <c r="F21" i="66" s="1"/>
  <c r="M20" i="67"/>
  <c r="F97" i="72"/>
  <c r="I41" i="73"/>
  <c r="I38" i="73"/>
  <c r="E16" i="77"/>
  <c r="F16" i="77" s="1"/>
  <c r="F21" i="77" s="1"/>
  <c r="F22" i="77" s="1"/>
  <c r="F23" i="77" s="1"/>
  <c r="F84" i="79"/>
  <c r="M16" i="39"/>
  <c r="E16" i="40"/>
  <c r="F16" i="40" s="1"/>
  <c r="M20" i="42"/>
  <c r="E18" i="44"/>
  <c r="F18" i="44" s="1"/>
  <c r="M14" i="46"/>
  <c r="E16" i="46"/>
  <c r="F16" i="46" s="1"/>
  <c r="F21" i="46" s="1"/>
  <c r="M14" i="52"/>
  <c r="E16" i="60"/>
  <c r="F16" i="60" s="1"/>
  <c r="F21" i="60" s="1"/>
  <c r="M12" i="66"/>
  <c r="I38" i="67"/>
  <c r="I39" i="67"/>
  <c r="M20" i="71"/>
  <c r="E16" i="75"/>
  <c r="F16" i="75" s="1"/>
  <c r="F21" i="75" s="1"/>
  <c r="M14" i="76"/>
  <c r="I41" i="77"/>
  <c r="I39" i="77"/>
  <c r="I37" i="77"/>
  <c r="M14" i="79"/>
  <c r="M14" i="70"/>
  <c r="M14" i="72"/>
  <c r="E16" i="73"/>
  <c r="F16" i="73" s="1"/>
  <c r="F21" i="73" s="1"/>
  <c r="F22" i="73" s="1"/>
  <c r="F23" i="73" s="1"/>
  <c r="M20" i="75"/>
  <c r="E16" i="80"/>
  <c r="F16" i="80" s="1"/>
  <c r="M20" i="80"/>
  <c r="E16" i="56"/>
  <c r="F16" i="56" s="1"/>
  <c r="F21" i="56" s="1"/>
  <c r="F22" i="56" s="1"/>
  <c r="F23" i="56" s="1"/>
  <c r="M20" i="56"/>
  <c r="M12" i="59"/>
  <c r="M14" i="60"/>
  <c r="M14" i="66"/>
  <c r="E19" i="1"/>
  <c r="F19" i="1" s="1"/>
  <c r="F21" i="1" s="1"/>
  <c r="M20" i="74"/>
  <c r="G8" i="82"/>
  <c r="D8" i="82"/>
  <c r="F14" i="82"/>
  <c r="D14" i="82"/>
  <c r="E14" i="82"/>
  <c r="D27" i="82"/>
  <c r="F27" i="82"/>
  <c r="E27" i="82"/>
  <c r="F24" i="82"/>
  <c r="E24" i="82"/>
  <c r="D24" i="82"/>
  <c r="D13" i="82"/>
  <c r="F13" i="82"/>
  <c r="E13" i="82"/>
  <c r="F34" i="82"/>
  <c r="D34" i="82"/>
  <c r="E34" i="82"/>
  <c r="F15" i="82"/>
  <c r="E15" i="82"/>
  <c r="D15" i="82"/>
  <c r="F28" i="82"/>
  <c r="E28" i="82"/>
  <c r="D28" i="82"/>
  <c r="D29" i="82"/>
  <c r="F29" i="82"/>
  <c r="E29" i="82"/>
  <c r="D22" i="82"/>
  <c r="F22" i="82"/>
  <c r="E22" i="82"/>
  <c r="F17" i="82"/>
  <c r="D17" i="82"/>
  <c r="E17" i="82"/>
  <c r="D19" i="82"/>
  <c r="F19" i="82"/>
  <c r="E19" i="82"/>
  <c r="D35" i="82"/>
  <c r="F35" i="82"/>
  <c r="E35" i="82"/>
  <c r="D16" i="82"/>
  <c r="F16" i="82"/>
  <c r="E16" i="82"/>
  <c r="D32" i="82"/>
  <c r="F32" i="82"/>
  <c r="E32" i="82"/>
  <c r="F33" i="82"/>
  <c r="E33" i="82"/>
  <c r="D33" i="82"/>
  <c r="F30" i="82"/>
  <c r="D30" i="82"/>
  <c r="E30" i="82"/>
  <c r="F11" i="82"/>
  <c r="E11" i="82"/>
  <c r="F21" i="82"/>
  <c r="E21" i="82"/>
  <c r="D21" i="82"/>
  <c r="F18" i="82"/>
  <c r="E18" i="82"/>
  <c r="D18" i="82"/>
  <c r="F31" i="82"/>
  <c r="E31" i="82"/>
  <c r="D31" i="82"/>
  <c r="F12" i="82"/>
  <c r="E12" i="82"/>
  <c r="D12" i="82"/>
  <c r="F8" i="82"/>
  <c r="E8" i="82"/>
  <c r="F10" i="82"/>
  <c r="E10" i="82"/>
  <c r="F26" i="82"/>
  <c r="D26" i="82"/>
  <c r="E26" i="82"/>
  <c r="D25" i="82"/>
  <c r="F25" i="82"/>
  <c r="E25" i="82"/>
  <c r="F23" i="82"/>
  <c r="D23" i="82"/>
  <c r="E23" i="82"/>
  <c r="F9" i="82"/>
  <c r="E9" i="82"/>
  <c r="D9" i="82"/>
  <c r="F20" i="82"/>
  <c r="D20" i="82"/>
  <c r="E20" i="82"/>
  <c r="F36" i="82"/>
  <c r="E36" i="82"/>
  <c r="D36" i="82"/>
  <c r="I17" i="40"/>
  <c r="I17" i="42"/>
  <c r="F89" i="42"/>
  <c r="I13" i="63"/>
  <c r="F87" i="16"/>
  <c r="F88" i="16"/>
  <c r="F71" i="36"/>
  <c r="F70" i="36"/>
  <c r="F84" i="38"/>
  <c r="F83" i="38"/>
  <c r="F83" i="26"/>
  <c r="F84" i="26"/>
  <c r="F58" i="16"/>
  <c r="F59" i="16" s="1"/>
  <c r="F70" i="16"/>
  <c r="F71" i="16" s="1"/>
  <c r="F109" i="18"/>
  <c r="F110" i="18" s="1"/>
  <c r="M10" i="24"/>
  <c r="M8" i="24"/>
  <c r="F54" i="24"/>
  <c r="F55" i="24" s="1"/>
  <c r="F92" i="24"/>
  <c r="F93" i="24" s="1"/>
  <c r="F54" i="26"/>
  <c r="F55" i="26" s="1"/>
  <c r="F92" i="26"/>
  <c r="F93" i="26" s="1"/>
  <c r="F22" i="76"/>
  <c r="F23" i="76" s="1"/>
  <c r="F63" i="78"/>
  <c r="F62" i="78"/>
  <c r="F27" i="78"/>
  <c r="F26" i="78"/>
  <c r="F22" i="60"/>
  <c r="F23" i="60" s="1"/>
  <c r="F58" i="60"/>
  <c r="F59" i="60" s="1"/>
  <c r="F75" i="60"/>
  <c r="F74" i="60"/>
  <c r="F96" i="62"/>
  <c r="F97" i="62" s="1"/>
  <c r="F58" i="63"/>
  <c r="F59" i="63" s="1"/>
  <c r="F58" i="64"/>
  <c r="F59" i="64" s="1"/>
  <c r="F70" i="64"/>
  <c r="F71" i="64" s="1"/>
  <c r="F83" i="67"/>
  <c r="F84" i="67" s="1"/>
  <c r="F58" i="68"/>
  <c r="F59" i="68" s="1"/>
  <c r="F70" i="68"/>
  <c r="F71" i="68" s="1"/>
  <c r="F109" i="70"/>
  <c r="F110" i="70"/>
  <c r="F58" i="71"/>
  <c r="F59" i="71" s="1"/>
  <c r="F83" i="71"/>
  <c r="F84" i="71" s="1"/>
  <c r="F83" i="72"/>
  <c r="F84" i="72" s="1"/>
  <c r="F70" i="73"/>
  <c r="F71" i="73"/>
  <c r="F115" i="73"/>
  <c r="I24" i="73"/>
  <c r="F58" i="74"/>
  <c r="F59" i="74" s="1"/>
  <c r="F96" i="75"/>
  <c r="F97" i="75" s="1"/>
  <c r="F58" i="76"/>
  <c r="F59" i="76" s="1"/>
  <c r="F70" i="76"/>
  <c r="F71" i="76" s="1"/>
  <c r="F64" i="77"/>
  <c r="I10" i="77"/>
  <c r="F83" i="78"/>
  <c r="F84" i="78" s="1"/>
  <c r="F58" i="80"/>
  <c r="F59" i="80" s="1"/>
  <c r="F70" i="80"/>
  <c r="F71" i="80" s="1"/>
  <c r="I18" i="79"/>
  <c r="F102" i="79"/>
  <c r="F87" i="45"/>
  <c r="F88" i="45"/>
  <c r="F113" i="8"/>
  <c r="F23" i="42"/>
  <c r="M14" i="10"/>
  <c r="M12" i="10"/>
  <c r="F58" i="11"/>
  <c r="F59" i="11" s="1"/>
  <c r="F96" i="12"/>
  <c r="F97" i="12" s="1"/>
  <c r="F83" i="13"/>
  <c r="F84" i="13" s="1"/>
  <c r="F109" i="13"/>
  <c r="F110" i="13" s="1"/>
  <c r="F58" i="14"/>
  <c r="F59" i="14" s="1"/>
  <c r="F96" i="15"/>
  <c r="F97" i="15" s="1"/>
  <c r="I17" i="66"/>
  <c r="F89" i="66"/>
  <c r="I24" i="67"/>
  <c r="F115" i="67"/>
  <c r="F84" i="18"/>
  <c r="F113" i="37"/>
  <c r="F114" i="37"/>
  <c r="F96" i="4"/>
  <c r="F97" i="4" s="1"/>
  <c r="F83" i="7"/>
  <c r="F84" i="7" s="1"/>
  <c r="F83" i="9"/>
  <c r="F84" i="9" s="1"/>
  <c r="F109" i="9"/>
  <c r="F110" i="9" s="1"/>
  <c r="F85" i="29"/>
  <c r="F22" i="43"/>
  <c r="F23" i="43" s="1"/>
  <c r="F102" i="66"/>
  <c r="I18" i="66"/>
  <c r="F74" i="40"/>
  <c r="F75" i="40"/>
  <c r="F62" i="43"/>
  <c r="F63" i="43"/>
  <c r="F23" i="10"/>
  <c r="F83" i="1"/>
  <c r="F84" i="1" s="1"/>
  <c r="F59" i="2"/>
  <c r="F58" i="2"/>
  <c r="F96" i="2"/>
  <c r="F97" i="2" s="1"/>
  <c r="F59" i="7"/>
  <c r="F58" i="1"/>
  <c r="F59" i="1" s="1"/>
  <c r="F84" i="2"/>
  <c r="F70" i="3"/>
  <c r="F71" i="3" s="1"/>
  <c r="F110" i="3"/>
  <c r="M12" i="4"/>
  <c r="M14" i="4"/>
  <c r="F58" i="4"/>
  <c r="F59" i="4" s="1"/>
  <c r="F71" i="4"/>
  <c r="E17" i="4"/>
  <c r="F17" i="4" s="1"/>
  <c r="F21" i="4" s="1"/>
  <c r="M20" i="8"/>
  <c r="F96" i="8"/>
  <c r="F97" i="8" s="1"/>
  <c r="F59" i="10"/>
  <c r="F96" i="10"/>
  <c r="F97" i="10" s="1"/>
  <c r="F110" i="10"/>
  <c r="F71" i="11"/>
  <c r="F97" i="11"/>
  <c r="F58" i="12"/>
  <c r="F59" i="12" s="1"/>
  <c r="F84" i="12"/>
  <c r="F59" i="13"/>
  <c r="E18" i="13"/>
  <c r="F18" i="13" s="1"/>
  <c r="F109" i="16"/>
  <c r="F110" i="16" s="1"/>
  <c r="F58" i="18"/>
  <c r="F59" i="18"/>
  <c r="F96" i="22"/>
  <c r="F97" i="22" s="1"/>
  <c r="F66" i="27"/>
  <c r="F67" i="27" s="1"/>
  <c r="F92" i="28"/>
  <c r="F93" i="28" s="1"/>
  <c r="F88" i="70"/>
  <c r="F87" i="70"/>
  <c r="F70" i="1"/>
  <c r="F71" i="1" s="1"/>
  <c r="F109" i="1"/>
  <c r="F110" i="1" s="1"/>
  <c r="I40" i="2"/>
  <c r="I41" i="2"/>
  <c r="I38" i="2"/>
  <c r="I37" i="2"/>
  <c r="F70" i="2"/>
  <c r="F71" i="2" s="1"/>
  <c r="F96" i="3"/>
  <c r="F97" i="3" s="1"/>
  <c r="F84" i="4"/>
  <c r="F109" i="4"/>
  <c r="F110" i="4" s="1"/>
  <c r="M12" i="7"/>
  <c r="F109" i="7"/>
  <c r="F110" i="7" s="1"/>
  <c r="F83" i="8"/>
  <c r="F84" i="8" s="1"/>
  <c r="F83" i="10"/>
  <c r="F84" i="10" s="1"/>
  <c r="F70" i="12"/>
  <c r="F71" i="12" s="1"/>
  <c r="F71" i="13"/>
  <c r="F97" i="13"/>
  <c r="F21" i="12"/>
  <c r="I41" i="14"/>
  <c r="I39" i="14"/>
  <c r="I40" i="14"/>
  <c r="F109" i="15"/>
  <c r="F110" i="15" s="1"/>
  <c r="F70" i="18"/>
  <c r="F71" i="18" s="1"/>
  <c r="F96" i="18"/>
  <c r="F97" i="18" s="1"/>
  <c r="F21" i="14"/>
  <c r="F109" i="19"/>
  <c r="F110" i="19" s="1"/>
  <c r="F71" i="21"/>
  <c r="F54" i="27"/>
  <c r="F55" i="27" s="1"/>
  <c r="F66" i="30"/>
  <c r="F67" i="30" s="1"/>
  <c r="F110" i="31"/>
  <c r="F83" i="33"/>
  <c r="F84" i="33" s="1"/>
  <c r="F79" i="34"/>
  <c r="F80" i="34" s="1"/>
  <c r="F55" i="36"/>
  <c r="F83" i="37"/>
  <c r="F84" i="37"/>
  <c r="F66" i="38"/>
  <c r="F67" i="38" s="1"/>
  <c r="F70" i="41"/>
  <c r="F71" i="41" s="1"/>
  <c r="F83" i="43"/>
  <c r="F84" i="43" s="1"/>
  <c r="F97" i="44"/>
  <c r="F97" i="45"/>
  <c r="F70" i="46"/>
  <c r="F71" i="46" s="1"/>
  <c r="F109" i="2"/>
  <c r="F110" i="2" s="1"/>
  <c r="F59" i="3"/>
  <c r="F83" i="3"/>
  <c r="F84" i="3" s="1"/>
  <c r="F70" i="8"/>
  <c r="F71" i="8" s="1"/>
  <c r="F58" i="9"/>
  <c r="F59" i="9" s="1"/>
  <c r="F70" i="10"/>
  <c r="F71" i="10" s="1"/>
  <c r="F83" i="11"/>
  <c r="F84" i="11" s="1"/>
  <c r="F110" i="11"/>
  <c r="M14" i="12"/>
  <c r="F109" i="12"/>
  <c r="F110" i="12" s="1"/>
  <c r="F21" i="11"/>
  <c r="F71" i="14"/>
  <c r="F83" i="14"/>
  <c r="F84" i="14" s="1"/>
  <c r="F96" i="14"/>
  <c r="F97" i="14" s="1"/>
  <c r="F109" i="14"/>
  <c r="F110" i="14" s="1"/>
  <c r="F59" i="15"/>
  <c r="F71" i="15"/>
  <c r="M12" i="16"/>
  <c r="F96" i="16"/>
  <c r="F97" i="16" s="1"/>
  <c r="F105" i="26"/>
  <c r="F106" i="26" s="1"/>
  <c r="F54" i="29"/>
  <c r="F55" i="29" s="1"/>
  <c r="F105" i="30"/>
  <c r="F106" i="30" s="1"/>
  <c r="I41" i="20"/>
  <c r="I40" i="20"/>
  <c r="I38" i="20"/>
  <c r="M10" i="29"/>
  <c r="M10" i="34"/>
  <c r="M8" i="34"/>
  <c r="I38" i="1"/>
  <c r="I39" i="4"/>
  <c r="I38" i="9"/>
  <c r="E19" i="16"/>
  <c r="F19" i="16" s="1"/>
  <c r="E16" i="16"/>
  <c r="F16" i="16" s="1"/>
  <c r="E17" i="15"/>
  <c r="F17" i="15" s="1"/>
  <c r="F21" i="15" s="1"/>
  <c r="M20" i="21"/>
  <c r="M8" i="27"/>
  <c r="I35" i="27"/>
  <c r="I37" i="27"/>
  <c r="I34" i="27"/>
  <c r="M16" i="28"/>
  <c r="M12" i="31"/>
  <c r="F18" i="39"/>
  <c r="F19" i="39" s="1"/>
  <c r="M14" i="37"/>
  <c r="M14" i="42"/>
  <c r="I41" i="44"/>
  <c r="F22" i="65"/>
  <c r="F23" i="65" s="1"/>
  <c r="M12" i="56"/>
  <c r="M14" i="56"/>
  <c r="F109" i="56"/>
  <c r="F110" i="56" s="1"/>
  <c r="F110" i="58"/>
  <c r="F109" i="59"/>
  <c r="F110" i="59" s="1"/>
  <c r="F70" i="61"/>
  <c r="F71" i="61" s="1"/>
  <c r="F59" i="62"/>
  <c r="F70" i="66"/>
  <c r="F71" i="66" s="1"/>
  <c r="F70" i="67"/>
  <c r="F71" i="67"/>
  <c r="I40" i="46"/>
  <c r="I37" i="46"/>
  <c r="I41" i="46"/>
  <c r="E17" i="21"/>
  <c r="F17" i="21" s="1"/>
  <c r="F21" i="21" s="1"/>
  <c r="I37" i="39"/>
  <c r="I33" i="39"/>
  <c r="I36" i="39"/>
  <c r="M14" i="43"/>
  <c r="F110" i="60"/>
  <c r="F71" i="78"/>
  <c r="F59" i="79"/>
  <c r="I41" i="60"/>
  <c r="I40" i="60"/>
  <c r="I37" i="60"/>
  <c r="I40" i="74"/>
  <c r="I41" i="74"/>
  <c r="I37" i="74"/>
  <c r="F87" i="80"/>
  <c r="F21" i="80"/>
  <c r="E17" i="58"/>
  <c r="F17" i="58" s="1"/>
  <c r="F21" i="58" s="1"/>
  <c r="I37" i="71"/>
  <c r="I40" i="71"/>
  <c r="I41" i="71"/>
  <c r="M14" i="69"/>
  <c r="M14" i="71"/>
  <c r="M14" i="74"/>
  <c r="I40" i="77"/>
  <c r="M14" i="63"/>
  <c r="M20" i="65"/>
  <c r="M20" i="66"/>
  <c r="E16" i="70"/>
  <c r="F16" i="70" s="1"/>
  <c r="F21" i="70" s="1"/>
  <c r="I37" i="72"/>
  <c r="M14" i="78"/>
  <c r="F97" i="80"/>
  <c r="I40" i="80"/>
  <c r="I39" i="80"/>
  <c r="I11" i="74" l="1"/>
  <c r="F76" i="74"/>
  <c r="F21" i="20"/>
  <c r="F22" i="20" s="1"/>
  <c r="F23" i="20" s="1"/>
  <c r="F88" i="20"/>
  <c r="F87" i="20"/>
  <c r="I24" i="46"/>
  <c r="F115" i="46"/>
  <c r="I17" i="59"/>
  <c r="F89" i="59"/>
  <c r="F76" i="35"/>
  <c r="I11" i="35"/>
  <c r="F26" i="8"/>
  <c r="F21" i="35"/>
  <c r="F22" i="35" s="1"/>
  <c r="F23" i="35" s="1"/>
  <c r="F98" i="39"/>
  <c r="I14" i="39"/>
  <c r="F21" i="41"/>
  <c r="F22" i="41" s="1"/>
  <c r="F23" i="41" s="1"/>
  <c r="I24" i="43"/>
  <c r="F115" i="43"/>
  <c r="I17" i="22"/>
  <c r="F89" i="22"/>
  <c r="I18" i="56"/>
  <c r="F102" i="56"/>
  <c r="F21" i="2"/>
  <c r="F21" i="61"/>
  <c r="I17" i="31"/>
  <c r="F89" i="31"/>
  <c r="F89" i="44"/>
  <c r="I17" i="44"/>
  <c r="F88" i="46"/>
  <c r="F87" i="46"/>
  <c r="F21" i="62"/>
  <c r="F22" i="62" s="1"/>
  <c r="F23" i="62" s="1"/>
  <c r="F21" i="33"/>
  <c r="F22" i="33" s="1"/>
  <c r="F23" i="33" s="1"/>
  <c r="F64" i="46"/>
  <c r="I10" i="46"/>
  <c r="F89" i="74"/>
  <c r="I17" i="74"/>
  <c r="I18" i="67"/>
  <c r="F102" i="67"/>
  <c r="F26" i="52"/>
  <c r="F27" i="52"/>
  <c r="F74" i="37"/>
  <c r="F75" i="37"/>
  <c r="I11" i="44"/>
  <c r="F76" i="44"/>
  <c r="F98" i="38"/>
  <c r="F102" i="47"/>
  <c r="I18" i="47"/>
  <c r="I5" i="34"/>
  <c r="F24" i="34"/>
  <c r="I24" i="34"/>
  <c r="I26" i="34" s="1"/>
  <c r="F87" i="76"/>
  <c r="F88" i="76"/>
  <c r="I24" i="79"/>
  <c r="F115" i="79"/>
  <c r="I28" i="63"/>
  <c r="I30" i="63" s="1"/>
  <c r="I16" i="63"/>
  <c r="F19" i="30"/>
  <c r="I24" i="40"/>
  <c r="F115" i="40"/>
  <c r="F114" i="20"/>
  <c r="F113" i="20"/>
  <c r="F102" i="64"/>
  <c r="I18" i="64"/>
  <c r="F100" i="78"/>
  <c r="F101" i="78"/>
  <c r="F23" i="38"/>
  <c r="F22" i="38"/>
  <c r="F83" i="39"/>
  <c r="F84" i="39"/>
  <c r="F114" i="47"/>
  <c r="F113" i="47"/>
  <c r="F114" i="69"/>
  <c r="F113" i="69"/>
  <c r="F109" i="39"/>
  <c r="F110" i="39"/>
  <c r="F26" i="68"/>
  <c r="F27" i="68"/>
  <c r="F63" i="21"/>
  <c r="F62" i="21"/>
  <c r="I10" i="35"/>
  <c r="F64" i="35"/>
  <c r="I17" i="75"/>
  <c r="F89" i="75"/>
  <c r="F21" i="44"/>
  <c r="F22" i="44" s="1"/>
  <c r="F23" i="44" s="1"/>
  <c r="I28" i="72"/>
  <c r="I31" i="72" s="1"/>
  <c r="F114" i="65"/>
  <c r="F113" i="65"/>
  <c r="I11" i="43"/>
  <c r="F76" i="43"/>
  <c r="F22" i="27"/>
  <c r="F23" i="27"/>
  <c r="I24" i="41"/>
  <c r="F115" i="41"/>
  <c r="F100" i="20"/>
  <c r="F101" i="20"/>
  <c r="I18" i="77"/>
  <c r="F28" i="72"/>
  <c r="F76" i="71"/>
  <c r="I11" i="71"/>
  <c r="F74" i="70"/>
  <c r="F75" i="70"/>
  <c r="F76" i="77"/>
  <c r="I11" i="77"/>
  <c r="F26" i="79"/>
  <c r="F27" i="79"/>
  <c r="F87" i="62"/>
  <c r="F88" i="62"/>
  <c r="F101" i="1"/>
  <c r="F100" i="1"/>
  <c r="F100" i="58"/>
  <c r="F101" i="58"/>
  <c r="F64" i="42"/>
  <c r="I10" i="42"/>
  <c r="F75" i="9"/>
  <c r="F74" i="9"/>
  <c r="F71" i="28"/>
  <c r="F70" i="28"/>
  <c r="F88" i="15"/>
  <c r="F87" i="15"/>
  <c r="I10" i="52"/>
  <c r="F64" i="52"/>
  <c r="F21" i="40"/>
  <c r="F22" i="40" s="1"/>
  <c r="F23" i="40" s="1"/>
  <c r="I23" i="72"/>
  <c r="F22" i="28"/>
  <c r="F100" i="63"/>
  <c r="F101" i="71"/>
  <c r="F100" i="71"/>
  <c r="F18" i="29"/>
  <c r="F19" i="29" s="1"/>
  <c r="F87" i="60"/>
  <c r="F88" i="60"/>
  <c r="F115" i="72"/>
  <c r="I24" i="72"/>
  <c r="F87" i="68"/>
  <c r="F88" i="68"/>
  <c r="F74" i="58"/>
  <c r="F75" i="58"/>
  <c r="F114" i="75"/>
  <c r="F113" i="75"/>
  <c r="F22" i="2"/>
  <c r="F23" i="2" s="1"/>
  <c r="F27" i="2" s="1"/>
  <c r="F87" i="47"/>
  <c r="F88" i="47"/>
  <c r="F113" i="76"/>
  <c r="F114" i="76"/>
  <c r="F101" i="69"/>
  <c r="F100" i="69"/>
  <c r="F114" i="80"/>
  <c r="F113" i="80"/>
  <c r="F101" i="7"/>
  <c r="F100" i="7"/>
  <c r="F74" i="75"/>
  <c r="F75" i="75"/>
  <c r="F63" i="61"/>
  <c r="F62" i="61"/>
  <c r="F88" i="41"/>
  <c r="F87" i="41"/>
  <c r="F101" i="74"/>
  <c r="F100" i="74"/>
  <c r="F59" i="34"/>
  <c r="F58" i="34"/>
  <c r="F60" i="34" s="1"/>
  <c r="F88" i="56"/>
  <c r="F87" i="56"/>
  <c r="F75" i="69"/>
  <c r="F74" i="69"/>
  <c r="F74" i="52"/>
  <c r="F75" i="52"/>
  <c r="F101" i="33"/>
  <c r="F100" i="33"/>
  <c r="F27" i="3"/>
  <c r="F26" i="3"/>
  <c r="I9" i="3" s="1"/>
  <c r="F114" i="63"/>
  <c r="F113" i="63"/>
  <c r="F23" i="24"/>
  <c r="F22" i="24"/>
  <c r="F87" i="63"/>
  <c r="F88" i="63"/>
  <c r="F22" i="66"/>
  <c r="F23" i="66" s="1"/>
  <c r="F113" i="66"/>
  <c r="F114" i="66"/>
  <c r="F113" i="33"/>
  <c r="F114" i="33"/>
  <c r="F26" i="35"/>
  <c r="F27" i="35"/>
  <c r="F58" i="30"/>
  <c r="F59" i="30"/>
  <c r="F110" i="38"/>
  <c r="F109" i="38"/>
  <c r="F100" i="19"/>
  <c r="F101" i="19"/>
  <c r="F102" i="65"/>
  <c r="I18" i="65"/>
  <c r="F59" i="39"/>
  <c r="F58" i="39"/>
  <c r="I17" i="19"/>
  <c r="F89" i="19"/>
  <c r="F21" i="13"/>
  <c r="F27" i="73"/>
  <c r="F26" i="73"/>
  <c r="F22" i="75"/>
  <c r="F23" i="75" s="1"/>
  <c r="F87" i="65"/>
  <c r="F88" i="65"/>
  <c r="F113" i="78"/>
  <c r="F114" i="78"/>
  <c r="F114" i="68"/>
  <c r="F113" i="68"/>
  <c r="F101" i="52"/>
  <c r="F100" i="52"/>
  <c r="F26" i="47"/>
  <c r="F27" i="47"/>
  <c r="F22" i="31"/>
  <c r="F23" i="31" s="1"/>
  <c r="F84" i="30"/>
  <c r="F83" i="30"/>
  <c r="F110" i="24"/>
  <c r="F109" i="24"/>
  <c r="F74" i="19"/>
  <c r="F75" i="19"/>
  <c r="F100" i="9"/>
  <c r="F101" i="9"/>
  <c r="I24" i="21"/>
  <c r="F115" i="21"/>
  <c r="F63" i="56"/>
  <c r="F62" i="56"/>
  <c r="F100" i="76"/>
  <c r="F101" i="76"/>
  <c r="F64" i="59"/>
  <c r="I10" i="59"/>
  <c r="F75" i="33"/>
  <c r="F74" i="33"/>
  <c r="I29" i="72"/>
  <c r="F26" i="40"/>
  <c r="F27" i="40"/>
  <c r="F88" i="64"/>
  <c r="F87" i="64"/>
  <c r="F27" i="37"/>
  <c r="F26" i="37"/>
  <c r="F75" i="56"/>
  <c r="F74" i="56"/>
  <c r="F96" i="34"/>
  <c r="F97" i="34"/>
  <c r="F75" i="79"/>
  <c r="F74" i="79"/>
  <c r="F109" i="34"/>
  <c r="F110" i="34"/>
  <c r="F100" i="43"/>
  <c r="F101" i="43"/>
  <c r="F88" i="32"/>
  <c r="F87" i="32"/>
  <c r="F23" i="26"/>
  <c r="F22" i="26"/>
  <c r="F114" i="22"/>
  <c r="F113" i="22"/>
  <c r="I12" i="72"/>
  <c r="J12" i="72"/>
  <c r="F27" i="44"/>
  <c r="F26" i="44"/>
  <c r="F87" i="79"/>
  <c r="F88" i="79"/>
  <c r="F101" i="72"/>
  <c r="F100" i="72"/>
  <c r="F100" i="61"/>
  <c r="F101" i="61"/>
  <c r="F75" i="72"/>
  <c r="F74" i="72"/>
  <c r="F23" i="30"/>
  <c r="F22" i="30"/>
  <c r="F74" i="59"/>
  <c r="F75" i="59"/>
  <c r="F62" i="45"/>
  <c r="F63" i="45"/>
  <c r="F87" i="77"/>
  <c r="F88" i="77"/>
  <c r="F22" i="36"/>
  <c r="F23" i="36"/>
  <c r="F63" i="33"/>
  <c r="F62" i="33"/>
  <c r="F26" i="7"/>
  <c r="F27" i="7"/>
  <c r="F97" i="29"/>
  <c r="F96" i="29"/>
  <c r="F63" i="58"/>
  <c r="F62" i="58"/>
  <c r="F110" i="36"/>
  <c r="F109" i="36"/>
  <c r="I10" i="32"/>
  <c r="F64" i="32"/>
  <c r="F76" i="65"/>
  <c r="I11" i="65"/>
  <c r="F100" i="37"/>
  <c r="F101" i="37"/>
  <c r="F83" i="27"/>
  <c r="F84" i="27"/>
  <c r="F76" i="42"/>
  <c r="I11" i="42"/>
  <c r="F64" i="41"/>
  <c r="I10" i="41"/>
  <c r="F22" i="46"/>
  <c r="F23" i="46" s="1"/>
  <c r="F113" i="74"/>
  <c r="F114" i="74"/>
  <c r="F101" i="73"/>
  <c r="F100" i="73"/>
  <c r="F101" i="32"/>
  <c r="F100" i="32"/>
  <c r="F62" i="22"/>
  <c r="F63" i="22"/>
  <c r="F89" i="69"/>
  <c r="I17" i="69"/>
  <c r="F83" i="36"/>
  <c r="F84" i="36"/>
  <c r="F27" i="64"/>
  <c r="F26" i="64"/>
  <c r="F110" i="27"/>
  <c r="F109" i="27"/>
  <c r="F85" i="24"/>
  <c r="I13" i="24"/>
  <c r="F58" i="28"/>
  <c r="F59" i="28"/>
  <c r="F22" i="18"/>
  <c r="F23" i="18" s="1"/>
  <c r="F64" i="8"/>
  <c r="I10" i="8"/>
  <c r="F22" i="74"/>
  <c r="F23" i="74" s="1"/>
  <c r="F27" i="69"/>
  <c r="F26" i="69"/>
  <c r="F70" i="39"/>
  <c r="F71" i="39"/>
  <c r="F21" i="9"/>
  <c r="F70" i="24"/>
  <c r="F71" i="24"/>
  <c r="F22" i="22"/>
  <c r="F23" i="22" s="1"/>
  <c r="I20" i="28"/>
  <c r="F111" i="28"/>
  <c r="F26" i="32"/>
  <c r="F27" i="32"/>
  <c r="F85" i="28"/>
  <c r="I13" i="28"/>
  <c r="F101" i="14"/>
  <c r="F100" i="14"/>
  <c r="F113" i="59"/>
  <c r="F114" i="59"/>
  <c r="F74" i="8"/>
  <c r="F75" i="8"/>
  <c r="F84" i="34"/>
  <c r="F83" i="34"/>
  <c r="F113" i="19"/>
  <c r="F114" i="19"/>
  <c r="F113" i="15"/>
  <c r="F114" i="15"/>
  <c r="F74" i="1"/>
  <c r="F75" i="1"/>
  <c r="F62" i="1"/>
  <c r="F63" i="1"/>
  <c r="F27" i="33"/>
  <c r="F26" i="33"/>
  <c r="F26" i="19"/>
  <c r="F27" i="19"/>
  <c r="F87" i="67"/>
  <c r="F88" i="67"/>
  <c r="F62" i="16"/>
  <c r="F63" i="16"/>
  <c r="F27" i="77"/>
  <c r="F26" i="77"/>
  <c r="F114" i="14"/>
  <c r="F113" i="14"/>
  <c r="F88" i="11"/>
  <c r="F87" i="11"/>
  <c r="F87" i="3"/>
  <c r="F88" i="3"/>
  <c r="F87" i="33"/>
  <c r="F88" i="33"/>
  <c r="F88" i="10"/>
  <c r="F87" i="10"/>
  <c r="F63" i="4"/>
  <c r="F62" i="4"/>
  <c r="F27" i="45"/>
  <c r="F26" i="45"/>
  <c r="F63" i="14"/>
  <c r="F62" i="14"/>
  <c r="F74" i="80"/>
  <c r="F75" i="80"/>
  <c r="F63" i="63"/>
  <c r="F62" i="63"/>
  <c r="F113" i="12"/>
  <c r="F114" i="12"/>
  <c r="F75" i="10"/>
  <c r="F74" i="10"/>
  <c r="F100" i="18"/>
  <c r="F101" i="18"/>
  <c r="F87" i="8"/>
  <c r="F88" i="8"/>
  <c r="F74" i="2"/>
  <c r="F75" i="2"/>
  <c r="F101" i="10"/>
  <c r="F100" i="10"/>
  <c r="F87" i="1"/>
  <c r="F88" i="1"/>
  <c r="F100" i="12"/>
  <c r="F101" i="12"/>
  <c r="F100" i="75"/>
  <c r="F101" i="75"/>
  <c r="F101" i="62"/>
  <c r="F100" i="62"/>
  <c r="F113" i="18"/>
  <c r="F114" i="18"/>
  <c r="F27" i="56"/>
  <c r="F26" i="56"/>
  <c r="F27" i="59"/>
  <c r="F26" i="59"/>
  <c r="F22" i="21"/>
  <c r="F23" i="21" s="1"/>
  <c r="F75" i="61"/>
  <c r="F74" i="61"/>
  <c r="F23" i="39"/>
  <c r="F22" i="39"/>
  <c r="F22" i="15"/>
  <c r="F23" i="15" s="1"/>
  <c r="F109" i="26"/>
  <c r="F110" i="26"/>
  <c r="F88" i="14"/>
  <c r="F87" i="14"/>
  <c r="F63" i="9"/>
  <c r="F62" i="9"/>
  <c r="F74" i="18"/>
  <c r="F75" i="18"/>
  <c r="F114" i="7"/>
  <c r="F113" i="7"/>
  <c r="F113" i="1"/>
  <c r="F114" i="1"/>
  <c r="F100" i="2"/>
  <c r="F101" i="2"/>
  <c r="F27" i="43"/>
  <c r="F26" i="43"/>
  <c r="F87" i="71"/>
  <c r="F88" i="71"/>
  <c r="F59" i="24"/>
  <c r="F58" i="24"/>
  <c r="F74" i="16"/>
  <c r="F75" i="16"/>
  <c r="F26" i="20"/>
  <c r="F27" i="20"/>
  <c r="F114" i="60"/>
  <c r="F113" i="60"/>
  <c r="F75" i="66"/>
  <c r="F74" i="66"/>
  <c r="F113" i="56"/>
  <c r="F114" i="56"/>
  <c r="F27" i="65"/>
  <c r="F26" i="65"/>
  <c r="F58" i="29"/>
  <c r="F59" i="29"/>
  <c r="F100" i="16"/>
  <c r="F101" i="16"/>
  <c r="F63" i="15"/>
  <c r="F62" i="15"/>
  <c r="F22" i="11"/>
  <c r="F23" i="11" s="1"/>
  <c r="F114" i="11"/>
  <c r="F113" i="11"/>
  <c r="F113" i="2"/>
  <c r="F114" i="2"/>
  <c r="F74" i="46"/>
  <c r="F75" i="46"/>
  <c r="F87" i="43"/>
  <c r="F88" i="43"/>
  <c r="F70" i="38"/>
  <c r="F71" i="38"/>
  <c r="F58" i="36"/>
  <c r="F59" i="36"/>
  <c r="F58" i="27"/>
  <c r="F59" i="27"/>
  <c r="F22" i="12"/>
  <c r="F23" i="12" s="1"/>
  <c r="F75" i="12"/>
  <c r="F74" i="12"/>
  <c r="F114" i="4"/>
  <c r="F113" i="4"/>
  <c r="F100" i="3"/>
  <c r="F101" i="3"/>
  <c r="F70" i="27"/>
  <c r="F71" i="27"/>
  <c r="F62" i="18"/>
  <c r="F63" i="18"/>
  <c r="F22" i="13"/>
  <c r="F23" i="13" s="1"/>
  <c r="F114" i="3"/>
  <c r="F113" i="3"/>
  <c r="F115" i="37"/>
  <c r="I24" i="37"/>
  <c r="F85" i="38"/>
  <c r="I13" i="38"/>
  <c r="F22" i="58"/>
  <c r="F23" i="58" s="1"/>
  <c r="F113" i="31"/>
  <c r="F114" i="31"/>
  <c r="F101" i="13"/>
  <c r="F100" i="13"/>
  <c r="F22" i="67"/>
  <c r="F23" i="67" s="1"/>
  <c r="F62" i="13"/>
  <c r="F63" i="13"/>
  <c r="F101" i="11"/>
  <c r="F100" i="11"/>
  <c r="F75" i="3"/>
  <c r="F74" i="3"/>
  <c r="F64" i="43"/>
  <c r="I10" i="43"/>
  <c r="F88" i="9"/>
  <c r="F87" i="9"/>
  <c r="F101" i="4"/>
  <c r="F100" i="4"/>
  <c r="F87" i="18"/>
  <c r="F88" i="18"/>
  <c r="F88" i="13"/>
  <c r="F87" i="13"/>
  <c r="F62" i="11"/>
  <c r="F63" i="11"/>
  <c r="F27" i="42"/>
  <c r="F26" i="42"/>
  <c r="F89" i="45"/>
  <c r="I17" i="45"/>
  <c r="F63" i="80"/>
  <c r="F62" i="80"/>
  <c r="F63" i="76"/>
  <c r="F62" i="76"/>
  <c r="F88" i="72"/>
  <c r="F87" i="72"/>
  <c r="F63" i="71"/>
  <c r="F62" i="71"/>
  <c r="F75" i="68"/>
  <c r="F74" i="68"/>
  <c r="F62" i="64"/>
  <c r="F63" i="64"/>
  <c r="F62" i="60"/>
  <c r="F63" i="60"/>
  <c r="I16" i="78"/>
  <c r="I28" i="78"/>
  <c r="I9" i="78"/>
  <c r="I23" i="78"/>
  <c r="F28" i="78"/>
  <c r="F64" i="78"/>
  <c r="I10" i="78"/>
  <c r="F97" i="26"/>
  <c r="F96" i="26"/>
  <c r="F97" i="24"/>
  <c r="F96" i="24"/>
  <c r="F89" i="16"/>
  <c r="I17" i="16"/>
  <c r="F22" i="70"/>
  <c r="F23" i="70" s="1"/>
  <c r="F22" i="80"/>
  <c r="F23" i="80" s="1"/>
  <c r="F63" i="79"/>
  <c r="F62" i="79"/>
  <c r="F22" i="71"/>
  <c r="F23" i="71" s="1"/>
  <c r="F74" i="67"/>
  <c r="F75" i="67"/>
  <c r="F63" i="62"/>
  <c r="F62" i="62"/>
  <c r="F109" i="30"/>
  <c r="F110" i="30"/>
  <c r="F22" i="4"/>
  <c r="F23" i="4" s="1"/>
  <c r="F100" i="45"/>
  <c r="F101" i="45"/>
  <c r="F74" i="41"/>
  <c r="F75" i="41"/>
  <c r="F87" i="37"/>
  <c r="F88" i="37"/>
  <c r="F70" i="30"/>
  <c r="F71" i="30"/>
  <c r="F75" i="21"/>
  <c r="F74" i="21"/>
  <c r="F22" i="14"/>
  <c r="F23" i="14" s="1"/>
  <c r="F75" i="13"/>
  <c r="F74" i="13"/>
  <c r="F87" i="4"/>
  <c r="F88" i="4"/>
  <c r="F97" i="28"/>
  <c r="F96" i="28"/>
  <c r="F101" i="22"/>
  <c r="F100" i="22"/>
  <c r="F113" i="16"/>
  <c r="F114" i="16"/>
  <c r="F88" i="12"/>
  <c r="F87" i="12"/>
  <c r="F74" i="11"/>
  <c r="F75" i="11"/>
  <c r="F63" i="10"/>
  <c r="F62" i="10"/>
  <c r="F63" i="7"/>
  <c r="F62" i="7"/>
  <c r="F22" i="1"/>
  <c r="F23" i="1" s="1"/>
  <c r="F72" i="36"/>
  <c r="I7" i="36"/>
  <c r="F100" i="80"/>
  <c r="F101" i="80"/>
  <c r="F89" i="80"/>
  <c r="I17" i="80"/>
  <c r="F75" i="78"/>
  <c r="F74" i="78"/>
  <c r="F113" i="58"/>
  <c r="F114" i="58"/>
  <c r="F21" i="16"/>
  <c r="F74" i="15"/>
  <c r="F75" i="15"/>
  <c r="F75" i="14"/>
  <c r="F74" i="14"/>
  <c r="F63" i="3"/>
  <c r="F62" i="3"/>
  <c r="I10" i="3" s="1"/>
  <c r="F100" i="44"/>
  <c r="F101" i="44"/>
  <c r="F89" i="70"/>
  <c r="I17" i="70"/>
  <c r="F62" i="12"/>
  <c r="F63" i="12"/>
  <c r="F114" i="10"/>
  <c r="F113" i="10"/>
  <c r="F101" i="8"/>
  <c r="F100" i="8"/>
  <c r="F74" i="4"/>
  <c r="F75" i="4"/>
  <c r="F88" i="2"/>
  <c r="F87" i="2"/>
  <c r="F62" i="2"/>
  <c r="F63" i="2"/>
  <c r="F27" i="10"/>
  <c r="F26" i="10"/>
  <c r="F76" i="40"/>
  <c r="I11" i="40"/>
  <c r="I9" i="8"/>
  <c r="I23" i="8"/>
  <c r="F28" i="8"/>
  <c r="I28" i="8"/>
  <c r="I16" i="8"/>
  <c r="F114" i="9"/>
  <c r="F113" i="9"/>
  <c r="F87" i="7"/>
  <c r="F88" i="7"/>
  <c r="F100" i="15"/>
  <c r="F101" i="15"/>
  <c r="F113" i="13"/>
  <c r="F114" i="13"/>
  <c r="F115" i="8"/>
  <c r="I24" i="8"/>
  <c r="F87" i="78"/>
  <c r="F88" i="78"/>
  <c r="F75" i="76"/>
  <c r="F74" i="76"/>
  <c r="F63" i="74"/>
  <c r="F62" i="74"/>
  <c r="F75" i="73"/>
  <c r="F74" i="73"/>
  <c r="F114" i="70"/>
  <c r="F113" i="70"/>
  <c r="F62" i="68"/>
  <c r="F63" i="68"/>
  <c r="F74" i="64"/>
  <c r="F75" i="64"/>
  <c r="F76" i="60"/>
  <c r="I11" i="60"/>
  <c r="F26" i="60"/>
  <c r="F27" i="60"/>
  <c r="F27" i="76"/>
  <c r="F26" i="76"/>
  <c r="F58" i="26"/>
  <c r="F59" i="26"/>
  <c r="I13" i="26"/>
  <c r="F85" i="26"/>
  <c r="I6" i="34"/>
  <c r="I12" i="3" l="1"/>
  <c r="F89" i="76"/>
  <c r="I17" i="76"/>
  <c r="F76" i="37"/>
  <c r="I11" i="37"/>
  <c r="J9" i="34"/>
  <c r="I9" i="34"/>
  <c r="F22" i="61"/>
  <c r="F23" i="61" s="1"/>
  <c r="F27" i="41"/>
  <c r="F26" i="41"/>
  <c r="F28" i="52"/>
  <c r="I9" i="52"/>
  <c r="I23" i="52"/>
  <c r="I16" i="52"/>
  <c r="I28" i="52"/>
  <c r="F26" i="62"/>
  <c r="F27" i="62"/>
  <c r="F89" i="46"/>
  <c r="I17" i="46"/>
  <c r="I24" i="20"/>
  <c r="F115" i="20"/>
  <c r="I17" i="20"/>
  <c r="F89" i="20"/>
  <c r="F102" i="78"/>
  <c r="I18" i="78"/>
  <c r="F22" i="29"/>
  <c r="F23" i="29"/>
  <c r="I24" i="28"/>
  <c r="I5" i="28"/>
  <c r="I12" i="28"/>
  <c r="I15" i="28" s="1"/>
  <c r="F24" i="28"/>
  <c r="I19" i="28"/>
  <c r="I18" i="1"/>
  <c r="F102" i="1"/>
  <c r="I18" i="71"/>
  <c r="F102" i="71"/>
  <c r="I12" i="52"/>
  <c r="J12" i="52"/>
  <c r="F28" i="79"/>
  <c r="I16" i="79"/>
  <c r="I23" i="79"/>
  <c r="I9" i="79"/>
  <c r="I28" i="79"/>
  <c r="F76" i="70"/>
  <c r="I11" i="70"/>
  <c r="I16" i="68"/>
  <c r="I9" i="68"/>
  <c r="I28" i="68"/>
  <c r="I33" i="68" s="1"/>
  <c r="I23" i="68"/>
  <c r="F28" i="68"/>
  <c r="I13" i="39"/>
  <c r="F85" i="39"/>
  <c r="F72" i="28"/>
  <c r="I7" i="28"/>
  <c r="F115" i="69"/>
  <c r="I24" i="69"/>
  <c r="I33" i="72"/>
  <c r="F89" i="60"/>
  <c r="I17" i="60"/>
  <c r="J25" i="72"/>
  <c r="I25" i="72"/>
  <c r="I17" i="15"/>
  <c r="F89" i="15"/>
  <c r="I11" i="9"/>
  <c r="F76" i="9"/>
  <c r="I24" i="65"/>
  <c r="F115" i="65"/>
  <c r="I10" i="21"/>
  <c r="F64" i="21"/>
  <c r="F115" i="47"/>
  <c r="I24" i="47"/>
  <c r="F24" i="38"/>
  <c r="I24" i="38"/>
  <c r="I19" i="38"/>
  <c r="I5" i="38"/>
  <c r="I12" i="38"/>
  <c r="I33" i="63"/>
  <c r="I18" i="63"/>
  <c r="F102" i="63"/>
  <c r="F102" i="58"/>
  <c r="I18" i="58"/>
  <c r="F89" i="62"/>
  <c r="I17" i="62"/>
  <c r="I18" i="20"/>
  <c r="F102" i="20"/>
  <c r="I12" i="27"/>
  <c r="I5" i="27"/>
  <c r="I24" i="27"/>
  <c r="I29" i="27" s="1"/>
  <c r="I19" i="27"/>
  <c r="F24" i="27"/>
  <c r="F111" i="39"/>
  <c r="I20" i="39"/>
  <c r="F27" i="74"/>
  <c r="F26" i="74"/>
  <c r="F26" i="75"/>
  <c r="F27" i="75"/>
  <c r="F27" i="46"/>
  <c r="F26" i="46"/>
  <c r="F27" i="31"/>
  <c r="F26" i="31"/>
  <c r="F26" i="18"/>
  <c r="F27" i="18"/>
  <c r="F26" i="22"/>
  <c r="F27" i="22"/>
  <c r="I17" i="77"/>
  <c r="F89" i="77"/>
  <c r="F102" i="43"/>
  <c r="I18" i="43"/>
  <c r="I23" i="73"/>
  <c r="I16" i="73"/>
  <c r="F28" i="73"/>
  <c r="I9" i="73"/>
  <c r="I28" i="73"/>
  <c r="I20" i="38"/>
  <c r="F111" i="38"/>
  <c r="I18" i="33"/>
  <c r="F102" i="33"/>
  <c r="I17" i="41"/>
  <c r="F89" i="41"/>
  <c r="F115" i="80"/>
  <c r="I24" i="80"/>
  <c r="I25" i="34"/>
  <c r="F26" i="2"/>
  <c r="I16" i="2" s="1"/>
  <c r="I13" i="36"/>
  <c r="F85" i="36"/>
  <c r="F64" i="22"/>
  <c r="I10" i="22"/>
  <c r="I18" i="37"/>
  <c r="F102" i="37"/>
  <c r="I5" i="30"/>
  <c r="F24" i="30"/>
  <c r="I24" i="30"/>
  <c r="I12" i="30"/>
  <c r="I19" i="30"/>
  <c r="F115" i="22"/>
  <c r="I24" i="22"/>
  <c r="F89" i="32"/>
  <c r="I17" i="32"/>
  <c r="I23" i="37"/>
  <c r="I25" i="37" s="1"/>
  <c r="I9" i="37"/>
  <c r="I16" i="37"/>
  <c r="F28" i="37"/>
  <c r="I28" i="37"/>
  <c r="I11" i="19"/>
  <c r="F76" i="19"/>
  <c r="I28" i="47"/>
  <c r="I16" i="47"/>
  <c r="F28" i="47"/>
  <c r="I23" i="47"/>
  <c r="I9" i="47"/>
  <c r="I17" i="65"/>
  <c r="F89" i="65"/>
  <c r="I16" i="35"/>
  <c r="I9" i="35"/>
  <c r="I28" i="35"/>
  <c r="I23" i="35"/>
  <c r="F28" i="35"/>
  <c r="I24" i="66"/>
  <c r="F115" i="66"/>
  <c r="I17" i="63"/>
  <c r="F89" i="63"/>
  <c r="I32" i="63"/>
  <c r="F76" i="75"/>
  <c r="I11" i="75"/>
  <c r="I24" i="76"/>
  <c r="F115" i="76"/>
  <c r="F76" i="58"/>
  <c r="I11" i="58"/>
  <c r="I28" i="32"/>
  <c r="I23" i="32"/>
  <c r="F28" i="32"/>
  <c r="I9" i="32"/>
  <c r="I16" i="32"/>
  <c r="F22" i="9"/>
  <c r="F23" i="9" s="1"/>
  <c r="F111" i="27"/>
  <c r="I20" i="27"/>
  <c r="I18" i="73"/>
  <c r="F102" i="73"/>
  <c r="F64" i="58"/>
  <c r="I10" i="58"/>
  <c r="F76" i="59"/>
  <c r="I11" i="59"/>
  <c r="I24" i="68"/>
  <c r="F115" i="68"/>
  <c r="I31" i="68"/>
  <c r="F115" i="63"/>
  <c r="I24" i="63"/>
  <c r="I31" i="63"/>
  <c r="F76" i="69"/>
  <c r="I11" i="69"/>
  <c r="F72" i="39"/>
  <c r="I7" i="39"/>
  <c r="I6" i="28"/>
  <c r="I25" i="28"/>
  <c r="F60" i="28"/>
  <c r="I28" i="64"/>
  <c r="I30" i="64" s="1"/>
  <c r="F28" i="64"/>
  <c r="I9" i="64"/>
  <c r="I23" i="64"/>
  <c r="I16" i="64"/>
  <c r="I18" i="32"/>
  <c r="F102" i="32"/>
  <c r="I20" i="36"/>
  <c r="F111" i="36"/>
  <c r="I16" i="7"/>
  <c r="F28" i="7"/>
  <c r="I9" i="7"/>
  <c r="I23" i="7"/>
  <c r="I28" i="7"/>
  <c r="I5" i="36"/>
  <c r="I12" i="36"/>
  <c r="I19" i="36"/>
  <c r="F24" i="36"/>
  <c r="I24" i="36"/>
  <c r="F64" i="45"/>
  <c r="I10" i="45"/>
  <c r="F102" i="61"/>
  <c r="I18" i="61"/>
  <c r="I17" i="79"/>
  <c r="F89" i="79"/>
  <c r="I32" i="79"/>
  <c r="I27" i="34"/>
  <c r="F111" i="34"/>
  <c r="I20" i="34"/>
  <c r="I14" i="34"/>
  <c r="F98" i="34"/>
  <c r="I29" i="34"/>
  <c r="I9" i="40"/>
  <c r="J13" i="40" s="1"/>
  <c r="I16" i="40"/>
  <c r="F28" i="40"/>
  <c r="I23" i="40"/>
  <c r="I28" i="40"/>
  <c r="I11" i="33"/>
  <c r="F76" i="33"/>
  <c r="F64" i="56"/>
  <c r="I10" i="56"/>
  <c r="F111" i="24"/>
  <c r="I20" i="24"/>
  <c r="I18" i="52"/>
  <c r="F102" i="52"/>
  <c r="F60" i="39"/>
  <c r="I6" i="39"/>
  <c r="F27" i="66"/>
  <c r="F26" i="66"/>
  <c r="I12" i="24"/>
  <c r="I19" i="24"/>
  <c r="I24" i="24"/>
  <c r="I29" i="24" s="1"/>
  <c r="I5" i="24"/>
  <c r="F24" i="24"/>
  <c r="I28" i="3"/>
  <c r="I23" i="3"/>
  <c r="F28" i="3"/>
  <c r="I16" i="3"/>
  <c r="F89" i="56"/>
  <c r="I17" i="56"/>
  <c r="I18" i="74"/>
  <c r="F102" i="74"/>
  <c r="I10" i="61"/>
  <c r="F64" i="61"/>
  <c r="I18" i="7"/>
  <c r="F102" i="7"/>
  <c r="F102" i="69"/>
  <c r="I18" i="69"/>
  <c r="F115" i="75"/>
  <c r="I24" i="75"/>
  <c r="I13" i="30"/>
  <c r="F85" i="30"/>
  <c r="I21" i="28"/>
  <c r="J21" i="28"/>
  <c r="F72" i="24"/>
  <c r="I7" i="24"/>
  <c r="I28" i="69"/>
  <c r="F28" i="69"/>
  <c r="I16" i="69"/>
  <c r="I23" i="69"/>
  <c r="I9" i="69"/>
  <c r="I24" i="74"/>
  <c r="F115" i="74"/>
  <c r="I13" i="27"/>
  <c r="F85" i="27"/>
  <c r="F98" i="29"/>
  <c r="I14" i="29"/>
  <c r="I10" i="33"/>
  <c r="F64" i="33"/>
  <c r="F76" i="72"/>
  <c r="I11" i="72"/>
  <c r="F102" i="72"/>
  <c r="I18" i="72"/>
  <c r="I16" i="44"/>
  <c r="I23" i="44"/>
  <c r="F28" i="44"/>
  <c r="I9" i="44"/>
  <c r="I28" i="44"/>
  <c r="I12" i="26"/>
  <c r="I15" i="26" s="1"/>
  <c r="F24" i="26"/>
  <c r="I5" i="26"/>
  <c r="I24" i="26"/>
  <c r="I19" i="26"/>
  <c r="F76" i="79"/>
  <c r="I11" i="79"/>
  <c r="I30" i="79"/>
  <c r="F76" i="56"/>
  <c r="I11" i="56"/>
  <c r="F89" i="64"/>
  <c r="I17" i="64"/>
  <c r="I30" i="72"/>
  <c r="I18" i="76"/>
  <c r="F102" i="76"/>
  <c r="F102" i="9"/>
  <c r="I18" i="9"/>
  <c r="I24" i="78"/>
  <c r="F115" i="78"/>
  <c r="I18" i="19"/>
  <c r="F102" i="19"/>
  <c r="I6" i="30"/>
  <c r="F60" i="30"/>
  <c r="F115" i="33"/>
  <c r="I24" i="33"/>
  <c r="I11" i="52"/>
  <c r="F76" i="52"/>
  <c r="F89" i="47"/>
  <c r="I17" i="47"/>
  <c r="F89" i="68"/>
  <c r="I17" i="68"/>
  <c r="I32" i="68"/>
  <c r="F27" i="80"/>
  <c r="F26" i="80"/>
  <c r="F27" i="12"/>
  <c r="F26" i="12"/>
  <c r="F26" i="4"/>
  <c r="F27" i="4"/>
  <c r="F27" i="13"/>
  <c r="F26" i="13"/>
  <c r="F27" i="14"/>
  <c r="F26" i="14"/>
  <c r="F27" i="15"/>
  <c r="F26" i="15"/>
  <c r="F27" i="11"/>
  <c r="F26" i="11"/>
  <c r="F26" i="21"/>
  <c r="F27" i="21"/>
  <c r="I6" i="26"/>
  <c r="F60" i="26"/>
  <c r="I16" i="60"/>
  <c r="I9" i="60"/>
  <c r="I28" i="60"/>
  <c r="I23" i="60"/>
  <c r="F28" i="60"/>
  <c r="I11" i="64"/>
  <c r="F76" i="64"/>
  <c r="F89" i="78"/>
  <c r="I17" i="78"/>
  <c r="I19" i="78" s="1"/>
  <c r="I18" i="15"/>
  <c r="F102" i="15"/>
  <c r="J25" i="8"/>
  <c r="I25" i="8"/>
  <c r="I11" i="4"/>
  <c r="F76" i="4"/>
  <c r="F64" i="10"/>
  <c r="I10" i="10"/>
  <c r="F89" i="12"/>
  <c r="I17" i="12"/>
  <c r="F102" i="22"/>
  <c r="I18" i="22"/>
  <c r="I10" i="62"/>
  <c r="F64" i="62"/>
  <c r="I33" i="78"/>
  <c r="I31" i="78"/>
  <c r="I32" i="78"/>
  <c r="I29" i="78"/>
  <c r="I30" i="78"/>
  <c r="F64" i="71"/>
  <c r="I10" i="71"/>
  <c r="I10" i="80"/>
  <c r="F64" i="80"/>
  <c r="I16" i="42"/>
  <c r="F28" i="42"/>
  <c r="I9" i="42"/>
  <c r="I28" i="42"/>
  <c r="I23" i="42"/>
  <c r="F89" i="13"/>
  <c r="I17" i="13"/>
  <c r="F102" i="4"/>
  <c r="I18" i="4"/>
  <c r="I11" i="3"/>
  <c r="F76" i="3"/>
  <c r="I30" i="3"/>
  <c r="I18" i="13"/>
  <c r="F102" i="13"/>
  <c r="I24" i="4"/>
  <c r="F115" i="4"/>
  <c r="F28" i="65"/>
  <c r="I23" i="65"/>
  <c r="I16" i="65"/>
  <c r="I9" i="65"/>
  <c r="I28" i="65"/>
  <c r="F76" i="66"/>
  <c r="I11" i="66"/>
  <c r="I6" i="24"/>
  <c r="F60" i="24"/>
  <c r="I28" i="43"/>
  <c r="I9" i="43"/>
  <c r="F28" i="43"/>
  <c r="I23" i="43"/>
  <c r="I16" i="43"/>
  <c r="I17" i="14"/>
  <c r="F89" i="14"/>
  <c r="I11" i="61"/>
  <c r="F76" i="61"/>
  <c r="I28" i="59"/>
  <c r="I16" i="59"/>
  <c r="I9" i="59"/>
  <c r="I23" i="59"/>
  <c r="F28" i="59"/>
  <c r="I16" i="45"/>
  <c r="I23" i="45"/>
  <c r="I28" i="45"/>
  <c r="F28" i="45"/>
  <c r="I9" i="45"/>
  <c r="I17" i="10"/>
  <c r="F89" i="10"/>
  <c r="F115" i="14"/>
  <c r="I24" i="14"/>
  <c r="I13" i="34"/>
  <c r="I28" i="34"/>
  <c r="F85" i="34"/>
  <c r="I23" i="76"/>
  <c r="F28" i="76"/>
  <c r="I16" i="76"/>
  <c r="I28" i="76"/>
  <c r="I9" i="76"/>
  <c r="F76" i="73"/>
  <c r="I11" i="73"/>
  <c r="I30" i="73"/>
  <c r="F76" i="76"/>
  <c r="I11" i="76"/>
  <c r="J12" i="8"/>
  <c r="I12" i="8"/>
  <c r="F89" i="2"/>
  <c r="I17" i="2"/>
  <c r="I18" i="8"/>
  <c r="J20" i="8" s="1"/>
  <c r="F102" i="8"/>
  <c r="F64" i="3"/>
  <c r="I29" i="3"/>
  <c r="F115" i="58"/>
  <c r="I24" i="58"/>
  <c r="F27" i="1"/>
  <c r="F26" i="1"/>
  <c r="F89" i="4"/>
  <c r="I17" i="4"/>
  <c r="F72" i="30"/>
  <c r="I7" i="30"/>
  <c r="I11" i="41"/>
  <c r="F76" i="41"/>
  <c r="F27" i="71"/>
  <c r="F26" i="71"/>
  <c r="I14" i="26"/>
  <c r="F98" i="26"/>
  <c r="I20" i="78"/>
  <c r="J20" i="78"/>
  <c r="I10" i="64"/>
  <c r="F64" i="64"/>
  <c r="I10" i="13"/>
  <c r="F64" i="13"/>
  <c r="I7" i="27"/>
  <c r="F72" i="27"/>
  <c r="F60" i="36"/>
  <c r="I6" i="36"/>
  <c r="I25" i="36"/>
  <c r="I17" i="43"/>
  <c r="F89" i="43"/>
  <c r="F115" i="2"/>
  <c r="I24" i="2"/>
  <c r="I18" i="16"/>
  <c r="F102" i="16"/>
  <c r="I28" i="20"/>
  <c r="F28" i="20"/>
  <c r="I23" i="20"/>
  <c r="I16" i="20"/>
  <c r="I9" i="20"/>
  <c r="I24" i="1"/>
  <c r="F115" i="1"/>
  <c r="F76" i="18"/>
  <c r="I11" i="18"/>
  <c r="F115" i="18"/>
  <c r="I24" i="18"/>
  <c r="I18" i="75"/>
  <c r="F102" i="75"/>
  <c r="F89" i="1"/>
  <c r="I17" i="1"/>
  <c r="I11" i="2"/>
  <c r="F76" i="2"/>
  <c r="I18" i="18"/>
  <c r="F102" i="18"/>
  <c r="F115" i="12"/>
  <c r="I24" i="12"/>
  <c r="F76" i="80"/>
  <c r="I11" i="80"/>
  <c r="I17" i="3"/>
  <c r="F89" i="3"/>
  <c r="I32" i="3"/>
  <c r="F64" i="16"/>
  <c r="I10" i="16"/>
  <c r="I16" i="19"/>
  <c r="F28" i="19"/>
  <c r="I28" i="19"/>
  <c r="I23" i="19"/>
  <c r="I9" i="19"/>
  <c r="F64" i="1"/>
  <c r="I10" i="1"/>
  <c r="F115" i="15"/>
  <c r="I24" i="15"/>
  <c r="F115" i="59"/>
  <c r="I24" i="59"/>
  <c r="J15" i="26"/>
  <c r="I24" i="13"/>
  <c r="F115" i="13"/>
  <c r="I17" i="7"/>
  <c r="I32" i="7"/>
  <c r="F89" i="7"/>
  <c r="I31" i="8"/>
  <c r="I32" i="8"/>
  <c r="I33" i="8"/>
  <c r="I30" i="8"/>
  <c r="I29" i="8"/>
  <c r="I10" i="2"/>
  <c r="F64" i="2"/>
  <c r="F64" i="12"/>
  <c r="I10" i="12"/>
  <c r="I18" i="44"/>
  <c r="F102" i="44"/>
  <c r="F76" i="15"/>
  <c r="I11" i="15"/>
  <c r="I11" i="78"/>
  <c r="J13" i="78" s="1"/>
  <c r="F76" i="78"/>
  <c r="I29" i="7"/>
  <c r="F64" i="7"/>
  <c r="I10" i="7"/>
  <c r="F98" i="28"/>
  <c r="I29" i="28"/>
  <c r="I14" i="28"/>
  <c r="F76" i="13"/>
  <c r="I11" i="13"/>
  <c r="F76" i="21"/>
  <c r="I11" i="21"/>
  <c r="I10" i="79"/>
  <c r="F64" i="79"/>
  <c r="I29" i="79"/>
  <c r="F27" i="70"/>
  <c r="F26" i="70"/>
  <c r="J25" i="78"/>
  <c r="I25" i="78"/>
  <c r="I11" i="68"/>
  <c r="I30" i="68"/>
  <c r="F76" i="68"/>
  <c r="F89" i="72"/>
  <c r="I17" i="72"/>
  <c r="I32" i="72"/>
  <c r="F64" i="76"/>
  <c r="I10" i="76"/>
  <c r="I17" i="9"/>
  <c r="F89" i="9"/>
  <c r="F102" i="11"/>
  <c r="I18" i="11"/>
  <c r="F27" i="67"/>
  <c r="F26" i="67"/>
  <c r="F26" i="58"/>
  <c r="F27" i="58"/>
  <c r="F115" i="3"/>
  <c r="I24" i="3"/>
  <c r="I31" i="3"/>
  <c r="F76" i="12"/>
  <c r="I11" i="12"/>
  <c r="F115" i="11"/>
  <c r="I24" i="11"/>
  <c r="I10" i="15"/>
  <c r="F64" i="15"/>
  <c r="F115" i="60"/>
  <c r="I24" i="60"/>
  <c r="F115" i="7"/>
  <c r="I24" i="7"/>
  <c r="I31" i="7"/>
  <c r="I10" i="9"/>
  <c r="F64" i="9"/>
  <c r="I24" i="39"/>
  <c r="I19" i="39"/>
  <c r="F24" i="39"/>
  <c r="I5" i="39"/>
  <c r="I12" i="39"/>
  <c r="F28" i="56"/>
  <c r="I16" i="56"/>
  <c r="I28" i="56"/>
  <c r="I9" i="56"/>
  <c r="I23" i="56"/>
  <c r="I18" i="62"/>
  <c r="F102" i="62"/>
  <c r="F102" i="10"/>
  <c r="I18" i="10"/>
  <c r="I11" i="10"/>
  <c r="F76" i="10"/>
  <c r="F64" i="63"/>
  <c r="I10" i="63"/>
  <c r="I29" i="63"/>
  <c r="I10" i="14"/>
  <c r="F64" i="14"/>
  <c r="I10" i="4"/>
  <c r="F64" i="4"/>
  <c r="I17" i="11"/>
  <c r="F89" i="11"/>
  <c r="I28" i="77"/>
  <c r="I9" i="77"/>
  <c r="I23" i="77"/>
  <c r="F28" i="77"/>
  <c r="I16" i="77"/>
  <c r="I28" i="33"/>
  <c r="I16" i="33"/>
  <c r="I9" i="33"/>
  <c r="I23" i="33"/>
  <c r="F28" i="33"/>
  <c r="I18" i="14"/>
  <c r="F102" i="14"/>
  <c r="I10" i="68"/>
  <c r="F64" i="68"/>
  <c r="I29" i="68"/>
  <c r="I8" i="34"/>
  <c r="J8" i="34"/>
  <c r="I24" i="70"/>
  <c r="F115" i="70"/>
  <c r="F64" i="74"/>
  <c r="I10" i="74"/>
  <c r="I24" i="9"/>
  <c r="F115" i="9"/>
  <c r="F28" i="10"/>
  <c r="I28" i="10"/>
  <c r="I23" i="10"/>
  <c r="I9" i="10"/>
  <c r="I16" i="10"/>
  <c r="I23" i="2"/>
  <c r="I24" i="10"/>
  <c r="F115" i="10"/>
  <c r="F76" i="14"/>
  <c r="I11" i="14"/>
  <c r="F22" i="16"/>
  <c r="F23" i="16" s="1"/>
  <c r="I18" i="80"/>
  <c r="F102" i="80"/>
  <c r="J9" i="36"/>
  <c r="I9" i="36"/>
  <c r="F76" i="11"/>
  <c r="I11" i="11"/>
  <c r="F115" i="16"/>
  <c r="I24" i="16"/>
  <c r="F89" i="37"/>
  <c r="I17" i="37"/>
  <c r="F102" i="45"/>
  <c r="I18" i="45"/>
  <c r="F111" i="30"/>
  <c r="I20" i="30"/>
  <c r="F76" i="67"/>
  <c r="I11" i="67"/>
  <c r="I14" i="24"/>
  <c r="F98" i="24"/>
  <c r="I13" i="78"/>
  <c r="J12" i="78"/>
  <c r="I12" i="78"/>
  <c r="F64" i="60"/>
  <c r="I10" i="60"/>
  <c r="I10" i="11"/>
  <c r="F64" i="11"/>
  <c r="I17" i="18"/>
  <c r="F89" i="18"/>
  <c r="F115" i="31"/>
  <c r="I24" i="31"/>
  <c r="J15" i="38"/>
  <c r="I15" i="38"/>
  <c r="F64" i="18"/>
  <c r="I10" i="18"/>
  <c r="I18" i="3"/>
  <c r="F102" i="3"/>
  <c r="I33" i="3"/>
  <c r="F60" i="27"/>
  <c r="I6" i="27"/>
  <c r="F72" i="38"/>
  <c r="I7" i="38"/>
  <c r="F76" i="46"/>
  <c r="I11" i="46"/>
  <c r="F60" i="29"/>
  <c r="I6" i="29"/>
  <c r="F115" i="56"/>
  <c r="I24" i="56"/>
  <c r="F76" i="16"/>
  <c r="I11" i="16"/>
  <c r="I17" i="71"/>
  <c r="F89" i="71"/>
  <c r="F102" i="2"/>
  <c r="I18" i="2"/>
  <c r="F111" i="26"/>
  <c r="I20" i="26"/>
  <c r="I18" i="12"/>
  <c r="F102" i="12"/>
  <c r="I17" i="8"/>
  <c r="J19" i="8" s="1"/>
  <c r="F89" i="8"/>
  <c r="I17" i="33"/>
  <c r="F89" i="33"/>
  <c r="F89" i="67"/>
  <c r="I17" i="67"/>
  <c r="F76" i="1"/>
  <c r="I11" i="1"/>
  <c r="F115" i="19"/>
  <c r="I24" i="19"/>
  <c r="F76" i="8"/>
  <c r="I11" i="8"/>
  <c r="I13" i="8" s="1"/>
  <c r="F26" i="61" l="1"/>
  <c r="F27" i="61"/>
  <c r="I25" i="27"/>
  <c r="J15" i="28"/>
  <c r="F28" i="62"/>
  <c r="I23" i="62"/>
  <c r="I9" i="62"/>
  <c r="J12" i="62" s="1"/>
  <c r="I16" i="62"/>
  <c r="I28" i="62"/>
  <c r="J19" i="52"/>
  <c r="I19" i="52"/>
  <c r="I28" i="27"/>
  <c r="I9" i="28"/>
  <c r="I25" i="52"/>
  <c r="J25" i="52"/>
  <c r="I33" i="52"/>
  <c r="I31" i="52"/>
  <c r="I32" i="52"/>
  <c r="I30" i="52"/>
  <c r="I29" i="52"/>
  <c r="I13" i="40"/>
  <c r="I27" i="27"/>
  <c r="I26" i="27"/>
  <c r="I19" i="62"/>
  <c r="I28" i="41"/>
  <c r="F28" i="41"/>
  <c r="I9" i="41"/>
  <c r="I16" i="41"/>
  <c r="I23" i="41"/>
  <c r="I29" i="38"/>
  <c r="I25" i="38"/>
  <c r="I26" i="38"/>
  <c r="I28" i="38"/>
  <c r="I27" i="38"/>
  <c r="I20" i="68"/>
  <c r="J20" i="68"/>
  <c r="J16" i="27"/>
  <c r="I16" i="27"/>
  <c r="I20" i="63"/>
  <c r="J20" i="63"/>
  <c r="I16" i="38"/>
  <c r="J16" i="38"/>
  <c r="J25" i="79"/>
  <c r="I25" i="79"/>
  <c r="I26" i="28"/>
  <c r="I27" i="28"/>
  <c r="I28" i="28"/>
  <c r="J19" i="62"/>
  <c r="I28" i="2"/>
  <c r="I33" i="2" s="1"/>
  <c r="F28" i="2"/>
  <c r="J8" i="38"/>
  <c r="I8" i="38"/>
  <c r="J9" i="28"/>
  <c r="J20" i="79"/>
  <c r="I20" i="79"/>
  <c r="I9" i="2"/>
  <c r="I31" i="79"/>
  <c r="I33" i="79"/>
  <c r="I5" i="29"/>
  <c r="I19" i="29"/>
  <c r="I12" i="29"/>
  <c r="J16" i="29" s="1"/>
  <c r="F24" i="29"/>
  <c r="I24" i="29"/>
  <c r="I26" i="26"/>
  <c r="I28" i="26"/>
  <c r="I31" i="44"/>
  <c r="I30" i="44"/>
  <c r="I29" i="44"/>
  <c r="I32" i="44"/>
  <c r="I28" i="24"/>
  <c r="I27" i="24"/>
  <c r="I26" i="24"/>
  <c r="J20" i="52"/>
  <c r="I20" i="52"/>
  <c r="J25" i="40"/>
  <c r="I25" i="40"/>
  <c r="J13" i="7"/>
  <c r="I13" i="7"/>
  <c r="I25" i="64"/>
  <c r="J25" i="64"/>
  <c r="J25" i="68"/>
  <c r="I25" i="68"/>
  <c r="I21" i="27"/>
  <c r="J21" i="27"/>
  <c r="I29" i="32"/>
  <c r="I30" i="32"/>
  <c r="I33" i="32"/>
  <c r="I31" i="32"/>
  <c r="I32" i="32"/>
  <c r="I31" i="35"/>
  <c r="I29" i="35"/>
  <c r="I33" i="35"/>
  <c r="I30" i="35"/>
  <c r="I32" i="35"/>
  <c r="I30" i="37"/>
  <c r="I33" i="37"/>
  <c r="I29" i="37"/>
  <c r="I31" i="37"/>
  <c r="I28" i="30"/>
  <c r="I25" i="30"/>
  <c r="I29" i="30"/>
  <c r="I27" i="26"/>
  <c r="I27" i="30"/>
  <c r="J19" i="78"/>
  <c r="I29" i="26"/>
  <c r="I19" i="68"/>
  <c r="J19" i="68"/>
  <c r="J13" i="79"/>
  <c r="I13" i="79"/>
  <c r="I9" i="26"/>
  <c r="J9" i="26"/>
  <c r="I12" i="44"/>
  <c r="J12" i="44"/>
  <c r="J13" i="44"/>
  <c r="I13" i="44"/>
  <c r="I20" i="72"/>
  <c r="J20" i="72"/>
  <c r="I21" i="24"/>
  <c r="J21" i="24"/>
  <c r="I27" i="36"/>
  <c r="I29" i="36"/>
  <c r="I28" i="36"/>
  <c r="I26" i="36"/>
  <c r="I13" i="32"/>
  <c r="J13" i="32"/>
  <c r="I12" i="32"/>
  <c r="J12" i="32"/>
  <c r="J13" i="35"/>
  <c r="I12" i="35"/>
  <c r="I13" i="35"/>
  <c r="J12" i="35"/>
  <c r="I13" i="47"/>
  <c r="J13" i="47"/>
  <c r="J12" i="47"/>
  <c r="I12" i="47"/>
  <c r="I30" i="47"/>
  <c r="I33" i="47"/>
  <c r="I31" i="47"/>
  <c r="I32" i="47"/>
  <c r="I29" i="47"/>
  <c r="J19" i="32"/>
  <c r="I23" i="22"/>
  <c r="I25" i="22" s="1"/>
  <c r="I28" i="22"/>
  <c r="I9" i="22"/>
  <c r="F28" i="22"/>
  <c r="I16" i="22"/>
  <c r="I23" i="75"/>
  <c r="J25" i="75" s="1"/>
  <c r="I16" i="75"/>
  <c r="I28" i="75"/>
  <c r="I9" i="75"/>
  <c r="F28" i="75"/>
  <c r="I19" i="44"/>
  <c r="J19" i="44"/>
  <c r="J20" i="69"/>
  <c r="I19" i="69"/>
  <c r="J19" i="69"/>
  <c r="I20" i="69"/>
  <c r="J19" i="79"/>
  <c r="I19" i="79"/>
  <c r="I15" i="36"/>
  <c r="J16" i="36"/>
  <c r="I16" i="36"/>
  <c r="J15" i="36"/>
  <c r="I25" i="63"/>
  <c r="J25" i="63"/>
  <c r="I20" i="32"/>
  <c r="I19" i="32"/>
  <c r="J20" i="32"/>
  <c r="I19" i="47"/>
  <c r="I20" i="47"/>
  <c r="J20" i="47"/>
  <c r="I12" i="73"/>
  <c r="J12" i="73"/>
  <c r="I28" i="31"/>
  <c r="I23" i="31"/>
  <c r="I16" i="31"/>
  <c r="F28" i="31"/>
  <c r="I9" i="31"/>
  <c r="J25" i="37"/>
  <c r="I32" i="37"/>
  <c r="I26" i="30"/>
  <c r="I25" i="26"/>
  <c r="J13" i="52"/>
  <c r="I13" i="52"/>
  <c r="J13" i="69"/>
  <c r="J12" i="69"/>
  <c r="I13" i="69"/>
  <c r="I12" i="69"/>
  <c r="I33" i="69"/>
  <c r="I29" i="69"/>
  <c r="I30" i="69"/>
  <c r="I31" i="69"/>
  <c r="I32" i="69"/>
  <c r="J15" i="24"/>
  <c r="I15" i="24"/>
  <c r="I20" i="40"/>
  <c r="J20" i="40"/>
  <c r="J19" i="40"/>
  <c r="I19" i="40"/>
  <c r="J16" i="34"/>
  <c r="I16" i="34"/>
  <c r="I30" i="7"/>
  <c r="I33" i="7"/>
  <c r="I20" i="7"/>
  <c r="J20" i="7"/>
  <c r="I8" i="28"/>
  <c r="J8" i="28"/>
  <c r="F26" i="9"/>
  <c r="F27" i="9"/>
  <c r="I20" i="35"/>
  <c r="J20" i="35"/>
  <c r="J19" i="35"/>
  <c r="I19" i="35"/>
  <c r="I25" i="47"/>
  <c r="J25" i="47"/>
  <c r="J20" i="37"/>
  <c r="I20" i="37"/>
  <c r="J8" i="30"/>
  <c r="I8" i="30"/>
  <c r="J21" i="38"/>
  <c r="I21" i="38"/>
  <c r="I20" i="73"/>
  <c r="I19" i="73"/>
  <c r="J20" i="73"/>
  <c r="J19" i="73"/>
  <c r="F28" i="46"/>
  <c r="I9" i="46"/>
  <c r="I13" i="46" s="1"/>
  <c r="I16" i="46"/>
  <c r="I28" i="46"/>
  <c r="I23" i="46"/>
  <c r="I9" i="74"/>
  <c r="F28" i="74"/>
  <c r="I28" i="74"/>
  <c r="I16" i="74"/>
  <c r="I23" i="74"/>
  <c r="I33" i="44"/>
  <c r="I25" i="24"/>
  <c r="J19" i="47"/>
  <c r="I25" i="44"/>
  <c r="J25" i="44"/>
  <c r="I13" i="72"/>
  <c r="J13" i="72"/>
  <c r="J15" i="27"/>
  <c r="I15" i="27"/>
  <c r="J25" i="69"/>
  <c r="I25" i="69"/>
  <c r="I9" i="24"/>
  <c r="J9" i="24"/>
  <c r="I28" i="66"/>
  <c r="I23" i="66"/>
  <c r="J25" i="66" s="1"/>
  <c r="F28" i="66"/>
  <c r="I16" i="66"/>
  <c r="I9" i="66"/>
  <c r="I29" i="40"/>
  <c r="I31" i="40"/>
  <c r="I33" i="40"/>
  <c r="I32" i="40"/>
  <c r="I30" i="40"/>
  <c r="J12" i="40"/>
  <c r="I12" i="40"/>
  <c r="I21" i="34"/>
  <c r="J21" i="34"/>
  <c r="J21" i="36"/>
  <c r="I21" i="36"/>
  <c r="I19" i="64"/>
  <c r="I20" i="64"/>
  <c r="J20" i="64"/>
  <c r="J19" i="64"/>
  <c r="I32" i="64"/>
  <c r="I29" i="64"/>
  <c r="I31" i="64"/>
  <c r="I33" i="64"/>
  <c r="I25" i="32"/>
  <c r="J25" i="32"/>
  <c r="I19" i="63"/>
  <c r="J19" i="63"/>
  <c r="I25" i="35"/>
  <c r="J25" i="35"/>
  <c r="J12" i="37"/>
  <c r="I12" i="37"/>
  <c r="I13" i="37"/>
  <c r="J13" i="37"/>
  <c r="J16" i="30"/>
  <c r="I15" i="30"/>
  <c r="J15" i="30"/>
  <c r="I16" i="30"/>
  <c r="I31" i="73"/>
  <c r="I29" i="73"/>
  <c r="I33" i="73"/>
  <c r="I32" i="73"/>
  <c r="J25" i="73"/>
  <c r="I25" i="73"/>
  <c r="I16" i="18"/>
  <c r="I20" i="18" s="1"/>
  <c r="F28" i="18"/>
  <c r="I9" i="18"/>
  <c r="I28" i="18"/>
  <c r="I23" i="18"/>
  <c r="I25" i="18" s="1"/>
  <c r="F26" i="16"/>
  <c r="F27" i="16"/>
  <c r="J21" i="26"/>
  <c r="I21" i="26"/>
  <c r="J13" i="46"/>
  <c r="J8" i="27"/>
  <c r="I8" i="27"/>
  <c r="I19" i="2"/>
  <c r="I20" i="2"/>
  <c r="J20" i="2"/>
  <c r="J19" i="2"/>
  <c r="J13" i="10"/>
  <c r="I13" i="10"/>
  <c r="I12" i="10"/>
  <c r="J12" i="10"/>
  <c r="I12" i="33"/>
  <c r="I13" i="33"/>
  <c r="J13" i="33"/>
  <c r="J12" i="33"/>
  <c r="I25" i="56"/>
  <c r="J25" i="56"/>
  <c r="J21" i="39"/>
  <c r="I21" i="39"/>
  <c r="J25" i="3"/>
  <c r="I25" i="3"/>
  <c r="F28" i="67"/>
  <c r="I23" i="67"/>
  <c r="I16" i="67"/>
  <c r="I9" i="67"/>
  <c r="I28" i="67"/>
  <c r="F28" i="70"/>
  <c r="I23" i="70"/>
  <c r="I16" i="70"/>
  <c r="I28" i="70"/>
  <c r="I9" i="70"/>
  <c r="I12" i="79"/>
  <c r="J12" i="79"/>
  <c r="I12" i="7"/>
  <c r="J12" i="7"/>
  <c r="J20" i="44"/>
  <c r="I20" i="44"/>
  <c r="I19" i="7"/>
  <c r="J19" i="7"/>
  <c r="J25" i="19"/>
  <c r="I25" i="19"/>
  <c r="I19" i="3"/>
  <c r="J19" i="3"/>
  <c r="J25" i="18"/>
  <c r="I20" i="20"/>
  <c r="J19" i="20"/>
  <c r="J20" i="20"/>
  <c r="I19" i="20"/>
  <c r="J12" i="64"/>
  <c r="I12" i="64"/>
  <c r="I28" i="71"/>
  <c r="I23" i="71"/>
  <c r="F28" i="71"/>
  <c r="I16" i="71"/>
  <c r="I9" i="71"/>
  <c r="I9" i="30"/>
  <c r="J9" i="30"/>
  <c r="J13" i="8"/>
  <c r="I20" i="8"/>
  <c r="J15" i="34"/>
  <c r="I15" i="34"/>
  <c r="I25" i="45"/>
  <c r="J25" i="45"/>
  <c r="I13" i="59"/>
  <c r="I12" i="59"/>
  <c r="J13" i="59"/>
  <c r="J12" i="59"/>
  <c r="J25" i="43"/>
  <c r="I25" i="43"/>
  <c r="J13" i="66"/>
  <c r="I13" i="66"/>
  <c r="I19" i="65"/>
  <c r="J20" i="65"/>
  <c r="J19" i="65"/>
  <c r="I20" i="65"/>
  <c r="J12" i="42"/>
  <c r="I13" i="42"/>
  <c r="J13" i="42"/>
  <c r="I12" i="42"/>
  <c r="I13" i="41"/>
  <c r="J20" i="60"/>
  <c r="J19" i="60"/>
  <c r="I20" i="60"/>
  <c r="I19" i="60"/>
  <c r="F28" i="15"/>
  <c r="I28" i="15"/>
  <c r="I23" i="15"/>
  <c r="I16" i="15"/>
  <c r="I9" i="15"/>
  <c r="I16" i="13"/>
  <c r="I23" i="13"/>
  <c r="F28" i="13"/>
  <c r="I9" i="13"/>
  <c r="I28" i="13"/>
  <c r="I16" i="12"/>
  <c r="F28" i="12"/>
  <c r="I9" i="12"/>
  <c r="I23" i="12"/>
  <c r="I28" i="12"/>
  <c r="J20" i="3"/>
  <c r="I20" i="3"/>
  <c r="I25" i="31"/>
  <c r="J25" i="31"/>
  <c r="I16" i="24"/>
  <c r="J16" i="24"/>
  <c r="J21" i="30"/>
  <c r="I21" i="30"/>
  <c r="J25" i="2"/>
  <c r="I25" i="2"/>
  <c r="I25" i="10"/>
  <c r="J25" i="10"/>
  <c r="J19" i="33"/>
  <c r="I20" i="33"/>
  <c r="J20" i="33"/>
  <c r="I19" i="33"/>
  <c r="I25" i="77"/>
  <c r="J25" i="77"/>
  <c r="J12" i="56"/>
  <c r="J13" i="56"/>
  <c r="I12" i="56"/>
  <c r="I13" i="56"/>
  <c r="I15" i="39"/>
  <c r="I16" i="39"/>
  <c r="J15" i="39"/>
  <c r="J16" i="39"/>
  <c r="I27" i="39"/>
  <c r="I28" i="39"/>
  <c r="I29" i="39"/>
  <c r="I26" i="39"/>
  <c r="I25" i="39"/>
  <c r="J25" i="7"/>
  <c r="I25" i="7"/>
  <c r="J19" i="72"/>
  <c r="I19" i="72"/>
  <c r="J13" i="68"/>
  <c r="I13" i="68"/>
  <c r="J16" i="28"/>
  <c r="I16" i="28"/>
  <c r="I30" i="19"/>
  <c r="I32" i="19"/>
  <c r="I29" i="19"/>
  <c r="I33" i="19"/>
  <c r="I31" i="19"/>
  <c r="I25" i="20"/>
  <c r="J25" i="20"/>
  <c r="F28" i="1"/>
  <c r="I16" i="1"/>
  <c r="I23" i="1"/>
  <c r="I9" i="1"/>
  <c r="I28" i="1"/>
  <c r="I19" i="8"/>
  <c r="J13" i="76"/>
  <c r="I12" i="76"/>
  <c r="I13" i="76"/>
  <c r="J12" i="76"/>
  <c r="J25" i="76"/>
  <c r="I25" i="76"/>
  <c r="J13" i="45"/>
  <c r="I13" i="45"/>
  <c r="I12" i="45"/>
  <c r="J12" i="45"/>
  <c r="J19" i="45"/>
  <c r="J20" i="45"/>
  <c r="I19" i="45"/>
  <c r="I20" i="45"/>
  <c r="I20" i="59"/>
  <c r="I19" i="59"/>
  <c r="J20" i="59"/>
  <c r="J19" i="59"/>
  <c r="I25" i="65"/>
  <c r="J25" i="65"/>
  <c r="J13" i="3"/>
  <c r="I13" i="3"/>
  <c r="J25" i="60"/>
  <c r="I25" i="60"/>
  <c r="I9" i="21"/>
  <c r="F28" i="21"/>
  <c r="I23" i="21"/>
  <c r="I28" i="21"/>
  <c r="I16" i="21"/>
  <c r="J8" i="29"/>
  <c r="I8" i="29"/>
  <c r="J9" i="38"/>
  <c r="I9" i="38"/>
  <c r="J19" i="18"/>
  <c r="J19" i="37"/>
  <c r="I19" i="37"/>
  <c r="I32" i="2"/>
  <c r="I31" i="2"/>
  <c r="I12" i="2"/>
  <c r="J12" i="2"/>
  <c r="J13" i="2"/>
  <c r="I13" i="2"/>
  <c r="I32" i="10"/>
  <c r="I29" i="10"/>
  <c r="I30" i="10"/>
  <c r="I31" i="10"/>
  <c r="I33" i="10"/>
  <c r="J12" i="74"/>
  <c r="I12" i="74"/>
  <c r="I30" i="33"/>
  <c r="I31" i="33"/>
  <c r="I29" i="33"/>
  <c r="I32" i="33"/>
  <c r="I33" i="33"/>
  <c r="J12" i="77"/>
  <c r="J13" i="77"/>
  <c r="I12" i="77"/>
  <c r="I13" i="77"/>
  <c r="I31" i="56"/>
  <c r="I32" i="56"/>
  <c r="I29" i="56"/>
  <c r="I30" i="56"/>
  <c r="I33" i="56"/>
  <c r="J8" i="39"/>
  <c r="I8" i="39"/>
  <c r="I9" i="39"/>
  <c r="J9" i="39"/>
  <c r="I20" i="75"/>
  <c r="J20" i="75"/>
  <c r="I13" i="18"/>
  <c r="J13" i="18"/>
  <c r="I32" i="76"/>
  <c r="I29" i="76"/>
  <c r="I30" i="76"/>
  <c r="I33" i="76"/>
  <c r="I31" i="76"/>
  <c r="I32" i="59"/>
  <c r="I33" i="59"/>
  <c r="I30" i="59"/>
  <c r="I31" i="59"/>
  <c r="I29" i="59"/>
  <c r="J12" i="43"/>
  <c r="I12" i="43"/>
  <c r="I13" i="43"/>
  <c r="J13" i="43"/>
  <c r="J8" i="24"/>
  <c r="I8" i="24"/>
  <c r="I33" i="65"/>
  <c r="I30" i="65"/>
  <c r="I31" i="65"/>
  <c r="I29" i="65"/>
  <c r="I32" i="65"/>
  <c r="I25" i="42"/>
  <c r="J25" i="42"/>
  <c r="I20" i="42"/>
  <c r="J19" i="42"/>
  <c r="J20" i="42"/>
  <c r="I19" i="42"/>
  <c r="I32" i="60"/>
  <c r="I29" i="60"/>
  <c r="I30" i="60"/>
  <c r="I33" i="60"/>
  <c r="I31" i="60"/>
  <c r="I23" i="11"/>
  <c r="F28" i="11"/>
  <c r="I16" i="11"/>
  <c r="I28" i="11"/>
  <c r="I9" i="11"/>
  <c r="I23" i="14"/>
  <c r="I9" i="14"/>
  <c r="F28" i="14"/>
  <c r="I16" i="14"/>
  <c r="I28" i="14"/>
  <c r="I23" i="80"/>
  <c r="F28" i="80"/>
  <c r="I16" i="80"/>
  <c r="I28" i="80"/>
  <c r="I9" i="80"/>
  <c r="J12" i="18"/>
  <c r="I12" i="18"/>
  <c r="I20" i="10"/>
  <c r="I19" i="10"/>
  <c r="J19" i="10"/>
  <c r="J20" i="10"/>
  <c r="J12" i="68"/>
  <c r="I12" i="68"/>
  <c r="I25" i="33"/>
  <c r="J25" i="33"/>
  <c r="I19" i="77"/>
  <c r="J20" i="77"/>
  <c r="J19" i="77"/>
  <c r="I20" i="77"/>
  <c r="I31" i="77"/>
  <c r="I32" i="77"/>
  <c r="I29" i="77"/>
  <c r="I30" i="77"/>
  <c r="I33" i="77"/>
  <c r="I12" i="63"/>
  <c r="J12" i="63"/>
  <c r="J20" i="62"/>
  <c r="I20" i="62"/>
  <c r="I19" i="56"/>
  <c r="J20" i="56"/>
  <c r="J19" i="56"/>
  <c r="I20" i="56"/>
  <c r="I16" i="58"/>
  <c r="I23" i="58"/>
  <c r="I28" i="58"/>
  <c r="F28" i="58"/>
  <c r="I9" i="58"/>
  <c r="I13" i="19"/>
  <c r="J13" i="19"/>
  <c r="J12" i="19"/>
  <c r="I12" i="19"/>
  <c r="J19" i="19"/>
  <c r="J20" i="19"/>
  <c r="I20" i="19"/>
  <c r="I19" i="19"/>
  <c r="J13" i="20"/>
  <c r="I12" i="20"/>
  <c r="I13" i="20"/>
  <c r="J12" i="20"/>
  <c r="I33" i="20"/>
  <c r="I30" i="20"/>
  <c r="I31" i="20"/>
  <c r="I29" i="20"/>
  <c r="I32" i="20"/>
  <c r="I8" i="36"/>
  <c r="J8" i="36"/>
  <c r="J9" i="27"/>
  <c r="I9" i="27"/>
  <c r="I16" i="26"/>
  <c r="J16" i="26"/>
  <c r="J12" i="3"/>
  <c r="J13" i="73"/>
  <c r="I13" i="73"/>
  <c r="J20" i="76"/>
  <c r="J19" i="76"/>
  <c r="I20" i="76"/>
  <c r="I19" i="76"/>
  <c r="I29" i="45"/>
  <c r="I31" i="45"/>
  <c r="I30" i="45"/>
  <c r="I32" i="45"/>
  <c r="I33" i="45"/>
  <c r="I25" i="59"/>
  <c r="J25" i="59"/>
  <c r="I20" i="43"/>
  <c r="I19" i="43"/>
  <c r="J20" i="43"/>
  <c r="J19" i="43"/>
  <c r="I33" i="43"/>
  <c r="I29" i="43"/>
  <c r="I30" i="43"/>
  <c r="I31" i="43"/>
  <c r="I32" i="43"/>
  <c r="J12" i="65"/>
  <c r="J13" i="65"/>
  <c r="I12" i="65"/>
  <c r="I13" i="65"/>
  <c r="I33" i="42"/>
  <c r="I32" i="42"/>
  <c r="I31" i="42"/>
  <c r="I29" i="42"/>
  <c r="I30" i="42"/>
  <c r="J20" i="22"/>
  <c r="I20" i="22"/>
  <c r="J13" i="64"/>
  <c r="I13" i="64"/>
  <c r="J13" i="60"/>
  <c r="I12" i="60"/>
  <c r="I13" i="60"/>
  <c r="J12" i="60"/>
  <c r="I8" i="26"/>
  <c r="J8" i="26"/>
  <c r="I28" i="4"/>
  <c r="I16" i="4"/>
  <c r="I23" i="4"/>
  <c r="I9" i="4"/>
  <c r="F28" i="4"/>
  <c r="J20" i="18" l="1"/>
  <c r="I19" i="18"/>
  <c r="I25" i="41"/>
  <c r="J25" i="41"/>
  <c r="J25" i="62"/>
  <c r="I25" i="62"/>
  <c r="I19" i="41"/>
  <c r="J20" i="41"/>
  <c r="J19" i="41"/>
  <c r="I20" i="41"/>
  <c r="I12" i="62"/>
  <c r="J25" i="22"/>
  <c r="J12" i="41"/>
  <c r="I12" i="41"/>
  <c r="J13" i="41"/>
  <c r="I13" i="62"/>
  <c r="J13" i="62"/>
  <c r="I33" i="41"/>
  <c r="I30" i="41"/>
  <c r="I29" i="41"/>
  <c r="I31" i="41"/>
  <c r="I32" i="41"/>
  <c r="I31" i="62"/>
  <c r="I29" i="62"/>
  <c r="I30" i="62"/>
  <c r="I33" i="62"/>
  <c r="I32" i="62"/>
  <c r="I23" i="61"/>
  <c r="F28" i="61"/>
  <c r="I16" i="61"/>
  <c r="I28" i="61"/>
  <c r="I9" i="61"/>
  <c r="I30" i="2"/>
  <c r="I16" i="29"/>
  <c r="J21" i="29"/>
  <c r="I21" i="29"/>
  <c r="I29" i="2"/>
  <c r="I29" i="29"/>
  <c r="I28" i="29"/>
  <c r="I26" i="29"/>
  <c r="I27" i="29"/>
  <c r="I25" i="29"/>
  <c r="J9" i="29"/>
  <c r="I9" i="29"/>
  <c r="I15" i="29"/>
  <c r="J15" i="29"/>
  <c r="I33" i="74"/>
  <c r="I32" i="74"/>
  <c r="I30" i="74"/>
  <c r="I31" i="74"/>
  <c r="I29" i="74"/>
  <c r="J19" i="46"/>
  <c r="I19" i="46"/>
  <c r="I20" i="46"/>
  <c r="J20" i="46"/>
  <c r="F28" i="9"/>
  <c r="I16" i="9"/>
  <c r="I9" i="9"/>
  <c r="I23" i="9"/>
  <c r="I28" i="9"/>
  <c r="I19" i="31"/>
  <c r="J20" i="31"/>
  <c r="J19" i="31"/>
  <c r="I20" i="31"/>
  <c r="I19" i="75"/>
  <c r="J19" i="75"/>
  <c r="J13" i="22"/>
  <c r="J12" i="22"/>
  <c r="I12" i="22"/>
  <c r="I13" i="22"/>
  <c r="I25" i="75"/>
  <c r="I29" i="46"/>
  <c r="I33" i="46"/>
  <c r="I30" i="46"/>
  <c r="I32" i="46"/>
  <c r="I31" i="46"/>
  <c r="I31" i="18"/>
  <c r="I33" i="18"/>
  <c r="I29" i="18"/>
  <c r="I32" i="18"/>
  <c r="I30" i="18"/>
  <c r="I12" i="66"/>
  <c r="J12" i="66"/>
  <c r="I33" i="66"/>
  <c r="I31" i="66"/>
  <c r="I29" i="66"/>
  <c r="I32" i="66"/>
  <c r="I30" i="66"/>
  <c r="I25" i="74"/>
  <c r="J25" i="74"/>
  <c r="J13" i="74"/>
  <c r="I13" i="74"/>
  <c r="J12" i="46"/>
  <c r="I12" i="46"/>
  <c r="I32" i="22"/>
  <c r="I30" i="22"/>
  <c r="I29" i="22"/>
  <c r="I33" i="22"/>
  <c r="I31" i="22"/>
  <c r="I25" i="66"/>
  <c r="I29" i="75"/>
  <c r="I32" i="75"/>
  <c r="I30" i="75"/>
  <c r="I31" i="75"/>
  <c r="I33" i="75"/>
  <c r="J20" i="66"/>
  <c r="I20" i="66"/>
  <c r="I19" i="66"/>
  <c r="J19" i="66"/>
  <c r="I20" i="74"/>
  <c r="J20" i="74"/>
  <c r="I19" i="74"/>
  <c r="J19" i="74"/>
  <c r="J25" i="46"/>
  <c r="I25" i="46"/>
  <c r="J13" i="31"/>
  <c r="I13" i="31"/>
  <c r="I12" i="31"/>
  <c r="J12" i="31"/>
  <c r="I30" i="31"/>
  <c r="I32" i="31"/>
  <c r="I33" i="31"/>
  <c r="I29" i="31"/>
  <c r="I31" i="31"/>
  <c r="I12" i="75"/>
  <c r="J13" i="75"/>
  <c r="J12" i="75"/>
  <c r="I13" i="75"/>
  <c r="J19" i="22"/>
  <c r="I19" i="22"/>
  <c r="I31" i="4"/>
  <c r="I29" i="4"/>
  <c r="I32" i="4"/>
  <c r="I33" i="4"/>
  <c r="I30" i="4"/>
  <c r="I32" i="80"/>
  <c r="I29" i="80"/>
  <c r="I30" i="80"/>
  <c r="I33" i="80"/>
  <c r="I31" i="80"/>
  <c r="I33" i="14"/>
  <c r="I32" i="14"/>
  <c r="I30" i="14"/>
  <c r="I29" i="14"/>
  <c r="I31" i="14"/>
  <c r="J25" i="14"/>
  <c r="I25" i="14"/>
  <c r="I12" i="1"/>
  <c r="I13" i="1"/>
  <c r="J12" i="1"/>
  <c r="J13" i="1"/>
  <c r="I30" i="12"/>
  <c r="I33" i="12"/>
  <c r="I31" i="12"/>
  <c r="I32" i="12"/>
  <c r="I29" i="12"/>
  <c r="J19" i="12"/>
  <c r="I19" i="12"/>
  <c r="J20" i="12"/>
  <c r="I20" i="12"/>
  <c r="I25" i="13"/>
  <c r="J25" i="13"/>
  <c r="J25" i="15"/>
  <c r="I25" i="15"/>
  <c r="I12" i="70"/>
  <c r="I13" i="70"/>
  <c r="J12" i="70"/>
  <c r="J13" i="70"/>
  <c r="I25" i="67"/>
  <c r="J25" i="67"/>
  <c r="I33" i="58"/>
  <c r="I29" i="58"/>
  <c r="I32" i="58"/>
  <c r="I30" i="58"/>
  <c r="I31" i="58"/>
  <c r="J20" i="80"/>
  <c r="J19" i="80"/>
  <c r="I20" i="80"/>
  <c r="I19" i="80"/>
  <c r="J20" i="14"/>
  <c r="I20" i="14"/>
  <c r="J19" i="14"/>
  <c r="I19" i="14"/>
  <c r="J13" i="11"/>
  <c r="I12" i="11"/>
  <c r="I13" i="11"/>
  <c r="J12" i="11"/>
  <c r="I25" i="11"/>
  <c r="J25" i="11"/>
  <c r="I19" i="21"/>
  <c r="J20" i="21"/>
  <c r="I20" i="21"/>
  <c r="J19" i="21"/>
  <c r="I12" i="21"/>
  <c r="J13" i="21"/>
  <c r="J12" i="21"/>
  <c r="I13" i="21"/>
  <c r="I25" i="1"/>
  <c r="J25" i="1"/>
  <c r="J25" i="12"/>
  <c r="I25" i="12"/>
  <c r="I30" i="13"/>
  <c r="I29" i="13"/>
  <c r="I33" i="13"/>
  <c r="I32" i="13"/>
  <c r="I31" i="13"/>
  <c r="J19" i="13"/>
  <c r="I20" i="13"/>
  <c r="I19" i="13"/>
  <c r="J20" i="13"/>
  <c r="I30" i="15"/>
  <c r="I33" i="15"/>
  <c r="I32" i="15"/>
  <c r="I29" i="15"/>
  <c r="I31" i="15"/>
  <c r="I25" i="71"/>
  <c r="J25" i="71"/>
  <c r="I29" i="70"/>
  <c r="I32" i="70"/>
  <c r="I33" i="70"/>
  <c r="I30" i="70"/>
  <c r="I31" i="70"/>
  <c r="I30" i="67"/>
  <c r="I29" i="67"/>
  <c r="I33" i="67"/>
  <c r="I32" i="67"/>
  <c r="I31" i="67"/>
  <c r="J25" i="58"/>
  <c r="I25" i="58"/>
  <c r="I31" i="11"/>
  <c r="I30" i="11"/>
  <c r="I29" i="11"/>
  <c r="I33" i="11"/>
  <c r="I32" i="11"/>
  <c r="I32" i="21"/>
  <c r="I30" i="21"/>
  <c r="I29" i="21"/>
  <c r="I31" i="21"/>
  <c r="I33" i="21"/>
  <c r="I19" i="1"/>
  <c r="I20" i="1"/>
  <c r="J19" i="1"/>
  <c r="J20" i="1"/>
  <c r="I12" i="12"/>
  <c r="I13" i="12"/>
  <c r="J13" i="12"/>
  <c r="J12" i="12"/>
  <c r="J13" i="13"/>
  <c r="I13" i="13"/>
  <c r="J12" i="13"/>
  <c r="I12" i="13"/>
  <c r="I13" i="15"/>
  <c r="J12" i="15"/>
  <c r="J13" i="15"/>
  <c r="I12" i="15"/>
  <c r="J12" i="71"/>
  <c r="J13" i="71"/>
  <c r="I12" i="71"/>
  <c r="I13" i="71"/>
  <c r="I31" i="71"/>
  <c r="I32" i="71"/>
  <c r="I29" i="71"/>
  <c r="I30" i="71"/>
  <c r="I33" i="71"/>
  <c r="J19" i="70"/>
  <c r="I20" i="70"/>
  <c r="I19" i="70"/>
  <c r="J20" i="70"/>
  <c r="J13" i="67"/>
  <c r="J12" i="67"/>
  <c r="I13" i="67"/>
  <c r="I12" i="67"/>
  <c r="J13" i="4"/>
  <c r="I12" i="4"/>
  <c r="I13" i="4"/>
  <c r="J12" i="4"/>
  <c r="I25" i="4"/>
  <c r="J25" i="4"/>
  <c r="I20" i="4"/>
  <c r="J19" i="4"/>
  <c r="J20" i="4"/>
  <c r="I19" i="4"/>
  <c r="J13" i="58"/>
  <c r="I13" i="58"/>
  <c r="I12" i="58"/>
  <c r="J12" i="58"/>
  <c r="J20" i="58"/>
  <c r="J19" i="58"/>
  <c r="I19" i="58"/>
  <c r="I20" i="58"/>
  <c r="J13" i="80"/>
  <c r="I12" i="80"/>
  <c r="I13" i="80"/>
  <c r="J12" i="80"/>
  <c r="J25" i="80"/>
  <c r="I25" i="80"/>
  <c r="J13" i="14"/>
  <c r="J12" i="14"/>
  <c r="I13" i="14"/>
  <c r="I12" i="14"/>
  <c r="I19" i="11"/>
  <c r="J19" i="11"/>
  <c r="J20" i="11"/>
  <c r="I20" i="11"/>
  <c r="I25" i="21"/>
  <c r="J25" i="21"/>
  <c r="I29" i="1"/>
  <c r="I32" i="1"/>
  <c r="I33" i="1"/>
  <c r="I30" i="1"/>
  <c r="I31" i="1"/>
  <c r="J20" i="15"/>
  <c r="I19" i="15"/>
  <c r="I20" i="15"/>
  <c r="J19" i="15"/>
  <c r="I19" i="71"/>
  <c r="J20" i="71"/>
  <c r="J19" i="71"/>
  <c r="I20" i="71"/>
  <c r="J25" i="70"/>
  <c r="I25" i="70"/>
  <c r="I19" i="67"/>
  <c r="J19" i="67"/>
  <c r="I20" i="67"/>
  <c r="J20" i="67"/>
  <c r="I23" i="16"/>
  <c r="F28" i="16"/>
  <c r="I9" i="16"/>
  <c r="I16" i="16"/>
  <c r="I28" i="16"/>
  <c r="I32" i="61" l="1"/>
  <c r="I29" i="61"/>
  <c r="I30" i="61"/>
  <c r="I33" i="61"/>
  <c r="I31" i="61"/>
  <c r="I12" i="61"/>
  <c r="I13" i="61"/>
  <c r="J12" i="61"/>
  <c r="J13" i="61"/>
  <c r="I20" i="61"/>
  <c r="I19" i="61"/>
  <c r="J20" i="61"/>
  <c r="J19" i="61"/>
  <c r="J25" i="61"/>
  <c r="I25" i="61"/>
  <c r="J20" i="9"/>
  <c r="J19" i="9"/>
  <c r="I19" i="9"/>
  <c r="I20" i="9"/>
  <c r="I32" i="9"/>
  <c r="I29" i="9"/>
  <c r="I30" i="9"/>
  <c r="I31" i="9"/>
  <c r="I33" i="9"/>
  <c r="J13" i="9"/>
  <c r="I13" i="9"/>
  <c r="I12" i="9"/>
  <c r="J12" i="9"/>
  <c r="I25" i="9"/>
  <c r="J25" i="9"/>
  <c r="I32" i="16"/>
  <c r="I30" i="16"/>
  <c r="I31" i="16"/>
  <c r="I29" i="16"/>
  <c r="I33" i="16"/>
  <c r="I25" i="16"/>
  <c r="J25" i="16"/>
  <c r="I19" i="16"/>
  <c r="J20" i="16"/>
  <c r="I20" i="16"/>
  <c r="J19" i="16"/>
  <c r="J13" i="16"/>
  <c r="I13" i="16"/>
  <c r="I12" i="16"/>
  <c r="J12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Lorena Dager</author>
  </authors>
  <commentList>
    <comment ref="D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Lorena Dager:</t>
        </r>
        <r>
          <rPr>
            <sz val="9"/>
            <color indexed="81"/>
            <rFont val="Tahoma"/>
            <family val="2"/>
          </rPr>
          <t xml:space="preserve">
Dejemolo entonces con ambos. Bourbon y Rye</t>
        </r>
      </text>
    </comment>
    <comment ref="D1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Lorena Dager:</t>
        </r>
        <r>
          <rPr>
            <sz val="9"/>
            <color indexed="81"/>
            <rFont val="Tahoma"/>
            <family val="2"/>
          </rPr>
          <t xml:space="preserve">
Aquí va solo el whisky y la cerveza. Con la deoración y ya
</t>
        </r>
      </text>
    </comment>
    <comment ref="G16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Lorena Dager:</t>
        </r>
        <r>
          <rPr>
            <sz val="9"/>
            <color indexed="81"/>
            <rFont val="Tahoma"/>
            <family val="2"/>
          </rPr>
          <t xml:space="preserve">
Aaca si va el coctele como tal. Osea lleva zumo de limón y el almíbar.</t>
        </r>
      </text>
    </comment>
    <comment ref="D18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Lorena Dager:</t>
        </r>
        <r>
          <rPr>
            <sz val="9"/>
            <color indexed="81"/>
            <rFont val="Tahoma"/>
            <family val="2"/>
          </rPr>
          <t xml:space="preserve">
Es mezcla, solo Cerveza y B&amp;W</t>
        </r>
      </text>
    </comment>
    <comment ref="D19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Lorena Dager:</t>
        </r>
        <r>
          <rPr>
            <sz val="9"/>
            <color indexed="81"/>
            <rFont val="Tahoma"/>
            <family val="2"/>
          </rPr>
          <t xml:space="preserve">
Mezcla y va sin el zumo de limón.</t>
        </r>
      </text>
    </comment>
    <comment ref="D20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Lorena Dager:</t>
        </r>
        <r>
          <rPr>
            <sz val="9"/>
            <color indexed="81"/>
            <rFont val="Tahoma"/>
            <family val="2"/>
          </rPr>
          <t xml:space="preserve">
Igual que el anterior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tc={934E0CBB-EDC7-48F3-8ADC-9CA0934932C4}</author>
    <author>tc={C4C56D90-B7D6-4B38-B992-E84F8C17E205}</author>
  </authors>
  <commentList>
    <comment ref="H27" authorId="0" shapeId="0" xr:uid="{00000000-0006-0000-03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03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tc={CD35D38C-B3B9-43FB-B852-3F6170EF6E14}</author>
    <author>tc={E24C3326-87D6-4C72-B489-A289D72A3A0F}</author>
  </authors>
  <commentList>
    <comment ref="H27" authorId="0" shapeId="0" xr:uid="{00000000-0006-0000-04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04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tc={068B0B6E-7E46-4093-963C-F4C70FBCCC2F}</author>
    <author>tc={5A198BF0-C70A-45AB-89AF-0FA378ECB4F5}</author>
  </authors>
  <commentList>
    <comment ref="H27" authorId="0" shapeId="0" xr:uid="{00000000-0006-0000-05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05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tc={6AA3B1B5-EBC2-4EB2-BAB8-03278244E52E}</author>
    <author>tc={6C69FD0D-D35C-4089-B0B7-A9B1D91558D8}</author>
  </authors>
  <commentList>
    <comment ref="H27" authorId="0" shapeId="0" xr:uid="{00000000-0006-0000-06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06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tc={9AC6C530-98E6-46B7-8787-4971A86E387F}</author>
    <author>tc={1856BD9F-3876-47DB-8F64-A181BA6ECBE7}</author>
  </authors>
  <commentList>
    <comment ref="H27" authorId="0" shapeId="0" xr:uid="{00000000-0006-0000-08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08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tc={9AC6C530-98E6-46B8-8787-4971A86E387F}</author>
    <author>tc={1856BD9F-3876-47DC-8F64-A181BA6ECBE7}</author>
  </authors>
  <commentList>
    <comment ref="H27" authorId="0" shapeId="0" xr:uid="{00000000-0006-0000-09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09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tc={D4211F62-6E98-4AD2-B17C-ACA4674CF91A}</author>
    <author>tc={511B467E-D42E-49A2-8E1D-1DD885BF81AC}</author>
  </authors>
  <commentList>
    <comment ref="H27" authorId="0" shapeId="0" xr:uid="{00000000-0006-0000-0A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0A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tc={7DCA3C17-C4B9-4E8D-AF3F-2F6E3EADDCF9}</author>
    <author>tc={D8946CC0-4EFC-4113-9905-5F4603946084}</author>
  </authors>
  <commentList>
    <comment ref="H27" authorId="0" shapeId="0" xr:uid="{00000000-0006-0000-0B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0B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tc={AFB50877-1A32-4F12-BFDB-A8A842A13CBD}</author>
    <author>tc={0EA5F9A7-59BB-496A-8450-23A549ED88DB}</author>
  </authors>
  <commentList>
    <comment ref="H27" authorId="0" shapeId="0" xr:uid="{00000000-0006-0000-0C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0C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tc={EC5A9FA0-81CC-459F-B458-93E0976F624B}</author>
    <author>tc={EE2C6CA2-0A5B-40B9-B1E7-9E1D40FFED3A}</author>
  </authors>
  <commentList>
    <comment ref="H27" authorId="0" shapeId="0" xr:uid="{00000000-0006-0000-0D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0D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tc={B28D741B-C77A-4C80-8362-EB493AA635CD}</author>
    <author>tc={8F754AD9-E34A-4CF8-B76C-8103F998B457}</author>
  </authors>
  <commentList>
    <comment ref="H27" authorId="0" shapeId="0" xr:uid="{00000000-0006-0000-0E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0E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tc={315722ED-40AF-4C4F-81D0-0FDF960DA4E9}</author>
    <author>tc={22852E66-1692-4755-A07C-08E0513307F2}</author>
  </authors>
  <commentList>
    <comment ref="H27" authorId="0" shapeId="0" xr:uid="{00000000-0006-0000-0F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0F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tc={EFFB341D-8FE9-42BA-8E09-7FD4CADA451C}</author>
    <author>tc={86A16E4F-BD34-4242-A2CF-FFEB997A4C33}</author>
  </authors>
  <commentList>
    <comment ref="H27" authorId="0" shapeId="0" xr:uid="{00000000-0006-0000-10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10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tc={7123308B-1DBE-48B5-AA0E-AD40C1CD5864}</author>
    <author>tc={402DD7A1-A7A9-43DE-8C07-920596BDE391}</author>
  </authors>
  <commentList>
    <comment ref="H27" authorId="0" shapeId="0" xr:uid="{00000000-0006-0000-11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11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tc={D5F491AC-AA60-4114-92F4-1C6A7C994043}</author>
    <author>tc={C3A352EC-8485-41F7-AF01-193A2A452B36}</author>
  </authors>
  <commentList>
    <comment ref="H27" authorId="0" shapeId="0" xr:uid="{00000000-0006-0000-12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12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tc={6E2F7A51-79D4-4464-A107-58C556DD8C1A}</author>
    <author>tc={7D7EB41D-8B26-409D-ADC5-EF7A78D5F7AE}</author>
  </authors>
  <commentList>
    <comment ref="H27" authorId="0" shapeId="0" xr:uid="{00000000-0006-0000-13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13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tc={A7538C31-3148-4E4F-93F0-E622B8FB8754}</author>
    <author>tc={71096413-B55D-407D-A0ED-0291C4E1F7E2}</author>
  </authors>
  <commentList>
    <comment ref="H27" authorId="0" shapeId="0" xr:uid="{00000000-0006-0000-14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14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tc={3BDD34BD-CF06-4BC2-9B16-EC14A87850FD}</author>
    <author>tc={1D8CF0BE-2BAE-4350-BCF9-A22080B3CF49}</author>
  </authors>
  <commentList>
    <comment ref="H27" authorId="0" shapeId="0" xr:uid="{00000000-0006-0000-15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15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tc={FADDE1A0-84AA-4890-92E8-C51816AB1F0B}</author>
    <author>tc={6CF97F58-CDAF-4847-A0CF-E59B4676975F}</author>
  </authors>
  <commentList>
    <comment ref="H27" authorId="0" shapeId="0" xr:uid="{00000000-0006-0000-16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16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tc={EF0EC392-C28F-4F33-80A9-BBADD58E3785}</author>
    <author>tc={75543F78-DA7B-4B68-A92A-525E93A757FB}</author>
  </authors>
  <commentList>
    <comment ref="H27" authorId="0" shapeId="0" xr:uid="{00000000-0006-0000-17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17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tc={0E59A610-EC7D-4A9F-B488-DA821680362F}</author>
    <author>tc={5A7DD81E-77A7-4141-84F4-A5F9E6F6AEA6}</author>
  </authors>
  <commentList>
    <comment ref="H27" authorId="0" shapeId="0" xr:uid="{00000000-0006-0000-18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18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tc={ED820F9B-4C27-423C-924F-5A5B2D9A87C0}</author>
    <author>tc={B38D4745-03AF-49C1-808D-2553AA83E4D4}</author>
  </authors>
  <commentList>
    <comment ref="H27" authorId="0" shapeId="0" xr:uid="{00000000-0006-0000-19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19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tc={3461BE72-51D3-4B1D-AA50-EF89A230A487}</author>
    <author>tc={B4CC4AD5-B583-4BE1-9DBA-CF3E1562244E}</author>
  </authors>
  <commentList>
    <comment ref="H27" authorId="0" shapeId="0" xr:uid="{00000000-0006-0000-1A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1A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tc={FEF106C8-3276-4814-8B6A-19C267F20278}</author>
    <author>tc={F3106F87-CC09-4B4E-A2AF-9DB4EE0B5391}</author>
  </authors>
  <commentList>
    <comment ref="H27" authorId="0" shapeId="0" xr:uid="{00000000-0006-0000-1B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1B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tc={1438CC2D-32D3-4470-92B2-3CE43087E43C}</author>
    <author>tc={3BEE1088-412A-4089-9FD2-97B1FA512D23}</author>
  </authors>
  <commentList>
    <comment ref="H27" authorId="0" shapeId="0" xr:uid="{00000000-0006-0000-1C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1C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tc={83B5230F-3BAF-4F3E-98ED-D1897AF01E40}</author>
    <author>tc={C854A4D9-47F5-49B2-B859-9EC942925E67}</author>
  </authors>
  <commentList>
    <comment ref="H27" authorId="0" shapeId="0" xr:uid="{00000000-0006-0000-1D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1D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tc={0E058C7A-3CFE-47EC-BAEF-D2D62579164B}</author>
    <author>tc={662A3B97-A523-440F-8E9D-EF4F91FE9399}</author>
  </authors>
  <commentList>
    <comment ref="H27" authorId="0" shapeId="0" xr:uid="{00000000-0006-0000-1E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1E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tc={12D92C26-1A7E-4381-AAC2-2FB167A87257}</author>
    <author>tc={A4E1B073-15B0-4D78-8800-B582E7E1F64E}</author>
  </authors>
  <commentList>
    <comment ref="H27" authorId="0" shapeId="0" xr:uid="{00000000-0006-0000-1F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1F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tc={D7ACFFDB-C39F-41A7-A81A-62D51D14B682}</author>
    <author>tc={4B9A3B36-4193-4310-8FFB-43A1AB97490C}</author>
  </authors>
  <commentList>
    <comment ref="H27" authorId="0" shapeId="0" xr:uid="{00000000-0006-0000-20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20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tc={A5002EC3-D39C-48F1-841D-9DABE22A90C6}</author>
    <author>tc={E27C3B8B-5A3C-4A1E-8FF1-C506FE77A4BA}</author>
  </authors>
  <commentList>
    <comment ref="H27" authorId="0" shapeId="0" xr:uid="{00000000-0006-0000-21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21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tc={38D18B7C-6B20-4A92-A428-382CB2CE4D49}</author>
    <author>tc={7201471E-51FF-4DBC-9B2B-8856C8E4DFCB}</author>
  </authors>
  <commentList>
    <comment ref="H27" authorId="0" shapeId="0" xr:uid="{00000000-0006-0000-22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22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tc={5C798C6C-4D79-4241-BA57-A3B9AE6AE952}</author>
    <author>tc={8CAEA679-4A66-4DBA-89B0-E0A39B5A59A0}</author>
  </authors>
  <commentList>
    <comment ref="H27" authorId="0" shapeId="0" xr:uid="{00000000-0006-0000-23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23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tc={A891F831-3CCB-44AB-9B57-050AF9DB35DB}</author>
    <author>tc={15AE1AFC-DF63-40D6-9B88-D45F50ED931A}</author>
  </authors>
  <commentList>
    <comment ref="H27" authorId="0" shapeId="0" xr:uid="{00000000-0006-0000-24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24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tc={94743C7A-3FF0-436F-AFAD-178E4A378B18}</author>
    <author>tc={65C002D8-818A-4A9D-BCCD-5F7DBD31EA9F}</author>
  </authors>
  <commentList>
    <comment ref="H27" authorId="0" shapeId="0" xr:uid="{00000000-0006-0000-25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25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tc={A47E2AB8-CA4E-44F1-A119-562BF93819CD}</author>
    <author>tc={0AC869E8-6D99-4C25-A537-E77E3560DEA8}</author>
  </authors>
  <commentList>
    <comment ref="H27" authorId="0" shapeId="0" xr:uid="{00000000-0006-0000-26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26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tc={E5CB2BC4-B4A5-42B6-B5BA-BE0D23BD101D}</author>
    <author>tc={E2F8603E-C3BF-4A76-ABB7-9515AFF5D9BB}</author>
  </authors>
  <commentList>
    <comment ref="H27" authorId="0" shapeId="0" xr:uid="{00000000-0006-0000-27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27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tc={D0657926-025A-43BF-8CD6-086D5E3AF98D}</author>
    <author>tc={DFBBEB40-AAE7-41E3-B281-710E8DDBB9B7}</author>
  </authors>
  <commentList>
    <comment ref="H27" authorId="0" shapeId="0" xr:uid="{00000000-0006-0000-28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28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tc={96698782-6B7F-48A5-A089-965FEF8AF857}</author>
    <author>tc={388A9169-10DB-4E77-8CDD-B8E867C68320}</author>
  </authors>
  <commentList>
    <comment ref="H27" authorId="0" shapeId="0" xr:uid="{00000000-0006-0000-29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29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tc={5F189FED-CEA6-4705-A166-5C6C7812C6CD}</author>
    <author>tc={1C9F28DC-C2DD-497A-A173-DCE04BAD14A9}</author>
  </authors>
  <commentList>
    <comment ref="H27" authorId="0" shapeId="0" xr:uid="{00000000-0006-0000-2A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2A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tc={36D1427F-E995-47D6-8377-C8EF650C44B8}</author>
    <author>tc={3534EEF8-ED55-4381-8416-6C66AC194187}</author>
  </authors>
  <commentList>
    <comment ref="H27" authorId="0" shapeId="0" xr:uid="{00000000-0006-0000-2B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2B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tc={59086895-4566-47FD-8E44-3FCC017A15BC}</author>
    <author>tc={66D02EB3-C709-48AA-BB40-287178AD78E5}</author>
  </authors>
  <commentList>
    <comment ref="H27" authorId="0" shapeId="0" xr:uid="{00000000-0006-0000-2C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2C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tc={FB8A667B-3133-4994-805A-5A997A84990B}</author>
    <author>tc={2952347A-866B-4120-9D33-1CCB861CF674}</author>
  </authors>
  <commentList>
    <comment ref="H27" authorId="0" shapeId="0" xr:uid="{00000000-0006-0000-2D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2D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tc={0CC2370B-0338-4B04-9958-0F6AE13481F8}</author>
    <author>tc={C6CED5B3-28EB-480A-8312-EC84B16CDFED}</author>
  </authors>
  <commentList>
    <comment ref="H27" authorId="0" shapeId="0" xr:uid="{00000000-0006-0000-2E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2E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tc={BC568525-A640-4F66-8DBB-78A6CADFD374}</author>
    <author>tc={AAF20D3C-9CF1-4CF7-B984-D9DA61CC6CDB}</author>
  </authors>
  <commentList>
    <comment ref="H27" authorId="0" shapeId="0" xr:uid="{00000000-0006-0000-2F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2F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4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tc={3ACD1566-8B27-4DBF-BF91-4B80169CAF11}</author>
    <author>tc={841C2782-01F5-4913-8554-8570837D7C4B}</author>
  </authors>
  <commentList>
    <comment ref="H27" authorId="0" shapeId="0" xr:uid="{00000000-0006-0000-30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30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4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tc={9B27C433-F4E4-4427-B52A-6FE63DE1AC2E}</author>
    <author>tc={FD18F561-5C94-4D6C-83E0-4232D57918DB}</author>
  </authors>
  <commentList>
    <comment ref="H27" authorId="0" shapeId="0" xr:uid="{00000000-0006-0000-31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31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4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tc={991CE584-D35E-40E7-A575-79F0E2FD1076}</author>
    <author>tc={49D19786-BB0F-490B-A7D0-CBAF2554A867}</author>
  </authors>
  <commentList>
    <comment ref="H27" authorId="0" shapeId="0" xr:uid="{00000000-0006-0000-32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32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4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tc={37EA65F9-AADC-483C-8F8D-4739DBCFE2C0}</author>
    <author>tc={FBD62BFA-F3B7-41DB-8DE0-F83C97B04F4C}</author>
  </authors>
  <commentList>
    <comment ref="H27" authorId="0" shapeId="0" xr:uid="{00000000-0006-0000-33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33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5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tc={B1E68BB5-A780-410A-8F6A-5B9E5955CF89}</author>
    <author>tc={E869B931-7F39-4353-BD16-7E82DC3AC17D}</author>
  </authors>
  <commentList>
    <comment ref="H27" authorId="0" shapeId="0" xr:uid="{00000000-0006-0000-34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34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5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tc={998C493E-D8B2-4408-B2EF-F361C8810993}</author>
    <author>tc={883D083F-66A5-4FA2-9E64-84523566025C}</author>
  </authors>
  <commentList>
    <comment ref="H27" authorId="0" shapeId="0" xr:uid="{00000000-0006-0000-35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35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5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tc={FB1A78F0-4BAB-4CE2-9A98-A285461DC85C}</author>
    <author>tc={D452061B-76C4-45BA-B3EC-478FE687B795}</author>
  </authors>
  <commentList>
    <comment ref="H27" authorId="0" shapeId="0" xr:uid="{00000000-0006-0000-36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36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5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tc={149E92DD-AADF-491B-A0DA-B43437204A47}</author>
    <author>tc={F68429A8-E715-4FF6-A4DF-7AC8BF3AA48A}</author>
  </authors>
  <commentList>
    <comment ref="H27" authorId="0" shapeId="0" xr:uid="{00000000-0006-0000-37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37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5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tc={E37A89D5-12A9-4374-8345-818F2219E246}</author>
    <author>tc={89E661A8-A652-4C66-9707-327183E32BBD}</author>
  </authors>
  <commentList>
    <comment ref="H27" authorId="0" shapeId="0" xr:uid="{00000000-0006-0000-38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38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5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tc={FBDCC9C9-DC6D-4203-96F8-9880C8A9DB61}</author>
    <author>tc={B879723B-4CC5-475F-B086-898E9991B25D}</author>
  </authors>
  <commentList>
    <comment ref="H23" authorId="0" shapeId="0" xr:uid="{00000000-0006-0000-39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1" authorId="1" shapeId="0" xr:uid="{00000000-0006-0000-39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5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tc={D77EEC51-4F0B-4F7B-8F1A-6683D93E865C}</author>
    <author>tc={8F6C2957-7B4F-4D7F-B223-4E3C13E0A2AA}</author>
  </authors>
  <commentList>
    <comment ref="H23" authorId="0" shapeId="0" xr:uid="{00000000-0006-0000-3A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1" authorId="1" shapeId="0" xr:uid="{00000000-0006-0000-3A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5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tc={DFDA03BE-7627-4589-AB8A-D454F0E5EFF9}</author>
    <author>tc={213EB4D3-768A-4B63-84C2-6F3C6D0FDC46}</author>
  </authors>
  <commentList>
    <comment ref="H23" authorId="0" shapeId="0" xr:uid="{00000000-0006-0000-3B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1" authorId="1" shapeId="0" xr:uid="{00000000-0006-0000-3B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5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tc={EA6BFC31-F789-450B-B394-96F203AF7ADB}</author>
    <author>tc={7A16BEC0-9CF4-450C-8E00-3B642FFB5F53}</author>
  </authors>
  <commentList>
    <comment ref="H23" authorId="0" shapeId="0" xr:uid="{00000000-0006-0000-3C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1" authorId="1" shapeId="0" xr:uid="{00000000-0006-0000-3C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5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tc={40C38851-4EA9-4CC4-A1F4-B472C882DEC0}</author>
    <author>tc={A999D89F-7E37-4967-91C9-04E6E279B979}</author>
  </authors>
  <commentList>
    <comment ref="H23" authorId="0" shapeId="0" xr:uid="{00000000-0006-0000-3D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1" authorId="1" shapeId="0" xr:uid="{00000000-0006-0000-3D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6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tc={096F26C8-B612-4766-B40C-00242D5A11F7}</author>
    <author>tc={D8C7CB28-A17C-4EE1-9429-4D7B14A69BFE}</author>
  </authors>
  <commentList>
    <comment ref="H23" authorId="0" shapeId="0" xr:uid="{00000000-0006-0000-3E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1" authorId="1" shapeId="0" xr:uid="{00000000-0006-0000-3E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6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tc={1FB95113-A347-46F1-B6FD-A32DD7EBFE08}</author>
    <author>tc={ABFD2ADB-44BF-4A6A-8CCA-28CAD3C9C89D}</author>
  </authors>
  <commentList>
    <comment ref="H27" authorId="0" shapeId="0" xr:uid="{00000000-0006-0000-3F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3F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6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tc={366683BF-5E75-481A-89EB-18F5836640B2}</author>
    <author>tc={99A4DDAD-0162-43AB-B34A-77BFAB6549E8}</author>
  </authors>
  <commentList>
    <comment ref="H27" authorId="0" shapeId="0" xr:uid="{00000000-0006-0000-40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40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6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tc={4F7160B5-E87C-4005-B85F-5EE1576B893D}</author>
    <author>tc={6982EFAC-1E97-46D9-9DD0-3F2BD07C94D1}</author>
  </authors>
  <commentList>
    <comment ref="H27" authorId="0" shapeId="0" xr:uid="{00000000-0006-0000-41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41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6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tc={7550A2EF-FA14-40E6-B1DE-B1DC5B49A433}</author>
    <author>tc={1A3B00B5-A01B-4945-A6A7-8AFF1FF0B30A}</author>
  </authors>
  <commentList>
    <comment ref="H27" authorId="0" shapeId="0" xr:uid="{00000000-0006-0000-42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42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6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tc={39358E54-3C74-4F3A-9D49-86E5DF3D524E}</author>
    <author>tc={90323209-A66A-4122-AE23-EB0C4181284A}</author>
  </authors>
  <commentList>
    <comment ref="H27" authorId="0" shapeId="0" xr:uid="{00000000-0006-0000-43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5" authorId="1" shapeId="0" xr:uid="{00000000-0006-0000-43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6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tc={DABB685D-1E88-4327-AF80-E915B521CE17}</author>
    <author>tc={8B58E573-E5CE-4C08-8A3C-14B06C58AD10}</author>
  </authors>
  <commentList>
    <comment ref="H23" authorId="0" shapeId="0" xr:uid="{00000000-0006-0000-44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1" authorId="1" shapeId="0" xr:uid="{00000000-0006-0000-44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6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tc={F2D4CD60-18B1-48A2-8EC7-4B592CC8F888}</author>
    <author>tc={EB2AEF41-17DF-4642-AD49-145D833625BD}</author>
  </authors>
  <commentList>
    <comment ref="H23" authorId="0" shapeId="0" xr:uid="{00000000-0006-0000-45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1" authorId="1" shapeId="0" xr:uid="{00000000-0006-0000-45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6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tc={4EFDC191-3C22-49F8-8C9A-C99ABD677E34}</author>
    <author>tc={44B21318-934B-4D4D-9266-F8D6D2EE4E91}</author>
  </authors>
  <commentList>
    <comment ref="H23" authorId="0" shapeId="0" xr:uid="{00000000-0006-0000-46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1" authorId="1" shapeId="0" xr:uid="{00000000-0006-0000-46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comments6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tc={12FF3135-459C-47F1-B2F7-9C37A778BA97}</author>
    <author>tc={FBE5FFB8-431B-462A-8083-6D0344E6EA69}</author>
  </authors>
  <commentList>
    <comment ref="H23" authorId="0" shapeId="0" xr:uid="{00000000-0006-0000-47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la rentabilidad que genera el servicio Diageo.</t>
      </text>
    </comment>
    <comment ref="H31" authorId="1" shapeId="0" xr:uid="{00000000-0006-0000-47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Explica cuantas cervezas, tragos o copas de vino se deben vender para igualar el ticket por persona que genera la venta de 1 servicio Diageo.</t>
      </text>
    </comment>
  </commentList>
</comments>
</file>

<file path=xl/sharedStrings.xml><?xml version="1.0" encoding="utf-8"?>
<sst xmlns="http://schemas.openxmlformats.org/spreadsheetml/2006/main" count="14830" uniqueCount="911">
  <si>
    <t xml:space="preserve">OLD PARR BEER - RECETA Y COSTEO DEL SERVICIO </t>
  </si>
  <si>
    <t>ESCENARIOS DE RENTABILIDAD</t>
  </si>
  <si>
    <t>CONSUMO RESPONSABLE</t>
  </si>
  <si>
    <t>INSUMOS X RECETA</t>
  </si>
  <si>
    <t>PRODUCTO</t>
  </si>
  <si>
    <t>CANTIDAD</t>
  </si>
  <si>
    <t>UN. MEDIDA
(GR/ML)</t>
  </si>
  <si>
    <t>PRECIO</t>
  </si>
  <si>
    <t>VALOR X UN. MEDIDA</t>
  </si>
  <si>
    <t>RENTABILIDAD  VS CERVEZA</t>
  </si>
  <si>
    <t>GRAMOS  DE ALCOHOL X SERVICIO</t>
  </si>
  <si>
    <t>OLD PARR 12</t>
  </si>
  <si>
    <t>ML</t>
  </si>
  <si>
    <t>Rentabilidad Servicio Diageo</t>
  </si>
  <si>
    <r>
      <t xml:space="preserve">% Alcohol del destilado </t>
    </r>
    <r>
      <rPr>
        <b/>
        <sz val="11"/>
        <color theme="1"/>
        <rFont val="Calibri"/>
        <family val="2"/>
        <scheme val="minor"/>
      </rPr>
      <t>(40%)</t>
    </r>
  </si>
  <si>
    <t>CERVEZA DORADA</t>
  </si>
  <si>
    <t>Rentabilidad Promedio Cerveza Nacional</t>
  </si>
  <si>
    <r>
      <t xml:space="preserve">Cantidad ingerida  </t>
    </r>
    <r>
      <rPr>
        <b/>
        <sz val="11"/>
        <color theme="1"/>
        <rFont val="Calibri"/>
        <family val="2"/>
        <scheme val="minor"/>
      </rPr>
      <t>(50ml)</t>
    </r>
  </si>
  <si>
    <t>ZUMO LIMÓN</t>
  </si>
  <si>
    <t xml:space="preserve">Rentabilidad Promedio Cerveza Importada/Artesanal </t>
  </si>
  <si>
    <t>Densidad del Alcohol</t>
  </si>
  <si>
    <t>AZÚCAR (ALMÍBAR 50/50)</t>
  </si>
  <si>
    <t>GR</t>
  </si>
  <si>
    <t>Rentabilidad Servicio Diageo vs Cerveza Nacional</t>
  </si>
  <si>
    <r>
      <rPr>
        <b/>
        <sz val="11"/>
        <color theme="1"/>
        <rFont val="Calibri"/>
        <family val="2"/>
        <scheme val="minor"/>
      </rPr>
      <t>Gramos</t>
    </r>
    <r>
      <rPr>
        <sz val="11"/>
        <color theme="1"/>
        <rFont val="Calibri"/>
        <family val="2"/>
        <scheme val="minor"/>
      </rPr>
      <t xml:space="preserve"> de alcohol x servicio</t>
    </r>
  </si>
  <si>
    <t>LIMON TAHITÍ</t>
  </si>
  <si>
    <t>Rentabilidad Servicio Diageo vs Cerveza Importada/Artesanal</t>
  </si>
  <si>
    <r>
      <t>Cantidad del servicio en</t>
    </r>
    <r>
      <rPr>
        <b/>
        <sz val="11"/>
        <color theme="1"/>
        <rFont val="Calibri"/>
        <family val="2"/>
        <scheme val="minor"/>
      </rPr>
      <t xml:space="preserve"> ML</t>
    </r>
  </si>
  <si>
    <r>
      <rPr>
        <b/>
        <sz val="11"/>
        <color theme="1"/>
        <rFont val="Calibri"/>
        <family val="2"/>
        <scheme val="minor"/>
      </rPr>
      <t xml:space="preserve">% </t>
    </r>
    <r>
      <rPr>
        <sz val="11"/>
        <color theme="1"/>
        <rFont val="Calibri"/>
        <family val="2"/>
        <scheme val="minor"/>
      </rPr>
      <t>del alcohol en el servicio</t>
    </r>
  </si>
  <si>
    <t>COSTOS RECETA</t>
  </si>
  <si>
    <t>INGREDIENTE</t>
  </si>
  <si>
    <t>UN. MEDIDA</t>
  </si>
  <si>
    <t>VALOR  X  UN. MEDIDA</t>
  </si>
  <si>
    <t>TOTAL</t>
  </si>
  <si>
    <t>RENTABILIDAD  VS DESTILADOS</t>
  </si>
  <si>
    <t>GRAMOS  DE ALCOHOL EN CERVEZA</t>
  </si>
  <si>
    <t>Rentabilidad Promedio Trago Destilado Nacional</t>
  </si>
  <si>
    <r>
      <t xml:space="preserve">% Alcohol de la cerveza </t>
    </r>
    <r>
      <rPr>
        <b/>
        <sz val="11"/>
        <color theme="1"/>
        <rFont val="Calibri"/>
        <family val="2"/>
        <scheme val="minor"/>
      </rPr>
      <t>(4,5%)</t>
    </r>
  </si>
  <si>
    <t>Rentabilidad Promedio Trago Destilado Importado</t>
  </si>
  <si>
    <r>
      <t xml:space="preserve">Cantidad x botella o lata  </t>
    </r>
    <r>
      <rPr>
        <b/>
        <sz val="11"/>
        <color theme="1"/>
        <rFont val="Calibri"/>
        <family val="2"/>
        <scheme val="minor"/>
      </rPr>
      <t>(330 ml)</t>
    </r>
  </si>
  <si>
    <t>Rentabilidad Servicio Diageo vs Trago Destilado Nacional</t>
  </si>
  <si>
    <t xml:space="preserve">Rentabilidad Servicio Diageo vs Trago Destilado Importado </t>
  </si>
  <si>
    <r>
      <rPr>
        <b/>
        <sz val="11"/>
        <color theme="1"/>
        <rFont val="Calibri"/>
        <family val="2"/>
        <scheme val="minor"/>
      </rPr>
      <t>Gramos</t>
    </r>
    <r>
      <rPr>
        <sz val="11"/>
        <color theme="1"/>
        <rFont val="Calibri"/>
        <family val="2"/>
        <scheme val="minor"/>
      </rPr>
      <t xml:space="preserve"> de alcohol x cerveza</t>
    </r>
  </si>
  <si>
    <t>PREPARACIÓN</t>
  </si>
  <si>
    <t>TOTAL COSTO INSUMOS</t>
  </si>
  <si>
    <t xml:space="preserve">1. En un vaso largo agregar un par de hielos grandes. 
2. Luego agregue 50 ml de Whisky Old Parr 12, 15 ml de zumo de limón y 15 ml de almíbar.
3. Por último complete con cerveza dorada bien fría y decore con una rodaja de limón.  </t>
  </si>
  <si>
    <t>5% OTROS GASTOS</t>
  </si>
  <si>
    <t>RENTABILIDAD VS VINO X COPA</t>
  </si>
  <si>
    <t>TOTAL COSTO PRODUCTO</t>
  </si>
  <si>
    <t>PRECIO S. VENTA</t>
  </si>
  <si>
    <t>Rentabilidad Promedio x Copa de Vino</t>
  </si>
  <si>
    <t>IMPUESTO AL CONSUMO 8%</t>
  </si>
  <si>
    <t>Rentabilidad Servicio Diageo vs Copa de Vino Regular</t>
  </si>
  <si>
    <t xml:space="preserve">RENTAB. DESPUÉS IMPUESTOS </t>
  </si>
  <si>
    <t>% COSTO PRODUCTO</t>
  </si>
  <si>
    <t># BEBIDAS A VENDER  X IGUALAR RENTABILIDAD SERVICIO DIAGEO</t>
  </si>
  <si>
    <t>% RENTABILIDAD</t>
  </si>
  <si>
    <t>Rentabilidad x servicio Diageo</t>
  </si>
  <si>
    <t># Cervezas Nacional a vender</t>
  </si>
  <si>
    <t># Cervezas Importada  a vender</t>
  </si>
  <si>
    <t># Copas de Vino  a vender</t>
  </si>
  <si>
    <t># Tragos Destilado Nacional a vender</t>
  </si>
  <si>
    <t># Tragos Destilado Importado  a vender</t>
  </si>
  <si>
    <t># BEBIDAS A VENDER  X IGUALAR TICKET DE VENTA X PERSONA</t>
  </si>
  <si>
    <t>Ticket venta x persona con servicio Diageo</t>
  </si>
  <si>
    <t>RENTABILIDAD CERVEZA NACIONAL TRADICIONAL</t>
  </si>
  <si>
    <t>COSTO X UNIDAD</t>
  </si>
  <si>
    <t>VALOR  X  UN</t>
  </si>
  <si>
    <t>Cerveza Nal</t>
  </si>
  <si>
    <t xml:space="preserve">OBSERVACIONES </t>
  </si>
  <si>
    <t>Club Colombia, Póker, Águila etc.
El precio de venta es el valor promedio en restaurantes y bares.</t>
  </si>
  <si>
    <t>RENTABILIDAD CERVEZA IMPORTADA Y NACIONAL ARTESANAL</t>
  </si>
  <si>
    <t>Cerveza Imp.</t>
  </si>
  <si>
    <t>BBC, Tres Cordilleras, Corona, Stella Artois, Peroni, Heineken, etc.
El precio de venta es el valor promedio en restaurantes y bares.</t>
  </si>
  <si>
    <t>RENTABILIDAD DESTILADO NACIONAL</t>
  </si>
  <si>
    <t>Ron/Aguar</t>
  </si>
  <si>
    <t>Antioqueño, Néctar, Viejo de Caldas, Medellín, etc.
Se costea con precios de compra promedio de  $ 35.000 pesos y se divide entre 15 tragos de 50 ml cada uno.</t>
  </si>
  <si>
    <t>RENTABILIDAD DESTILADO IMPORTADO</t>
  </si>
  <si>
    <t xml:space="preserve">Whisky, Gin </t>
  </si>
  <si>
    <t>Absolut, Chivas, Beefeater, Jose Cuervo,  etc.
Se costea con precios de compra promedio de  $ 75.000 pesos y se divide entre 15 tragos de 50 ml cada uno.</t>
  </si>
  <si>
    <t>RENTABILIDAD VINO  X COPEO</t>
  </si>
  <si>
    <t>CANTIDAD X COPA</t>
  </si>
  <si>
    <t>Vino Joven</t>
  </si>
  <si>
    <t xml:space="preserve">Se compara contra precios promedio de compra y venta de vinos en el On Trade.
Precio de compra: $25.000 x botella </t>
  </si>
  <si>
    <t xml:space="preserve">BUCHANAN'S PUNCH - RECETA Y COSTEO DEL SERVICIO </t>
  </si>
  <si>
    <t>WHISKY BUCHANA'NS 12</t>
  </si>
  <si>
    <t>ZUMO DE MANDARINA</t>
  </si>
  <si>
    <t>AZÚCAR(ALMÍBAR 50/50)</t>
  </si>
  <si>
    <t>MANZANA VERDE</t>
  </si>
  <si>
    <t xml:space="preserve">1. En un vaso largo agregar hielo hasta el tope.
2. Luego agregue 50 ml de Whisky Buchanan's 12, 60 ml de zumo de mandarina y 15 ml de almíbar.
3. Por último decore con manzana verde picada en cubos pequeños.  </t>
  </si>
  <si>
    <t>ZUMO NARANJA</t>
  </si>
  <si>
    <t>NARANJA</t>
  </si>
  <si>
    <t>1. En un vaso largo agregar hielo hasta el tope. 
2. Luego agregue 50 ml de Whisky Old Parr 12, adicione, 30 ml de zumo de limón, 60ml de zumo de naranja y 15 ml de almíbar. 
3. Mezclar y decorar con una media luna de naranja.</t>
  </si>
  <si>
    <t xml:space="preserve">OLD PARR GOLDEN - RECETA Y COSTEO DEL SERVICIO </t>
  </si>
  <si>
    <t>WHISKY BLACK &amp; WHITE</t>
  </si>
  <si>
    <t>ZUMO DE LIMÓN</t>
  </si>
  <si>
    <t xml:space="preserve">BLACK &amp; BEER - RECETA Y COSTEO DEL SERVICIO </t>
  </si>
  <si>
    <t>WHISKY BUCHANAN'S MASTER</t>
  </si>
  <si>
    <t xml:space="preserve">GASEOSA DE LIMÓN </t>
  </si>
  <si>
    <t>LIMÓN TAHITÍ</t>
  </si>
  <si>
    <t xml:space="preserve">BUCHANAN'S LIME MASTER - RECETA Y COSTEO DEL SERVICIO </t>
  </si>
  <si>
    <t>GIN GORDON'S LONDON  DRY</t>
  </si>
  <si>
    <t>AGUA TONICA</t>
  </si>
  <si>
    <t>1. En un vaso largo o copa globo agrega hielo hasta el tope. 
2. Luego agregue 50 ml de Gin Gordon's London Dry y complete con agua tónica.
3. Decore con una rodaja de limón.</t>
  </si>
  <si>
    <t xml:space="preserve">GORDON'S TONIC - RECETA Y COSTEO DEL SERVICIO </t>
  </si>
  <si>
    <t xml:space="preserve">GORDON'S CUCUMBER TONIC - RECETA Y COSTEO DEL SERVICIO </t>
  </si>
  <si>
    <t xml:space="preserve">GIN GORDON'S CUCUMBER </t>
  </si>
  <si>
    <t>AGUA TÓNICA</t>
  </si>
  <si>
    <t>PEPINO</t>
  </si>
  <si>
    <t>1. En un vaso largo o copa globo agrega hielo hasta el tope. 
2. Luego agregue 50 ml de Gin Gordon's Cucumber y complete con agua tónica.
3. Decore con una rodaja de limón.</t>
  </si>
  <si>
    <t>GIN GORDON'S PINK</t>
  </si>
  <si>
    <t>FRESA</t>
  </si>
  <si>
    <t>1. En un vaso largo o copa globo agrega hielo hasta el tope. 
2. Luego agregue 50 ml de Gin Gordon's Pink  y complete con agua tónica.
3. Decore con una rodajas de fresa.</t>
  </si>
  <si>
    <t xml:space="preserve">GORDON'S PINK TONIC  - RECETA Y COSTEO DEL SERVICIO </t>
  </si>
  <si>
    <t>WHISKY JW RED LABEL</t>
  </si>
  <si>
    <t>GASEOSA DE LIMA</t>
  </si>
  <si>
    <t xml:space="preserve">1. En un vaso largo agregar hielo hasta el tope. 
2. Luego agregue 50 ml de Whisky JW Red Label y complete con la gaseosa de lima. 
3. Decore con una rodaja de limón. </t>
  </si>
  <si>
    <t>GASEOSA COLOMBIANA</t>
  </si>
  <si>
    <t xml:space="preserve">1. En un vaso largo agregar hielo hasta el tope. 
2. Luego agregue 50 ml de Whisky JW Red Label y complete con la gaseosa de Colombiana 
3. Decore con una rodaja de limón. </t>
  </si>
  <si>
    <t>WHISKY JW BLACK LABEL</t>
  </si>
  <si>
    <t xml:space="preserve">1. En un vaso largo agregar hielo hasta el tope. 
2. Luego agregue 50 ml de Whisky JW Black Label, 30 ml de zumo de limón y 30 ml de almíbar. 
3. Decore con una rodaja de limón. </t>
  </si>
  <si>
    <t>SODA</t>
  </si>
  <si>
    <t xml:space="preserve">1. En un vaso largo agregar hielo hasta el tope. 
2. Luego agregue 50 ml de Whisky JW Black Label, añada 15 ml de zumo de mandarina y complete con soda. 
3. Decore con una rodaja de limón. </t>
  </si>
  <si>
    <t>WHISKY HAIG CLUB</t>
  </si>
  <si>
    <t xml:space="preserve">1. En una copa de vino agrega hielo hasta el borde. 
2. Lugeo agrega 50 ml de Whisky Haig Club y completa con agua tónica. 
3. Decora con una media luna de naranja. </t>
  </si>
  <si>
    <t>UVA ISABELA</t>
  </si>
  <si>
    <t xml:space="preserve">1. En una copa de vino macera 3- 4 uvas Isabela, despúes, agrega hielo hasta el borde. 
2. Luego agregue 50 ml de Whisky Haig Club y completa con agua tónica. 
3. Decora con unas láminas de fresa. </t>
  </si>
  <si>
    <t xml:space="preserve">HAIG TRENDING  - RECETA Y COSTEO DEL SERVICIO </t>
  </si>
  <si>
    <t xml:space="preserve">HIERBABUENA </t>
  </si>
  <si>
    <t>CREMA DE WHISKY BAILEY'S</t>
  </si>
  <si>
    <t>MASMELOS</t>
  </si>
  <si>
    <t xml:space="preserve">1. En un vaso corto agrega 3/4 partes de hielo.
2. Lugeo agregua 50 ml de Crema de Whisky Bailey's. 
3. Disfrútalo decorado  con un delicioso masmelo. </t>
  </si>
  <si>
    <t xml:space="preserve">BAILEY'S MARSHMALLOW  - RECETA Y COSTEO DEL SERVICIO </t>
  </si>
  <si>
    <t xml:space="preserve">CAFÉ MOLIDO </t>
  </si>
  <si>
    <t>LECHE</t>
  </si>
  <si>
    <t>CANELA EN POLVO</t>
  </si>
  <si>
    <t>1. Prepara un cappuccino como siempre lo haces y sirvelo acompañado de un trago de Bailey's.</t>
  </si>
  <si>
    <t xml:space="preserve">BAILEY'S CAPPUCCINO  - RECETA Y COSTEO DEL SERVICIO </t>
  </si>
  <si>
    <t>VODKA SMIRNOFF</t>
  </si>
  <si>
    <t>PRE MIX DE LIMÓN</t>
  </si>
  <si>
    <t>GRANADINA</t>
  </si>
  <si>
    <t>WHISKY SINGLETON 12</t>
  </si>
  <si>
    <t>AZÙCAR</t>
  </si>
  <si>
    <t>GOTAS AMARGAS</t>
  </si>
  <si>
    <t xml:space="preserve">SINGLETON OLD FASHION  - RECETA Y COSTEO DEL SERVICIO </t>
  </si>
  <si>
    <t>JENGIBRE(ZUMO CASERO)</t>
  </si>
  <si>
    <t>ZUMO DE LIMÒN</t>
  </si>
  <si>
    <t>MIEL DE ABEJA</t>
  </si>
  <si>
    <t xml:space="preserve">SINGLETON PENICILIN - RECETA Y COSTEO DEL SERVICIO </t>
  </si>
  <si>
    <t>BUCHANAN'S 18</t>
  </si>
  <si>
    <t xml:space="preserve">WHISKY BUCHNAN'S 18  - RECETA Y COSTEO DEL SERVICIO </t>
  </si>
  <si>
    <t>ZUMO TORONJA</t>
  </si>
  <si>
    <t xml:space="preserve">TORONJA </t>
  </si>
  <si>
    <t>JOHNNIE WALKER 18</t>
  </si>
  <si>
    <t xml:space="preserve">JOHNNIE WALKER 18  - RECETA Y COSTEO DEL SERVICIO </t>
  </si>
  <si>
    <t>JW GREEN LABEL</t>
  </si>
  <si>
    <t xml:space="preserve">WHISKY JW GREEN LABEL - RECETA Y COSTEO DEL SERVICIO </t>
  </si>
  <si>
    <t>JW BLUE LABEL</t>
  </si>
  <si>
    <t xml:space="preserve">JW BLUE LABEL - RECETA Y COSTEO DEL SERVICIO </t>
  </si>
  <si>
    <t>KING GEORGE V</t>
  </si>
  <si>
    <t xml:space="preserve">WHISKY KING GEORGE V - RECETA Y COSTEO DEL SERVICIO </t>
  </si>
  <si>
    <t>OLD PARR 18</t>
  </si>
  <si>
    <t xml:space="preserve">WHISKY OLD PARR 18 - RECETA Y COSTEO DEL SERVICIO </t>
  </si>
  <si>
    <t>DON JULIO BLANCO</t>
  </si>
  <si>
    <t>AZÙCAR(ALMÌBAR 50/50)</t>
  </si>
  <si>
    <t>ZUMO DE LIMON</t>
  </si>
  <si>
    <t>LIMON TAHITÌ</t>
  </si>
  <si>
    <t xml:space="preserve">LUPE DON JULIO - RECETA Y COSTEO DEL SERVICIO </t>
  </si>
  <si>
    <t>DON JULIO REPOSADO</t>
  </si>
  <si>
    <t xml:space="preserve">PALOMA DON JULIO REPOSADO - RECETA Y COSTEO DEL SERVICIO </t>
  </si>
  <si>
    <t>DON JULIO AÑEJO</t>
  </si>
  <si>
    <t xml:space="preserve">DON JULIO AÑEJO - RECETA Y COSTEO DEL SERVICIO </t>
  </si>
  <si>
    <t xml:space="preserve">DON JULIO 70 - RECETA Y COSTEO DEL SERVICIO </t>
  </si>
  <si>
    <t>DON JULIO 70</t>
  </si>
  <si>
    <t>BULLEIT BOURBON</t>
  </si>
  <si>
    <t xml:space="preserve">BULLEIT OLD FASHION - RECETA Y COSTEO DEL SERVICIO </t>
  </si>
  <si>
    <t>AZÚCAR</t>
  </si>
  <si>
    <t xml:space="preserve">BULLEIT &amp; BEER - RECETA Y COSTEO DEL SERVICIO </t>
  </si>
  <si>
    <t>BULLEIT RYE</t>
  </si>
  <si>
    <t>CERVEZA NEGRA</t>
  </si>
  <si>
    <t xml:space="preserve">BULLEIT BOURBON - RECETA Y COSTEO DEL SERVICIO </t>
  </si>
  <si>
    <t xml:space="preserve">BULLEIT RYE - RECETA Y COSTEO DEL SERVICIO </t>
  </si>
  <si>
    <t>TANQUERAY TEN</t>
  </si>
  <si>
    <t>TEA TWININGS</t>
  </si>
  <si>
    <t xml:space="preserve">TEA TEN - RECETA Y COSTEO DEL SERVICIO </t>
  </si>
  <si>
    <t>LIMON TAHITI</t>
  </si>
  <si>
    <t xml:space="preserve">TENQUERAY TONIC TEN - RECETA Y COSTEO DEL SERVICIO </t>
  </si>
  <si>
    <t>TENQUERAY RANGPUR</t>
  </si>
  <si>
    <t xml:space="preserve">TENQUERAY TONIC RANGPUR - RECETA Y COSTEO DEL SERVICIO </t>
  </si>
  <si>
    <t xml:space="preserve">TENQUERAY TONIC LONDON DRY - RECETA Y COSTEO DEL SERVICIO </t>
  </si>
  <si>
    <t>TENQUERAY LONDON DRY GIN</t>
  </si>
  <si>
    <t xml:space="preserve">TANQUERAY SOUTH SIDE - RECETA Y COSTEO DEL SERVICIO </t>
  </si>
  <si>
    <t>HIERBA BUENA</t>
  </si>
  <si>
    <t xml:space="preserve"> ZACAPA 23</t>
  </si>
  <si>
    <t xml:space="preserve">ZACAPA OLD FASHION - RECETA Y COSTEO DEL SERVICIO </t>
  </si>
  <si>
    <t xml:space="preserve">ZACAPA PUNCH - RECETA Y COSTEO DEL SERVICIO </t>
  </si>
  <si>
    <t>ZACAPA 23</t>
  </si>
  <si>
    <t xml:space="preserve">ZACAPA 23 - RECETA Y COSTEO DEL SERVICIO </t>
  </si>
  <si>
    <t xml:space="preserve">H.O.T  - RECETA Y COSTEO DEL SERVICIO </t>
  </si>
  <si>
    <t xml:space="preserve">1. En un vaso corto agregue 3/4 partes de hielo. 
2. Luego agregue 60ml de whisky singleton 12, un cubo de azúcar, 4 gotas amargas y un dash de soda.                                                                   3.Decore con un twist de naranja.  </t>
  </si>
  <si>
    <t xml:space="preserve">1. En un vaso corto agregue 3/4 partes hielo. 
2. Luego agregue a la coctelera, 45ml de Whisky Singleton 12, zumo de limón, zumo de jengibre, la miel Y mézclelo bien.                                                                           3. Para finalizar sirva al vaso y agregue unas gotas de solución salina. </t>
  </si>
  <si>
    <t>1. En un vaso corto agregue una esfera de hielo. 
2. Luego agregue 60ml de whisky Buchanan's 18.</t>
  </si>
  <si>
    <t>1. En un vaso corto agregue una esfera de hielo. 
2. Luego agregue 60ml de whisky JW Green Label 15 años.</t>
  </si>
  <si>
    <t>1. En un vaso corto agregue una esfera de hielo. 
2. Luego agregue 60ml de whisky Johnnie Walker 18 años.</t>
  </si>
  <si>
    <t>1. En un vaso corto agregue una esfera de hielo. 
2. Luego agrega 60ml de whisky JW Blue Label. 3. Acompaña con un vaso de agua con abundante hielo.</t>
  </si>
  <si>
    <t>1. En un vaso corto agregue una esfera de hielo. 
2. Luego agrega 60ml de whisky JW King George V.
3. Acompaña con un vaso de agua con abundante hielo.</t>
  </si>
  <si>
    <t>1. En un vaso corto agregue una esfera de hielo. 
2. Luego agrega 60ml de whisky Prívate Collection.
3. Acompaña con un vaso de agua con abundante hielo.</t>
  </si>
  <si>
    <t xml:space="preserve">PRIVATE COLLECTION </t>
  </si>
  <si>
    <t xml:space="preserve">JOHNNIE WALKER PRIVATE COLLECTION - RECETA Y COSTEO DEL SERVICIO </t>
  </si>
  <si>
    <t>1. En un vaso corto agregue una esfera de hielo. 
2. Luego agrega 60ml de whisky Old Parr 18.</t>
  </si>
  <si>
    <t xml:space="preserve">1. En un vaso corto agregue hielo hasta el tope. 
2. Luego agregue 45ml de tequila Don Julio Blanco, 15ml de zumo de limón y 30ml de almíbar.                                                                   3.Decore con una rodaja de limón.  
</t>
  </si>
  <si>
    <t xml:space="preserve">1. En un vaso largo agregue hielo hasta el tope. 
2. Luego agregue tequila Don Julio reposado, zumo de toronja y almíbar.                                                                   3.Complete con agua tónica y decore con una rodaja de toronja.  
</t>
  </si>
  <si>
    <t>AZÙCAR(ALMÍBAR 50/50)</t>
  </si>
  <si>
    <t>1. En un vaso corto agregue una esfera de hielo. 
2. Luego agrega 60ml de Tequila Don Julio Añejo.</t>
  </si>
  <si>
    <t>1. En un vaso corto agregue una esfera de hielo. 
2. Luego agrega 60ml de Don Julio 70.</t>
  </si>
  <si>
    <t xml:space="preserve">1. En un vaso corto agregue 3/4 partes de hielo. 
2. Luego agregue 60ml de whisky Bulleit Bourbon, un cubo de azúcar, 4 gotas amargas y un dash de soda.                                                                   3.Decore con un twist de naranja.  </t>
  </si>
  <si>
    <t>1. En un vaso corto agregue una esfera de hielo. 
2. Luego agrega 60ml de Bulleit bourbon.</t>
  </si>
  <si>
    <t>1. En un vaso corto agregue una esfera de hielo. 
2. Luego agrega 60ml de Bulleit Bourbon.</t>
  </si>
  <si>
    <t xml:space="preserve">1. En una copa globo agregue 3/4 partes de hielo. 
2. Luego agregue 50ml de Tanqueray Ten, sumerja el té en la copa.                                                                   3.Por ultimo complete con agua tónica.  </t>
  </si>
  <si>
    <t xml:space="preserve">1. En una copa globo agregue 3/4 partes de hielo. 
2. Luego agregue 50ml de Tanqueray Ten.                                                                   3.Por ultimo complete con agua tónica y decore con una rodaja de limón.  </t>
  </si>
  <si>
    <t xml:space="preserve">1. En una copa globo agregue 3/4 partes de hielo. 
2. Luego agregue 50ml de Tanqueray Rangpur.                                                                   3.Por ultimo complete con agua tónica y decore con una rodaja de naranja.  </t>
  </si>
  <si>
    <t xml:space="preserve">1. En una copa globo agregue 3/4 partes de hielo. 
2. Luego agregue 50ml de Tanqueray London Dry Gin.
3.Por ultimo complete con agua tónica y decore con una rodaja de naranja.  </t>
  </si>
  <si>
    <t>1. Refresque una copa Martini con hielo. 
2. Luego a la coctelera agregue 45ml de Tenqueray Rangpur, zumo de limón, almíbar y unas hojas de hierba buena, agite bien la mezcla.                                                                   3.Sirva en la copa y decore con una hoja de hierba buena.</t>
  </si>
  <si>
    <t xml:space="preserve">1. En un vaso corto agregue 3/4 partes de hielo. 
2. Luego agregue 60ml de Zacapa 23, un cubo de azúcar, 4 gotas amargas y un dash de soda.                                                                   3.Decore con un twist de naranja.  </t>
  </si>
  <si>
    <t>LIMÓN TAHITI</t>
  </si>
  <si>
    <t xml:space="preserve">1. En un vaso corto agregue 3/4 partes de hielo. 
2. Luego a la coctelera agregue 45ml de Zacapa 23, zumo de limón, 4 gotas amargas y almíbar, agite bien la mezcla.                                                                   3.Sirva en el vaso y decore con una rodaja de limón.  </t>
  </si>
  <si>
    <t>1. En un vaso corto agregue una esfera de hielo. 
2. Luego agrega 60ml de Ron Zacapa 23.</t>
  </si>
  <si>
    <t>LICORES</t>
  </si>
  <si>
    <t>Singleton of Dufftown 12 Years</t>
  </si>
  <si>
    <t>BTL</t>
  </si>
  <si>
    <t>CARDHU 12YO 70CL 12Y 06X01</t>
  </si>
  <si>
    <t>Dtown Sngl Tail 70cl      06X01</t>
  </si>
  <si>
    <t>DALWHINNIE 15</t>
  </si>
  <si>
    <t>Cragganmore     70cl  12Y 06X01</t>
  </si>
  <si>
    <t>Marca:</t>
  </si>
  <si>
    <t>Maltas</t>
  </si>
  <si>
    <t>Categoría:</t>
  </si>
  <si>
    <t xml:space="preserve">ZACAPA XO 750ML 1X6BTL </t>
  </si>
  <si>
    <t>ZACAPA 23 SOLERA 750ML 1X6BTL</t>
  </si>
  <si>
    <t>Zacapa Ctr Ambr 75cl  12Y 06X01</t>
  </si>
  <si>
    <t>Zacapa</t>
  </si>
  <si>
    <t xml:space="preserve">PAMPERO ANIVER 70cl 06X01 NOBAG'11 </t>
  </si>
  <si>
    <t>Runes</t>
  </si>
  <si>
    <t>DON JULIO 750ML 1X6BTL  AÑEJO RESERVA</t>
  </si>
  <si>
    <t>Don Julio 70th  75cl      06X01 GLAS</t>
  </si>
  <si>
    <t>DON JULIO 750ML 1x6BTL BLANCO RESERVA</t>
  </si>
  <si>
    <t>DON JULIO 750ML 1X6BTL REPOSADO</t>
  </si>
  <si>
    <t>Don Julio</t>
  </si>
  <si>
    <t>Tequila</t>
  </si>
  <si>
    <t>TANQUERAY RANGPUR 750 ML 1X12 BTL</t>
  </si>
  <si>
    <t>TANQUERAY GIN 750ML 1X12BTL</t>
  </si>
  <si>
    <t xml:space="preserve">TANQUERAY  TEN  750ML 1X12BTL </t>
  </si>
  <si>
    <t>Tanqueray</t>
  </si>
  <si>
    <t>GORDON'S CUCUMBER 70 CL 06X01</t>
  </si>
  <si>
    <t>GORDON'S DRY GIN 750CL 12X01</t>
  </si>
  <si>
    <t>Ginebra</t>
  </si>
  <si>
    <t>Baileys TresLch 70cl      12X01</t>
  </si>
  <si>
    <t>BAILEYS 375ML 1X12BTL</t>
  </si>
  <si>
    <t>BAILEYS 750ML 1X12BTL</t>
  </si>
  <si>
    <t>Baileys Orig    70cl      12X01</t>
  </si>
  <si>
    <t>BAILEYS 1000ML 1X12BTL</t>
  </si>
  <si>
    <t>Baileys</t>
  </si>
  <si>
    <t>Crema de Whisky</t>
  </si>
  <si>
    <t>Smir Ice GrApp  275ml BTL 24X01</t>
  </si>
  <si>
    <t>Smir Ice GrApp  250ml CAN 24X01 (LATA)</t>
  </si>
  <si>
    <t>SMIRNOFF ICE  250ML 1X24 LATA</t>
  </si>
  <si>
    <t>Smir Ice DB&amp;GR  250ml CAN 24X01</t>
  </si>
  <si>
    <t>SMIRNOFF ICE  275ML 1X24 BTL</t>
  </si>
  <si>
    <t>Smirnoff ICE</t>
  </si>
  <si>
    <t>RTD</t>
  </si>
  <si>
    <t>KETEL ONE 750ML 1X12BTL VODKA</t>
  </si>
  <si>
    <t>Ketel</t>
  </si>
  <si>
    <t>Ciroc           75cl      12X01</t>
  </si>
  <si>
    <t>Ciroc</t>
  </si>
  <si>
    <t>SMIRNOFF RED 350ML 1X24BTL</t>
  </si>
  <si>
    <t>SMIRNOFF RED 700ML 1X12BTL</t>
  </si>
  <si>
    <t>Smirnoff Red</t>
  </si>
  <si>
    <t>Smir X1- Lulo   37.5c     24X01 GLS COL</t>
  </si>
  <si>
    <t>Smir X1- Lulo   37.5c     24X01 PET COL</t>
  </si>
  <si>
    <t>Smir X1- Lulo   75cl      12X01 GLS COL</t>
  </si>
  <si>
    <t>Smirnoff X1 Lulo</t>
  </si>
  <si>
    <t>Vodka</t>
  </si>
  <si>
    <t>Bulleit Rye 75cl 12X01 GLASS</t>
  </si>
  <si>
    <t>Bulleit Bourbon 75cl 12X01 GLS</t>
  </si>
  <si>
    <t>Bulleit</t>
  </si>
  <si>
    <t>VAT 69 750ML 1X12BTL</t>
  </si>
  <si>
    <t>VAT</t>
  </si>
  <si>
    <t>BLACK &amp; WHITE 375ML 06X04BTL</t>
  </si>
  <si>
    <t>Blck &amp; Wht      70cl      12X01</t>
  </si>
  <si>
    <t>BLACK &amp; WHITE 750ML 1X12BTL</t>
  </si>
  <si>
    <t>Black &amp; White</t>
  </si>
  <si>
    <t>Whisky Secundario</t>
  </si>
  <si>
    <t>CROWN ROYAL 750ML 12X01BTL</t>
  </si>
  <si>
    <t>Crown Royal</t>
  </si>
  <si>
    <t>J&amp;B Urban Honey 70cl 06X01</t>
  </si>
  <si>
    <t>J&amp;B RARE 750ML 1X12BTL</t>
  </si>
  <si>
    <t xml:space="preserve">J&amp;B </t>
  </si>
  <si>
    <t>JW Wine Csk Bld 75cl      12X01</t>
  </si>
  <si>
    <t>J.W. RED LB 375ML 1X24BTL</t>
  </si>
  <si>
    <t>J.W. RED LB 750ML 1X12BTL</t>
  </si>
  <si>
    <t>J.W. RED LB 1000ML 1X12BTL</t>
  </si>
  <si>
    <t>Johnnie Walker</t>
  </si>
  <si>
    <t>Whisky Standard</t>
  </si>
  <si>
    <t>Old Parr        75cl  12Y 12X01</t>
  </si>
  <si>
    <t>OLD PARR 500ML NP 1X18BTL</t>
  </si>
  <si>
    <t>OLD PARR 12 750ML 1X12BTL</t>
  </si>
  <si>
    <t xml:space="preserve">Old Parr        75cl  12Y 12X01 LIMIT ED </t>
  </si>
  <si>
    <t>Old Parr        75cl  12Y 12X01 LTD ED</t>
  </si>
  <si>
    <t>OLD PARR 1000ML 1X12BTL</t>
  </si>
  <si>
    <t>Old Parr</t>
  </si>
  <si>
    <t xml:space="preserve">BUCHANAN'S DELUXE 375ML 1X24 BTL </t>
  </si>
  <si>
    <t>BUCHANAN'S DELUXE 750ML 1X12 BTL</t>
  </si>
  <si>
    <t>BUCHANAN'S DELUXE 1L 1X12 BTL</t>
  </si>
  <si>
    <t>Buchanan's</t>
  </si>
  <si>
    <t>J.W. BLACK LB 50ML 1X192BTL</t>
  </si>
  <si>
    <t>J.W. BLACK LB 375ML 1X24BTL</t>
  </si>
  <si>
    <t>J.W. BLACK LB 700ML 1X12BTL</t>
  </si>
  <si>
    <t>J.W. BLACK LB 750ML 1X12BTL</t>
  </si>
  <si>
    <t>JW DBL BLCK     75cl      06X01</t>
  </si>
  <si>
    <t>JW Black        1L    12Y 12X01</t>
  </si>
  <si>
    <t>Whisky Deluxe</t>
  </si>
  <si>
    <t>OLD PARR 18- 750ML 1X12BTL</t>
  </si>
  <si>
    <t>OLD PARR SUPERIOR 750ML 1X12BTL</t>
  </si>
  <si>
    <t>Old Parr Tribte 75cl      12X01</t>
  </si>
  <si>
    <t xml:space="preserve">BUCHANAN'S MASTER 750ML 1X12 BTL </t>
  </si>
  <si>
    <t>BUCHANAN'S 18 SR 750ML 1X6BTL</t>
  </si>
  <si>
    <t>RED SEAL 750ML 1X6BTL</t>
  </si>
  <si>
    <t>JW WHITE WALKER BY JW 12/750ML</t>
  </si>
  <si>
    <t>J.W. Green Label 750 ML 15Y 06X01</t>
  </si>
  <si>
    <t>J.W. SWING 750ML 1X12BTL</t>
  </si>
  <si>
    <t>JW Gold Rsv     75cl      06X01 GLDBTL4</t>
  </si>
  <si>
    <t>J.W. GOLD RSV 750ML 06X01</t>
  </si>
  <si>
    <t>JW Aged 18 Yrs  75cl  18Y 06X01</t>
  </si>
  <si>
    <t>J.W. PLATINUM 750ML 18Y 06X01</t>
  </si>
  <si>
    <t xml:space="preserve">J.W. BLUE LB 200ML </t>
  </si>
  <si>
    <t>J.W. BLUE LB 750ML 1X6BTL TIFFANY</t>
  </si>
  <si>
    <t>JW Blue  75cl 03X01 GFTNG 16</t>
  </si>
  <si>
    <t>JW Blue         75cl      03X01 TOMDIXON</t>
  </si>
  <si>
    <t>J.W. BLUE LB 750ML 1X3BTL KING GEORGE V</t>
  </si>
  <si>
    <t>JW Son Priv Col 70cl 03X01 Prince III</t>
  </si>
  <si>
    <t>JW Son Priv Col 70cl 03X01 Prince II</t>
  </si>
  <si>
    <t>JW Son Priv Col 70cl 03X01 Prince I</t>
  </si>
  <si>
    <t xml:space="preserve"> </t>
  </si>
  <si>
    <t>Whisky Super Premium</t>
  </si>
  <si>
    <t>Total Por Botella</t>
  </si>
  <si>
    <t>IVA DT</t>
  </si>
  <si>
    <t>Precios DT sin IVA sin ICO</t>
  </si>
  <si>
    <t>ADVALOREM</t>
  </si>
  <si>
    <t>ICO ESPECIFICO</t>
  </si>
  <si>
    <t>%Alcoh</t>
  </si>
  <si>
    <t>BxC</t>
  </si>
  <si>
    <t>Cap</t>
  </si>
  <si>
    <t>Material</t>
  </si>
  <si>
    <t>MB</t>
  </si>
  <si>
    <t>TIPO</t>
  </si>
  <si>
    <t>Descripción</t>
  </si>
  <si>
    <t>Jerarquia de Producto</t>
  </si>
  <si>
    <t>EAN CAS DT</t>
  </si>
  <si>
    <t>Sugerido al Detallista</t>
  </si>
  <si>
    <t>15 de Marzo de 2019</t>
  </si>
  <si>
    <t>Vigente desde</t>
  </si>
  <si>
    <t>Cundinamarca</t>
  </si>
  <si>
    <t>Departamento:</t>
  </si>
  <si>
    <t>LISTA DE PRECIOS DISTRIBUIDORES</t>
  </si>
  <si>
    <t>BLACK &amp; WHITE</t>
  </si>
  <si>
    <t xml:space="preserve">MARCA </t>
  </si>
  <si>
    <t>REFERENCIA</t>
  </si>
  <si>
    <t>ON THE ROCKS</t>
  </si>
  <si>
    <t>MEZCLA 1</t>
  </si>
  <si>
    <t>MEZCLA 2</t>
  </si>
  <si>
    <t>COCKTAIL 1</t>
  </si>
  <si>
    <t>COCKTAIL 2</t>
  </si>
  <si>
    <t>BOTELLA</t>
  </si>
  <si>
    <t>SUBSEGMENTACIÓN</t>
  </si>
  <si>
    <t>ESTRATO</t>
  </si>
  <si>
    <t>COSTEO</t>
  </si>
  <si>
    <t>CATEGORÍA VS</t>
  </si>
  <si>
    <t>ENTREGA ARCHIVO</t>
  </si>
  <si>
    <t>DON JULIO</t>
  </si>
  <si>
    <t>Don Julio Blanco</t>
  </si>
  <si>
    <t>N/A</t>
  </si>
  <si>
    <t>Lupe</t>
  </si>
  <si>
    <t>Bar Elite - Bar Estandár - Restaurante Élite - Restaurante Formal - Restaurante Casual</t>
  </si>
  <si>
    <t>4, 5 y 6</t>
  </si>
  <si>
    <t>NO</t>
  </si>
  <si>
    <t>Destilados Internacionales</t>
  </si>
  <si>
    <t>30 marzo de 2019</t>
  </si>
  <si>
    <t>Don Julio Reposado</t>
  </si>
  <si>
    <r>
      <t xml:space="preserve">Paloma </t>
    </r>
    <r>
      <rPr>
        <sz val="8"/>
        <color theme="1"/>
        <rFont val="Calibri"/>
        <family val="2"/>
        <scheme val="minor"/>
      </rPr>
      <t>(Necesita modificación)</t>
    </r>
  </si>
  <si>
    <t>Bar Elite - Bar Estandár - Restaurante Élite - Restaurante Formal</t>
  </si>
  <si>
    <t>TANQUERAY</t>
  </si>
  <si>
    <t>Tanqueray Ten</t>
  </si>
  <si>
    <t>Tanqueray Tonic</t>
  </si>
  <si>
    <t>Tea Ten</t>
  </si>
  <si>
    <t>Tanqueray Rangpur</t>
  </si>
  <si>
    <t>Sout Side</t>
  </si>
  <si>
    <t>Tanqueray London Dry</t>
  </si>
  <si>
    <t>BULLEIT</t>
  </si>
  <si>
    <t>Bulleit Bourbon</t>
  </si>
  <si>
    <t>Bulleit Old Fashion</t>
  </si>
  <si>
    <t>Restaurante Élite - Restaurante Formal - Restaurante Casual</t>
  </si>
  <si>
    <t>Bulleit Rye</t>
  </si>
  <si>
    <t>KETEL</t>
  </si>
  <si>
    <t>Ketel One</t>
  </si>
  <si>
    <t>Ketel  Mule</t>
  </si>
  <si>
    <t>SINGLETON</t>
  </si>
  <si>
    <t>Singleton 12</t>
  </si>
  <si>
    <t>Esfera o cubo de hielo</t>
  </si>
  <si>
    <t>Penicilin</t>
  </si>
  <si>
    <t>Old Fashion</t>
  </si>
  <si>
    <t>Singleton Tail Fire</t>
  </si>
  <si>
    <t xml:space="preserve">ZACAPA </t>
  </si>
  <si>
    <t>Zacapa 23</t>
  </si>
  <si>
    <t>Zacapa Punch</t>
  </si>
  <si>
    <t>Zacapa Ámbar</t>
  </si>
  <si>
    <t>Mojito Zacapa</t>
  </si>
  <si>
    <t>OLD PARR</t>
  </si>
  <si>
    <t>Old Parr 12</t>
  </si>
  <si>
    <t>Old Parr Beer</t>
  </si>
  <si>
    <t>Old Parr Golden</t>
  </si>
  <si>
    <t>SI</t>
  </si>
  <si>
    <t>Bar Élite - Bar Estándar - Discoteca Élite - Discoteca Estándar</t>
  </si>
  <si>
    <t>2, 3, 4, 5 y 6</t>
  </si>
  <si>
    <t>Cerveza Premium/Destilados Nacionales</t>
  </si>
  <si>
    <t>21 marzo de 2019</t>
  </si>
  <si>
    <t>Old Parr 18</t>
  </si>
  <si>
    <t>Discoteca Élite - Discoteca Estándar</t>
  </si>
  <si>
    <t>BUCHANAN'S</t>
  </si>
  <si>
    <t>Trago seco o con hielo</t>
  </si>
  <si>
    <t>Botella y media</t>
  </si>
  <si>
    <t xml:space="preserve">Bar estandar, Licobares, Juegos típicos, restaurantes formal, restaurante casual  </t>
  </si>
  <si>
    <t>2 y 3</t>
  </si>
  <si>
    <t>Destilados Nacionales</t>
  </si>
  <si>
    <t>19 marzo de 2019</t>
  </si>
  <si>
    <t>Buchanan's 12</t>
  </si>
  <si>
    <t>Buchanan's Punch</t>
  </si>
  <si>
    <t>Buchanan's Master</t>
  </si>
  <si>
    <t>Buchanan's 18</t>
  </si>
  <si>
    <t>Buchanan's Spritz</t>
  </si>
  <si>
    <t xml:space="preserve">Bar Elite - Bar Estandár - Restaurante Élite - Restaurante Formal </t>
  </si>
  <si>
    <t xml:space="preserve">GORDON'S </t>
  </si>
  <si>
    <t>Gordon's London Dry</t>
  </si>
  <si>
    <t>Gordon's Tonic</t>
  </si>
  <si>
    <t>Bar Elite - Bar Estandár - Restaurante Élite - Restaurante Formal - Restaurante Casual - Licobares</t>
  </si>
  <si>
    <t>Cerveza Premium</t>
  </si>
  <si>
    <t>Gordon's Cucumber</t>
  </si>
  <si>
    <t>Gordon's Pink</t>
  </si>
  <si>
    <t>Gordon's Pink Tonic</t>
  </si>
  <si>
    <t>JOHNNIE WALKER</t>
  </si>
  <si>
    <t>Johnnie Walker Red Label</t>
  </si>
  <si>
    <t>Johnnie Red &amp; Lemón</t>
  </si>
  <si>
    <t>Johnnie Red &amp; Red Cola</t>
  </si>
  <si>
    <t>SÍ</t>
  </si>
  <si>
    <t>Bar Elite - Bar Estandár -  Licobares - Discoteca - elite - Discoteca estandar</t>
  </si>
  <si>
    <t>Johnnie Walker Black Label</t>
  </si>
  <si>
    <t>Johnnie Black &amp; Soda</t>
  </si>
  <si>
    <t>Johnnie Walker Bouble Black</t>
  </si>
  <si>
    <t>HAIG CLUB</t>
  </si>
  <si>
    <t>Haig Club</t>
  </si>
  <si>
    <t>H.O.T</t>
  </si>
  <si>
    <t>Haig Herbal/Frutal</t>
  </si>
  <si>
    <t>BAILEY'S</t>
  </si>
  <si>
    <t>Bailey's</t>
  </si>
  <si>
    <t>Hielo y Masmelo</t>
  </si>
  <si>
    <t>Cappuccino Bailey's</t>
  </si>
  <si>
    <t>Restaurante Élite - Restaurante Formal - Restaurante Casual - Repostería y café</t>
  </si>
  <si>
    <t>SMIRNOFF</t>
  </si>
  <si>
    <t>Red N° 21</t>
  </si>
  <si>
    <t>Pink Lemonade</t>
  </si>
  <si>
    <t>Bar estandar, Licobares, Juegos típicos, Discoteca estandar.</t>
  </si>
  <si>
    <t>Ice</t>
  </si>
  <si>
    <t>Lata</t>
  </si>
  <si>
    <t>X1</t>
  </si>
  <si>
    <t xml:space="preserve">SUB - SEGMENTACIÓN </t>
  </si>
  <si>
    <t xml:space="preserve">B&amp;W BOTELLA - RECETA Y COSTEO DEL SERVICIO </t>
  </si>
  <si>
    <t>TIPO DE SERVICIO</t>
  </si>
  <si>
    <t>2, 3</t>
  </si>
  <si>
    <t>Bar Elite - Bar Estandár - Restaurante Élite - Restaurante Formal - Restaurante casual</t>
  </si>
  <si>
    <t>Bar Elite - Bar Estandár - Restaurante Élite - Restaurante Formal - restaurante casual</t>
  </si>
  <si>
    <t>ACEITUNA SIN HUESO</t>
  </si>
  <si>
    <t xml:space="preserve">1. Tome una copa matiny y enfriela. 
2. Luego agregue 50ml de Tanqueray London Dry Gin y 15ml de vermouth extra dry en la copa.
3.Por ultimo complete añada una aceituna sin hueso en la copa y mezcle todo uniformemente.  </t>
  </si>
  <si>
    <t>VERMOUTH EXTRA DRY</t>
  </si>
  <si>
    <t xml:space="preserve">KETEL MULE - RECETA Y COSTEO DEL SERVICIO </t>
  </si>
  <si>
    <t>KETEL ONE</t>
  </si>
  <si>
    <t>RODAJA DE LIMÓN</t>
  </si>
  <si>
    <t>CERVEZA DE JENGIBRE</t>
  </si>
  <si>
    <t xml:space="preserve">1. En un vaso de cobre o vaso largo añada hielo. 
2. Luego agregue 50ml de ketel one, 25ml de zumo de limón y complete con cerveza de jengibre.
3. Para finalizar mezcle uniformemente y decore con una rodaja de limón. </t>
  </si>
  <si>
    <t>1. En un vaso corto agregue una esfera de hielo
2. Luego añada 60ml de singleton 12.</t>
  </si>
  <si>
    <t xml:space="preserve">WHISKY SINGLETON 12  - RECETA Y COSTEO DEL SERVICIO </t>
  </si>
  <si>
    <t xml:space="preserve">WHISKY SINGLETON TAILFIRE  - RECETA Y COSTEO DEL SERVICIO </t>
  </si>
  <si>
    <t>WHISKY SINGLETON TAILFIRE</t>
  </si>
  <si>
    <t>1. En un vaso corto agregue una esfera de hielo
2. Luego añada 60ml de Singleton Tailfire.</t>
  </si>
  <si>
    <t xml:space="preserve">ZACAPA MOJITO  - RECETA Y COSTEO DEL SERVICIO </t>
  </si>
  <si>
    <t>ZACAPA AMBAR</t>
  </si>
  <si>
    <t xml:space="preserve">GR </t>
  </si>
  <si>
    <t xml:space="preserve">1. En un vaso largo agrega hielo hasta el borde. 
2. Lugeo agrega 50ml de Ron Zacapa Ambar 30ml de zumo de limón y 30ml de almíba, mezcla todo esto bien con unas hojas de hierbabuena. 
3. por ultimo decora con una rama de hierbabuena. </t>
  </si>
  <si>
    <t xml:space="preserve">1. En un vaso largo agregar un par de hielos grandes. 
2. Luego agregue 50 ml de Whisky Old Parr 12.
3. Por último complete con cerveza dorada bien fría y decore con una rodaja de limón.  </t>
  </si>
  <si>
    <t>Coctel 1</t>
  </si>
  <si>
    <t>Mezcla 1</t>
  </si>
  <si>
    <t>Coctel 2</t>
  </si>
  <si>
    <t>En las rocas</t>
  </si>
  <si>
    <t>On the rocks</t>
  </si>
  <si>
    <t>Botella</t>
  </si>
  <si>
    <t>1/2 botella</t>
  </si>
  <si>
    <t xml:space="preserve">B&amp;W MEDIA BOTELLA - RECETA Y COSTEO DEL SERVICIO </t>
  </si>
  <si>
    <t>coctel 1</t>
  </si>
  <si>
    <t>1. En un corto agrega un cubo de hielo. 
2. Luego agrega 60ml de whisky Black &amp; White.</t>
  </si>
  <si>
    <t>WHISKY BUCHANAN'S 12</t>
  </si>
  <si>
    <t xml:space="preserve">WHISKY BUCHANAN'S 12 - RECETA Y COSTEO DEL SERVICIO </t>
  </si>
  <si>
    <t>1. En un vaso corto agregar una esfera de hielo. 
2. Luego agrega 60ml de Whisky Buchanan's 12.</t>
  </si>
  <si>
    <t>4, 5 Y 6</t>
  </si>
  <si>
    <t>1. En un vaso corto agregar uan esfera de hielo. 
2. Luego agrega 60ml de Buchanan's master.</t>
  </si>
  <si>
    <t xml:space="preserve">Mezcla 1 </t>
  </si>
  <si>
    <t xml:space="preserve">BUCHANAN'S MASTER - RECETA Y COSTEO DEL SERVICIO </t>
  </si>
  <si>
    <t xml:space="preserve">WHISKY BUCHANAN'S 18 - RECETA Y COSTEO DEL SERVICIO </t>
  </si>
  <si>
    <t>WHISKY BUCHANAN'S 18</t>
  </si>
  <si>
    <t>APEROL</t>
  </si>
  <si>
    <t>1. En un vaso corto agregar una esfera de hielo. 
2. Luego agrega 60ml de Buchanan's 18.</t>
  </si>
  <si>
    <t xml:space="preserve">1. En un vaso largo agrega hielo hasta el tope. 
2. Luego agrega 50ml de Buchanan's 18, 25ml de Aperol y completa con soda.
3. Por ultimo mezcla bien y decora con una media luna de naranja. </t>
  </si>
  <si>
    <t xml:space="preserve">BUCHANAN'S SPRITZ - RECETA Y COSTEO DEL SERVICIO </t>
  </si>
  <si>
    <t>2, 3, 4, 5, y 6</t>
  </si>
  <si>
    <t>4, 5, y 6</t>
  </si>
  <si>
    <t>Johnnie Black &amp; Lemon</t>
  </si>
  <si>
    <t xml:space="preserve">JOHNNIE RED &amp; LEMON  - RECETA Y COSTEO DEL SERVICIO </t>
  </si>
  <si>
    <t xml:space="preserve">JOHNNIE RED &amp; RED COLA  - RECETA Y COSTEO DEL SERVICIO </t>
  </si>
  <si>
    <t>Mezcla 2</t>
  </si>
  <si>
    <t xml:space="preserve">JOHNNIE WALKER RED  - RECETA Y COSTEO DEL SERVICIO </t>
  </si>
  <si>
    <t xml:space="preserve">JOHNNIE BLACK &amp; LEMON  - RECETA Y COSTEO DEL SERVICIO </t>
  </si>
  <si>
    <t xml:space="preserve">1. En un vaso largo agregar hielo hasta el tope. 
2. Luego agregue 50 ml de Whisky JW Black Label y complete con la gaseosa de lima. 
3. Decore con una rodaja de limón. </t>
  </si>
  <si>
    <t xml:space="preserve">JOHNNIE BLACK &amp; SODA  - RECETA Y COSTEO DEL SERVICIO </t>
  </si>
  <si>
    <t xml:space="preserve">JOHNNIE BLACK SOUR  - RECETA Y COSTEO DEL SERVICIO </t>
  </si>
  <si>
    <t xml:space="preserve">JW DOBLE BLACK  - RECETA Y COSTEO DEL SERVICIO </t>
  </si>
  <si>
    <t>WHISKY JW DOBLE BLACK</t>
  </si>
  <si>
    <t xml:space="preserve">1. En un vaso corto agregar una esfera de hielo. 
2. Luego agregue 60 ml de Whisky JW Doble Black. </t>
  </si>
  <si>
    <t xml:space="preserve">PINK LIMONADE  - RECETA Y COSTEO DEL SERVICIO </t>
  </si>
  <si>
    <t>2, 3, 4, 5, Y 6</t>
  </si>
  <si>
    <t>1. En un vaso largo agregue hielo hasta el tope. 
2. Luego agregue 45ml de Vodka Smirnoff n21, 60ml de pre-mix de limón, 10ml de granadina y complete con soda.
3. Por ultimo mezcle bien y decore con una rodaja de limón.</t>
  </si>
  <si>
    <t xml:space="preserve">SMIRNOFF N21  - RECETA Y COSTEO DEL SERVICIO </t>
  </si>
  <si>
    <t xml:space="preserve">LATA SMIRNOFF ICE - RECETA Y COSTEO DEL SERVICIO </t>
  </si>
  <si>
    <t>LATA SMIRNOFF ICE</t>
  </si>
  <si>
    <t xml:space="preserve">BOTLL SMIRNOFF X1 - RECETA Y COSTEO DEL SERVICIO </t>
  </si>
  <si>
    <t>BOTLL SMIRNOFF X1</t>
  </si>
  <si>
    <t>1. En un vaso shot frio, sirva 45ml de Smirnoff x1.</t>
  </si>
  <si>
    <t xml:space="preserve">SMIRNOFF X1 - RECETA Y COSTEO DEL SERVICIO </t>
  </si>
  <si>
    <t xml:space="preserve">MEDIA SMIRNOFF X1 - RECETA Y COSTEO DEL SERVICIO </t>
  </si>
  <si>
    <t>MEDIA SMIRNOFF X1</t>
  </si>
  <si>
    <t>Media Botella</t>
  </si>
  <si>
    <t>Dry Martini</t>
  </si>
  <si>
    <t>Rye &amp; Beer</t>
  </si>
  <si>
    <t xml:space="preserve">RYE &amp; BEER - RECETA Y COSTEO DEL SERVICIO </t>
  </si>
  <si>
    <t>Bulleit &amp; Beer (LISTO)</t>
  </si>
  <si>
    <t xml:space="preserve">1. En un vaso largo agregar un par de hielos grandes. 
2. Luego agregue 50 ml de Whisky Black &amp; White y complete con cerveza bien fría. 
3. Mezcle bien y decore con un casco de limón. </t>
  </si>
  <si>
    <t xml:space="preserve">BUCHANAN'S LIME 12 - RECETA Y COSTEO DEL SERVICIO </t>
  </si>
  <si>
    <t xml:space="preserve">1. En un vaso largo agregar hielo hasta el tope. 
2. Luego agregue 50 ml de Whisky Buchanan's 12 y complete con la gaseosa. (Sprite o Seven Up). 
3. Mezcle bien y decore con un casco de limón. </t>
  </si>
  <si>
    <t xml:space="preserve">1. En un vaso largo agregar hielo hasta el tope. 
2. Luego agregue 50 ml de Whisky Buchanan's Master, y complete con la gaseosa. (Sprite o Seven Up). 
3. Mezcle bien y decore con un casco de limón. </t>
  </si>
  <si>
    <t>Lime Master (LISTO LAS TRES)</t>
  </si>
  <si>
    <t>Black &amp; Beer</t>
  </si>
  <si>
    <t>Lime 12</t>
  </si>
  <si>
    <t>Old Parr Beer (LISTO LAS DOS =)</t>
  </si>
  <si>
    <t xml:space="preserve">1. En un vaso largo agregue hielo hasta el tope. 
2. Luego agregue 30ml de whisky Bulleit Bourbon y completa con cerveza.                                                                   3.Decore con una rodaja de naranja.  </t>
  </si>
  <si>
    <t xml:space="preserve">1. En un vaso largo agregue hielo hasta el tope. 
2. Luego agregue 30ml de whisky Bulleit Rye y completa con cerveza negra bien fria.                                                                   3.Mezcle bien y decore con una rodaja de naranja.  </t>
  </si>
  <si>
    <t>COCTEL</t>
  </si>
  <si>
    <t>Estrato2al6</t>
  </si>
  <si>
    <t>BOTLL JOHNNIE WALKER RED</t>
  </si>
  <si>
    <t>JOHNNIE RED &amp; LEMON</t>
  </si>
  <si>
    <t>JOHNNIE RED &amp; RED COLA</t>
  </si>
  <si>
    <t>BOTLL OLD PARR 12</t>
  </si>
  <si>
    <t>OLD PARR GOLDEN</t>
  </si>
  <si>
    <t>BarestandarLicobaresJuegostípicosDiscotecaestandar</t>
  </si>
  <si>
    <t>OLD PARR BEER</t>
  </si>
  <si>
    <t xml:space="preserve">OLD PARR BEER </t>
  </si>
  <si>
    <t>Estrato2y3</t>
  </si>
  <si>
    <t>GORDON'S TONIC</t>
  </si>
  <si>
    <t>Estrato4al6</t>
  </si>
  <si>
    <t>BOTLL SMIRNOFF N21</t>
  </si>
  <si>
    <t>PINK LIMONADE</t>
  </si>
  <si>
    <t>SMIRNOFF X1</t>
  </si>
  <si>
    <t>BAILEY'S MARSHMALLOW</t>
  </si>
  <si>
    <t>BAILEY'S CAPPUCCINO</t>
  </si>
  <si>
    <t>B&amp;W MEDIA BOTLL</t>
  </si>
  <si>
    <t>B&amp;W BOTLL</t>
  </si>
  <si>
    <t>BLACK &amp; BEER</t>
  </si>
  <si>
    <t>PALOMA</t>
  </si>
  <si>
    <t>TEA TEN</t>
  </si>
  <si>
    <t>TANQUERAY TONIC TEN</t>
  </si>
  <si>
    <t>BUCHANAN'S SPRITZ</t>
  </si>
  <si>
    <t>LUPE</t>
  </si>
  <si>
    <t>TANQUERAY SOUTH SIDE</t>
  </si>
  <si>
    <t>DRY MARTINI LONDON DRY</t>
  </si>
  <si>
    <t>KETEL MULE</t>
  </si>
  <si>
    <t>SINGLETON PENICILIN</t>
  </si>
  <si>
    <t>JW BLACK SOUR</t>
  </si>
  <si>
    <t>HAIG HERVAL-FRUTAL</t>
  </si>
  <si>
    <t>SINGLETON OLD FASHION</t>
  </si>
  <si>
    <t>BUCHANAN'S MASTER</t>
  </si>
  <si>
    <t>JW DOBLE BLACK</t>
  </si>
  <si>
    <t>TANQUERAY TONIC RANGPUR</t>
  </si>
  <si>
    <t>TANQUERAY TONIC LONDON DRY</t>
  </si>
  <si>
    <t xml:space="preserve">BUCHANAN'S LIME 12 </t>
  </si>
  <si>
    <t>GORDON'S CUCUMBER TONIC</t>
  </si>
  <si>
    <t xml:space="preserve">GORDON'S PINK TONIC </t>
  </si>
  <si>
    <t>JOHNNIE BLACK &amp; LEMON</t>
  </si>
  <si>
    <t>HAIG H.O.T</t>
  </si>
  <si>
    <t>BUCHANAN'S LIME MASTER</t>
  </si>
  <si>
    <t>JW BLACK &amp; SODA</t>
  </si>
  <si>
    <t>SINGLETON 12</t>
  </si>
  <si>
    <t>SINGLETON TAILFIRE</t>
  </si>
  <si>
    <t>BOTLL OLD PARR 18</t>
  </si>
  <si>
    <t>BULLEIT OLD FASHION</t>
  </si>
  <si>
    <t>ZACAPA PUNCH</t>
  </si>
  <si>
    <t>ZACAPA MOJITO</t>
  </si>
  <si>
    <t>ZACAPA OLD FASHION</t>
  </si>
  <si>
    <t xml:space="preserve">BULLEIT &amp; BEER </t>
  </si>
  <si>
    <t>RYE &amp; BEER</t>
  </si>
  <si>
    <t>NOMBRE SERVICIO</t>
  </si>
  <si>
    <t>VOLVER A PORTADA</t>
  </si>
  <si>
    <t>BarElite</t>
  </si>
  <si>
    <t>Licobares</t>
  </si>
  <si>
    <t>BarEstandár</t>
  </si>
  <si>
    <t>DiscotecaElite</t>
  </si>
  <si>
    <t>DiscotecaEstándar</t>
  </si>
  <si>
    <t>RestauranteÉlite</t>
  </si>
  <si>
    <t>RestauranteFormal</t>
  </si>
  <si>
    <t>RestauranteCasual</t>
  </si>
  <si>
    <t>Juegostípicos</t>
  </si>
  <si>
    <t>Reposteríaycafé</t>
  </si>
  <si>
    <t>Johnnie Sour</t>
  </si>
  <si>
    <t>Mezcla 3</t>
  </si>
  <si>
    <t>Mezcla 4</t>
  </si>
  <si>
    <t>Botella 2</t>
  </si>
  <si>
    <t>Botella2</t>
  </si>
  <si>
    <t>Botella 3</t>
  </si>
  <si>
    <t>Botella 4</t>
  </si>
  <si>
    <t>Botella 5</t>
  </si>
  <si>
    <t>Coctel 3</t>
  </si>
  <si>
    <t>En las rocas 2</t>
  </si>
  <si>
    <t>Mezcla 5</t>
  </si>
  <si>
    <t>Botella 1</t>
  </si>
  <si>
    <t>En las rocas 1</t>
  </si>
  <si>
    <t>Coctel 4</t>
  </si>
  <si>
    <t>Coctel 5</t>
  </si>
  <si>
    <t>Coctel 6</t>
  </si>
  <si>
    <t>Coctel 7</t>
  </si>
  <si>
    <t>Coctel 8</t>
  </si>
  <si>
    <t>Coctel 9</t>
  </si>
  <si>
    <t>Coctel 10</t>
  </si>
  <si>
    <t>Coctel 11</t>
  </si>
  <si>
    <t>Coctel 12</t>
  </si>
  <si>
    <t>Coctel 13</t>
  </si>
  <si>
    <t>Coctel 14</t>
  </si>
  <si>
    <t>En las rocas 3</t>
  </si>
  <si>
    <t>En las rocas 4</t>
  </si>
  <si>
    <t>Mezcla 6</t>
  </si>
  <si>
    <t>Mezcla 7</t>
  </si>
  <si>
    <t>Mezcla 8</t>
  </si>
  <si>
    <t>Mezcla 9</t>
  </si>
  <si>
    <t>Mezcla 10</t>
  </si>
  <si>
    <t>Mezcla 11</t>
  </si>
  <si>
    <t>Mezcla 12</t>
  </si>
  <si>
    <t>Mezcla 13</t>
  </si>
  <si>
    <t>Mezcla 14</t>
  </si>
  <si>
    <t>On the rocks 1</t>
  </si>
  <si>
    <t>On the rocks 2</t>
  </si>
  <si>
    <t>Coctel 15</t>
  </si>
  <si>
    <t>En las rocas 5</t>
  </si>
  <si>
    <t>Coctel 16</t>
  </si>
  <si>
    <t>En las rocas 6</t>
  </si>
  <si>
    <t>SERVE STRATEGY</t>
  </si>
  <si>
    <t>Estrato2y3BarElite</t>
  </si>
  <si>
    <t>Estrato2y3BarEstandár</t>
  </si>
  <si>
    <t>Johnnie Walker Red o Black</t>
  </si>
  <si>
    <t>Gordon's</t>
  </si>
  <si>
    <t>Smirnoff</t>
  </si>
  <si>
    <t>Smirnoff X1</t>
  </si>
  <si>
    <t>Smirnoff Lata</t>
  </si>
  <si>
    <t>Johnnie Walker Double Black</t>
  </si>
  <si>
    <t>Singleton Tailfire</t>
  </si>
  <si>
    <t xml:space="preserve">Zacapa Ámbar </t>
  </si>
  <si>
    <t>tt</t>
  </si>
  <si>
    <t>MARCA</t>
  </si>
  <si>
    <t>Estrato2y3BarEliteJohnnie Walker Red o Black</t>
  </si>
  <si>
    <t>Estrato2y3BarEliteOld Parr 12</t>
  </si>
  <si>
    <t>Estrato2y3BarEliteGordon's</t>
  </si>
  <si>
    <t>Estrato2y3DiscotecaElite</t>
  </si>
  <si>
    <t>Estrato2y3DiscotecaEstándar</t>
  </si>
  <si>
    <t>Estrato2y3Juegostípicos</t>
  </si>
  <si>
    <t>Estrato2y3Licobares</t>
  </si>
  <si>
    <t>Estrato2y3Reposteríaycafé</t>
  </si>
  <si>
    <t>Estrato2y3RestauranteCasual</t>
  </si>
  <si>
    <t>Estrato2y3RestauranteÉlite</t>
  </si>
  <si>
    <t>Estrato2y3RestauranteFormal</t>
  </si>
  <si>
    <t>Estrato4al6BarElite</t>
  </si>
  <si>
    <t>Estrato4al6BarEstandár</t>
  </si>
  <si>
    <t>Estrato4al6DiscotecaElite</t>
  </si>
  <si>
    <t>Estrato4al6DiscotecaEstándar</t>
  </si>
  <si>
    <t>Estrato4al6Juegostípicos</t>
  </si>
  <si>
    <t>Estrato4al6Licobares</t>
  </si>
  <si>
    <t>Estrato4al6Reposteríaycafé</t>
  </si>
  <si>
    <t>Estrato4al6RestauranteCasual</t>
  </si>
  <si>
    <t>Estrato4al6RestauranteÉlite</t>
  </si>
  <si>
    <t>Estrato4al6RestauranteFormal</t>
  </si>
  <si>
    <t>Estrato2y3DiscotecaEstándarSmirnoff Lata</t>
  </si>
  <si>
    <t>Estrato2y3BarEstandárBlack &amp; White</t>
  </si>
  <si>
    <t>Estrato2y3BarEstandárJohnnie Walker Red o Black</t>
  </si>
  <si>
    <t>Estrato2y3BarEstandárOld Parr 12</t>
  </si>
  <si>
    <t>Estrato2y3BarEstandárSmirnoff</t>
  </si>
  <si>
    <t>Estrato2y3BarEstandárSmirnoff X1</t>
  </si>
  <si>
    <t>Estrato2y3BarEstandárSmirnoff Lata</t>
  </si>
  <si>
    <t>Estrato2y3BarEstandárGordon's</t>
  </si>
  <si>
    <t>Estrato2y3DiscotecaEliteJohnnie Walker Red o Black</t>
  </si>
  <si>
    <t>Estrato2y3DiscotecaEliteOld Parr 12</t>
  </si>
  <si>
    <t>Estrato2y3DiscotecaEstándarJohnnie Walker Red o Black</t>
  </si>
  <si>
    <t>Estrato2y3DiscotecaEstándarOld Parr 12</t>
  </si>
  <si>
    <t>Estrato2y3DiscotecaEstándarSmirnoff</t>
  </si>
  <si>
    <t>Estrato2y3DiscotecaEstándarSmirnoff X1</t>
  </si>
  <si>
    <t>Estrato2y3JuegostípicosBlack &amp; White</t>
  </si>
  <si>
    <t>Estrato2y3JuegostípicosSmirnoff</t>
  </si>
  <si>
    <t>Estrato2y3JuegostípicosSmirnoff X1</t>
  </si>
  <si>
    <t>Estrato2y3JuegostípicosSmirnoff Lata</t>
  </si>
  <si>
    <t>Estrato2y3LicobaresBlack &amp; White</t>
  </si>
  <si>
    <t>Estrato2y3LicobaresJohnnie Walker Red o Black</t>
  </si>
  <si>
    <t>Estrato2y3LicobaresOld Parr 12</t>
  </si>
  <si>
    <t>Estrato2y3LicobaresSmirnoff</t>
  </si>
  <si>
    <t>Estrato2y3LicobaresSmirnoff X1</t>
  </si>
  <si>
    <t>Estrato2y3LicobaresSmirnoff Lata</t>
  </si>
  <si>
    <t>Estrato2y3LicobaresGordon's</t>
  </si>
  <si>
    <t>Estrato2y3ReposteríaycaféBaileys</t>
  </si>
  <si>
    <t>Estrato2y3RestauranteCasualBlack &amp; White</t>
  </si>
  <si>
    <t>Estrato2y3RestauranteCasualBaileys</t>
  </si>
  <si>
    <t>Estrato2y3RestauranteCasualGordon's</t>
  </si>
  <si>
    <t>Estrato2y3RestauranteÉliteBaileys</t>
  </si>
  <si>
    <t>Estrato2y3RestauranteÉliteGordon's</t>
  </si>
  <si>
    <t>Estrato2y3RestauranteFormalBlack &amp; White</t>
  </si>
  <si>
    <t>Estrato2y3RestauranteFormalBaileys</t>
  </si>
  <si>
    <t>Estrato2y3RestauranteFormalGordon's</t>
  </si>
  <si>
    <t>Estrato4al6BarEliteJohnnie Walker Red o Black</t>
  </si>
  <si>
    <t>Estrato4al6BarEliteOld Parr 12</t>
  </si>
  <si>
    <t>Estrato4al6BarEliteDon Julio Reposado</t>
  </si>
  <si>
    <t>Estrato4al6BarEliteTanqueray Ten</t>
  </si>
  <si>
    <t>Estrato4al6BarEliteBuchanan's 18</t>
  </si>
  <si>
    <t>Estrato4al6BarEliteDon Julio Blanco</t>
  </si>
  <si>
    <t>Estrato4al6BarEliteTanqueray Rangpur</t>
  </si>
  <si>
    <t>Estrato4al6BarEliteTanqueray London Dry</t>
  </si>
  <si>
    <t>Estrato4al6BarEliteKetel One</t>
  </si>
  <si>
    <t>Estrato4al6BarEliteSingleton 12</t>
  </si>
  <si>
    <t>Estrato4al6BarEliteBuchanan's 12</t>
  </si>
  <si>
    <t>Estrato4al6BarEliteJohnnie Walker Black Label</t>
  </si>
  <si>
    <t>Estrato4al6BarEliteHaig Club</t>
  </si>
  <si>
    <t>Estrato4al6BarEliteBuchanan's Master</t>
  </si>
  <si>
    <t>Estrato4al6BarEliteJohnnie Walker Double Black</t>
  </si>
  <si>
    <t>Estrato4al6BarEliteGordon's</t>
  </si>
  <si>
    <t>Estrato4al6BarEliteGordon's Cucumber</t>
  </si>
  <si>
    <t>Estrato4al6BarEliteGordon's Pink</t>
  </si>
  <si>
    <t>Estrato4al6BarEliteSingleton Tailfire</t>
  </si>
  <si>
    <t>Estrato4al6BarEstandárJohnnie Walker Red o Black</t>
  </si>
  <si>
    <t>Estrato4al6BarEstandárOld Parr 12</t>
  </si>
  <si>
    <t>Estrato4al6BarEstandárSmirnoff</t>
  </si>
  <si>
    <t>Estrato4al6BarEstandárDon Julio Reposado</t>
  </si>
  <si>
    <t>Estrato4al6BarEstandárTanqueray Ten</t>
  </si>
  <si>
    <t>Estrato4al6BarEstandárBuchanan's 18</t>
  </si>
  <si>
    <t>Estrato4al6BarEstandárDon Julio Blanco</t>
  </si>
  <si>
    <t>Estrato4al6BarEstandárTanqueray Rangpur</t>
  </si>
  <si>
    <t>Estrato4al6BarEstandárTanqueray London Dry</t>
  </si>
  <si>
    <t>Estrato4al6BarEstandárKetel One</t>
  </si>
  <si>
    <t>Estrato4al6BarEstandárSingleton 12</t>
  </si>
  <si>
    <t>Estrato4al6BarEstandárBuchanan's 12</t>
  </si>
  <si>
    <t>Estrato4al6BarEstandárJohnnie Walker Black Label</t>
  </si>
  <si>
    <t>Estrato4al6BarEstandárHaig Club</t>
  </si>
  <si>
    <t>Estrato4al6BarEstandárSmirnoff X1</t>
  </si>
  <si>
    <t>Estrato4al6BarEstandárBuchanan's Master</t>
  </si>
  <si>
    <t>Estrato4al6BarEstandárJohnnie Walker Double Black</t>
  </si>
  <si>
    <t>Estrato4al6BarEstandárSmirnoff Lata</t>
  </si>
  <si>
    <t>Estrato4al6BarEstandárGordon's</t>
  </si>
  <si>
    <t>Estrato4al6BarEstandárGordon's Cucumber</t>
  </si>
  <si>
    <t>Estrato4al6BarEstandárGordon's Pink</t>
  </si>
  <si>
    <t>Estrato4al6BarEstandárSingleton Tailfire</t>
  </si>
  <si>
    <t>Estrato4al6DiscotecaEliteJohnnie Walker Red o Black</t>
  </si>
  <si>
    <t>Estrato4al6DiscotecaEliteOld Parr 12</t>
  </si>
  <si>
    <t>Estrato4al6DiscotecaEliteOld Parr 18</t>
  </si>
  <si>
    <t>Estrato4al6DiscotecaEstándarJohnnie Walker Red o Black</t>
  </si>
  <si>
    <t>Estrato4al6DiscotecaEstándarOld Parr 12</t>
  </si>
  <si>
    <t>Estrato4al6DiscotecaEstándarSmirnoff</t>
  </si>
  <si>
    <t>Estrato4al6DiscotecaEstándarOld Parr 18</t>
  </si>
  <si>
    <t>Estrato4al6DiscotecaEstándarSmirnoff X1</t>
  </si>
  <si>
    <t>Estrato4al6DiscotecaEstándarSmirnoff Lata</t>
  </si>
  <si>
    <t>Estrato4al6JuegostípicosSmirnoff</t>
  </si>
  <si>
    <t>Estrato4al6JuegostípicosSmirnoff X1</t>
  </si>
  <si>
    <t>Estrato4al6JuegostípicosSmirnoff Lata</t>
  </si>
  <si>
    <t>Estrato4al6LicobaresJohnnie Walker Red o Black</t>
  </si>
  <si>
    <t>Estrato4al6LicobaresOld Parr 12</t>
  </si>
  <si>
    <t>Estrato4al6LicobaresSmirnoff</t>
  </si>
  <si>
    <t>Estrato4al6LicobaresSmirnoff X1</t>
  </si>
  <si>
    <t>Estrato4al6LicobaresSmirnoff Lata</t>
  </si>
  <si>
    <t>Estrato4al6LicobaresGordon's</t>
  </si>
  <si>
    <t>Estrato4al6ReposteríaycaféBaileys</t>
  </si>
  <si>
    <t>Estrato4al6RestauranteCasualDon Julio Blanco</t>
  </si>
  <si>
    <t>Estrato4al6RestauranteCasualTanqueray Rangpur</t>
  </si>
  <si>
    <t>Estrato4al6RestauranteCasualTanqueray London Dry</t>
  </si>
  <si>
    <t>Estrato4al6RestauranteCasualKetel One</t>
  </si>
  <si>
    <t>Estrato4al6RestauranteCasualSingleton 12</t>
  </si>
  <si>
    <t>Estrato4al6RestauranteCasualBuchanan's 12</t>
  </si>
  <si>
    <t>Estrato4al6RestauranteCasualJohnnie Walker Black Label</t>
  </si>
  <si>
    <t>Estrato4al6RestauranteCasualHaig Club</t>
  </si>
  <si>
    <t>Estrato4al6RestauranteCasualBulleit Bourbon</t>
  </si>
  <si>
    <t>Estrato4al6RestauranteCasualZacapa 23</t>
  </si>
  <si>
    <t xml:space="preserve">Estrato4al6RestauranteCasualZacapa Ámbar </t>
  </si>
  <si>
    <t>Estrato4al6RestauranteCasualBaileys</t>
  </si>
  <si>
    <t>Estrato4al6RestauranteCasualBuchanan's Master</t>
  </si>
  <si>
    <t>Estrato4al6RestauranteCasualJohnnie Walker Double Black</t>
  </si>
  <si>
    <t>Estrato4al6RestauranteCasualGordon's</t>
  </si>
  <si>
    <t>Estrato4al6RestauranteCasualGordon's Cucumber</t>
  </si>
  <si>
    <t>Estrato4al6RestauranteCasualGordon's Pink</t>
  </si>
  <si>
    <t>Estrato4al6RestauranteCasualBulleit Rye</t>
  </si>
  <si>
    <t>Estrato4al6RestauranteCasualSingleton Tailfire</t>
  </si>
  <si>
    <t>Estrato4al6RestauranteÉliteDon Julio Reposado</t>
  </si>
  <si>
    <t>Estrato4al6RestauranteÉliteTanqueray Ten</t>
  </si>
  <si>
    <t>Estrato4al6RestauranteÉliteBuchanan's 18</t>
  </si>
  <si>
    <t>Estrato4al6RestauranteÉliteDon Julio Blanco</t>
  </si>
  <si>
    <t>Estrato4al6RestauranteÉliteTanqueray Rangpur</t>
  </si>
  <si>
    <t>Estrato4al6RestauranteÉliteTanqueray London Dry</t>
  </si>
  <si>
    <t>Estrato4al6RestauranteÉliteKetel One</t>
  </si>
  <si>
    <t>Estrato4al6RestauranteÉliteSingleton 12</t>
  </si>
  <si>
    <t>Estrato4al6RestauranteÉliteBuchanan's 12</t>
  </si>
  <si>
    <t>Estrato4al6RestauranteÉliteJohnnie Walker Black Label</t>
  </si>
  <si>
    <t>Estrato4al6RestauranteÉliteHaig Club</t>
  </si>
  <si>
    <t>Estrato4al6RestauranteÉliteBulleit Bourbon</t>
  </si>
  <si>
    <t>Estrato4al6RestauranteÉliteZacapa 23</t>
  </si>
  <si>
    <t xml:space="preserve">Estrato4al6RestauranteÉliteZacapa Ámbar </t>
  </si>
  <si>
    <t>Estrato4al6RestauranteÉliteBaileys</t>
  </si>
  <si>
    <t>Estrato4al6RestauranteÉliteBuchanan's Master</t>
  </si>
  <si>
    <t>Estrato4al6RestauranteÉliteJohnnie Walker Double Black</t>
  </si>
  <si>
    <t>Estrato4al6RestauranteÉliteGordon's</t>
  </si>
  <si>
    <t>Estrato4al6RestauranteÉliteGordon's Cucumber</t>
  </si>
  <si>
    <t>Estrato4al6RestauranteÉliteGordon's Pink</t>
  </si>
  <si>
    <t>Estrato4al6RestauranteÉliteBulleit Rye</t>
  </si>
  <si>
    <t>Estrato4al6RestauranteÉliteSingleton Tailfire</t>
  </si>
  <si>
    <t>Estrato4al6RestauranteFormalDon Julio Reposado</t>
  </si>
  <si>
    <t>Estrato4al6RestauranteFormalTanqueray Ten</t>
  </si>
  <si>
    <t>Estrato4al6RestauranteFormalBuchanan's 18</t>
  </si>
  <si>
    <t>Estrato4al6RestauranteFormalDon Julio Blanco</t>
  </si>
  <si>
    <t>Estrato4al6RestauranteFormalTanqueray Rangpur</t>
  </si>
  <si>
    <t>Estrato4al6RestauranteFormalTanqueray London Dry</t>
  </si>
  <si>
    <t>Estrato4al6RestauranteFormalKetel One</t>
  </si>
  <si>
    <t>Estrato4al6RestauranteFormalSingleton 12</t>
  </si>
  <si>
    <t>Estrato4al6RestauranteFormalBuchanan's 12</t>
  </si>
  <si>
    <t>Estrato4al6RestauranteFormalJohnnie Walker Black Label</t>
  </si>
  <si>
    <t>Estrato4al6RestauranteFormalHaig Club</t>
  </si>
  <si>
    <t>Estrato4al6RestauranteFormalBulleit Bourbon</t>
  </si>
  <si>
    <t>Estrato4al6RestauranteFormalZacapa 23</t>
  </si>
  <si>
    <t xml:space="preserve">Estrato4al6RestauranteFormalZacapa Ámbar </t>
  </si>
  <si>
    <t>Estrato4al6RestauranteFormalBaileys</t>
  </si>
  <si>
    <t>Estrato4al6RestauranteFormalBuchanan's Master</t>
  </si>
  <si>
    <t>Estrato4al6RestauranteFormalJohnnie Walker Double Black</t>
  </si>
  <si>
    <t>Estrato4al6RestauranteFormalGordon's</t>
  </si>
  <si>
    <t>Estrato4al6RestauranteFormalGordon's Cucumber</t>
  </si>
  <si>
    <t>Estrato4al6RestauranteFormalGordon's Pink</t>
  </si>
  <si>
    <t>Estrato4al6RestauranteFormalBulleit Rye</t>
  </si>
  <si>
    <t>Estrato4al6RestauranteFormalSingleton Tailfire</t>
  </si>
  <si>
    <t>CONSOL 1</t>
  </si>
  <si>
    <t>Etiquetas de fila</t>
  </si>
  <si>
    <t>TIPOS DE SERVICIO</t>
  </si>
  <si>
    <t>ALMÍBAR SIMPLE (Azúcar 50/50 agua)</t>
  </si>
  <si>
    <t xml:space="preserve">1. En una coctelera con hielo agregue 30 ml de zumo de limón, 30 ml de almíbar simple, y los 50 ml de Don Julio Blanco. 
2. Agitar enérgicamente por 10 segundos y servir en un vaso con hielo.
3. Decorar con rodaja de limón. </t>
  </si>
  <si>
    <t>BUCHANAN'S PUNCH</t>
  </si>
  <si>
    <t>consol 2</t>
  </si>
  <si>
    <t>MEZCLA</t>
  </si>
  <si>
    <t>ON THE ROCK'S</t>
  </si>
  <si>
    <t>ALMÍBAR</t>
  </si>
  <si>
    <t>JIGGER</t>
  </si>
  <si>
    <t>VASO MEZCLADOR</t>
  </si>
  <si>
    <t>CUCHARILLA DE BAR</t>
  </si>
  <si>
    <t>COPA GLOBO</t>
  </si>
  <si>
    <t>COCTELERA</t>
  </si>
  <si>
    <t xml:space="preserve">STREINER </t>
  </si>
  <si>
    <t>VERMOUTH</t>
  </si>
  <si>
    <t>TWIST</t>
  </si>
  <si>
    <t>CERVEZA DE JEGIBRE</t>
  </si>
  <si>
    <t>VASO LARGO</t>
  </si>
  <si>
    <t>VASO CORTO</t>
  </si>
  <si>
    <t xml:space="preserve">GASEOSA DE LIMA </t>
  </si>
  <si>
    <t>PRE-MIX DE LIMÓN</t>
  </si>
  <si>
    <t>GARNISH</t>
  </si>
  <si>
    <t>DECORACIÓN</t>
  </si>
  <si>
    <t>Es una preparación a base de diferentes bebidas, y que contiene por lo general dos o más tipos de bebidas.</t>
  </si>
  <si>
    <t>Es la unión de dos o más compomentes, pero que no es tan elaborado como un coctel.</t>
  </si>
  <si>
    <t>Es un tipo de servicio donde solo se sirve el destilado acompañado de un buen hielo.</t>
  </si>
  <si>
    <t>Es el limón común, que puedes encontrar en cualquier fruver.</t>
  </si>
  <si>
    <t>Es la dilución de el azúcar en agua caliente. Se aconseja utilizar la misma cantidad de azúcar como de agua.</t>
  </si>
  <si>
    <t xml:space="preserve">Copa cónica utilizada en la coctelería para obtener medidas exactas en bebidas. </t>
  </si>
  <si>
    <t>Recipiente en el que se mezclan los componentes de un coctel.</t>
  </si>
  <si>
    <t>Instrumento de mango largo que sirve para hacer pequeñas maceraciones y mezclar bebidas.</t>
  </si>
  <si>
    <t>O simplemente tónica, es un refresco carbonatado saborizado con quinina. La bebida toma el nombre de los efectos médicos de este aromatizante amargo.</t>
  </si>
  <si>
    <t>Se utiliza generalmente para el servicio de vinos. Hay de diferentes tamaños para distintos servicios.</t>
  </si>
  <si>
    <t>Utensilio que sirve para realizar cocteles agitados, buscando homogeneizar los ingredientes.</t>
  </si>
  <si>
    <t>Conocido como colador de gusanillo. Su función es evitar el paso de hielo a los cocteles.</t>
  </si>
  <si>
    <t>Es una bebida con base de vino, que por medio de maceración, se le agregan una gran cantidad de botánicos, hierbas, raíces, cortezas, flores, frutas y especias.</t>
  </si>
  <si>
    <t>Es un líquido que se obtiene de la maceración de hierbas, raíces, cortezas y especias. Se utiliza para aromatizar cocteles.</t>
  </si>
  <si>
    <t>Piel de cítrico que se utiliza para perfumar una copa, apretándola con suavidad.</t>
  </si>
  <si>
    <t>O Ginger Beer, es una bebida carbonatada, saborizada principalmente con jengibre y endulzada con azúcar.</t>
  </si>
  <si>
    <t>O vaso collin's es utilizado para bebidas refrescantes de un gran volumen.</t>
  </si>
  <si>
    <t>o Old fashioned, utilizado para servicios puros o cocteles de bajo volumen líquido.</t>
  </si>
  <si>
    <t>Es una soda saborizada con limón o lima (Sprite, Seven-Up).</t>
  </si>
  <si>
    <t>Es un aromatizante utilizado en coctelería. Sus ingredientes incluyen naranja amrga, ruibarbo, gentiana, cinchona, entre otros.</t>
  </si>
  <si>
    <t>Es la mezcla de zumo del limón y el almíbar en proporciones iguales, esto con el fin de agilizar en la barra.</t>
  </si>
  <si>
    <t>El jarabe de granadina es una bebida que no contiene alcohol y que se elabora con azúcar y granadas.</t>
  </si>
  <si>
    <t>Son adornos que se le pueden poner al coctel para que afecten sus propiedades.</t>
  </si>
  <si>
    <t>Son adornos que se le pueden poner al coctel y que NO afecten sus propiedades.</t>
  </si>
  <si>
    <t>GLOSARIO</t>
  </si>
  <si>
    <t>TERMINO</t>
  </si>
  <si>
    <t>DEFINICIÓN</t>
  </si>
  <si>
    <t>Shot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</si>
</sst>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2" formatCode="_-&quot;$&quot;\ * #,##0_-;\-&quot;$&quot;\ * #,##0_-;_-&quot;$&quot;\ * &quot;-&quot;_-;_-@_-"/>
    <numFmt numFmtId="44" formatCode="_-&quot;$&quot;\ * #,##0.00_-;\-&quot;$&quot;\ * #,##0.00_-;_-&quot;$&quot;\ 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#,##0.0\ _€;\-#,##0.0\ _€"/>
    <numFmt numFmtId="167" formatCode="&quot;$&quot;#,##0"/>
    <numFmt numFmtId="168" formatCode="0.0%"/>
    <numFmt numFmtId="169" formatCode="&quot;$&quot;#,##0.0"/>
    <numFmt numFmtId="170" formatCode="&quot;$&quot;\ #,##0"/>
    <numFmt numFmtId="171" formatCode="0.0"/>
    <numFmt numFmtId="172" formatCode="[$$-240A]\ #,##0"/>
    <numFmt numFmtId="173" formatCode="[$$-240A]\ #,##0.0"/>
    <numFmt numFmtId="174" formatCode="_(* #,##0.0_);_(* \(#,##0.0\);_(* &quot;-&quot;??_);_(@_)"/>
    <numFmt numFmtId="175" formatCode="_(* #,##0_);_(* \(#,##0\);_(* &quot;-&quot;??_);_(@_)"/>
    <numFmt numFmtId="176" formatCode="[$-240A]d&quot; de &quot;mmmm&quot; de &quot;yyyy;@"/>
    <numFmt numFmtId="177" formatCode="_(&quot;$&quot;* #,##0_);_(&quot;$&quot;* \(#,##0\);_(&quot;$&quot;* &quot;-&quot;??_);_(@_)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9"/>
      <color theme="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C400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60093"/>
        <bgColor indexed="64"/>
      </patternFill>
    </fill>
    <fill>
      <patternFill patternType="solid">
        <fgColor theme="4" tint="0.59999389629810485"/>
        <bgColor indexed="64"/>
      </patternFill>
    </fill>
  </fills>
  <borders count="9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indexed="64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</borders>
  <cellStyleXfs count="10">
    <xf numFmtId="0" fontId="0" fillId="0" borderId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0" fillId="0" borderId="0"/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7" fillId="0" borderId="0" applyNumberFormat="0" applyFill="0" applyBorder="0" applyAlignment="0" applyProtection="0"/>
  </cellStyleXfs>
  <cellXfs count="362">
    <xf numFmtId="0" fontId="0" fillId="0" borderId="0" xfId="0"/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 wrapText="1"/>
    </xf>
    <xf numFmtId="0" fontId="7" fillId="4" borderId="7" xfId="0" applyFont="1" applyFill="1" applyBorder="1" applyAlignment="1">
      <alignment horizontal="center" wrapText="1"/>
    </xf>
    <xf numFmtId="0" fontId="0" fillId="3" borderId="10" xfId="0" applyFill="1" applyBorder="1" applyAlignment="1" applyProtection="1">
      <alignment horizontal="center"/>
      <protection hidden="1"/>
    </xf>
    <xf numFmtId="0" fontId="0" fillId="3" borderId="11" xfId="0" applyFill="1" applyBorder="1" applyAlignment="1">
      <alignment horizontal="center"/>
    </xf>
    <xf numFmtId="0" fontId="0" fillId="3" borderId="11" xfId="0" applyFill="1" applyBorder="1" applyAlignment="1" applyProtection="1">
      <alignment horizontal="center"/>
      <protection hidden="1"/>
    </xf>
    <xf numFmtId="166" fontId="0" fillId="3" borderId="12" xfId="2" applyNumberFormat="1" applyFont="1" applyFill="1" applyBorder="1" applyAlignment="1" applyProtection="1">
      <alignment horizontal="center"/>
      <protection hidden="1"/>
    </xf>
    <xf numFmtId="0" fontId="0" fillId="3" borderId="13" xfId="0" applyFill="1" applyBorder="1"/>
    <xf numFmtId="167" fontId="0" fillId="3" borderId="14" xfId="0" applyNumberForma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 applyProtection="1">
      <alignment horizontal="center"/>
      <protection hidden="1"/>
    </xf>
    <xf numFmtId="0" fontId="0" fillId="3" borderId="16" xfId="0" applyFill="1" applyBorder="1" applyAlignment="1" applyProtection="1">
      <alignment horizontal="center"/>
      <protection locked="0"/>
    </xf>
    <xf numFmtId="0" fontId="0" fillId="3" borderId="16" xfId="0" applyFill="1" applyBorder="1" applyAlignment="1">
      <alignment horizontal="center"/>
    </xf>
    <xf numFmtId="42" fontId="0" fillId="0" borderId="16" xfId="2" applyFont="1" applyBorder="1" applyAlignment="1" applyProtection="1">
      <alignment horizontal="center"/>
      <protection locked="0"/>
    </xf>
    <xf numFmtId="166" fontId="0" fillId="3" borderId="17" xfId="2" applyNumberFormat="1" applyFont="1" applyFill="1" applyBorder="1" applyAlignment="1" applyProtection="1">
      <alignment horizontal="center"/>
      <protection hidden="1"/>
    </xf>
    <xf numFmtId="0" fontId="0" fillId="3" borderId="18" xfId="0" applyFill="1" applyBorder="1"/>
    <xf numFmtId="167" fontId="0" fillId="3" borderId="19" xfId="0" applyNumberFormat="1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167" fontId="0" fillId="3" borderId="20" xfId="0" applyNumberFormat="1" applyFill="1" applyBorder="1" applyAlignment="1">
      <alignment horizontal="center"/>
    </xf>
    <xf numFmtId="0" fontId="0" fillId="3" borderId="21" xfId="0" applyFill="1" applyBorder="1" applyAlignment="1" applyProtection="1">
      <alignment horizontal="center"/>
      <protection hidden="1"/>
    </xf>
    <xf numFmtId="0" fontId="0" fillId="3" borderId="22" xfId="0" applyFill="1" applyBorder="1" applyAlignment="1">
      <alignment horizontal="center"/>
    </xf>
    <xf numFmtId="42" fontId="0" fillId="0" borderId="22" xfId="2" applyFont="1" applyBorder="1" applyAlignment="1" applyProtection="1">
      <alignment horizontal="center"/>
      <protection locked="0"/>
    </xf>
    <xf numFmtId="166" fontId="0" fillId="3" borderId="23" xfId="2" applyNumberFormat="1" applyFont="1" applyFill="1" applyBorder="1" applyAlignment="1" applyProtection="1">
      <alignment horizontal="center"/>
      <protection hidden="1"/>
    </xf>
    <xf numFmtId="0" fontId="4" fillId="3" borderId="24" xfId="0" applyFont="1" applyFill="1" applyBorder="1"/>
    <xf numFmtId="167" fontId="4" fillId="5" borderId="25" xfId="0" applyNumberFormat="1" applyFont="1" applyFill="1" applyBorder="1" applyAlignment="1">
      <alignment horizontal="center"/>
    </xf>
    <xf numFmtId="168" fontId="9" fillId="5" borderId="26" xfId="3" applyNumberFormat="1" applyFont="1" applyFill="1" applyBorder="1" applyAlignment="1">
      <alignment horizontal="center"/>
    </xf>
    <xf numFmtId="2" fontId="3" fillId="2" borderId="19" xfId="0" applyNumberFormat="1" applyFont="1" applyFill="1" applyBorder="1" applyAlignment="1">
      <alignment horizontal="center"/>
    </xf>
    <xf numFmtId="0" fontId="0" fillId="3" borderId="28" xfId="0" applyFill="1" applyBorder="1" applyAlignment="1" applyProtection="1">
      <alignment horizontal="center"/>
      <protection hidden="1"/>
    </xf>
    <xf numFmtId="0" fontId="4" fillId="3" borderId="29" xfId="0" applyFont="1" applyFill="1" applyBorder="1"/>
    <xf numFmtId="167" fontId="4" fillId="5" borderId="30" xfId="0" applyNumberFormat="1" applyFont="1" applyFill="1" applyBorder="1" applyAlignment="1">
      <alignment horizontal="center"/>
    </xf>
    <xf numFmtId="168" fontId="9" fillId="5" borderId="31" xfId="3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 vertical="center" wrapText="1"/>
    </xf>
    <xf numFmtId="0" fontId="0" fillId="6" borderId="0" xfId="0" applyFill="1" applyAlignment="1" applyProtection="1">
      <alignment horizontal="center"/>
      <protection hidden="1"/>
    </xf>
    <xf numFmtId="0" fontId="0" fillId="6" borderId="0" xfId="0" applyFill="1" applyAlignment="1">
      <alignment horizontal="center"/>
    </xf>
    <xf numFmtId="42" fontId="0" fillId="6" borderId="0" xfId="2" applyFont="1" applyFill="1" applyAlignment="1">
      <alignment horizontal="center"/>
    </xf>
    <xf numFmtId="166" fontId="0" fillId="6" borderId="0" xfId="2" applyNumberFormat="1" applyFont="1" applyFill="1" applyAlignment="1" applyProtection="1">
      <alignment horizontal="center"/>
      <protection hidden="1"/>
    </xf>
    <xf numFmtId="0" fontId="0" fillId="3" borderId="32" xfId="0" applyFill="1" applyBorder="1"/>
    <xf numFmtId="9" fontId="3" fillId="2" borderId="33" xfId="3" applyFont="1" applyFill="1" applyBorder="1" applyAlignment="1">
      <alignment horizontal="center"/>
    </xf>
    <xf numFmtId="0" fontId="11" fillId="4" borderId="34" xfId="4" applyFont="1" applyFill="1" applyBorder="1" applyAlignment="1" applyProtection="1">
      <alignment horizontal="center" vertical="center"/>
      <protection hidden="1"/>
    </xf>
    <xf numFmtId="0" fontId="11" fillId="4" borderId="35" xfId="4" applyFont="1" applyFill="1" applyBorder="1" applyAlignment="1" applyProtection="1">
      <alignment horizontal="center" vertical="center" wrapText="1"/>
      <protection hidden="1"/>
    </xf>
    <xf numFmtId="0" fontId="11" fillId="4" borderId="35" xfId="4" applyFont="1" applyFill="1" applyBorder="1" applyAlignment="1" applyProtection="1">
      <alignment horizontal="center" vertical="center"/>
      <protection hidden="1"/>
    </xf>
    <xf numFmtId="0" fontId="11" fillId="4" borderId="36" xfId="4" applyFont="1" applyFill="1" applyBorder="1" applyAlignment="1" applyProtection="1">
      <alignment horizontal="center" vertical="center"/>
      <protection hidden="1"/>
    </xf>
    <xf numFmtId="0" fontId="10" fillId="3" borderId="38" xfId="4" applyFill="1" applyBorder="1" applyAlignment="1" applyProtection="1">
      <alignment horizontal="center" vertical="center"/>
      <protection hidden="1"/>
    </xf>
    <xf numFmtId="169" fontId="10" fillId="3" borderId="39" xfId="4" applyNumberFormat="1" applyFill="1" applyBorder="1" applyAlignment="1" applyProtection="1">
      <alignment horizontal="center"/>
      <protection hidden="1"/>
    </xf>
    <xf numFmtId="0" fontId="10" fillId="0" borderId="40" xfId="4" applyBorder="1" applyAlignment="1" applyProtection="1">
      <alignment horizontal="center" vertical="center"/>
      <protection locked="0"/>
    </xf>
    <xf numFmtId="169" fontId="12" fillId="3" borderId="14" xfId="4" applyNumberFormat="1" applyFont="1" applyFill="1" applyBorder="1" applyAlignment="1" applyProtection="1">
      <alignment horizontal="right"/>
      <protection hidden="1"/>
    </xf>
    <xf numFmtId="0" fontId="0" fillId="3" borderId="41" xfId="0" applyFill="1" applyBorder="1"/>
    <xf numFmtId="167" fontId="0" fillId="3" borderId="42" xfId="0" applyNumberFormat="1" applyFill="1" applyBorder="1" applyAlignment="1">
      <alignment horizontal="center"/>
    </xf>
    <xf numFmtId="0" fontId="10" fillId="3" borderId="43" xfId="4" applyFill="1" applyBorder="1" applyAlignment="1" applyProtection="1">
      <alignment horizontal="center" vertical="center"/>
      <protection hidden="1"/>
    </xf>
    <xf numFmtId="169" fontId="10" fillId="3" borderId="44" xfId="4" applyNumberFormat="1" applyFill="1" applyBorder="1" applyAlignment="1" applyProtection="1">
      <alignment horizontal="center"/>
      <protection hidden="1"/>
    </xf>
    <xf numFmtId="0" fontId="10" fillId="0" borderId="45" xfId="4" applyBorder="1" applyAlignment="1" applyProtection="1">
      <alignment horizontal="center" vertical="center"/>
      <protection locked="0"/>
    </xf>
    <xf numFmtId="169" fontId="12" fillId="3" borderId="42" xfId="4" applyNumberFormat="1" applyFont="1" applyFill="1" applyBorder="1" applyAlignment="1" applyProtection="1">
      <alignment horizontal="right"/>
      <protection hidden="1"/>
    </xf>
    <xf numFmtId="0" fontId="10" fillId="3" borderId="46" xfId="4" applyFill="1" applyBorder="1" applyAlignment="1" applyProtection="1">
      <alignment horizontal="center" vertical="center"/>
      <protection hidden="1"/>
    </xf>
    <xf numFmtId="169" fontId="10" fillId="3" borderId="47" xfId="4" applyNumberFormat="1" applyFill="1" applyBorder="1" applyAlignment="1" applyProtection="1">
      <alignment horizontal="center"/>
      <protection hidden="1"/>
    </xf>
    <xf numFmtId="0" fontId="10" fillId="0" borderId="47" xfId="4" applyBorder="1" applyAlignment="1" applyProtection="1">
      <alignment horizontal="center"/>
      <protection locked="0" hidden="1"/>
    </xf>
    <xf numFmtId="169" fontId="12" fillId="3" borderId="48" xfId="4" applyNumberFormat="1" applyFont="1" applyFill="1" applyBorder="1" applyAlignment="1" applyProtection="1">
      <alignment horizontal="right"/>
      <protection hidden="1"/>
    </xf>
    <xf numFmtId="0" fontId="4" fillId="3" borderId="18" xfId="0" applyFont="1" applyFill="1" applyBorder="1"/>
    <xf numFmtId="0" fontId="10" fillId="3" borderId="32" xfId="4" applyFill="1" applyBorder="1" applyAlignment="1" applyProtection="1">
      <alignment horizontal="center" vertical="center"/>
      <protection hidden="1"/>
    </xf>
    <xf numFmtId="169" fontId="10" fillId="3" borderId="49" xfId="4" applyNumberFormat="1" applyFill="1" applyBorder="1" applyAlignment="1" applyProtection="1">
      <alignment horizontal="center"/>
      <protection hidden="1"/>
    </xf>
    <xf numFmtId="0" fontId="10" fillId="0" borderId="49" xfId="4" applyBorder="1" applyAlignment="1" applyProtection="1">
      <alignment horizontal="center"/>
      <protection locked="0" hidden="1"/>
    </xf>
    <xf numFmtId="169" fontId="12" fillId="3" borderId="33" xfId="4" applyNumberFormat="1" applyFont="1" applyFill="1" applyBorder="1" applyAlignment="1" applyProtection="1">
      <alignment horizontal="right"/>
      <protection hidden="1"/>
    </xf>
    <xf numFmtId="0" fontId="4" fillId="3" borderId="32" xfId="0" applyFont="1" applyFill="1" applyBorder="1"/>
    <xf numFmtId="2" fontId="3" fillId="2" borderId="33" xfId="0" applyNumberFormat="1" applyFont="1" applyFill="1" applyBorder="1" applyAlignment="1">
      <alignment horizontal="center"/>
    </xf>
    <xf numFmtId="167" fontId="12" fillId="3" borderId="42" xfId="4" applyNumberFormat="1" applyFont="1" applyFill="1" applyBorder="1" applyAlignment="1" applyProtection="1">
      <alignment horizontal="right"/>
      <protection hidden="1"/>
    </xf>
    <xf numFmtId="167" fontId="10" fillId="3" borderId="19" xfId="4" applyNumberFormat="1" applyFill="1" applyBorder="1" applyAlignment="1" applyProtection="1">
      <alignment horizontal="right"/>
      <protection hidden="1"/>
    </xf>
    <xf numFmtId="167" fontId="13" fillId="3" borderId="19" xfId="4" applyNumberFormat="1" applyFont="1" applyFill="1" applyBorder="1" applyAlignment="1" applyProtection="1">
      <alignment horizontal="right"/>
      <protection hidden="1"/>
    </xf>
    <xf numFmtId="167" fontId="13" fillId="0" borderId="19" xfId="4" applyNumberFormat="1" applyFont="1" applyBorder="1" applyAlignment="1" applyProtection="1">
      <alignment horizontal="right"/>
      <protection locked="0"/>
    </xf>
    <xf numFmtId="170" fontId="10" fillId="3" borderId="19" xfId="1" applyNumberFormat="1" applyFont="1" applyFill="1" applyBorder="1" applyAlignment="1" applyProtection="1">
      <alignment horizontal="right"/>
      <protection hidden="1"/>
    </xf>
    <xf numFmtId="167" fontId="4" fillId="5" borderId="53" xfId="0" applyNumberFormat="1" applyFont="1" applyFill="1" applyBorder="1" applyAlignment="1">
      <alignment horizontal="center"/>
    </xf>
    <xf numFmtId="168" fontId="9" fillId="8" borderId="53" xfId="3" applyNumberFormat="1" applyFont="1" applyFill="1" applyBorder="1" applyAlignment="1">
      <alignment horizontal="center"/>
    </xf>
    <xf numFmtId="9" fontId="10" fillId="3" borderId="19" xfId="3" applyFont="1" applyFill="1" applyBorder="1" applyAlignment="1" applyProtection="1">
      <alignment horizontal="right"/>
      <protection hidden="1"/>
    </xf>
    <xf numFmtId="0" fontId="0" fillId="6" borderId="0" xfId="0" applyFill="1"/>
    <xf numFmtId="9" fontId="10" fillId="3" borderId="33" xfId="3" applyFont="1" applyFill="1" applyBorder="1" applyAlignment="1" applyProtection="1">
      <alignment horizontal="right"/>
      <protection hidden="1"/>
    </xf>
    <xf numFmtId="0" fontId="17" fillId="0" borderId="0" xfId="0" applyFont="1" applyAlignment="1">
      <alignment horizontal="center" vertical="center" wrapText="1"/>
    </xf>
    <xf numFmtId="0" fontId="10" fillId="0" borderId="0" xfId="4" applyAlignment="1" applyProtection="1">
      <alignment horizontal="left" vertical="center"/>
      <protection locked="0"/>
    </xf>
    <xf numFmtId="0" fontId="10" fillId="6" borderId="0" xfId="4" applyFill="1" applyAlignment="1" applyProtection="1">
      <alignment horizontal="left" vertical="center"/>
      <protection locked="0"/>
    </xf>
    <xf numFmtId="0" fontId="13" fillId="6" borderId="0" xfId="4" applyFont="1" applyFill="1" applyAlignment="1">
      <alignment horizontal="right"/>
    </xf>
    <xf numFmtId="9" fontId="13" fillId="6" borderId="0" xfId="3" applyFont="1" applyFill="1" applyAlignment="1" applyProtection="1">
      <alignment horizontal="right"/>
      <protection hidden="1"/>
    </xf>
    <xf numFmtId="171" fontId="0" fillId="3" borderId="19" xfId="0" applyNumberFormat="1" applyFill="1" applyBorder="1" applyAlignment="1">
      <alignment horizontal="center"/>
    </xf>
    <xf numFmtId="171" fontId="0" fillId="3" borderId="33" xfId="0" applyNumberFormat="1" applyFill="1" applyBorder="1" applyAlignment="1">
      <alignment horizontal="center"/>
    </xf>
    <xf numFmtId="0" fontId="19" fillId="3" borderId="13" xfId="4" applyFont="1" applyFill="1" applyBorder="1" applyAlignment="1" applyProtection="1">
      <alignment horizontal="center" vertical="center" wrapText="1"/>
      <protection hidden="1"/>
    </xf>
    <xf numFmtId="0" fontId="19" fillId="3" borderId="56" xfId="4" applyFont="1" applyFill="1" applyBorder="1" applyAlignment="1" applyProtection="1">
      <alignment horizontal="center" vertical="center" wrapText="1"/>
      <protection hidden="1"/>
    </xf>
    <xf numFmtId="0" fontId="19" fillId="3" borderId="57" xfId="4" applyFont="1" applyFill="1" applyBorder="1" applyAlignment="1" applyProtection="1">
      <alignment horizontal="center" vertical="center" wrapText="1"/>
      <protection hidden="1"/>
    </xf>
    <xf numFmtId="0" fontId="19" fillId="3" borderId="14" xfId="4" applyFont="1" applyFill="1" applyBorder="1" applyAlignment="1" applyProtection="1">
      <alignment horizontal="center" vertical="center" wrapText="1"/>
      <protection hidden="1"/>
    </xf>
    <xf numFmtId="0" fontId="10" fillId="3" borderId="58" xfId="4" applyFill="1" applyBorder="1" applyAlignment="1" applyProtection="1">
      <alignment horizontal="center" vertical="center" wrapText="1"/>
      <protection hidden="1"/>
    </xf>
    <xf numFmtId="172" fontId="10" fillId="0" borderId="54" xfId="4" applyNumberFormat="1" applyBorder="1" applyAlignment="1" applyProtection="1">
      <alignment horizontal="center" vertical="center" wrapText="1"/>
      <protection locked="0" hidden="1"/>
    </xf>
    <xf numFmtId="169" fontId="10" fillId="3" borderId="59" xfId="4" applyNumberFormat="1" applyFill="1" applyBorder="1" applyAlignment="1" applyProtection="1">
      <alignment horizontal="center" vertical="center"/>
      <protection hidden="1"/>
    </xf>
    <xf numFmtId="0" fontId="10" fillId="0" borderId="60" xfId="4" applyBorder="1" applyAlignment="1" applyProtection="1">
      <alignment horizontal="center" vertical="center"/>
      <protection locked="0"/>
    </xf>
    <xf numFmtId="173" fontId="10" fillId="3" borderId="59" xfId="4" applyNumberFormat="1" applyFill="1" applyBorder="1" applyAlignment="1" applyProtection="1">
      <alignment horizontal="center" vertical="center"/>
      <protection hidden="1"/>
    </xf>
    <xf numFmtId="173" fontId="10" fillId="3" borderId="33" xfId="4" applyNumberFormat="1" applyFill="1" applyBorder="1" applyAlignment="1" applyProtection="1">
      <alignment horizontal="center" vertical="center"/>
      <protection hidden="1"/>
    </xf>
    <xf numFmtId="172" fontId="0" fillId="0" borderId="0" xfId="0" applyNumberFormat="1"/>
    <xf numFmtId="0" fontId="7" fillId="4" borderId="57" xfId="0" applyFont="1" applyFill="1" applyBorder="1" applyAlignment="1">
      <alignment horizontal="center" vertical="center"/>
    </xf>
    <xf numFmtId="0" fontId="7" fillId="4" borderId="57" xfId="0" applyFont="1" applyFill="1" applyBorder="1" applyAlignment="1">
      <alignment horizontal="center" vertical="center" wrapText="1"/>
    </xf>
    <xf numFmtId="0" fontId="7" fillId="4" borderId="14" xfId="0" applyFont="1" applyFill="1" applyBorder="1" applyAlignment="1">
      <alignment horizontal="center" wrapText="1"/>
    </xf>
    <xf numFmtId="0" fontId="0" fillId="3" borderId="16" xfId="0" applyFill="1" applyBorder="1" applyAlignment="1" applyProtection="1">
      <alignment horizontal="center"/>
      <protection hidden="1"/>
    </xf>
    <xf numFmtId="166" fontId="0" fillId="3" borderId="19" xfId="2" applyNumberFormat="1" applyFont="1" applyFill="1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locked="0"/>
    </xf>
    <xf numFmtId="166" fontId="0" fillId="3" borderId="20" xfId="2" applyNumberFormat="1" applyFont="1" applyFill="1" applyBorder="1" applyAlignment="1" applyProtection="1">
      <alignment horizontal="center"/>
      <protection hidden="1"/>
    </xf>
    <xf numFmtId="0" fontId="0" fillId="3" borderId="32" xfId="0" applyFill="1" applyBorder="1" applyAlignment="1" applyProtection="1">
      <alignment horizontal="center"/>
      <protection hidden="1"/>
    </xf>
    <xf numFmtId="0" fontId="0" fillId="3" borderId="49" xfId="0" applyFill="1" applyBorder="1" applyAlignment="1">
      <alignment horizontal="center"/>
    </xf>
    <xf numFmtId="166" fontId="0" fillId="3" borderId="33" xfId="2" applyNumberFormat="1" applyFont="1" applyFill="1" applyBorder="1" applyAlignment="1" applyProtection="1">
      <alignment horizontal="center"/>
      <protection hidden="1"/>
    </xf>
    <xf numFmtId="0" fontId="7" fillId="4" borderId="11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wrapText="1"/>
    </xf>
    <xf numFmtId="42" fontId="1" fillId="0" borderId="22" xfId="2" applyFont="1" applyBorder="1" applyAlignment="1" applyProtection="1">
      <alignment horizontal="center"/>
      <protection locked="0"/>
    </xf>
    <xf numFmtId="166" fontId="0" fillId="3" borderId="11" xfId="2" applyNumberFormat="1" applyFont="1" applyFill="1" applyBorder="1" applyAlignment="1" applyProtection="1">
      <alignment horizontal="center"/>
      <protection hidden="1"/>
    </xf>
    <xf numFmtId="166" fontId="0" fillId="3" borderId="16" xfId="2" applyNumberFormat="1" applyFont="1" applyFill="1" applyBorder="1" applyAlignment="1" applyProtection="1">
      <alignment horizontal="center"/>
      <protection hidden="1"/>
    </xf>
    <xf numFmtId="0" fontId="11" fillId="4" borderId="5" xfId="4" applyFont="1" applyFill="1" applyBorder="1" applyAlignment="1" applyProtection="1">
      <alignment horizontal="center" vertical="center"/>
      <protection hidden="1"/>
    </xf>
    <xf numFmtId="0" fontId="11" fillId="4" borderId="6" xfId="4" applyFont="1" applyFill="1" applyBorder="1" applyAlignment="1" applyProtection="1">
      <alignment horizontal="center" vertical="center" wrapText="1"/>
      <protection hidden="1"/>
    </xf>
    <xf numFmtId="0" fontId="11" fillId="4" borderId="6" xfId="4" applyFont="1" applyFill="1" applyBorder="1" applyAlignment="1" applyProtection="1">
      <alignment horizontal="center" vertical="center"/>
      <protection hidden="1"/>
    </xf>
    <xf numFmtId="0" fontId="11" fillId="4" borderId="7" xfId="4" applyFont="1" applyFill="1" applyBorder="1" applyAlignment="1" applyProtection="1">
      <alignment horizontal="center" vertical="center"/>
      <protection hidden="1"/>
    </xf>
    <xf numFmtId="169" fontId="10" fillId="3" borderId="71" xfId="4" applyNumberFormat="1" applyFill="1" applyBorder="1" applyAlignment="1" applyProtection="1">
      <alignment horizontal="center"/>
      <protection hidden="1"/>
    </xf>
    <xf numFmtId="42" fontId="0" fillId="0" borderId="16" xfId="5" applyFont="1" applyBorder="1" applyAlignment="1" applyProtection="1">
      <alignment horizontal="center"/>
      <protection locked="0"/>
    </xf>
    <xf numFmtId="166" fontId="0" fillId="3" borderId="17" xfId="5" applyNumberFormat="1" applyFont="1" applyFill="1" applyBorder="1" applyAlignment="1" applyProtection="1">
      <alignment horizontal="center"/>
      <protection hidden="1"/>
    </xf>
    <xf numFmtId="42" fontId="0" fillId="0" borderId="22" xfId="5" applyFont="1" applyBorder="1" applyAlignment="1" applyProtection="1">
      <alignment horizontal="center"/>
      <protection locked="0"/>
    </xf>
    <xf numFmtId="42" fontId="1" fillId="0" borderId="22" xfId="5" applyFont="1" applyBorder="1" applyAlignment="1" applyProtection="1">
      <alignment horizontal="center"/>
      <protection locked="0"/>
    </xf>
    <xf numFmtId="42" fontId="0" fillId="6" borderId="0" xfId="5" applyFont="1" applyFill="1" applyAlignment="1">
      <alignment horizontal="center"/>
    </xf>
    <xf numFmtId="166" fontId="0" fillId="6" borderId="0" xfId="5" applyNumberFormat="1" applyFont="1" applyFill="1" applyAlignment="1" applyProtection="1">
      <alignment horizontal="center"/>
      <protection hidden="1"/>
    </xf>
    <xf numFmtId="170" fontId="10" fillId="3" borderId="19" xfId="6" applyNumberFormat="1" applyFont="1" applyFill="1" applyBorder="1" applyAlignment="1" applyProtection="1">
      <alignment horizontal="right"/>
      <protection hidden="1"/>
    </xf>
    <xf numFmtId="167" fontId="13" fillId="9" borderId="19" xfId="4" applyNumberFormat="1" applyFont="1" applyFill="1" applyBorder="1" applyAlignment="1" applyProtection="1">
      <alignment horizontal="right"/>
      <protection locked="0"/>
    </xf>
    <xf numFmtId="174" fontId="0" fillId="0" borderId="0" xfId="7" applyNumberFormat="1" applyFont="1"/>
    <xf numFmtId="0" fontId="20" fillId="0" borderId="0" xfId="0" applyFont="1"/>
    <xf numFmtId="0" fontId="4" fillId="0" borderId="0" xfId="0" applyFont="1" applyAlignment="1">
      <alignment horizontal="center" vertical="center"/>
    </xf>
    <xf numFmtId="174" fontId="4" fillId="0" borderId="0" xfId="7" applyNumberFormat="1" applyFont="1"/>
    <xf numFmtId="0" fontId="4" fillId="0" borderId="0" xfId="0" applyFont="1"/>
    <xf numFmtId="0" fontId="3" fillId="0" borderId="0" xfId="0" applyFont="1"/>
    <xf numFmtId="175" fontId="21" fillId="0" borderId="0" xfId="7" applyNumberFormat="1" applyFont="1" applyAlignment="1">
      <alignment horizontal="center"/>
    </xf>
    <xf numFmtId="165" fontId="4" fillId="0" borderId="0" xfId="7" applyFont="1" applyAlignment="1">
      <alignment horizontal="center" vertical="center"/>
    </xf>
    <xf numFmtId="175" fontId="4" fillId="0" borderId="0" xfId="0" applyNumberFormat="1" applyFont="1" applyAlignment="1">
      <alignment horizontal="center" vertical="center"/>
    </xf>
    <xf numFmtId="175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165" fontId="22" fillId="0" borderId="0" xfId="7" applyFont="1" applyAlignment="1">
      <alignment horizontal="center"/>
    </xf>
    <xf numFmtId="0" fontId="22" fillId="8" borderId="75" xfId="0" applyFont="1" applyFill="1" applyBorder="1" applyAlignment="1">
      <alignment horizontal="center" vertical="center"/>
    </xf>
    <xf numFmtId="175" fontId="22" fillId="8" borderId="75" xfId="0" applyNumberFormat="1" applyFont="1" applyFill="1" applyBorder="1" applyAlignment="1">
      <alignment horizontal="center" vertical="center"/>
    </xf>
    <xf numFmtId="174" fontId="22" fillId="8" borderId="75" xfId="7" applyNumberFormat="1" applyFont="1" applyFill="1" applyBorder="1" applyAlignment="1">
      <alignment horizontal="center"/>
    </xf>
    <xf numFmtId="0" fontId="22" fillId="8" borderId="75" xfId="0" applyFont="1" applyFill="1" applyBorder="1" applyAlignment="1">
      <alignment horizontal="center"/>
    </xf>
    <xf numFmtId="0" fontId="22" fillId="8" borderId="75" xfId="0" applyFont="1" applyFill="1" applyBorder="1" applyAlignment="1">
      <alignment horizontal="left"/>
    </xf>
    <xf numFmtId="1" fontId="22" fillId="8" borderId="76" xfId="0" applyNumberFormat="1" applyFont="1" applyFill="1" applyBorder="1" applyAlignment="1">
      <alignment horizontal="left"/>
    </xf>
    <xf numFmtId="0" fontId="9" fillId="0" borderId="0" xfId="0" applyFont="1"/>
    <xf numFmtId="175" fontId="22" fillId="10" borderId="77" xfId="7" applyNumberFormat="1" applyFont="1" applyFill="1" applyBorder="1" applyAlignment="1">
      <alignment horizontal="center" vertical="center"/>
    </xf>
    <xf numFmtId="175" fontId="22" fillId="11" borderId="76" xfId="7" applyNumberFormat="1" applyFont="1" applyFill="1" applyBorder="1" applyAlignment="1">
      <alignment horizontal="center" vertical="center"/>
    </xf>
    <xf numFmtId="175" fontId="22" fillId="11" borderId="78" xfId="7" applyNumberFormat="1" applyFont="1" applyFill="1" applyBorder="1" applyAlignment="1">
      <alignment horizontal="center" vertical="center"/>
    </xf>
    <xf numFmtId="174" fontId="22" fillId="6" borderId="78" xfId="7" applyNumberFormat="1" applyFont="1" applyFill="1" applyBorder="1" applyAlignment="1">
      <alignment horizontal="center"/>
    </xf>
    <xf numFmtId="0" fontId="22" fillId="6" borderId="78" xfId="0" applyFont="1" applyFill="1" applyBorder="1" applyAlignment="1">
      <alignment horizontal="center"/>
    </xf>
    <xf numFmtId="0" fontId="22" fillId="6" borderId="78" xfId="0" applyFont="1" applyFill="1" applyBorder="1" applyAlignment="1">
      <alignment horizontal="left"/>
    </xf>
    <xf numFmtId="1" fontId="22" fillId="12" borderId="78" xfId="0" applyNumberFormat="1" applyFont="1" applyFill="1" applyBorder="1" applyAlignment="1">
      <alignment horizontal="center"/>
    </xf>
    <xf numFmtId="0" fontId="3" fillId="13" borderId="79" xfId="0" applyFont="1" applyFill="1" applyBorder="1" applyAlignment="1">
      <alignment horizontal="center" vertical="center"/>
    </xf>
    <xf numFmtId="0" fontId="3" fillId="13" borderId="75" xfId="0" applyFont="1" applyFill="1" applyBorder="1" applyAlignment="1">
      <alignment horizontal="center" vertical="center"/>
    </xf>
    <xf numFmtId="175" fontId="3" fillId="13" borderId="75" xfId="0" applyNumberFormat="1" applyFont="1" applyFill="1" applyBorder="1" applyAlignment="1">
      <alignment horizontal="center" vertical="center"/>
    </xf>
    <xf numFmtId="174" fontId="3" fillId="13" borderId="75" xfId="7" applyNumberFormat="1" applyFont="1" applyFill="1" applyBorder="1" applyAlignment="1">
      <alignment horizontal="center"/>
    </xf>
    <xf numFmtId="0" fontId="3" fillId="13" borderId="75" xfId="0" applyFont="1" applyFill="1" applyBorder="1" applyAlignment="1">
      <alignment horizontal="center"/>
    </xf>
    <xf numFmtId="0" fontId="3" fillId="13" borderId="75" xfId="0" applyFont="1" applyFill="1" applyBorder="1" applyAlignment="1">
      <alignment horizontal="left"/>
    </xf>
    <xf numFmtId="1" fontId="3" fillId="13" borderId="76" xfId="0" applyNumberFormat="1" applyFont="1" applyFill="1" applyBorder="1" applyAlignment="1">
      <alignment horizontal="left"/>
    </xf>
    <xf numFmtId="175" fontId="22" fillId="14" borderId="77" xfId="7" applyNumberFormat="1" applyFont="1" applyFill="1" applyBorder="1" applyAlignment="1">
      <alignment horizontal="center" vertical="center"/>
    </xf>
    <xf numFmtId="175" fontId="3" fillId="15" borderId="77" xfId="7" applyNumberFormat="1" applyFont="1" applyFill="1" applyBorder="1" applyAlignment="1">
      <alignment horizontal="center" vertical="center" wrapText="1"/>
    </xf>
    <xf numFmtId="175" fontId="3" fillId="15" borderId="76" xfId="7" applyNumberFormat="1" applyFont="1" applyFill="1" applyBorder="1" applyAlignment="1">
      <alignment horizontal="center" vertical="center" wrapText="1"/>
    </xf>
    <xf numFmtId="175" fontId="3" fillId="15" borderId="78" xfId="7" applyNumberFormat="1" applyFont="1" applyFill="1" applyBorder="1" applyAlignment="1">
      <alignment horizontal="center" vertical="center" wrapText="1"/>
    </xf>
    <xf numFmtId="174" fontId="3" fillId="15" borderId="78" xfId="7" applyNumberFormat="1" applyFont="1" applyFill="1" applyBorder="1" applyAlignment="1">
      <alignment horizontal="center" vertical="center"/>
    </xf>
    <xf numFmtId="175" fontId="3" fillId="15" borderId="78" xfId="7" applyNumberFormat="1" applyFont="1" applyFill="1" applyBorder="1" applyAlignment="1">
      <alignment horizontal="center" vertical="center"/>
    </xf>
    <xf numFmtId="49" fontId="3" fillId="15" borderId="78" xfId="0" applyNumberFormat="1" applyFont="1" applyFill="1" applyBorder="1" applyAlignment="1">
      <alignment horizontal="center" vertical="center"/>
    </xf>
    <xf numFmtId="1" fontId="3" fillId="15" borderId="78" xfId="0" applyNumberFormat="1" applyFont="1" applyFill="1" applyBorder="1" applyAlignment="1">
      <alignment horizontal="center" vertical="center"/>
    </xf>
    <xf numFmtId="176" fontId="3" fillId="14" borderId="80" xfId="0" applyNumberFormat="1" applyFont="1" applyFill="1" applyBorder="1" applyAlignment="1">
      <alignment horizontal="center" vertical="center"/>
    </xf>
    <xf numFmtId="0" fontId="0" fillId="14" borderId="0" xfId="0" applyFill="1"/>
    <xf numFmtId="174" fontId="4" fillId="14" borderId="0" xfId="7" applyNumberFormat="1" applyFont="1" applyFill="1"/>
    <xf numFmtId="0" fontId="4" fillId="14" borderId="0" xfId="0" applyFont="1" applyFill="1"/>
    <xf numFmtId="0" fontId="4" fillId="14" borderId="0" xfId="0" applyFont="1" applyFill="1" applyAlignment="1">
      <alignment horizontal="center"/>
    </xf>
    <xf numFmtId="0" fontId="4" fillId="0" borderId="0" xfId="0" applyFont="1" applyAlignment="1">
      <alignment horizontal="left"/>
    </xf>
    <xf numFmtId="0" fontId="4" fillId="14" borderId="0" xfId="0" applyFont="1" applyFill="1" applyAlignment="1">
      <alignment horizontal="left"/>
    </xf>
    <xf numFmtId="1" fontId="4" fillId="14" borderId="0" xfId="0" applyNumberFormat="1" applyFont="1" applyFill="1"/>
    <xf numFmtId="175" fontId="4" fillId="0" borderId="0" xfId="7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76" fontId="22" fillId="0" borderId="0" xfId="0" applyNumberFormat="1" applyFont="1" applyAlignment="1">
      <alignment horizontal="center"/>
    </xf>
    <xf numFmtId="176" fontId="22" fillId="0" borderId="77" xfId="0" applyNumberFormat="1" applyFont="1" applyBorder="1" applyAlignment="1">
      <alignment horizontal="center"/>
    </xf>
    <xf numFmtId="176" fontId="22" fillId="0" borderId="76" xfId="0" applyNumberFormat="1" applyFont="1" applyBorder="1" applyAlignment="1">
      <alignment horizontal="center"/>
    </xf>
    <xf numFmtId="0" fontId="22" fillId="0" borderId="77" xfId="0" applyFont="1" applyBorder="1" applyAlignment="1">
      <alignment horizontal="center"/>
    </xf>
    <xf numFmtId="0" fontId="22" fillId="0" borderId="76" xfId="0" applyFont="1" applyBorder="1" applyAlignment="1">
      <alignment horizontal="center"/>
    </xf>
    <xf numFmtId="165" fontId="4" fillId="0" borderId="0" xfId="0" applyNumberFormat="1" applyFont="1" applyAlignment="1">
      <alignment horizontal="center" vertical="center"/>
    </xf>
    <xf numFmtId="0" fontId="3" fillId="15" borderId="0" xfId="0" applyFont="1" applyFill="1" applyAlignment="1">
      <alignment horizontal="center"/>
    </xf>
    <xf numFmtId="0" fontId="3" fillId="15" borderId="77" xfId="0" applyFont="1" applyFill="1" applyBorder="1" applyAlignment="1">
      <alignment horizontal="center"/>
    </xf>
    <xf numFmtId="0" fontId="3" fillId="15" borderId="75" xfId="0" applyFont="1" applyFill="1" applyBorder="1" applyAlignment="1">
      <alignment horizontal="center"/>
    </xf>
    <xf numFmtId="0" fontId="3" fillId="15" borderId="76" xfId="0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1" fontId="4" fillId="0" borderId="0" xfId="0" applyNumberFormat="1" applyFont="1"/>
    <xf numFmtId="177" fontId="4" fillId="0" borderId="0" xfId="8" applyNumberFormat="1" applyFont="1" applyAlignment="1">
      <alignment horizontal="center" vertical="center"/>
    </xf>
    <xf numFmtId="42" fontId="0" fillId="14" borderId="16" xfId="5" applyFont="1" applyFill="1" applyBorder="1" applyAlignment="1" applyProtection="1">
      <alignment horizontal="center"/>
      <protection locked="0"/>
    </xf>
    <xf numFmtId="42" fontId="0" fillId="14" borderId="22" xfId="5" applyFont="1" applyFill="1" applyBorder="1" applyAlignment="1" applyProtection="1">
      <alignment horizontal="center"/>
      <protection locked="0"/>
    </xf>
    <xf numFmtId="42" fontId="1" fillId="14" borderId="22" xfId="5" applyFont="1" applyFill="1" applyBorder="1" applyAlignment="1" applyProtection="1">
      <alignment horizontal="center"/>
      <protection locked="0"/>
    </xf>
    <xf numFmtId="0" fontId="10" fillId="14" borderId="40" xfId="4" applyFill="1" applyBorder="1" applyAlignment="1" applyProtection="1">
      <alignment horizontal="center" vertical="center"/>
      <protection locked="0"/>
    </xf>
    <xf numFmtId="0" fontId="10" fillId="14" borderId="45" xfId="4" applyFill="1" applyBorder="1" applyAlignment="1" applyProtection="1">
      <alignment horizontal="center" vertical="center"/>
      <protection locked="0"/>
    </xf>
    <xf numFmtId="167" fontId="13" fillId="14" borderId="19" xfId="4" applyNumberFormat="1" applyFont="1" applyFill="1" applyBorder="1" applyAlignment="1" applyProtection="1">
      <alignment horizontal="right"/>
      <protection locked="0"/>
    </xf>
    <xf numFmtId="172" fontId="10" fillId="14" borderId="54" xfId="4" applyNumberFormat="1" applyFill="1" applyBorder="1" applyAlignment="1" applyProtection="1">
      <alignment horizontal="center" vertical="center" wrapText="1"/>
      <protection locked="0" hidden="1"/>
    </xf>
    <xf numFmtId="0" fontId="10" fillId="14" borderId="60" xfId="4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wrapText="1"/>
    </xf>
    <xf numFmtId="0" fontId="5" fillId="13" borderId="16" xfId="0" applyFont="1" applyFill="1" applyBorder="1" applyAlignment="1">
      <alignment horizontal="center" vertical="center"/>
    </xf>
    <xf numFmtId="0" fontId="5" fillId="13" borderId="16" xfId="0" applyFont="1" applyFill="1" applyBorder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0" fillId="0" borderId="16" xfId="0" applyBorder="1" applyAlignment="1">
      <alignment vertical="center"/>
    </xf>
    <xf numFmtId="0" fontId="0" fillId="0" borderId="16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/>
    </xf>
    <xf numFmtId="0" fontId="0" fillId="0" borderId="16" xfId="0" applyBorder="1" applyAlignment="1">
      <alignment vertical="center" wrapText="1"/>
    </xf>
    <xf numFmtId="0" fontId="0" fillId="0" borderId="0" xfId="0" applyAlignment="1">
      <alignment vertical="center"/>
    </xf>
    <xf numFmtId="0" fontId="0" fillId="14" borderId="16" xfId="0" applyFill="1" applyBorder="1" applyAlignment="1">
      <alignment vertical="center"/>
    </xf>
    <xf numFmtId="0" fontId="0" fillId="5" borderId="16" xfId="0" applyFill="1" applyBorder="1" applyAlignment="1">
      <alignment horizontal="center" vertical="center"/>
    </xf>
    <xf numFmtId="0" fontId="0" fillId="14" borderId="16" xfId="0" applyFill="1" applyBorder="1" applyAlignment="1">
      <alignment horizontal="center" vertical="center"/>
    </xf>
    <xf numFmtId="0" fontId="0" fillId="16" borderId="16" xfId="0" applyFill="1" applyBorder="1" applyAlignment="1">
      <alignment horizontal="center" vertical="center"/>
    </xf>
    <xf numFmtId="0" fontId="0" fillId="0" borderId="17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7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6" fillId="8" borderId="16" xfId="0" applyFont="1" applyFill="1" applyBorder="1"/>
    <xf numFmtId="0" fontId="0" fillId="0" borderId="16" xfId="0" applyBorder="1"/>
    <xf numFmtId="0" fontId="5" fillId="17" borderId="16" xfId="0" applyFont="1" applyFill="1" applyBorder="1" applyAlignment="1">
      <alignment horizontal="center" vertical="center"/>
    </xf>
    <xf numFmtId="0" fontId="5" fillId="9" borderId="16" xfId="0" applyFont="1" applyFill="1" applyBorder="1" applyAlignment="1">
      <alignment horizontal="center" vertical="center"/>
    </xf>
    <xf numFmtId="0" fontId="5" fillId="18" borderId="16" xfId="0" applyFont="1" applyFill="1" applyBorder="1" applyAlignment="1">
      <alignment horizontal="center" vertical="center"/>
    </xf>
    <xf numFmtId="0" fontId="5" fillId="19" borderId="16" xfId="0" applyFont="1" applyFill="1" applyBorder="1" applyAlignment="1">
      <alignment horizontal="center" vertical="center"/>
    </xf>
    <xf numFmtId="0" fontId="5" fillId="20" borderId="16" xfId="0" applyFont="1" applyFill="1" applyBorder="1" applyAlignment="1">
      <alignment horizontal="center" vertical="center"/>
    </xf>
    <xf numFmtId="0" fontId="5" fillId="21" borderId="16" xfId="0" applyFont="1" applyFill="1" applyBorder="1" applyAlignment="1">
      <alignment horizontal="center" vertical="center" wrapText="1"/>
    </xf>
    <xf numFmtId="0" fontId="0" fillId="0" borderId="16" xfId="0" applyFill="1" applyBorder="1" applyAlignment="1">
      <alignment vertical="center"/>
    </xf>
    <xf numFmtId="0" fontId="0" fillId="0" borderId="15" xfId="0" applyFill="1" applyBorder="1" applyAlignment="1">
      <alignment horizontal="left" vertical="center"/>
    </xf>
    <xf numFmtId="0" fontId="0" fillId="14" borderId="16" xfId="0" applyFill="1" applyBorder="1" applyAlignment="1">
      <alignment vertical="center" wrapText="1"/>
    </xf>
    <xf numFmtId="0" fontId="0" fillId="0" borderId="0" xfId="0" applyFill="1" applyAlignment="1">
      <alignment vertical="center"/>
    </xf>
    <xf numFmtId="170" fontId="10" fillId="0" borderId="19" xfId="6" applyNumberFormat="1" applyFont="1" applyFill="1" applyBorder="1" applyAlignment="1" applyProtection="1">
      <alignment horizontal="right"/>
      <protection hidden="1"/>
    </xf>
    <xf numFmtId="0" fontId="10" fillId="14" borderId="11" xfId="4" applyFill="1" applyBorder="1" applyAlignment="1" applyProtection="1">
      <alignment horizontal="center" vertical="center"/>
      <protection locked="0"/>
    </xf>
    <xf numFmtId="0" fontId="10" fillId="14" borderId="16" xfId="4" applyFill="1" applyBorder="1" applyAlignment="1" applyProtection="1">
      <alignment horizontal="center" vertical="center"/>
      <protection locked="0"/>
    </xf>
    <xf numFmtId="0" fontId="10" fillId="14" borderId="70" xfId="4" applyFill="1" applyBorder="1" applyAlignment="1" applyProtection="1">
      <alignment horizontal="center"/>
      <protection locked="0" hidden="1"/>
    </xf>
    <xf numFmtId="42" fontId="1" fillId="14" borderId="11" xfId="2" applyFont="1" applyFill="1" applyBorder="1" applyAlignment="1" applyProtection="1">
      <alignment horizontal="center"/>
      <protection locked="0"/>
    </xf>
    <xf numFmtId="42" fontId="0" fillId="14" borderId="16" xfId="2" applyFont="1" applyFill="1" applyBorder="1" applyAlignment="1">
      <alignment horizontal="center"/>
    </xf>
    <xf numFmtId="0" fontId="10" fillId="14" borderId="47" xfId="4" applyFill="1" applyBorder="1" applyAlignment="1" applyProtection="1">
      <alignment horizontal="center"/>
      <protection locked="0" hidden="1"/>
    </xf>
    <xf numFmtId="0" fontId="10" fillId="14" borderId="49" xfId="4" applyFill="1" applyBorder="1" applyAlignment="1" applyProtection="1">
      <alignment horizontal="center"/>
      <protection locked="0" hidden="1"/>
    </xf>
    <xf numFmtId="42" fontId="0" fillId="14" borderId="16" xfId="2" applyFont="1" applyFill="1" applyBorder="1" applyAlignment="1" applyProtection="1">
      <alignment horizontal="center"/>
      <protection locked="0"/>
    </xf>
    <xf numFmtId="42" fontId="0" fillId="14" borderId="22" xfId="2" applyFont="1" applyFill="1" applyBorder="1" applyAlignment="1" applyProtection="1">
      <alignment horizontal="center"/>
      <protection locked="0"/>
    </xf>
    <xf numFmtId="42" fontId="1" fillId="14" borderId="49" xfId="2" applyFont="1" applyFill="1" applyBorder="1" applyAlignment="1" applyProtection="1">
      <alignment horizontal="center"/>
      <protection locked="0"/>
    </xf>
    <xf numFmtId="42" fontId="1" fillId="14" borderId="22" xfId="2" applyFont="1" applyFill="1" applyBorder="1" applyAlignment="1" applyProtection="1">
      <alignment horizontal="center"/>
      <protection locked="0"/>
    </xf>
    <xf numFmtId="42" fontId="0" fillId="14" borderId="11" xfId="2" applyFont="1" applyFill="1" applyBorder="1" applyAlignment="1" applyProtection="1">
      <alignment horizontal="center"/>
      <protection locked="0"/>
    </xf>
    <xf numFmtId="42" fontId="2" fillId="14" borderId="22" xfId="2" applyFill="1" applyBorder="1" applyAlignment="1" applyProtection="1">
      <alignment horizontal="center"/>
      <protection locked="0"/>
    </xf>
    <xf numFmtId="42" fontId="1" fillId="14" borderId="16" xfId="2" applyFont="1" applyFill="1" applyBorder="1" applyAlignment="1" applyProtection="1">
      <alignment horizontal="center"/>
      <protection locked="0"/>
    </xf>
    <xf numFmtId="42" fontId="0" fillId="14" borderId="11" xfId="2" applyFont="1" applyFill="1" applyBorder="1" applyAlignment="1">
      <alignment horizontal="center"/>
    </xf>
    <xf numFmtId="0" fontId="10" fillId="14" borderId="69" xfId="4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0" borderId="0" xfId="0" applyFill="1" applyBorder="1"/>
    <xf numFmtId="0" fontId="27" fillId="0" borderId="0" xfId="9" applyFill="1" applyBorder="1"/>
    <xf numFmtId="0" fontId="27" fillId="0" borderId="0" xfId="9"/>
    <xf numFmtId="0" fontId="6" fillId="8" borderId="16" xfId="0" applyFont="1" applyFill="1" applyBorder="1" applyAlignment="1">
      <alignment horizontal="center"/>
    </xf>
    <xf numFmtId="0" fontId="0" fillId="5" borderId="0" xfId="0" applyFill="1"/>
    <xf numFmtId="0" fontId="21" fillId="5" borderId="0" xfId="0" applyFont="1" applyFill="1"/>
    <xf numFmtId="0" fontId="29" fillId="5" borderId="0" xfId="0" applyFont="1" applyFill="1"/>
    <xf numFmtId="0" fontId="0" fillId="5" borderId="0" xfId="0" applyFill="1" applyBorder="1"/>
    <xf numFmtId="0" fontId="8" fillId="22" borderId="84" xfId="0" applyFont="1" applyFill="1" applyBorder="1" applyAlignment="1">
      <alignment horizontal="center" vertical="center"/>
    </xf>
    <xf numFmtId="0" fontId="5" fillId="23" borderId="84" xfId="0" applyFont="1" applyFill="1" applyBorder="1" applyAlignment="1" applyProtection="1">
      <alignment horizontal="center" vertical="center"/>
      <protection hidden="1"/>
    </xf>
    <xf numFmtId="0" fontId="6" fillId="8" borderId="85" xfId="0" applyFont="1" applyFill="1" applyBorder="1" applyAlignment="1">
      <alignment horizontal="center"/>
    </xf>
    <xf numFmtId="0" fontId="23" fillId="5" borderId="0" xfId="0" applyFont="1" applyFill="1" applyAlignment="1">
      <alignment horizontal="center" vertical="center"/>
    </xf>
    <xf numFmtId="0" fontId="4" fillId="0" borderId="86" xfId="0" applyFont="1" applyBorder="1" applyAlignment="1">
      <alignment horizontal="left"/>
    </xf>
    <xf numFmtId="0" fontId="8" fillId="22" borderId="88" xfId="0" applyFont="1" applyFill="1" applyBorder="1" applyAlignment="1">
      <alignment horizontal="center" vertical="center"/>
    </xf>
    <xf numFmtId="0" fontId="8" fillId="22" borderId="84" xfId="0" applyFont="1" applyFill="1" applyBorder="1" applyAlignment="1" applyProtection="1">
      <alignment horizontal="center" vertical="center"/>
      <protection hidden="1"/>
    </xf>
    <xf numFmtId="0" fontId="29" fillId="5" borderId="0" xfId="0" applyFont="1" applyFill="1" applyProtection="1">
      <protection hidden="1"/>
    </xf>
    <xf numFmtId="0" fontId="23" fillId="5" borderId="0" xfId="0" applyFont="1" applyFill="1" applyAlignment="1" applyProtection="1">
      <alignment horizontal="center" vertical="center"/>
      <protection hidden="1"/>
    </xf>
    <xf numFmtId="0" fontId="23" fillId="5" borderId="0" xfId="0" applyFont="1" applyFill="1" applyAlignment="1" applyProtection="1">
      <alignment horizontal="center" vertical="center"/>
      <protection locked="0" hidden="1"/>
    </xf>
    <xf numFmtId="0" fontId="0" fillId="5" borderId="0" xfId="0" applyFill="1" applyProtection="1">
      <protection hidden="1"/>
    </xf>
    <xf numFmtId="0" fontId="5" fillId="23" borderId="84" xfId="0" applyFont="1" applyFill="1" applyBorder="1" applyAlignment="1" applyProtection="1">
      <alignment horizontal="center" vertical="center"/>
      <protection locked="0" hidden="1"/>
    </xf>
    <xf numFmtId="0" fontId="31" fillId="5" borderId="0" xfId="0" applyFont="1" applyFill="1" applyAlignment="1">
      <alignment wrapText="1" shrinkToFit="1"/>
    </xf>
    <xf numFmtId="0" fontId="32" fillId="24" borderId="0" xfId="0" applyFont="1" applyFill="1" applyAlignment="1" applyProtection="1">
      <alignment horizontal="center" vertical="center"/>
      <protection locked="0"/>
    </xf>
    <xf numFmtId="0" fontId="3" fillId="22" borderId="84" xfId="0" applyFont="1" applyFill="1" applyBorder="1" applyAlignment="1">
      <alignment horizontal="center" vertical="center"/>
    </xf>
    <xf numFmtId="0" fontId="8" fillId="22" borderId="89" xfId="0" applyFont="1" applyFill="1" applyBorder="1" applyAlignment="1" applyProtection="1">
      <alignment horizontal="center" vertical="center"/>
      <protection hidden="1"/>
    </xf>
    <xf numFmtId="0" fontId="8" fillId="22" borderId="0" xfId="0" applyFont="1" applyFill="1" applyBorder="1" applyAlignment="1" applyProtection="1">
      <alignment horizontal="center" vertical="center"/>
      <protection hidden="1"/>
    </xf>
    <xf numFmtId="0" fontId="8" fillId="22" borderId="90" xfId="0" applyFont="1" applyFill="1" applyBorder="1" applyAlignment="1" applyProtection="1">
      <alignment horizontal="center" vertical="center"/>
      <protection hidden="1"/>
    </xf>
    <xf numFmtId="0" fontId="30" fillId="22" borderId="89" xfId="0" applyFont="1" applyFill="1" applyBorder="1" applyAlignment="1">
      <alignment horizontal="center" vertical="center"/>
    </xf>
    <xf numFmtId="0" fontId="30" fillId="22" borderId="0" xfId="0" applyFont="1" applyFill="1" applyBorder="1" applyAlignment="1">
      <alignment horizontal="center" vertical="center"/>
    </xf>
    <xf numFmtId="0" fontId="8" fillId="22" borderId="87" xfId="0" applyFont="1" applyFill="1" applyBorder="1" applyAlignment="1">
      <alignment horizontal="center" vertical="center"/>
    </xf>
    <xf numFmtId="0" fontId="8" fillId="22" borderId="88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 wrapText="1"/>
    </xf>
    <xf numFmtId="0" fontId="0" fillId="5" borderId="81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22" xfId="0" applyFill="1" applyBorder="1" applyAlignment="1">
      <alignment horizontal="center" vertical="center"/>
    </xf>
    <xf numFmtId="0" fontId="0" fillId="5" borderId="81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27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16" fillId="4" borderId="4" xfId="0" applyFont="1" applyFill="1" applyBorder="1" applyAlignment="1">
      <alignment horizontal="center" vertical="center"/>
    </xf>
    <xf numFmtId="0" fontId="16" fillId="4" borderId="8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13" fillId="3" borderId="10" xfId="4" applyFont="1" applyFill="1" applyBorder="1" applyAlignment="1" applyProtection="1">
      <alignment horizontal="center"/>
      <protection hidden="1"/>
    </xf>
    <xf numFmtId="0" fontId="13" fillId="3" borderId="42" xfId="4" applyFont="1" applyFill="1" applyBorder="1" applyAlignment="1" applyProtection="1">
      <alignment horizontal="center"/>
      <protection hidden="1"/>
    </xf>
    <xf numFmtId="0" fontId="13" fillId="3" borderId="41" xfId="4" applyFont="1" applyFill="1" applyBorder="1" applyAlignment="1">
      <alignment horizontal="right" vertical="center"/>
    </xf>
    <xf numFmtId="0" fontId="13" fillId="3" borderId="11" xfId="4" applyFont="1" applyFill="1" applyBorder="1" applyAlignment="1">
      <alignment horizontal="right" vertical="center"/>
    </xf>
    <xf numFmtId="0" fontId="10" fillId="3" borderId="50" xfId="4" applyFill="1" applyBorder="1" applyAlignment="1" applyProtection="1">
      <alignment horizontal="left" vertical="center" wrapText="1"/>
      <protection hidden="1"/>
    </xf>
    <xf numFmtId="0" fontId="10" fillId="3" borderId="51" xfId="4" applyFill="1" applyBorder="1" applyAlignment="1" applyProtection="1">
      <alignment horizontal="left" vertical="center"/>
      <protection hidden="1"/>
    </xf>
    <xf numFmtId="0" fontId="10" fillId="3" borderId="0" xfId="4" applyFill="1" applyAlignment="1" applyProtection="1">
      <alignment horizontal="left" vertical="center"/>
      <protection hidden="1"/>
    </xf>
    <xf numFmtId="0" fontId="10" fillId="3" borderId="52" xfId="4" applyFill="1" applyBorder="1" applyAlignment="1" applyProtection="1">
      <alignment horizontal="left" vertical="center"/>
      <protection hidden="1"/>
    </xf>
    <xf numFmtId="0" fontId="10" fillId="3" borderId="54" xfId="4" applyFill="1" applyBorder="1" applyAlignment="1" applyProtection="1">
      <alignment horizontal="left" vertical="center"/>
      <protection hidden="1"/>
    </xf>
    <xf numFmtId="0" fontId="10" fillId="3" borderId="55" xfId="4" applyFill="1" applyBorder="1" applyAlignment="1" applyProtection="1">
      <alignment horizontal="left" vertical="center"/>
      <protection hidden="1"/>
    </xf>
    <xf numFmtId="0" fontId="13" fillId="3" borderId="18" xfId="4" applyFont="1" applyFill="1" applyBorder="1" applyAlignment="1">
      <alignment horizontal="right"/>
    </xf>
    <xf numFmtId="0" fontId="13" fillId="3" borderId="16" xfId="4" applyFont="1" applyFill="1" applyBorder="1" applyAlignment="1">
      <alignment horizontal="right"/>
    </xf>
    <xf numFmtId="0" fontId="14" fillId="7" borderId="18" xfId="4" applyFont="1" applyFill="1" applyBorder="1" applyAlignment="1">
      <alignment horizontal="right"/>
    </xf>
    <xf numFmtId="0" fontId="14" fillId="7" borderId="16" xfId="4" applyFont="1" applyFill="1" applyBorder="1" applyAlignment="1">
      <alignment horizontal="right"/>
    </xf>
    <xf numFmtId="0" fontId="15" fillId="2" borderId="18" xfId="4" applyFont="1" applyFill="1" applyBorder="1" applyAlignment="1">
      <alignment horizontal="right"/>
    </xf>
    <xf numFmtId="0" fontId="15" fillId="2" borderId="16" xfId="4" applyFont="1" applyFill="1" applyBorder="1" applyAlignment="1">
      <alignment horizontal="right"/>
    </xf>
    <xf numFmtId="0" fontId="14" fillId="3" borderId="18" xfId="4" applyFont="1" applyFill="1" applyBorder="1" applyAlignment="1">
      <alignment horizontal="right"/>
    </xf>
    <xf numFmtId="0" fontId="14" fillId="3" borderId="16" xfId="4" applyFont="1" applyFill="1" applyBorder="1" applyAlignment="1">
      <alignment horizontal="right"/>
    </xf>
    <xf numFmtId="0" fontId="13" fillId="3" borderId="32" xfId="4" applyFont="1" applyFill="1" applyBorder="1" applyAlignment="1">
      <alignment horizontal="right"/>
    </xf>
    <xf numFmtId="0" fontId="13" fillId="3" borderId="49" xfId="4" applyFont="1" applyFill="1" applyBorder="1" applyAlignment="1">
      <alignment horizontal="right"/>
    </xf>
    <xf numFmtId="0" fontId="18" fillId="4" borderId="1" xfId="0" applyFont="1" applyFill="1" applyBorder="1" applyAlignment="1">
      <alignment horizontal="center" vertical="center"/>
    </xf>
    <xf numFmtId="0" fontId="18" fillId="4" borderId="2" xfId="0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 vertical="center"/>
    </xf>
    <xf numFmtId="0" fontId="13" fillId="3" borderId="61" xfId="4" applyFont="1" applyFill="1" applyBorder="1" applyAlignment="1" applyProtection="1">
      <alignment horizontal="center"/>
      <protection hidden="1"/>
    </xf>
    <xf numFmtId="0" fontId="13" fillId="3" borderId="62" xfId="4" applyFont="1" applyFill="1" applyBorder="1" applyAlignment="1" applyProtection="1">
      <alignment horizontal="center"/>
      <protection hidden="1"/>
    </xf>
    <xf numFmtId="0" fontId="13" fillId="3" borderId="63" xfId="4" applyFont="1" applyFill="1" applyBorder="1" applyAlignment="1" applyProtection="1">
      <alignment horizontal="center"/>
      <protection hidden="1"/>
    </xf>
    <xf numFmtId="0" fontId="10" fillId="3" borderId="64" xfId="4" applyFill="1" applyBorder="1" applyAlignment="1" applyProtection="1">
      <alignment horizontal="center" vertical="center" wrapText="1"/>
      <protection hidden="1"/>
    </xf>
    <xf numFmtId="0" fontId="10" fillId="3" borderId="50" xfId="4" applyFill="1" applyBorder="1" applyAlignment="1" applyProtection="1">
      <alignment horizontal="center" vertical="center" wrapText="1"/>
      <protection hidden="1"/>
    </xf>
    <xf numFmtId="0" fontId="10" fillId="3" borderId="51" xfId="4" applyFill="1" applyBorder="1" applyAlignment="1" applyProtection="1">
      <alignment horizontal="center" vertical="center" wrapText="1"/>
      <protection hidden="1"/>
    </xf>
    <xf numFmtId="0" fontId="10" fillId="3" borderId="9" xfId="4" applyFill="1" applyBorder="1" applyAlignment="1" applyProtection="1">
      <alignment horizontal="center" vertical="center" wrapText="1"/>
      <protection hidden="1"/>
    </xf>
    <xf numFmtId="0" fontId="10" fillId="3" borderId="0" xfId="4" applyFill="1" applyAlignment="1" applyProtection="1">
      <alignment horizontal="center" vertical="center" wrapText="1"/>
      <protection hidden="1"/>
    </xf>
    <xf numFmtId="0" fontId="10" fillId="3" borderId="52" xfId="4" applyFill="1" applyBorder="1" applyAlignment="1" applyProtection="1">
      <alignment horizontal="center" vertical="center" wrapText="1"/>
      <protection hidden="1"/>
    </xf>
    <xf numFmtId="0" fontId="10" fillId="3" borderId="27" xfId="4" applyFill="1" applyBorder="1" applyAlignment="1" applyProtection="1">
      <alignment horizontal="center" vertical="center" wrapText="1"/>
      <protection hidden="1"/>
    </xf>
    <xf numFmtId="0" fontId="10" fillId="3" borderId="54" xfId="4" applyFill="1" applyBorder="1" applyAlignment="1" applyProtection="1">
      <alignment horizontal="center" vertical="center" wrapText="1"/>
      <protection hidden="1"/>
    </xf>
    <xf numFmtId="0" fontId="10" fillId="3" borderId="55" xfId="4" applyFill="1" applyBorder="1" applyAlignment="1" applyProtection="1">
      <alignment horizontal="center" vertical="center" wrapText="1"/>
      <protection hidden="1"/>
    </xf>
    <xf numFmtId="0" fontId="6" fillId="3" borderId="65" xfId="0" applyFont="1" applyFill="1" applyBorder="1" applyAlignment="1">
      <alignment horizontal="center" vertical="center" wrapText="1"/>
    </xf>
    <xf numFmtId="0" fontId="6" fillId="3" borderId="66" xfId="0" applyFont="1" applyFill="1" applyBorder="1" applyAlignment="1">
      <alignment horizontal="center" vertical="center" wrapText="1"/>
    </xf>
    <xf numFmtId="0" fontId="6" fillId="3" borderId="67" xfId="0" applyFont="1" applyFill="1" applyBorder="1" applyAlignment="1">
      <alignment horizontal="center" vertical="center" wrapText="1"/>
    </xf>
    <xf numFmtId="0" fontId="13" fillId="3" borderId="72" xfId="4" applyFont="1" applyFill="1" applyBorder="1" applyAlignment="1" applyProtection="1">
      <alignment horizontal="center"/>
      <protection hidden="1"/>
    </xf>
    <xf numFmtId="0" fontId="13" fillId="3" borderId="74" xfId="4" applyFont="1" applyFill="1" applyBorder="1" applyAlignment="1" applyProtection="1">
      <alignment horizontal="center"/>
      <protection hidden="1"/>
    </xf>
    <xf numFmtId="0" fontId="13" fillId="3" borderId="72" xfId="4" applyFont="1" applyFill="1" applyBorder="1" applyAlignment="1">
      <alignment horizontal="right" vertical="center"/>
    </xf>
    <xf numFmtId="0" fontId="13" fillId="3" borderId="73" xfId="4" applyFont="1" applyFill="1" applyBorder="1" applyAlignment="1">
      <alignment horizontal="right" vertical="center"/>
    </xf>
    <xf numFmtId="0" fontId="13" fillId="3" borderId="24" xfId="4" applyFont="1" applyFill="1" applyBorder="1" applyAlignment="1">
      <alignment horizontal="right"/>
    </xf>
    <xf numFmtId="0" fontId="13" fillId="3" borderId="15" xfId="4" applyFont="1" applyFill="1" applyBorder="1" applyAlignment="1">
      <alignment horizontal="right"/>
    </xf>
    <xf numFmtId="0" fontId="14" fillId="7" borderId="24" xfId="4" applyFont="1" applyFill="1" applyBorder="1" applyAlignment="1">
      <alignment horizontal="right"/>
    </xf>
    <xf numFmtId="0" fontId="14" fillId="7" borderId="15" xfId="4" applyFont="1" applyFill="1" applyBorder="1" applyAlignment="1">
      <alignment horizontal="right"/>
    </xf>
    <xf numFmtId="0" fontId="15" fillId="2" borderId="24" xfId="4" applyFont="1" applyFill="1" applyBorder="1" applyAlignment="1">
      <alignment horizontal="right"/>
    </xf>
    <xf numFmtId="0" fontId="15" fillId="2" borderId="15" xfId="4" applyFont="1" applyFill="1" applyBorder="1" applyAlignment="1">
      <alignment horizontal="right"/>
    </xf>
    <xf numFmtId="0" fontId="14" fillId="3" borderId="24" xfId="4" applyFont="1" applyFill="1" applyBorder="1" applyAlignment="1">
      <alignment horizontal="right"/>
    </xf>
    <xf numFmtId="0" fontId="14" fillId="3" borderId="15" xfId="4" applyFont="1" applyFill="1" applyBorder="1" applyAlignment="1">
      <alignment horizontal="right"/>
    </xf>
    <xf numFmtId="0" fontId="13" fillId="3" borderId="29" xfId="4" applyFont="1" applyFill="1" applyBorder="1" applyAlignment="1">
      <alignment horizontal="right"/>
    </xf>
    <xf numFmtId="0" fontId="13" fillId="3" borderId="68" xfId="4" applyFont="1" applyFill="1" applyBorder="1" applyAlignment="1">
      <alignment horizontal="right"/>
    </xf>
    <xf numFmtId="0" fontId="33" fillId="14" borderId="1" xfId="0" applyFont="1" applyFill="1" applyBorder="1" applyAlignment="1">
      <alignment horizontal="center" vertical="center" wrapText="1"/>
    </xf>
    <xf numFmtId="0" fontId="33" fillId="14" borderId="3" xfId="0" applyFont="1" applyFill="1" applyBorder="1" applyAlignment="1">
      <alignment horizontal="center" vertical="center" wrapText="1"/>
    </xf>
    <xf numFmtId="0" fontId="13" fillId="3" borderId="82" xfId="4" applyFont="1" applyFill="1" applyBorder="1" applyAlignment="1" applyProtection="1">
      <alignment horizontal="center"/>
      <protection hidden="1"/>
    </xf>
    <xf numFmtId="0" fontId="13" fillId="3" borderId="83" xfId="4" applyFont="1" applyFill="1" applyBorder="1" applyAlignment="1" applyProtection="1">
      <alignment horizontal="center"/>
      <protection hidden="1"/>
    </xf>
    <xf numFmtId="0" fontId="13" fillId="3" borderId="26" xfId="4" applyFont="1" applyFill="1" applyBorder="1" applyAlignment="1" applyProtection="1">
      <alignment horizontal="center"/>
      <protection hidden="1"/>
    </xf>
    <xf numFmtId="0" fontId="13" fillId="3" borderId="82" xfId="4" applyFont="1" applyFill="1" applyBorder="1" applyAlignment="1">
      <alignment horizontal="right" vertical="center"/>
    </xf>
    <xf numFmtId="0" fontId="13" fillId="3" borderId="56" xfId="4" applyFont="1" applyFill="1" applyBorder="1" applyAlignment="1">
      <alignment horizontal="right" vertical="center"/>
    </xf>
    <xf numFmtId="0" fontId="10" fillId="3" borderId="0" xfId="4" applyFill="1" applyBorder="1" applyAlignment="1" applyProtection="1">
      <alignment horizontal="center" vertical="center" wrapText="1"/>
      <protection hidden="1"/>
    </xf>
    <xf numFmtId="0" fontId="6" fillId="14" borderId="1" xfId="0" applyFont="1" applyFill="1" applyBorder="1" applyAlignment="1">
      <alignment horizontal="center" vertical="center" wrapText="1"/>
    </xf>
    <xf numFmtId="0" fontId="6" fillId="14" borderId="3" xfId="0" applyFont="1" applyFill="1" applyBorder="1" applyAlignment="1">
      <alignment horizontal="center" vertical="center" wrapText="1"/>
    </xf>
  </cellXfs>
  <cellStyles count="10">
    <cellStyle name="Hipervínculo" xfId="9" builtinId="8"/>
    <cellStyle name="Millares 2" xfId="7" xr:uid="{00000000-0005-0000-0000-000001000000}"/>
    <cellStyle name="Moneda" xfId="1" builtinId="4"/>
    <cellStyle name="Moneda [0]" xfId="2" builtinId="7"/>
    <cellStyle name="Moneda [0] 2" xfId="5" xr:uid="{00000000-0005-0000-0000-000004000000}"/>
    <cellStyle name="Moneda 2" xfId="6" xr:uid="{00000000-0005-0000-0000-000005000000}"/>
    <cellStyle name="Moneda 3 2" xfId="8" xr:uid="{00000000-0005-0000-0000-000006000000}"/>
    <cellStyle name="Normal" xfId="0" builtinId="0"/>
    <cellStyle name="Normal 2 2" xfId="4" xr:uid="{00000000-0005-0000-0000-000008000000}"/>
    <cellStyle name="Porcentaje" xfId="3" builtinId="5"/>
  </cellStyles>
  <dxfs count="680"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.0\ _€;\-#,##0.0\ _€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CC0099"/>
        </patternFill>
      </fill>
      <border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CC0099"/>
      <color rgb="FFFF33CC"/>
      <color rgb="FFFF00FF"/>
      <color rgb="FFCC00CC"/>
      <color rgb="FFD60093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17/10/relationships/person" Target="persons/perso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1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471847</xdr:colOff>
      <xdr:row>0</xdr:row>
      <xdr:rowOff>0</xdr:rowOff>
    </xdr:from>
    <xdr:to>
      <xdr:col>7</xdr:col>
      <xdr:colOff>2472426</xdr:colOff>
      <xdr:row>3</xdr:row>
      <xdr:rowOff>342247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28665" y="0"/>
          <a:ext cx="2000579" cy="158915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oneCellAnchor>
    <xdr:from>
      <xdr:col>8</xdr:col>
      <xdr:colOff>425824</xdr:colOff>
      <xdr:row>5</xdr:row>
      <xdr:rowOff>89647</xdr:rowOff>
    </xdr:from>
    <xdr:ext cx="184731" cy="264560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737912" y="133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8</xdr:row>
          <xdr:rowOff>88900</xdr:rowOff>
        </xdr:from>
        <xdr:to>
          <xdr:col>8</xdr:col>
          <xdr:colOff>0</xdr:colOff>
          <xdr:row>9</xdr:row>
          <xdr:rowOff>279400</xdr:rowOff>
        </xdr:to>
        <xdr:sp macro="" textlink="">
          <xdr:nvSpPr>
            <xdr:cNvPr id="283650" name="Button 2" hidden="1">
              <a:extLst>
                <a:ext uri="{63B3BB69-23CF-44E3-9099-C40C66FF867C}">
                  <a14:compatExt spid="_x0000_s283650"/>
                </a:ext>
                <a:ext uri="{FF2B5EF4-FFF2-40B4-BE49-F238E27FC236}">
                  <a16:creationId xmlns:a16="http://schemas.microsoft.com/office/drawing/2014/main" id="{00000000-0008-0000-0000-0000025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A SERVICIO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10</xdr:row>
          <xdr:rowOff>88900</xdr:rowOff>
        </xdr:from>
        <xdr:to>
          <xdr:col>8</xdr:col>
          <xdr:colOff>0</xdr:colOff>
          <xdr:row>11</xdr:row>
          <xdr:rowOff>279400</xdr:rowOff>
        </xdr:to>
        <xdr:sp macro="" textlink="">
          <xdr:nvSpPr>
            <xdr:cNvPr id="283655" name="Button 7" hidden="1">
              <a:extLst>
                <a:ext uri="{63B3BB69-23CF-44E3-9099-C40C66FF867C}">
                  <a14:compatExt spid="_x0000_s283655"/>
                </a:ext>
                <a:ext uri="{FF2B5EF4-FFF2-40B4-BE49-F238E27FC236}">
                  <a16:creationId xmlns:a16="http://schemas.microsoft.com/office/drawing/2014/main" id="{00000000-0008-0000-0000-0000075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62107</xdr:colOff>
      <xdr:row>2</xdr:row>
      <xdr:rowOff>24895</xdr:rowOff>
    </xdr:from>
    <xdr:ext cx="3204967" cy="5264593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83832" y="405895"/>
          <a:ext cx="3204967" cy="5264593"/>
        </a:xfrm>
        <a:prstGeom prst="rect">
          <a:avLst/>
        </a:prstGeom>
      </xdr:spPr>
    </xdr:pic>
    <xdr:clientData/>
  </xdr:oneCellAnchor>
  <xdr:oneCellAnchor>
    <xdr:from>
      <xdr:col>14</xdr:col>
      <xdr:colOff>51060</xdr:colOff>
      <xdr:row>7</xdr:row>
      <xdr:rowOff>152400</xdr:rowOff>
    </xdr:from>
    <xdr:ext cx="5005713" cy="254146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38785" y="2533650"/>
          <a:ext cx="5005713" cy="2541463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1003300</xdr:colOff>
          <xdr:row>1</xdr:row>
          <xdr:rowOff>95250</xdr:rowOff>
        </xdr:from>
        <xdr:to>
          <xdr:col>7</xdr:col>
          <xdr:colOff>3079750</xdr:colOff>
          <xdr:row>3</xdr:row>
          <xdr:rowOff>203200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3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660400</xdr:colOff>
          <xdr:row>1</xdr:row>
          <xdr:rowOff>12700</xdr:rowOff>
        </xdr:from>
        <xdr:to>
          <xdr:col>7</xdr:col>
          <xdr:colOff>2755900</xdr:colOff>
          <xdr:row>3</xdr:row>
          <xdr:rowOff>114300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4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660400</xdr:colOff>
          <xdr:row>0</xdr:row>
          <xdr:rowOff>184150</xdr:rowOff>
        </xdr:from>
        <xdr:to>
          <xdr:col>7</xdr:col>
          <xdr:colOff>2736850</xdr:colOff>
          <xdr:row>3</xdr:row>
          <xdr:rowOff>95250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5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831850</xdr:colOff>
          <xdr:row>0</xdr:row>
          <xdr:rowOff>171450</xdr:rowOff>
        </xdr:from>
        <xdr:to>
          <xdr:col>7</xdr:col>
          <xdr:colOff>2908300</xdr:colOff>
          <xdr:row>3</xdr:row>
          <xdr:rowOff>88900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59531</xdr:colOff>
      <xdr:row>1</xdr:row>
      <xdr:rowOff>0</xdr:rowOff>
    </xdr:from>
    <xdr:to>
      <xdr:col>2</xdr:col>
      <xdr:colOff>506148</xdr:colOff>
      <xdr:row>2</xdr:row>
      <xdr:rowOff>112184</xdr:rowOff>
    </xdr:to>
    <xdr:sp macro="" textlink="">
      <xdr:nvSpPr>
        <xdr:cNvPr id="2" name="Freefor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EditPoints="1"/>
        </xdr:cNvSpPr>
      </xdr:nvSpPr>
      <xdr:spPr bwMode="auto">
        <a:xfrm>
          <a:off x="669131" y="190500"/>
          <a:ext cx="1056217" cy="302684"/>
        </a:xfrm>
        <a:custGeom>
          <a:avLst/>
          <a:gdLst>
            <a:gd name="T0" fmla="*/ 2147483647 w 4790"/>
            <a:gd name="T1" fmla="*/ 2147483647 h 1023"/>
            <a:gd name="T2" fmla="*/ 2147483647 w 4790"/>
            <a:gd name="T3" fmla="*/ 2147483647 h 1023"/>
            <a:gd name="T4" fmla="*/ 2147483647 w 4790"/>
            <a:gd name="T5" fmla="*/ 2147483647 h 1023"/>
            <a:gd name="T6" fmla="*/ 2147483647 w 4790"/>
            <a:gd name="T7" fmla="*/ 2147483647 h 1023"/>
            <a:gd name="T8" fmla="*/ 2147483647 w 4790"/>
            <a:gd name="T9" fmla="*/ 2147483647 h 1023"/>
            <a:gd name="T10" fmla="*/ 2147483647 w 4790"/>
            <a:gd name="T11" fmla="*/ 2147483647 h 1023"/>
            <a:gd name="T12" fmla="*/ 2147483647 w 4790"/>
            <a:gd name="T13" fmla="*/ 2147483647 h 1023"/>
            <a:gd name="T14" fmla="*/ 2147483647 w 4790"/>
            <a:gd name="T15" fmla="*/ 2147483647 h 1023"/>
            <a:gd name="T16" fmla="*/ 2147483647 w 4790"/>
            <a:gd name="T17" fmla="*/ 2147483647 h 1023"/>
            <a:gd name="T18" fmla="*/ 2147483647 w 4790"/>
            <a:gd name="T19" fmla="*/ 2147483647 h 1023"/>
            <a:gd name="T20" fmla="*/ 2147483647 w 4790"/>
            <a:gd name="T21" fmla="*/ 2147483647 h 1023"/>
            <a:gd name="T22" fmla="*/ 2147483647 w 4790"/>
            <a:gd name="T23" fmla="*/ 2147483647 h 1023"/>
            <a:gd name="T24" fmla="*/ 2147483647 w 4790"/>
            <a:gd name="T25" fmla="*/ 2147483647 h 1023"/>
            <a:gd name="T26" fmla="*/ 2147483647 w 4790"/>
            <a:gd name="T27" fmla="*/ 2147483647 h 1023"/>
            <a:gd name="T28" fmla="*/ 2147483647 w 4790"/>
            <a:gd name="T29" fmla="*/ 2147483647 h 1023"/>
            <a:gd name="T30" fmla="*/ 2147483647 w 4790"/>
            <a:gd name="T31" fmla="*/ 2147483647 h 1023"/>
            <a:gd name="T32" fmla="*/ 2147483647 w 4790"/>
            <a:gd name="T33" fmla="*/ 2147483647 h 1023"/>
            <a:gd name="T34" fmla="*/ 2147483647 w 4790"/>
            <a:gd name="T35" fmla="*/ 2147483647 h 1023"/>
            <a:gd name="T36" fmla="*/ 2147483647 w 4790"/>
            <a:gd name="T37" fmla="*/ 2147483647 h 1023"/>
            <a:gd name="T38" fmla="*/ 2147483647 w 4790"/>
            <a:gd name="T39" fmla="*/ 2147483647 h 1023"/>
            <a:gd name="T40" fmla="*/ 2147483647 w 4790"/>
            <a:gd name="T41" fmla="*/ 2147483647 h 1023"/>
            <a:gd name="T42" fmla="*/ 2147483647 w 4790"/>
            <a:gd name="T43" fmla="*/ 2147483647 h 1023"/>
            <a:gd name="T44" fmla="*/ 2147483647 w 4790"/>
            <a:gd name="T45" fmla="*/ 2147483647 h 1023"/>
            <a:gd name="T46" fmla="*/ 2147483647 w 4790"/>
            <a:gd name="T47" fmla="*/ 2147483647 h 1023"/>
            <a:gd name="T48" fmla="*/ 2147483647 w 4790"/>
            <a:gd name="T49" fmla="*/ 2147483647 h 1023"/>
            <a:gd name="T50" fmla="*/ 2147483647 w 4790"/>
            <a:gd name="T51" fmla="*/ 2147483647 h 1023"/>
            <a:gd name="T52" fmla="*/ 2147483647 w 4790"/>
            <a:gd name="T53" fmla="*/ 2147483647 h 1023"/>
            <a:gd name="T54" fmla="*/ 2147483647 w 4790"/>
            <a:gd name="T55" fmla="*/ 2147483647 h 1023"/>
            <a:gd name="T56" fmla="*/ 2147483647 w 4790"/>
            <a:gd name="T57" fmla="*/ 2147483647 h 1023"/>
            <a:gd name="T58" fmla="*/ 2147483647 w 4790"/>
            <a:gd name="T59" fmla="*/ 2147483647 h 1023"/>
            <a:gd name="T60" fmla="*/ 2147483647 w 4790"/>
            <a:gd name="T61" fmla="*/ 2147483647 h 1023"/>
            <a:gd name="T62" fmla="*/ 2147483647 w 4790"/>
            <a:gd name="T63" fmla="*/ 2147483647 h 1023"/>
            <a:gd name="T64" fmla="*/ 2147483647 w 4790"/>
            <a:gd name="T65" fmla="*/ 2147483647 h 1023"/>
            <a:gd name="T66" fmla="*/ 2147483647 w 4790"/>
            <a:gd name="T67" fmla="*/ 2147483647 h 1023"/>
            <a:gd name="T68" fmla="*/ 2147483647 w 4790"/>
            <a:gd name="T69" fmla="*/ 2147483647 h 1023"/>
            <a:gd name="T70" fmla="*/ 2147483647 w 4790"/>
            <a:gd name="T71" fmla="*/ 2147483647 h 1023"/>
            <a:gd name="T72" fmla="*/ 2147483647 w 4790"/>
            <a:gd name="T73" fmla="*/ 2147483647 h 1023"/>
            <a:gd name="T74" fmla="*/ 2147483647 w 4790"/>
            <a:gd name="T75" fmla="*/ 2147483647 h 1023"/>
            <a:gd name="T76" fmla="*/ 2147483647 w 4790"/>
            <a:gd name="T77" fmla="*/ 2147483647 h 1023"/>
            <a:gd name="T78" fmla="*/ 2147483647 w 4790"/>
            <a:gd name="T79" fmla="*/ 2147483647 h 1023"/>
            <a:gd name="T80" fmla="*/ 2147483647 w 4790"/>
            <a:gd name="T81" fmla="*/ 2147483647 h 1023"/>
            <a:gd name="T82" fmla="*/ 2147483647 w 4790"/>
            <a:gd name="T83" fmla="*/ 2147483647 h 1023"/>
            <a:gd name="T84" fmla="*/ 2147483647 w 4790"/>
            <a:gd name="T85" fmla="*/ 2147483647 h 1023"/>
            <a:gd name="T86" fmla="*/ 2147483647 w 4790"/>
            <a:gd name="T87" fmla="*/ 2147483647 h 1023"/>
            <a:gd name="T88" fmla="*/ 2147483647 w 4790"/>
            <a:gd name="T89" fmla="*/ 2147483647 h 1023"/>
            <a:gd name="T90" fmla="*/ 2147483647 w 4790"/>
            <a:gd name="T91" fmla="*/ 2147483647 h 1023"/>
            <a:gd name="T92" fmla="*/ 2147483647 w 4790"/>
            <a:gd name="T93" fmla="*/ 2147483647 h 1023"/>
            <a:gd name="T94" fmla="*/ 2147483647 w 4790"/>
            <a:gd name="T95" fmla="*/ 2147483647 h 1023"/>
            <a:gd name="T96" fmla="*/ 2147483647 w 4790"/>
            <a:gd name="T97" fmla="*/ 2147483647 h 1023"/>
            <a:gd name="T98" fmla="*/ 2147483647 w 4790"/>
            <a:gd name="T99" fmla="*/ 2147483647 h 1023"/>
            <a:gd name="T100" fmla="*/ 2147483647 w 4790"/>
            <a:gd name="T101" fmla="*/ 2147483647 h 1023"/>
            <a:gd name="T102" fmla="*/ 2147483647 w 4790"/>
            <a:gd name="T103" fmla="*/ 2147483647 h 1023"/>
            <a:gd name="T104" fmla="*/ 2147483647 w 4790"/>
            <a:gd name="T105" fmla="*/ 2147483647 h 1023"/>
            <a:gd name="T106" fmla="*/ 2147483647 w 4790"/>
            <a:gd name="T107" fmla="*/ 2147483647 h 1023"/>
            <a:gd name="T108" fmla="*/ 2147483647 w 4790"/>
            <a:gd name="T109" fmla="*/ 2147483647 h 1023"/>
            <a:gd name="T110" fmla="*/ 2147483647 w 4790"/>
            <a:gd name="T111" fmla="*/ 2147483647 h 1023"/>
            <a:gd name="T112" fmla="*/ 2147483647 w 4790"/>
            <a:gd name="T113" fmla="*/ 2147483647 h 1023"/>
            <a:gd name="T114" fmla="*/ 2147483647 w 4790"/>
            <a:gd name="T115" fmla="*/ 2147483647 h 1023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w 4790"/>
            <a:gd name="T175" fmla="*/ 0 h 1023"/>
            <a:gd name="T176" fmla="*/ 4790 w 4790"/>
            <a:gd name="T177" fmla="*/ 1023 h 1023"/>
          </a:gdLst>
          <a:ahLst/>
          <a:cxnLst>
            <a:cxn ang="T116">
              <a:pos x="T0" y="T1"/>
            </a:cxn>
            <a:cxn ang="T117">
              <a:pos x="T2" y="T3"/>
            </a:cxn>
            <a:cxn ang="T118">
              <a:pos x="T4" y="T5"/>
            </a:cxn>
            <a:cxn ang="T119">
              <a:pos x="T6" y="T7"/>
            </a:cxn>
            <a:cxn ang="T120">
              <a:pos x="T8" y="T9"/>
            </a:cxn>
            <a:cxn ang="T121">
              <a:pos x="T10" y="T11"/>
            </a:cxn>
            <a:cxn ang="T122">
              <a:pos x="T12" y="T13"/>
            </a:cxn>
            <a:cxn ang="T123">
              <a:pos x="T14" y="T15"/>
            </a:cxn>
            <a:cxn ang="T124">
              <a:pos x="T16" y="T17"/>
            </a:cxn>
            <a:cxn ang="T125">
              <a:pos x="T18" y="T19"/>
            </a:cxn>
            <a:cxn ang="T126">
              <a:pos x="T20" y="T21"/>
            </a:cxn>
            <a:cxn ang="T127">
              <a:pos x="T22" y="T23"/>
            </a:cxn>
            <a:cxn ang="T128">
              <a:pos x="T24" y="T25"/>
            </a:cxn>
            <a:cxn ang="T129">
              <a:pos x="T26" y="T27"/>
            </a:cxn>
            <a:cxn ang="T130">
              <a:pos x="T28" y="T29"/>
            </a:cxn>
            <a:cxn ang="T131">
              <a:pos x="T30" y="T31"/>
            </a:cxn>
            <a:cxn ang="T132">
              <a:pos x="T32" y="T33"/>
            </a:cxn>
            <a:cxn ang="T133">
              <a:pos x="T34" y="T35"/>
            </a:cxn>
            <a:cxn ang="T134">
              <a:pos x="T36" y="T37"/>
            </a:cxn>
            <a:cxn ang="T135">
              <a:pos x="T38" y="T39"/>
            </a:cxn>
            <a:cxn ang="T136">
              <a:pos x="T40" y="T41"/>
            </a:cxn>
            <a:cxn ang="T137">
              <a:pos x="T42" y="T43"/>
            </a:cxn>
            <a:cxn ang="T138">
              <a:pos x="T44" y="T45"/>
            </a:cxn>
            <a:cxn ang="T139">
              <a:pos x="T46" y="T47"/>
            </a:cxn>
            <a:cxn ang="T140">
              <a:pos x="T48" y="T49"/>
            </a:cxn>
            <a:cxn ang="T141">
              <a:pos x="T50" y="T51"/>
            </a:cxn>
            <a:cxn ang="T142">
              <a:pos x="T52" y="T53"/>
            </a:cxn>
            <a:cxn ang="T143">
              <a:pos x="T54" y="T55"/>
            </a:cxn>
            <a:cxn ang="T144">
              <a:pos x="T56" y="T57"/>
            </a:cxn>
            <a:cxn ang="T145">
              <a:pos x="T58" y="T59"/>
            </a:cxn>
            <a:cxn ang="T146">
              <a:pos x="T60" y="T61"/>
            </a:cxn>
            <a:cxn ang="T147">
              <a:pos x="T62" y="T63"/>
            </a:cxn>
            <a:cxn ang="T148">
              <a:pos x="T64" y="T65"/>
            </a:cxn>
            <a:cxn ang="T149">
              <a:pos x="T66" y="T67"/>
            </a:cxn>
            <a:cxn ang="T150">
              <a:pos x="T68" y="T69"/>
            </a:cxn>
            <a:cxn ang="T151">
              <a:pos x="T70" y="T71"/>
            </a:cxn>
            <a:cxn ang="T152">
              <a:pos x="T72" y="T73"/>
            </a:cxn>
            <a:cxn ang="T153">
              <a:pos x="T74" y="T75"/>
            </a:cxn>
            <a:cxn ang="T154">
              <a:pos x="T76" y="T77"/>
            </a:cxn>
            <a:cxn ang="T155">
              <a:pos x="T78" y="T79"/>
            </a:cxn>
            <a:cxn ang="T156">
              <a:pos x="T80" y="T81"/>
            </a:cxn>
            <a:cxn ang="T157">
              <a:pos x="T82" y="T83"/>
            </a:cxn>
            <a:cxn ang="T158">
              <a:pos x="T84" y="T85"/>
            </a:cxn>
            <a:cxn ang="T159">
              <a:pos x="T86" y="T87"/>
            </a:cxn>
            <a:cxn ang="T160">
              <a:pos x="T88" y="T89"/>
            </a:cxn>
            <a:cxn ang="T161">
              <a:pos x="T90" y="T91"/>
            </a:cxn>
            <a:cxn ang="T162">
              <a:pos x="T92" y="T93"/>
            </a:cxn>
            <a:cxn ang="T163">
              <a:pos x="T94" y="T95"/>
            </a:cxn>
            <a:cxn ang="T164">
              <a:pos x="T96" y="T97"/>
            </a:cxn>
            <a:cxn ang="T165">
              <a:pos x="T98" y="T99"/>
            </a:cxn>
            <a:cxn ang="T166">
              <a:pos x="T100" y="T101"/>
            </a:cxn>
            <a:cxn ang="T167">
              <a:pos x="T102" y="T103"/>
            </a:cxn>
            <a:cxn ang="T168">
              <a:pos x="T104" y="T105"/>
            </a:cxn>
            <a:cxn ang="T169">
              <a:pos x="T106" y="T107"/>
            </a:cxn>
            <a:cxn ang="T170">
              <a:pos x="T108" y="T109"/>
            </a:cxn>
            <a:cxn ang="T171">
              <a:pos x="T110" y="T111"/>
            </a:cxn>
            <a:cxn ang="T172">
              <a:pos x="T112" y="T113"/>
            </a:cxn>
            <a:cxn ang="T173">
              <a:pos x="T114" y="T115"/>
            </a:cxn>
          </a:cxnLst>
          <a:rect l="T174" t="T175" r="T176" b="T177"/>
          <a:pathLst>
            <a:path w="4790" h="1023">
              <a:moveTo>
                <a:pt x="1487" y="633"/>
              </a:moveTo>
              <a:lnTo>
                <a:pt x="1489" y="633"/>
              </a:lnTo>
              <a:lnTo>
                <a:pt x="1491" y="630"/>
              </a:lnTo>
              <a:lnTo>
                <a:pt x="1491" y="628"/>
              </a:lnTo>
              <a:lnTo>
                <a:pt x="1492" y="627"/>
              </a:lnTo>
              <a:lnTo>
                <a:pt x="1494" y="623"/>
              </a:lnTo>
              <a:lnTo>
                <a:pt x="1494" y="622"/>
              </a:lnTo>
              <a:lnTo>
                <a:pt x="1496" y="618"/>
              </a:lnTo>
              <a:lnTo>
                <a:pt x="1496" y="616"/>
              </a:lnTo>
              <a:lnTo>
                <a:pt x="1498" y="615"/>
              </a:lnTo>
              <a:lnTo>
                <a:pt x="1498" y="613"/>
              </a:lnTo>
              <a:lnTo>
                <a:pt x="1623" y="310"/>
              </a:lnTo>
              <a:lnTo>
                <a:pt x="1746" y="616"/>
              </a:lnTo>
              <a:lnTo>
                <a:pt x="1748" y="618"/>
              </a:lnTo>
              <a:lnTo>
                <a:pt x="1748" y="620"/>
              </a:lnTo>
              <a:lnTo>
                <a:pt x="1749" y="622"/>
              </a:lnTo>
              <a:lnTo>
                <a:pt x="1749" y="623"/>
              </a:lnTo>
              <a:lnTo>
                <a:pt x="1751" y="625"/>
              </a:lnTo>
              <a:lnTo>
                <a:pt x="1751" y="628"/>
              </a:lnTo>
              <a:lnTo>
                <a:pt x="1753" y="630"/>
              </a:lnTo>
              <a:lnTo>
                <a:pt x="1754" y="632"/>
              </a:lnTo>
              <a:lnTo>
                <a:pt x="1754" y="635"/>
              </a:lnTo>
              <a:lnTo>
                <a:pt x="1756" y="637"/>
              </a:lnTo>
              <a:lnTo>
                <a:pt x="1741" y="640"/>
              </a:lnTo>
              <a:lnTo>
                <a:pt x="1729" y="642"/>
              </a:lnTo>
              <a:lnTo>
                <a:pt x="1719" y="645"/>
              </a:lnTo>
              <a:lnTo>
                <a:pt x="1707" y="647"/>
              </a:lnTo>
              <a:lnTo>
                <a:pt x="1697" y="649"/>
              </a:lnTo>
              <a:lnTo>
                <a:pt x="1685" y="650"/>
              </a:lnTo>
              <a:lnTo>
                <a:pt x="1673" y="652"/>
              </a:lnTo>
              <a:lnTo>
                <a:pt x="1661" y="654"/>
              </a:lnTo>
              <a:lnTo>
                <a:pt x="1650" y="654"/>
              </a:lnTo>
              <a:lnTo>
                <a:pt x="1638" y="655"/>
              </a:lnTo>
              <a:lnTo>
                <a:pt x="1626" y="655"/>
              </a:lnTo>
              <a:lnTo>
                <a:pt x="1614" y="655"/>
              </a:lnTo>
              <a:lnTo>
                <a:pt x="1602" y="655"/>
              </a:lnTo>
              <a:lnTo>
                <a:pt x="1590" y="654"/>
              </a:lnTo>
              <a:lnTo>
                <a:pt x="1580" y="652"/>
              </a:lnTo>
              <a:lnTo>
                <a:pt x="1569" y="652"/>
              </a:lnTo>
              <a:lnTo>
                <a:pt x="1557" y="650"/>
              </a:lnTo>
              <a:lnTo>
                <a:pt x="1545" y="647"/>
              </a:lnTo>
              <a:lnTo>
                <a:pt x="1533" y="645"/>
              </a:lnTo>
              <a:lnTo>
                <a:pt x="1523" y="643"/>
              </a:lnTo>
              <a:lnTo>
                <a:pt x="1511" y="640"/>
              </a:lnTo>
              <a:lnTo>
                <a:pt x="1508" y="638"/>
              </a:lnTo>
              <a:lnTo>
                <a:pt x="1506" y="638"/>
              </a:lnTo>
              <a:lnTo>
                <a:pt x="1503" y="638"/>
              </a:lnTo>
              <a:lnTo>
                <a:pt x="1501" y="637"/>
              </a:lnTo>
              <a:lnTo>
                <a:pt x="1499" y="637"/>
              </a:lnTo>
              <a:lnTo>
                <a:pt x="1496" y="635"/>
              </a:lnTo>
              <a:lnTo>
                <a:pt x="1494" y="635"/>
              </a:lnTo>
              <a:lnTo>
                <a:pt x="1491" y="635"/>
              </a:lnTo>
              <a:lnTo>
                <a:pt x="1489" y="635"/>
              </a:lnTo>
              <a:lnTo>
                <a:pt x="1487" y="635"/>
              </a:lnTo>
              <a:lnTo>
                <a:pt x="1487" y="633"/>
              </a:lnTo>
              <a:close/>
              <a:moveTo>
                <a:pt x="215" y="173"/>
              </a:moveTo>
              <a:lnTo>
                <a:pt x="255" y="173"/>
              </a:lnTo>
              <a:lnTo>
                <a:pt x="294" y="177"/>
              </a:lnTo>
              <a:lnTo>
                <a:pt x="330" y="182"/>
              </a:lnTo>
              <a:lnTo>
                <a:pt x="363" y="187"/>
              </a:lnTo>
              <a:lnTo>
                <a:pt x="394" y="195"/>
              </a:lnTo>
              <a:lnTo>
                <a:pt x="423" y="204"/>
              </a:lnTo>
              <a:lnTo>
                <a:pt x="450" y="214"/>
              </a:lnTo>
              <a:lnTo>
                <a:pt x="473" y="227"/>
              </a:lnTo>
              <a:lnTo>
                <a:pt x="495" y="241"/>
              </a:lnTo>
              <a:lnTo>
                <a:pt x="514" y="256"/>
              </a:lnTo>
              <a:lnTo>
                <a:pt x="536" y="276"/>
              </a:lnTo>
              <a:lnTo>
                <a:pt x="554" y="298"/>
              </a:lnTo>
              <a:lnTo>
                <a:pt x="571" y="320"/>
              </a:lnTo>
              <a:lnTo>
                <a:pt x="585" y="343"/>
              </a:lnTo>
              <a:lnTo>
                <a:pt x="597" y="369"/>
              </a:lnTo>
              <a:lnTo>
                <a:pt x="607" y="394"/>
              </a:lnTo>
              <a:lnTo>
                <a:pt x="615" y="423"/>
              </a:lnTo>
              <a:lnTo>
                <a:pt x="620" y="451"/>
              </a:lnTo>
              <a:lnTo>
                <a:pt x="624" y="480"/>
              </a:lnTo>
              <a:lnTo>
                <a:pt x="625" y="512"/>
              </a:lnTo>
              <a:lnTo>
                <a:pt x="624" y="542"/>
              </a:lnTo>
              <a:lnTo>
                <a:pt x="620" y="571"/>
              </a:lnTo>
              <a:lnTo>
                <a:pt x="615" y="598"/>
              </a:lnTo>
              <a:lnTo>
                <a:pt x="609" y="625"/>
              </a:lnTo>
              <a:lnTo>
                <a:pt x="598" y="650"/>
              </a:lnTo>
              <a:lnTo>
                <a:pt x="587" y="675"/>
              </a:lnTo>
              <a:lnTo>
                <a:pt x="573" y="699"/>
              </a:lnTo>
              <a:lnTo>
                <a:pt x="556" y="721"/>
              </a:lnTo>
              <a:lnTo>
                <a:pt x="539" y="743"/>
              </a:lnTo>
              <a:lnTo>
                <a:pt x="519" y="763"/>
              </a:lnTo>
              <a:lnTo>
                <a:pt x="499" y="780"/>
              </a:lnTo>
              <a:lnTo>
                <a:pt x="477" y="793"/>
              </a:lnTo>
              <a:lnTo>
                <a:pt x="453" y="807"/>
              </a:lnTo>
              <a:lnTo>
                <a:pt x="426" y="819"/>
              </a:lnTo>
              <a:lnTo>
                <a:pt x="397" y="829"/>
              </a:lnTo>
              <a:lnTo>
                <a:pt x="365" y="837"/>
              </a:lnTo>
              <a:lnTo>
                <a:pt x="331" y="844"/>
              </a:lnTo>
              <a:lnTo>
                <a:pt x="294" y="847"/>
              </a:lnTo>
              <a:lnTo>
                <a:pt x="255" y="851"/>
              </a:lnTo>
              <a:lnTo>
                <a:pt x="215" y="851"/>
              </a:lnTo>
              <a:lnTo>
                <a:pt x="169" y="851"/>
              </a:lnTo>
              <a:lnTo>
                <a:pt x="169" y="173"/>
              </a:lnTo>
              <a:lnTo>
                <a:pt x="215" y="173"/>
              </a:lnTo>
              <a:close/>
              <a:moveTo>
                <a:pt x="4523" y="261"/>
              </a:moveTo>
              <a:lnTo>
                <a:pt x="4543" y="281"/>
              </a:lnTo>
              <a:lnTo>
                <a:pt x="4562" y="303"/>
              </a:lnTo>
              <a:lnTo>
                <a:pt x="4577" y="325"/>
              </a:lnTo>
              <a:lnTo>
                <a:pt x="4590" y="349"/>
              </a:lnTo>
              <a:lnTo>
                <a:pt x="4602" y="374"/>
              </a:lnTo>
              <a:lnTo>
                <a:pt x="4611" y="399"/>
              </a:lnTo>
              <a:lnTo>
                <a:pt x="4618" y="426"/>
              </a:lnTo>
              <a:lnTo>
                <a:pt x="4623" y="455"/>
              </a:lnTo>
              <a:lnTo>
                <a:pt x="4626" y="482"/>
              </a:lnTo>
              <a:lnTo>
                <a:pt x="4628" y="512"/>
              </a:lnTo>
              <a:lnTo>
                <a:pt x="4626" y="541"/>
              </a:lnTo>
              <a:lnTo>
                <a:pt x="4623" y="569"/>
              </a:lnTo>
              <a:lnTo>
                <a:pt x="4618" y="596"/>
              </a:lnTo>
              <a:lnTo>
                <a:pt x="4611" y="623"/>
              </a:lnTo>
              <a:lnTo>
                <a:pt x="4601" y="649"/>
              </a:lnTo>
              <a:lnTo>
                <a:pt x="4590" y="674"/>
              </a:lnTo>
              <a:lnTo>
                <a:pt x="4577" y="697"/>
              </a:lnTo>
              <a:lnTo>
                <a:pt x="4560" y="719"/>
              </a:lnTo>
              <a:lnTo>
                <a:pt x="4543" y="743"/>
              </a:lnTo>
              <a:lnTo>
                <a:pt x="4523" y="763"/>
              </a:lnTo>
              <a:lnTo>
                <a:pt x="4503" y="783"/>
              </a:lnTo>
              <a:lnTo>
                <a:pt x="4481" y="800"/>
              </a:lnTo>
              <a:lnTo>
                <a:pt x="4459" y="815"/>
              </a:lnTo>
              <a:lnTo>
                <a:pt x="4435" y="829"/>
              </a:lnTo>
              <a:lnTo>
                <a:pt x="4410" y="841"/>
              </a:lnTo>
              <a:lnTo>
                <a:pt x="4384" y="851"/>
              </a:lnTo>
              <a:lnTo>
                <a:pt x="4359" y="857"/>
              </a:lnTo>
              <a:lnTo>
                <a:pt x="4332" y="863"/>
              </a:lnTo>
              <a:lnTo>
                <a:pt x="4303" y="866"/>
              </a:lnTo>
              <a:lnTo>
                <a:pt x="4274" y="868"/>
              </a:lnTo>
              <a:lnTo>
                <a:pt x="4217" y="863"/>
              </a:lnTo>
              <a:lnTo>
                <a:pt x="4163" y="849"/>
              </a:lnTo>
              <a:lnTo>
                <a:pt x="4112" y="827"/>
              </a:lnTo>
              <a:lnTo>
                <a:pt x="4067" y="798"/>
              </a:lnTo>
              <a:lnTo>
                <a:pt x="4024" y="761"/>
              </a:lnTo>
              <a:lnTo>
                <a:pt x="3990" y="721"/>
              </a:lnTo>
              <a:lnTo>
                <a:pt x="3962" y="674"/>
              </a:lnTo>
              <a:lnTo>
                <a:pt x="3940" y="623"/>
              </a:lnTo>
              <a:lnTo>
                <a:pt x="3926" y="569"/>
              </a:lnTo>
              <a:lnTo>
                <a:pt x="3923" y="512"/>
              </a:lnTo>
              <a:lnTo>
                <a:pt x="3923" y="483"/>
              </a:lnTo>
              <a:lnTo>
                <a:pt x="3926" y="455"/>
              </a:lnTo>
              <a:lnTo>
                <a:pt x="3931" y="428"/>
              </a:lnTo>
              <a:lnTo>
                <a:pt x="3940" y="401"/>
              </a:lnTo>
              <a:lnTo>
                <a:pt x="3948" y="375"/>
              </a:lnTo>
              <a:lnTo>
                <a:pt x="3960" y="350"/>
              </a:lnTo>
              <a:lnTo>
                <a:pt x="3974" y="327"/>
              </a:lnTo>
              <a:lnTo>
                <a:pt x="3989" y="303"/>
              </a:lnTo>
              <a:lnTo>
                <a:pt x="4006" y="281"/>
              </a:lnTo>
              <a:lnTo>
                <a:pt x="4026" y="259"/>
              </a:lnTo>
              <a:lnTo>
                <a:pt x="4046" y="239"/>
              </a:lnTo>
              <a:lnTo>
                <a:pt x="4068" y="222"/>
              </a:lnTo>
              <a:lnTo>
                <a:pt x="4092" y="207"/>
              </a:lnTo>
              <a:lnTo>
                <a:pt x="4116" y="193"/>
              </a:lnTo>
              <a:lnTo>
                <a:pt x="4139" y="182"/>
              </a:lnTo>
              <a:lnTo>
                <a:pt x="4165" y="173"/>
              </a:lnTo>
              <a:lnTo>
                <a:pt x="4192" y="167"/>
              </a:lnTo>
              <a:lnTo>
                <a:pt x="4219" y="161"/>
              </a:lnTo>
              <a:lnTo>
                <a:pt x="4246" y="158"/>
              </a:lnTo>
              <a:lnTo>
                <a:pt x="4274" y="156"/>
              </a:lnTo>
              <a:lnTo>
                <a:pt x="4303" y="158"/>
              </a:lnTo>
              <a:lnTo>
                <a:pt x="4330" y="161"/>
              </a:lnTo>
              <a:lnTo>
                <a:pt x="4357" y="167"/>
              </a:lnTo>
              <a:lnTo>
                <a:pt x="4384" y="173"/>
              </a:lnTo>
              <a:lnTo>
                <a:pt x="4410" y="183"/>
              </a:lnTo>
              <a:lnTo>
                <a:pt x="4433" y="193"/>
              </a:lnTo>
              <a:lnTo>
                <a:pt x="4457" y="207"/>
              </a:lnTo>
              <a:lnTo>
                <a:pt x="4481" y="224"/>
              </a:lnTo>
              <a:lnTo>
                <a:pt x="4503" y="241"/>
              </a:lnTo>
              <a:lnTo>
                <a:pt x="4523" y="261"/>
              </a:lnTo>
              <a:close/>
              <a:moveTo>
                <a:pt x="2872" y="320"/>
              </a:moveTo>
              <a:lnTo>
                <a:pt x="2995" y="214"/>
              </a:lnTo>
              <a:lnTo>
                <a:pt x="2961" y="173"/>
              </a:lnTo>
              <a:lnTo>
                <a:pt x="2927" y="136"/>
              </a:lnTo>
              <a:lnTo>
                <a:pt x="2890" y="104"/>
              </a:lnTo>
              <a:lnTo>
                <a:pt x="2850" y="77"/>
              </a:lnTo>
              <a:lnTo>
                <a:pt x="2809" y="54"/>
              </a:lnTo>
              <a:lnTo>
                <a:pt x="2767" y="35"/>
              </a:lnTo>
              <a:lnTo>
                <a:pt x="2721" y="20"/>
              </a:lnTo>
              <a:lnTo>
                <a:pt x="2676" y="8"/>
              </a:lnTo>
              <a:lnTo>
                <a:pt x="2627" y="3"/>
              </a:lnTo>
              <a:lnTo>
                <a:pt x="2578" y="0"/>
              </a:lnTo>
              <a:lnTo>
                <a:pt x="2493" y="6"/>
              </a:lnTo>
              <a:lnTo>
                <a:pt x="2414" y="27"/>
              </a:lnTo>
              <a:lnTo>
                <a:pt x="2339" y="57"/>
              </a:lnTo>
              <a:lnTo>
                <a:pt x="2272" y="99"/>
              </a:lnTo>
              <a:lnTo>
                <a:pt x="2211" y="150"/>
              </a:lnTo>
              <a:lnTo>
                <a:pt x="2160" y="210"/>
              </a:lnTo>
              <a:lnTo>
                <a:pt x="2118" y="278"/>
              </a:lnTo>
              <a:lnTo>
                <a:pt x="2087" y="350"/>
              </a:lnTo>
              <a:lnTo>
                <a:pt x="2067" y="429"/>
              </a:lnTo>
              <a:lnTo>
                <a:pt x="2060" y="514"/>
              </a:lnTo>
              <a:lnTo>
                <a:pt x="2067" y="596"/>
              </a:lnTo>
              <a:lnTo>
                <a:pt x="2086" y="674"/>
              </a:lnTo>
              <a:lnTo>
                <a:pt x="2118" y="746"/>
              </a:lnTo>
              <a:lnTo>
                <a:pt x="2158" y="814"/>
              </a:lnTo>
              <a:lnTo>
                <a:pt x="2211" y="873"/>
              </a:lnTo>
              <a:lnTo>
                <a:pt x="2270" y="925"/>
              </a:lnTo>
              <a:lnTo>
                <a:pt x="2336" y="965"/>
              </a:lnTo>
              <a:lnTo>
                <a:pt x="2410" y="997"/>
              </a:lnTo>
              <a:lnTo>
                <a:pt x="2488" y="1016"/>
              </a:lnTo>
              <a:lnTo>
                <a:pt x="2571" y="1023"/>
              </a:lnTo>
              <a:lnTo>
                <a:pt x="2591" y="1023"/>
              </a:lnTo>
              <a:lnTo>
                <a:pt x="2613" y="1021"/>
              </a:lnTo>
              <a:lnTo>
                <a:pt x="2633" y="1019"/>
              </a:lnTo>
              <a:lnTo>
                <a:pt x="2654" y="1016"/>
              </a:lnTo>
              <a:lnTo>
                <a:pt x="2674" y="1013"/>
              </a:lnTo>
              <a:lnTo>
                <a:pt x="2694" y="1007"/>
              </a:lnTo>
              <a:lnTo>
                <a:pt x="2714" y="1001"/>
              </a:lnTo>
              <a:lnTo>
                <a:pt x="2735" y="994"/>
              </a:lnTo>
              <a:lnTo>
                <a:pt x="2755" y="987"/>
              </a:lnTo>
              <a:lnTo>
                <a:pt x="2774" y="979"/>
              </a:lnTo>
              <a:lnTo>
                <a:pt x="2794" y="969"/>
              </a:lnTo>
              <a:lnTo>
                <a:pt x="2811" y="960"/>
              </a:lnTo>
              <a:lnTo>
                <a:pt x="2829" y="950"/>
              </a:lnTo>
              <a:lnTo>
                <a:pt x="2846" y="938"/>
              </a:lnTo>
              <a:lnTo>
                <a:pt x="2863" y="927"/>
              </a:lnTo>
              <a:lnTo>
                <a:pt x="2880" y="915"/>
              </a:lnTo>
              <a:lnTo>
                <a:pt x="2895" y="901"/>
              </a:lnTo>
              <a:lnTo>
                <a:pt x="2910" y="888"/>
              </a:lnTo>
              <a:lnTo>
                <a:pt x="2924" y="873"/>
              </a:lnTo>
              <a:lnTo>
                <a:pt x="2939" y="857"/>
              </a:lnTo>
              <a:lnTo>
                <a:pt x="2951" y="842"/>
              </a:lnTo>
              <a:lnTo>
                <a:pt x="2963" y="827"/>
              </a:lnTo>
              <a:lnTo>
                <a:pt x="2973" y="812"/>
              </a:lnTo>
              <a:lnTo>
                <a:pt x="2983" y="797"/>
              </a:lnTo>
              <a:lnTo>
                <a:pt x="2992" y="780"/>
              </a:lnTo>
              <a:lnTo>
                <a:pt x="3000" y="763"/>
              </a:lnTo>
              <a:lnTo>
                <a:pt x="3009" y="746"/>
              </a:lnTo>
              <a:lnTo>
                <a:pt x="3015" y="729"/>
              </a:lnTo>
              <a:lnTo>
                <a:pt x="3020" y="713"/>
              </a:lnTo>
              <a:lnTo>
                <a:pt x="3025" y="694"/>
              </a:lnTo>
              <a:lnTo>
                <a:pt x="3029" y="679"/>
              </a:lnTo>
              <a:lnTo>
                <a:pt x="3034" y="662"/>
              </a:lnTo>
              <a:lnTo>
                <a:pt x="3036" y="645"/>
              </a:lnTo>
              <a:lnTo>
                <a:pt x="3039" y="628"/>
              </a:lnTo>
              <a:lnTo>
                <a:pt x="3041" y="610"/>
              </a:lnTo>
              <a:lnTo>
                <a:pt x="3042" y="591"/>
              </a:lnTo>
              <a:lnTo>
                <a:pt x="3044" y="571"/>
              </a:lnTo>
              <a:lnTo>
                <a:pt x="3044" y="551"/>
              </a:lnTo>
              <a:lnTo>
                <a:pt x="3044" y="531"/>
              </a:lnTo>
              <a:lnTo>
                <a:pt x="3044" y="509"/>
              </a:lnTo>
              <a:lnTo>
                <a:pt x="3041" y="478"/>
              </a:lnTo>
              <a:lnTo>
                <a:pt x="2594" y="478"/>
              </a:lnTo>
              <a:lnTo>
                <a:pt x="2594" y="635"/>
              </a:lnTo>
              <a:lnTo>
                <a:pt x="2868" y="635"/>
              </a:lnTo>
              <a:lnTo>
                <a:pt x="2867" y="654"/>
              </a:lnTo>
              <a:lnTo>
                <a:pt x="2861" y="672"/>
              </a:lnTo>
              <a:lnTo>
                <a:pt x="2856" y="689"/>
              </a:lnTo>
              <a:lnTo>
                <a:pt x="2848" y="706"/>
              </a:lnTo>
              <a:lnTo>
                <a:pt x="2840" y="721"/>
              </a:lnTo>
              <a:lnTo>
                <a:pt x="2829" y="738"/>
              </a:lnTo>
              <a:lnTo>
                <a:pt x="2818" y="751"/>
              </a:lnTo>
              <a:lnTo>
                <a:pt x="2804" y="766"/>
              </a:lnTo>
              <a:lnTo>
                <a:pt x="2790" y="780"/>
              </a:lnTo>
              <a:lnTo>
                <a:pt x="2774" y="793"/>
              </a:lnTo>
              <a:lnTo>
                <a:pt x="2757" y="809"/>
              </a:lnTo>
              <a:lnTo>
                <a:pt x="2736" y="820"/>
              </a:lnTo>
              <a:lnTo>
                <a:pt x="2718" y="832"/>
              </a:lnTo>
              <a:lnTo>
                <a:pt x="2698" y="841"/>
              </a:lnTo>
              <a:lnTo>
                <a:pt x="2677" y="849"/>
              </a:lnTo>
              <a:lnTo>
                <a:pt x="2657" y="856"/>
              </a:lnTo>
              <a:lnTo>
                <a:pt x="2635" y="861"/>
              </a:lnTo>
              <a:lnTo>
                <a:pt x="2613" y="864"/>
              </a:lnTo>
              <a:lnTo>
                <a:pt x="2591" y="866"/>
              </a:lnTo>
              <a:lnTo>
                <a:pt x="2567" y="868"/>
              </a:lnTo>
              <a:lnTo>
                <a:pt x="2542" y="866"/>
              </a:lnTo>
              <a:lnTo>
                <a:pt x="2515" y="863"/>
              </a:lnTo>
              <a:lnTo>
                <a:pt x="2490" y="857"/>
              </a:lnTo>
              <a:lnTo>
                <a:pt x="2466" y="849"/>
              </a:lnTo>
              <a:lnTo>
                <a:pt x="2441" y="839"/>
              </a:lnTo>
              <a:lnTo>
                <a:pt x="2417" y="827"/>
              </a:lnTo>
              <a:lnTo>
                <a:pt x="2393" y="814"/>
              </a:lnTo>
              <a:lnTo>
                <a:pt x="2370" y="797"/>
              </a:lnTo>
              <a:lnTo>
                <a:pt x="2348" y="778"/>
              </a:lnTo>
              <a:lnTo>
                <a:pt x="2326" y="758"/>
              </a:lnTo>
              <a:lnTo>
                <a:pt x="2305" y="736"/>
              </a:lnTo>
              <a:lnTo>
                <a:pt x="2289" y="716"/>
              </a:lnTo>
              <a:lnTo>
                <a:pt x="2273" y="692"/>
              </a:lnTo>
              <a:lnTo>
                <a:pt x="2261" y="670"/>
              </a:lnTo>
              <a:lnTo>
                <a:pt x="2250" y="647"/>
              </a:lnTo>
              <a:lnTo>
                <a:pt x="2241" y="622"/>
              </a:lnTo>
              <a:lnTo>
                <a:pt x="2234" y="596"/>
              </a:lnTo>
              <a:lnTo>
                <a:pt x="2229" y="569"/>
              </a:lnTo>
              <a:lnTo>
                <a:pt x="2226" y="542"/>
              </a:lnTo>
              <a:lnTo>
                <a:pt x="2224" y="515"/>
              </a:lnTo>
              <a:lnTo>
                <a:pt x="2226" y="485"/>
              </a:lnTo>
              <a:lnTo>
                <a:pt x="2229" y="456"/>
              </a:lnTo>
              <a:lnTo>
                <a:pt x="2234" y="429"/>
              </a:lnTo>
              <a:lnTo>
                <a:pt x="2241" y="402"/>
              </a:lnTo>
              <a:lnTo>
                <a:pt x="2251" y="375"/>
              </a:lnTo>
              <a:lnTo>
                <a:pt x="2263" y="350"/>
              </a:lnTo>
              <a:lnTo>
                <a:pt x="2277" y="327"/>
              </a:lnTo>
              <a:lnTo>
                <a:pt x="2292" y="303"/>
              </a:lnTo>
              <a:lnTo>
                <a:pt x="2310" y="279"/>
              </a:lnTo>
              <a:lnTo>
                <a:pt x="2331" y="258"/>
              </a:lnTo>
              <a:lnTo>
                <a:pt x="2353" y="239"/>
              </a:lnTo>
              <a:lnTo>
                <a:pt x="2373" y="220"/>
              </a:lnTo>
              <a:lnTo>
                <a:pt x="2397" y="205"/>
              </a:lnTo>
              <a:lnTo>
                <a:pt x="2419" y="193"/>
              </a:lnTo>
              <a:lnTo>
                <a:pt x="2444" y="182"/>
              </a:lnTo>
              <a:lnTo>
                <a:pt x="2468" y="173"/>
              </a:lnTo>
              <a:lnTo>
                <a:pt x="2493" y="167"/>
              </a:lnTo>
              <a:lnTo>
                <a:pt x="2520" y="161"/>
              </a:lnTo>
              <a:lnTo>
                <a:pt x="2547" y="158"/>
              </a:lnTo>
              <a:lnTo>
                <a:pt x="2576" y="156"/>
              </a:lnTo>
              <a:lnTo>
                <a:pt x="2611" y="158"/>
              </a:lnTo>
              <a:lnTo>
                <a:pt x="2645" y="163"/>
              </a:lnTo>
              <a:lnTo>
                <a:pt x="2677" y="172"/>
              </a:lnTo>
              <a:lnTo>
                <a:pt x="2709" y="183"/>
              </a:lnTo>
              <a:lnTo>
                <a:pt x="2738" y="199"/>
              </a:lnTo>
              <a:lnTo>
                <a:pt x="2767" y="215"/>
              </a:lnTo>
              <a:lnTo>
                <a:pt x="2796" y="237"/>
              </a:lnTo>
              <a:lnTo>
                <a:pt x="2821" y="261"/>
              </a:lnTo>
              <a:lnTo>
                <a:pt x="2846" y="290"/>
              </a:lnTo>
              <a:lnTo>
                <a:pt x="2872" y="320"/>
              </a:lnTo>
              <a:close/>
              <a:moveTo>
                <a:pt x="1819" y="792"/>
              </a:moveTo>
              <a:lnTo>
                <a:pt x="1910" y="1007"/>
              </a:lnTo>
              <a:lnTo>
                <a:pt x="2091" y="1007"/>
              </a:lnTo>
              <a:lnTo>
                <a:pt x="1668" y="13"/>
              </a:lnTo>
              <a:lnTo>
                <a:pt x="1585" y="13"/>
              </a:lnTo>
              <a:lnTo>
                <a:pt x="1151" y="1007"/>
              </a:lnTo>
              <a:lnTo>
                <a:pt x="1330" y="1007"/>
              </a:lnTo>
              <a:lnTo>
                <a:pt x="1425" y="787"/>
              </a:lnTo>
              <a:lnTo>
                <a:pt x="1427" y="785"/>
              </a:lnTo>
              <a:lnTo>
                <a:pt x="1427" y="783"/>
              </a:lnTo>
              <a:lnTo>
                <a:pt x="1427" y="782"/>
              </a:lnTo>
              <a:lnTo>
                <a:pt x="1427" y="780"/>
              </a:lnTo>
              <a:lnTo>
                <a:pt x="1428" y="778"/>
              </a:lnTo>
              <a:lnTo>
                <a:pt x="1428" y="777"/>
              </a:lnTo>
              <a:lnTo>
                <a:pt x="1428" y="775"/>
              </a:lnTo>
              <a:lnTo>
                <a:pt x="1430" y="773"/>
              </a:lnTo>
              <a:lnTo>
                <a:pt x="1432" y="773"/>
              </a:lnTo>
              <a:lnTo>
                <a:pt x="1433" y="775"/>
              </a:lnTo>
              <a:lnTo>
                <a:pt x="1435" y="775"/>
              </a:lnTo>
              <a:lnTo>
                <a:pt x="1437" y="777"/>
              </a:lnTo>
              <a:lnTo>
                <a:pt x="1438" y="777"/>
              </a:lnTo>
              <a:lnTo>
                <a:pt x="1440" y="777"/>
              </a:lnTo>
              <a:lnTo>
                <a:pt x="1443" y="778"/>
              </a:lnTo>
              <a:lnTo>
                <a:pt x="1445" y="778"/>
              </a:lnTo>
              <a:lnTo>
                <a:pt x="1447" y="780"/>
              </a:lnTo>
              <a:lnTo>
                <a:pt x="1464" y="785"/>
              </a:lnTo>
              <a:lnTo>
                <a:pt x="1481" y="792"/>
              </a:lnTo>
              <a:lnTo>
                <a:pt x="1498" y="795"/>
              </a:lnTo>
              <a:lnTo>
                <a:pt x="1514" y="800"/>
              </a:lnTo>
              <a:lnTo>
                <a:pt x="1533" y="804"/>
              </a:lnTo>
              <a:lnTo>
                <a:pt x="1552" y="807"/>
              </a:lnTo>
              <a:lnTo>
                <a:pt x="1570" y="809"/>
              </a:lnTo>
              <a:lnTo>
                <a:pt x="1589" y="810"/>
              </a:lnTo>
              <a:lnTo>
                <a:pt x="1607" y="812"/>
              </a:lnTo>
              <a:lnTo>
                <a:pt x="1626" y="812"/>
              </a:lnTo>
              <a:lnTo>
                <a:pt x="1645" y="812"/>
              </a:lnTo>
              <a:lnTo>
                <a:pt x="1663" y="810"/>
              </a:lnTo>
              <a:lnTo>
                <a:pt x="1680" y="809"/>
              </a:lnTo>
              <a:lnTo>
                <a:pt x="1699" y="807"/>
              </a:lnTo>
              <a:lnTo>
                <a:pt x="1716" y="804"/>
              </a:lnTo>
              <a:lnTo>
                <a:pt x="1731" y="800"/>
              </a:lnTo>
              <a:lnTo>
                <a:pt x="1746" y="798"/>
              </a:lnTo>
              <a:lnTo>
                <a:pt x="1760" y="793"/>
              </a:lnTo>
              <a:lnTo>
                <a:pt x="1773" y="790"/>
              </a:lnTo>
              <a:lnTo>
                <a:pt x="1785" y="787"/>
              </a:lnTo>
              <a:lnTo>
                <a:pt x="1790" y="785"/>
              </a:lnTo>
              <a:lnTo>
                <a:pt x="1793" y="783"/>
              </a:lnTo>
              <a:lnTo>
                <a:pt x="1798" y="782"/>
              </a:lnTo>
              <a:lnTo>
                <a:pt x="1802" y="782"/>
              </a:lnTo>
              <a:lnTo>
                <a:pt x="1803" y="780"/>
              </a:lnTo>
              <a:lnTo>
                <a:pt x="1807" y="778"/>
              </a:lnTo>
              <a:lnTo>
                <a:pt x="1809" y="778"/>
              </a:lnTo>
              <a:lnTo>
                <a:pt x="1810" y="777"/>
              </a:lnTo>
              <a:lnTo>
                <a:pt x="1812" y="775"/>
              </a:lnTo>
              <a:lnTo>
                <a:pt x="1814" y="775"/>
              </a:lnTo>
              <a:lnTo>
                <a:pt x="1815" y="777"/>
              </a:lnTo>
              <a:lnTo>
                <a:pt x="1815" y="778"/>
              </a:lnTo>
              <a:lnTo>
                <a:pt x="1815" y="780"/>
              </a:lnTo>
              <a:lnTo>
                <a:pt x="1815" y="782"/>
              </a:lnTo>
              <a:lnTo>
                <a:pt x="1817" y="783"/>
              </a:lnTo>
              <a:lnTo>
                <a:pt x="1817" y="785"/>
              </a:lnTo>
              <a:lnTo>
                <a:pt x="1819" y="787"/>
              </a:lnTo>
              <a:lnTo>
                <a:pt x="1819" y="788"/>
              </a:lnTo>
              <a:lnTo>
                <a:pt x="1819" y="790"/>
              </a:lnTo>
              <a:lnTo>
                <a:pt x="1819" y="792"/>
              </a:lnTo>
              <a:close/>
              <a:moveTo>
                <a:pt x="210" y="1007"/>
              </a:moveTo>
              <a:lnTo>
                <a:pt x="264" y="1007"/>
              </a:lnTo>
              <a:lnTo>
                <a:pt x="314" y="1002"/>
              </a:lnTo>
              <a:lnTo>
                <a:pt x="362" y="997"/>
              </a:lnTo>
              <a:lnTo>
                <a:pt x="409" y="989"/>
              </a:lnTo>
              <a:lnTo>
                <a:pt x="451" y="977"/>
              </a:lnTo>
              <a:lnTo>
                <a:pt x="492" y="964"/>
              </a:lnTo>
              <a:lnTo>
                <a:pt x="529" y="947"/>
              </a:lnTo>
              <a:lnTo>
                <a:pt x="565" y="928"/>
              </a:lnTo>
              <a:lnTo>
                <a:pt x="597" y="906"/>
              </a:lnTo>
              <a:lnTo>
                <a:pt x="627" y="883"/>
              </a:lnTo>
              <a:lnTo>
                <a:pt x="658" y="852"/>
              </a:lnTo>
              <a:lnTo>
                <a:pt x="685" y="822"/>
              </a:lnTo>
              <a:lnTo>
                <a:pt x="710" y="788"/>
              </a:lnTo>
              <a:lnTo>
                <a:pt x="730" y="755"/>
              </a:lnTo>
              <a:lnTo>
                <a:pt x="749" y="718"/>
              </a:lnTo>
              <a:lnTo>
                <a:pt x="764" y="681"/>
              </a:lnTo>
              <a:lnTo>
                <a:pt x="774" y="640"/>
              </a:lnTo>
              <a:lnTo>
                <a:pt x="783" y="600"/>
              </a:lnTo>
              <a:lnTo>
                <a:pt x="788" y="558"/>
              </a:lnTo>
              <a:lnTo>
                <a:pt x="789" y="514"/>
              </a:lnTo>
              <a:lnTo>
                <a:pt x="788" y="466"/>
              </a:lnTo>
              <a:lnTo>
                <a:pt x="783" y="423"/>
              </a:lnTo>
              <a:lnTo>
                <a:pt x="774" y="381"/>
              </a:lnTo>
              <a:lnTo>
                <a:pt x="762" y="340"/>
              </a:lnTo>
              <a:lnTo>
                <a:pt x="747" y="301"/>
              </a:lnTo>
              <a:lnTo>
                <a:pt x="730" y="264"/>
              </a:lnTo>
              <a:lnTo>
                <a:pt x="708" y="229"/>
              </a:lnTo>
              <a:lnTo>
                <a:pt x="683" y="197"/>
              </a:lnTo>
              <a:lnTo>
                <a:pt x="654" y="165"/>
              </a:lnTo>
              <a:lnTo>
                <a:pt x="624" y="136"/>
              </a:lnTo>
              <a:lnTo>
                <a:pt x="593" y="114"/>
              </a:lnTo>
              <a:lnTo>
                <a:pt x="561" y="94"/>
              </a:lnTo>
              <a:lnTo>
                <a:pt x="527" y="76"/>
              </a:lnTo>
              <a:lnTo>
                <a:pt x="490" y="60"/>
              </a:lnTo>
              <a:lnTo>
                <a:pt x="450" y="47"/>
              </a:lnTo>
              <a:lnTo>
                <a:pt x="407" y="35"/>
              </a:lnTo>
              <a:lnTo>
                <a:pt x="362" y="28"/>
              </a:lnTo>
              <a:lnTo>
                <a:pt x="314" y="22"/>
              </a:lnTo>
              <a:lnTo>
                <a:pt x="264" y="18"/>
              </a:lnTo>
              <a:lnTo>
                <a:pt x="211" y="17"/>
              </a:lnTo>
              <a:lnTo>
                <a:pt x="0" y="17"/>
              </a:lnTo>
              <a:lnTo>
                <a:pt x="0" y="1007"/>
              </a:lnTo>
              <a:lnTo>
                <a:pt x="210" y="1007"/>
              </a:lnTo>
              <a:close/>
              <a:moveTo>
                <a:pt x="923" y="17"/>
              </a:moveTo>
              <a:lnTo>
                <a:pt x="923" y="1007"/>
              </a:lnTo>
              <a:lnTo>
                <a:pt x="1085" y="1007"/>
              </a:lnTo>
              <a:lnTo>
                <a:pt x="1085" y="17"/>
              </a:lnTo>
              <a:lnTo>
                <a:pt x="923" y="17"/>
              </a:lnTo>
              <a:close/>
              <a:moveTo>
                <a:pt x="3313" y="546"/>
              </a:moveTo>
              <a:lnTo>
                <a:pt x="3661" y="546"/>
              </a:lnTo>
              <a:lnTo>
                <a:pt x="3661" y="391"/>
              </a:lnTo>
              <a:lnTo>
                <a:pt x="3313" y="391"/>
              </a:lnTo>
              <a:lnTo>
                <a:pt x="3313" y="173"/>
              </a:lnTo>
              <a:lnTo>
                <a:pt x="3691" y="173"/>
              </a:lnTo>
              <a:lnTo>
                <a:pt x="3691" y="17"/>
              </a:lnTo>
              <a:lnTo>
                <a:pt x="3150" y="17"/>
              </a:lnTo>
              <a:lnTo>
                <a:pt x="3150" y="1007"/>
              </a:lnTo>
              <a:lnTo>
                <a:pt x="3693" y="1007"/>
              </a:lnTo>
              <a:lnTo>
                <a:pt x="3693" y="851"/>
              </a:lnTo>
              <a:lnTo>
                <a:pt x="3313" y="851"/>
              </a:lnTo>
              <a:lnTo>
                <a:pt x="3313" y="546"/>
              </a:lnTo>
              <a:close/>
              <a:moveTo>
                <a:pt x="3909" y="151"/>
              </a:moveTo>
              <a:lnTo>
                <a:pt x="3881" y="182"/>
              </a:lnTo>
              <a:lnTo>
                <a:pt x="3855" y="214"/>
              </a:lnTo>
              <a:lnTo>
                <a:pt x="3833" y="246"/>
              </a:lnTo>
              <a:lnTo>
                <a:pt x="3813" y="281"/>
              </a:lnTo>
              <a:lnTo>
                <a:pt x="3796" y="317"/>
              </a:lnTo>
              <a:lnTo>
                <a:pt x="3783" y="354"/>
              </a:lnTo>
              <a:lnTo>
                <a:pt x="3772" y="391"/>
              </a:lnTo>
              <a:lnTo>
                <a:pt x="3764" y="431"/>
              </a:lnTo>
              <a:lnTo>
                <a:pt x="3761" y="472"/>
              </a:lnTo>
              <a:lnTo>
                <a:pt x="3759" y="514"/>
              </a:lnTo>
              <a:lnTo>
                <a:pt x="3766" y="596"/>
              </a:lnTo>
              <a:lnTo>
                <a:pt x="3784" y="675"/>
              </a:lnTo>
              <a:lnTo>
                <a:pt x="3816" y="750"/>
              </a:lnTo>
              <a:lnTo>
                <a:pt x="3857" y="815"/>
              </a:lnTo>
              <a:lnTo>
                <a:pt x="3909" y="874"/>
              </a:lnTo>
              <a:lnTo>
                <a:pt x="3970" y="927"/>
              </a:lnTo>
              <a:lnTo>
                <a:pt x="4038" y="967"/>
              </a:lnTo>
              <a:lnTo>
                <a:pt x="4110" y="997"/>
              </a:lnTo>
              <a:lnTo>
                <a:pt x="4190" y="1016"/>
              </a:lnTo>
              <a:lnTo>
                <a:pt x="4274" y="1023"/>
              </a:lnTo>
              <a:lnTo>
                <a:pt x="4359" y="1018"/>
              </a:lnTo>
              <a:lnTo>
                <a:pt x="4438" y="997"/>
              </a:lnTo>
              <a:lnTo>
                <a:pt x="4513" y="967"/>
              </a:lnTo>
              <a:lnTo>
                <a:pt x="4580" y="927"/>
              </a:lnTo>
              <a:lnTo>
                <a:pt x="4640" y="876"/>
              </a:lnTo>
              <a:lnTo>
                <a:pt x="4692" y="817"/>
              </a:lnTo>
              <a:lnTo>
                <a:pt x="4732" y="750"/>
              </a:lnTo>
              <a:lnTo>
                <a:pt x="4765" y="675"/>
              </a:lnTo>
              <a:lnTo>
                <a:pt x="4783" y="596"/>
              </a:lnTo>
              <a:lnTo>
                <a:pt x="4790" y="514"/>
              </a:lnTo>
              <a:lnTo>
                <a:pt x="4788" y="472"/>
              </a:lnTo>
              <a:lnTo>
                <a:pt x="4785" y="431"/>
              </a:lnTo>
              <a:lnTo>
                <a:pt x="4776" y="392"/>
              </a:lnTo>
              <a:lnTo>
                <a:pt x="4766" y="354"/>
              </a:lnTo>
              <a:lnTo>
                <a:pt x="4753" y="318"/>
              </a:lnTo>
              <a:lnTo>
                <a:pt x="4736" y="283"/>
              </a:lnTo>
              <a:lnTo>
                <a:pt x="4716" y="247"/>
              </a:lnTo>
              <a:lnTo>
                <a:pt x="4694" y="215"/>
              </a:lnTo>
              <a:lnTo>
                <a:pt x="4668" y="183"/>
              </a:lnTo>
              <a:lnTo>
                <a:pt x="4640" y="151"/>
              </a:lnTo>
              <a:lnTo>
                <a:pt x="4609" y="123"/>
              </a:lnTo>
              <a:lnTo>
                <a:pt x="4577" y="97"/>
              </a:lnTo>
              <a:lnTo>
                <a:pt x="4543" y="74"/>
              </a:lnTo>
              <a:lnTo>
                <a:pt x="4509" y="55"/>
              </a:lnTo>
              <a:lnTo>
                <a:pt x="4472" y="38"/>
              </a:lnTo>
              <a:lnTo>
                <a:pt x="4435" y="25"/>
              </a:lnTo>
              <a:lnTo>
                <a:pt x="4398" y="13"/>
              </a:lnTo>
              <a:lnTo>
                <a:pt x="4357" y="6"/>
              </a:lnTo>
              <a:lnTo>
                <a:pt x="4317" y="1"/>
              </a:lnTo>
              <a:lnTo>
                <a:pt x="4274" y="0"/>
              </a:lnTo>
              <a:lnTo>
                <a:pt x="4232" y="1"/>
              </a:lnTo>
              <a:lnTo>
                <a:pt x="4192" y="6"/>
              </a:lnTo>
              <a:lnTo>
                <a:pt x="4153" y="13"/>
              </a:lnTo>
              <a:lnTo>
                <a:pt x="4114" y="25"/>
              </a:lnTo>
              <a:lnTo>
                <a:pt x="4077" y="38"/>
              </a:lnTo>
              <a:lnTo>
                <a:pt x="4041" y="55"/>
              </a:lnTo>
              <a:lnTo>
                <a:pt x="4006" y="74"/>
              </a:lnTo>
              <a:lnTo>
                <a:pt x="3974" y="97"/>
              </a:lnTo>
              <a:lnTo>
                <a:pt x="3941" y="123"/>
              </a:lnTo>
              <a:lnTo>
                <a:pt x="3909" y="151"/>
              </a:lnTo>
              <a:close/>
            </a:path>
          </a:pathLst>
        </a:custGeom>
        <a:solidFill>
          <a:srgbClr val="D10077"/>
        </a:solidFill>
        <a:ln w="9525">
          <a:noFill/>
          <a:round/>
          <a:headEnd/>
          <a:tailEnd/>
        </a:ln>
      </xdr:spPr>
    </xdr:sp>
    <xdr:clientData/>
  </xdr:twoCellAnchor>
  <xdr:twoCellAnchor>
    <xdr:from>
      <xdr:col>1</xdr:col>
      <xdr:colOff>59531</xdr:colOff>
      <xdr:row>1</xdr:row>
      <xdr:rowOff>0</xdr:rowOff>
    </xdr:from>
    <xdr:to>
      <xdr:col>2</xdr:col>
      <xdr:colOff>506148</xdr:colOff>
      <xdr:row>2</xdr:row>
      <xdr:rowOff>112184</xdr:rowOff>
    </xdr:to>
    <xdr:sp macro="" textlink="">
      <xdr:nvSpPr>
        <xdr:cNvPr id="3" name="Freeform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EditPoints="1"/>
        </xdr:cNvSpPr>
      </xdr:nvSpPr>
      <xdr:spPr bwMode="auto">
        <a:xfrm>
          <a:off x="669131" y="190500"/>
          <a:ext cx="1056217" cy="302684"/>
        </a:xfrm>
        <a:custGeom>
          <a:avLst/>
          <a:gdLst>
            <a:gd name="T0" fmla="*/ 2147483647 w 4790"/>
            <a:gd name="T1" fmla="*/ 2147483647 h 1023"/>
            <a:gd name="T2" fmla="*/ 2147483647 w 4790"/>
            <a:gd name="T3" fmla="*/ 2147483647 h 1023"/>
            <a:gd name="T4" fmla="*/ 2147483647 w 4790"/>
            <a:gd name="T5" fmla="*/ 2147483647 h 1023"/>
            <a:gd name="T6" fmla="*/ 2147483647 w 4790"/>
            <a:gd name="T7" fmla="*/ 2147483647 h 1023"/>
            <a:gd name="T8" fmla="*/ 2147483647 w 4790"/>
            <a:gd name="T9" fmla="*/ 2147483647 h 1023"/>
            <a:gd name="T10" fmla="*/ 2147483647 w 4790"/>
            <a:gd name="T11" fmla="*/ 2147483647 h 1023"/>
            <a:gd name="T12" fmla="*/ 2147483647 w 4790"/>
            <a:gd name="T13" fmla="*/ 2147483647 h 1023"/>
            <a:gd name="T14" fmla="*/ 2147483647 w 4790"/>
            <a:gd name="T15" fmla="*/ 2147483647 h 1023"/>
            <a:gd name="T16" fmla="*/ 2147483647 w 4790"/>
            <a:gd name="T17" fmla="*/ 2147483647 h 1023"/>
            <a:gd name="T18" fmla="*/ 2147483647 w 4790"/>
            <a:gd name="T19" fmla="*/ 2147483647 h 1023"/>
            <a:gd name="T20" fmla="*/ 2147483647 w 4790"/>
            <a:gd name="T21" fmla="*/ 2147483647 h 1023"/>
            <a:gd name="T22" fmla="*/ 2147483647 w 4790"/>
            <a:gd name="T23" fmla="*/ 2147483647 h 1023"/>
            <a:gd name="T24" fmla="*/ 2147483647 w 4790"/>
            <a:gd name="T25" fmla="*/ 2147483647 h 1023"/>
            <a:gd name="T26" fmla="*/ 2147483647 w 4790"/>
            <a:gd name="T27" fmla="*/ 2147483647 h 1023"/>
            <a:gd name="T28" fmla="*/ 2147483647 w 4790"/>
            <a:gd name="T29" fmla="*/ 2147483647 h 1023"/>
            <a:gd name="T30" fmla="*/ 2147483647 w 4790"/>
            <a:gd name="T31" fmla="*/ 2147483647 h 1023"/>
            <a:gd name="T32" fmla="*/ 2147483647 w 4790"/>
            <a:gd name="T33" fmla="*/ 2147483647 h 1023"/>
            <a:gd name="T34" fmla="*/ 2147483647 w 4790"/>
            <a:gd name="T35" fmla="*/ 2147483647 h 1023"/>
            <a:gd name="T36" fmla="*/ 2147483647 w 4790"/>
            <a:gd name="T37" fmla="*/ 2147483647 h 1023"/>
            <a:gd name="T38" fmla="*/ 2147483647 w 4790"/>
            <a:gd name="T39" fmla="*/ 2147483647 h 1023"/>
            <a:gd name="T40" fmla="*/ 2147483647 w 4790"/>
            <a:gd name="T41" fmla="*/ 2147483647 h 1023"/>
            <a:gd name="T42" fmla="*/ 2147483647 w 4790"/>
            <a:gd name="T43" fmla="*/ 2147483647 h 1023"/>
            <a:gd name="T44" fmla="*/ 2147483647 w 4790"/>
            <a:gd name="T45" fmla="*/ 2147483647 h 1023"/>
            <a:gd name="T46" fmla="*/ 2147483647 w 4790"/>
            <a:gd name="T47" fmla="*/ 2147483647 h 1023"/>
            <a:gd name="T48" fmla="*/ 2147483647 w 4790"/>
            <a:gd name="T49" fmla="*/ 2147483647 h 1023"/>
            <a:gd name="T50" fmla="*/ 2147483647 w 4790"/>
            <a:gd name="T51" fmla="*/ 2147483647 h 1023"/>
            <a:gd name="T52" fmla="*/ 2147483647 w 4790"/>
            <a:gd name="T53" fmla="*/ 2147483647 h 1023"/>
            <a:gd name="T54" fmla="*/ 2147483647 w 4790"/>
            <a:gd name="T55" fmla="*/ 2147483647 h 1023"/>
            <a:gd name="T56" fmla="*/ 2147483647 w 4790"/>
            <a:gd name="T57" fmla="*/ 2147483647 h 1023"/>
            <a:gd name="T58" fmla="*/ 2147483647 w 4790"/>
            <a:gd name="T59" fmla="*/ 2147483647 h 1023"/>
            <a:gd name="T60" fmla="*/ 2147483647 w 4790"/>
            <a:gd name="T61" fmla="*/ 2147483647 h 1023"/>
            <a:gd name="T62" fmla="*/ 2147483647 w 4790"/>
            <a:gd name="T63" fmla="*/ 2147483647 h 1023"/>
            <a:gd name="T64" fmla="*/ 2147483647 w 4790"/>
            <a:gd name="T65" fmla="*/ 2147483647 h 1023"/>
            <a:gd name="T66" fmla="*/ 2147483647 w 4790"/>
            <a:gd name="T67" fmla="*/ 2147483647 h 1023"/>
            <a:gd name="T68" fmla="*/ 2147483647 w 4790"/>
            <a:gd name="T69" fmla="*/ 2147483647 h 1023"/>
            <a:gd name="T70" fmla="*/ 2147483647 w 4790"/>
            <a:gd name="T71" fmla="*/ 2147483647 h 1023"/>
            <a:gd name="T72" fmla="*/ 2147483647 w 4790"/>
            <a:gd name="T73" fmla="*/ 2147483647 h 1023"/>
            <a:gd name="T74" fmla="*/ 2147483647 w 4790"/>
            <a:gd name="T75" fmla="*/ 2147483647 h 1023"/>
            <a:gd name="T76" fmla="*/ 2147483647 w 4790"/>
            <a:gd name="T77" fmla="*/ 2147483647 h 1023"/>
            <a:gd name="T78" fmla="*/ 2147483647 w 4790"/>
            <a:gd name="T79" fmla="*/ 2147483647 h 1023"/>
            <a:gd name="T80" fmla="*/ 2147483647 w 4790"/>
            <a:gd name="T81" fmla="*/ 2147483647 h 1023"/>
            <a:gd name="T82" fmla="*/ 2147483647 w 4790"/>
            <a:gd name="T83" fmla="*/ 2147483647 h 1023"/>
            <a:gd name="T84" fmla="*/ 2147483647 w 4790"/>
            <a:gd name="T85" fmla="*/ 2147483647 h 1023"/>
            <a:gd name="T86" fmla="*/ 2147483647 w 4790"/>
            <a:gd name="T87" fmla="*/ 2147483647 h 1023"/>
            <a:gd name="T88" fmla="*/ 2147483647 w 4790"/>
            <a:gd name="T89" fmla="*/ 2147483647 h 1023"/>
            <a:gd name="T90" fmla="*/ 2147483647 w 4790"/>
            <a:gd name="T91" fmla="*/ 2147483647 h 1023"/>
            <a:gd name="T92" fmla="*/ 2147483647 w 4790"/>
            <a:gd name="T93" fmla="*/ 2147483647 h 1023"/>
            <a:gd name="T94" fmla="*/ 2147483647 w 4790"/>
            <a:gd name="T95" fmla="*/ 2147483647 h 1023"/>
            <a:gd name="T96" fmla="*/ 2147483647 w 4790"/>
            <a:gd name="T97" fmla="*/ 2147483647 h 1023"/>
            <a:gd name="T98" fmla="*/ 2147483647 w 4790"/>
            <a:gd name="T99" fmla="*/ 2147483647 h 1023"/>
            <a:gd name="T100" fmla="*/ 2147483647 w 4790"/>
            <a:gd name="T101" fmla="*/ 2147483647 h 1023"/>
            <a:gd name="T102" fmla="*/ 2147483647 w 4790"/>
            <a:gd name="T103" fmla="*/ 2147483647 h 1023"/>
            <a:gd name="T104" fmla="*/ 2147483647 w 4790"/>
            <a:gd name="T105" fmla="*/ 2147483647 h 1023"/>
            <a:gd name="T106" fmla="*/ 2147483647 w 4790"/>
            <a:gd name="T107" fmla="*/ 2147483647 h 1023"/>
            <a:gd name="T108" fmla="*/ 2147483647 w 4790"/>
            <a:gd name="T109" fmla="*/ 2147483647 h 1023"/>
            <a:gd name="T110" fmla="*/ 2147483647 w 4790"/>
            <a:gd name="T111" fmla="*/ 2147483647 h 1023"/>
            <a:gd name="T112" fmla="*/ 2147483647 w 4790"/>
            <a:gd name="T113" fmla="*/ 2147483647 h 1023"/>
            <a:gd name="T114" fmla="*/ 2147483647 w 4790"/>
            <a:gd name="T115" fmla="*/ 2147483647 h 1023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w 4790"/>
            <a:gd name="T175" fmla="*/ 0 h 1023"/>
            <a:gd name="T176" fmla="*/ 4790 w 4790"/>
            <a:gd name="T177" fmla="*/ 1023 h 1023"/>
          </a:gdLst>
          <a:ahLst/>
          <a:cxnLst>
            <a:cxn ang="T116">
              <a:pos x="T0" y="T1"/>
            </a:cxn>
            <a:cxn ang="T117">
              <a:pos x="T2" y="T3"/>
            </a:cxn>
            <a:cxn ang="T118">
              <a:pos x="T4" y="T5"/>
            </a:cxn>
            <a:cxn ang="T119">
              <a:pos x="T6" y="T7"/>
            </a:cxn>
            <a:cxn ang="T120">
              <a:pos x="T8" y="T9"/>
            </a:cxn>
            <a:cxn ang="T121">
              <a:pos x="T10" y="T11"/>
            </a:cxn>
            <a:cxn ang="T122">
              <a:pos x="T12" y="T13"/>
            </a:cxn>
            <a:cxn ang="T123">
              <a:pos x="T14" y="T15"/>
            </a:cxn>
            <a:cxn ang="T124">
              <a:pos x="T16" y="T17"/>
            </a:cxn>
            <a:cxn ang="T125">
              <a:pos x="T18" y="T19"/>
            </a:cxn>
            <a:cxn ang="T126">
              <a:pos x="T20" y="T21"/>
            </a:cxn>
            <a:cxn ang="T127">
              <a:pos x="T22" y="T23"/>
            </a:cxn>
            <a:cxn ang="T128">
              <a:pos x="T24" y="T25"/>
            </a:cxn>
            <a:cxn ang="T129">
              <a:pos x="T26" y="T27"/>
            </a:cxn>
            <a:cxn ang="T130">
              <a:pos x="T28" y="T29"/>
            </a:cxn>
            <a:cxn ang="T131">
              <a:pos x="T30" y="T31"/>
            </a:cxn>
            <a:cxn ang="T132">
              <a:pos x="T32" y="T33"/>
            </a:cxn>
            <a:cxn ang="T133">
              <a:pos x="T34" y="T35"/>
            </a:cxn>
            <a:cxn ang="T134">
              <a:pos x="T36" y="T37"/>
            </a:cxn>
            <a:cxn ang="T135">
              <a:pos x="T38" y="T39"/>
            </a:cxn>
            <a:cxn ang="T136">
              <a:pos x="T40" y="T41"/>
            </a:cxn>
            <a:cxn ang="T137">
              <a:pos x="T42" y="T43"/>
            </a:cxn>
            <a:cxn ang="T138">
              <a:pos x="T44" y="T45"/>
            </a:cxn>
            <a:cxn ang="T139">
              <a:pos x="T46" y="T47"/>
            </a:cxn>
            <a:cxn ang="T140">
              <a:pos x="T48" y="T49"/>
            </a:cxn>
            <a:cxn ang="T141">
              <a:pos x="T50" y="T51"/>
            </a:cxn>
            <a:cxn ang="T142">
              <a:pos x="T52" y="T53"/>
            </a:cxn>
            <a:cxn ang="T143">
              <a:pos x="T54" y="T55"/>
            </a:cxn>
            <a:cxn ang="T144">
              <a:pos x="T56" y="T57"/>
            </a:cxn>
            <a:cxn ang="T145">
              <a:pos x="T58" y="T59"/>
            </a:cxn>
            <a:cxn ang="T146">
              <a:pos x="T60" y="T61"/>
            </a:cxn>
            <a:cxn ang="T147">
              <a:pos x="T62" y="T63"/>
            </a:cxn>
            <a:cxn ang="T148">
              <a:pos x="T64" y="T65"/>
            </a:cxn>
            <a:cxn ang="T149">
              <a:pos x="T66" y="T67"/>
            </a:cxn>
            <a:cxn ang="T150">
              <a:pos x="T68" y="T69"/>
            </a:cxn>
            <a:cxn ang="T151">
              <a:pos x="T70" y="T71"/>
            </a:cxn>
            <a:cxn ang="T152">
              <a:pos x="T72" y="T73"/>
            </a:cxn>
            <a:cxn ang="T153">
              <a:pos x="T74" y="T75"/>
            </a:cxn>
            <a:cxn ang="T154">
              <a:pos x="T76" y="T77"/>
            </a:cxn>
            <a:cxn ang="T155">
              <a:pos x="T78" y="T79"/>
            </a:cxn>
            <a:cxn ang="T156">
              <a:pos x="T80" y="T81"/>
            </a:cxn>
            <a:cxn ang="T157">
              <a:pos x="T82" y="T83"/>
            </a:cxn>
            <a:cxn ang="T158">
              <a:pos x="T84" y="T85"/>
            </a:cxn>
            <a:cxn ang="T159">
              <a:pos x="T86" y="T87"/>
            </a:cxn>
            <a:cxn ang="T160">
              <a:pos x="T88" y="T89"/>
            </a:cxn>
            <a:cxn ang="T161">
              <a:pos x="T90" y="T91"/>
            </a:cxn>
            <a:cxn ang="T162">
              <a:pos x="T92" y="T93"/>
            </a:cxn>
            <a:cxn ang="T163">
              <a:pos x="T94" y="T95"/>
            </a:cxn>
            <a:cxn ang="T164">
              <a:pos x="T96" y="T97"/>
            </a:cxn>
            <a:cxn ang="T165">
              <a:pos x="T98" y="T99"/>
            </a:cxn>
            <a:cxn ang="T166">
              <a:pos x="T100" y="T101"/>
            </a:cxn>
            <a:cxn ang="T167">
              <a:pos x="T102" y="T103"/>
            </a:cxn>
            <a:cxn ang="T168">
              <a:pos x="T104" y="T105"/>
            </a:cxn>
            <a:cxn ang="T169">
              <a:pos x="T106" y="T107"/>
            </a:cxn>
            <a:cxn ang="T170">
              <a:pos x="T108" y="T109"/>
            </a:cxn>
            <a:cxn ang="T171">
              <a:pos x="T110" y="T111"/>
            </a:cxn>
            <a:cxn ang="T172">
              <a:pos x="T112" y="T113"/>
            </a:cxn>
            <a:cxn ang="T173">
              <a:pos x="T114" y="T115"/>
            </a:cxn>
          </a:cxnLst>
          <a:rect l="T174" t="T175" r="T176" b="T177"/>
          <a:pathLst>
            <a:path w="4790" h="1023">
              <a:moveTo>
                <a:pt x="1487" y="633"/>
              </a:moveTo>
              <a:lnTo>
                <a:pt x="1489" y="633"/>
              </a:lnTo>
              <a:lnTo>
                <a:pt x="1491" y="630"/>
              </a:lnTo>
              <a:lnTo>
                <a:pt x="1491" y="628"/>
              </a:lnTo>
              <a:lnTo>
                <a:pt x="1492" y="627"/>
              </a:lnTo>
              <a:lnTo>
                <a:pt x="1494" y="623"/>
              </a:lnTo>
              <a:lnTo>
                <a:pt x="1494" y="622"/>
              </a:lnTo>
              <a:lnTo>
                <a:pt x="1496" y="618"/>
              </a:lnTo>
              <a:lnTo>
                <a:pt x="1496" y="616"/>
              </a:lnTo>
              <a:lnTo>
                <a:pt x="1498" y="615"/>
              </a:lnTo>
              <a:lnTo>
                <a:pt x="1498" y="613"/>
              </a:lnTo>
              <a:lnTo>
                <a:pt x="1623" y="310"/>
              </a:lnTo>
              <a:lnTo>
                <a:pt x="1746" y="616"/>
              </a:lnTo>
              <a:lnTo>
                <a:pt x="1748" y="618"/>
              </a:lnTo>
              <a:lnTo>
                <a:pt x="1748" y="620"/>
              </a:lnTo>
              <a:lnTo>
                <a:pt x="1749" y="622"/>
              </a:lnTo>
              <a:lnTo>
                <a:pt x="1749" y="623"/>
              </a:lnTo>
              <a:lnTo>
                <a:pt x="1751" y="625"/>
              </a:lnTo>
              <a:lnTo>
                <a:pt x="1751" y="628"/>
              </a:lnTo>
              <a:lnTo>
                <a:pt x="1753" y="630"/>
              </a:lnTo>
              <a:lnTo>
                <a:pt x="1754" y="632"/>
              </a:lnTo>
              <a:lnTo>
                <a:pt x="1754" y="635"/>
              </a:lnTo>
              <a:lnTo>
                <a:pt x="1756" y="637"/>
              </a:lnTo>
              <a:lnTo>
                <a:pt x="1741" y="640"/>
              </a:lnTo>
              <a:lnTo>
                <a:pt x="1729" y="642"/>
              </a:lnTo>
              <a:lnTo>
                <a:pt x="1719" y="645"/>
              </a:lnTo>
              <a:lnTo>
                <a:pt x="1707" y="647"/>
              </a:lnTo>
              <a:lnTo>
                <a:pt x="1697" y="649"/>
              </a:lnTo>
              <a:lnTo>
                <a:pt x="1685" y="650"/>
              </a:lnTo>
              <a:lnTo>
                <a:pt x="1673" y="652"/>
              </a:lnTo>
              <a:lnTo>
                <a:pt x="1661" y="654"/>
              </a:lnTo>
              <a:lnTo>
                <a:pt x="1650" y="654"/>
              </a:lnTo>
              <a:lnTo>
                <a:pt x="1638" y="655"/>
              </a:lnTo>
              <a:lnTo>
                <a:pt x="1626" y="655"/>
              </a:lnTo>
              <a:lnTo>
                <a:pt x="1614" y="655"/>
              </a:lnTo>
              <a:lnTo>
                <a:pt x="1602" y="655"/>
              </a:lnTo>
              <a:lnTo>
                <a:pt x="1590" y="654"/>
              </a:lnTo>
              <a:lnTo>
                <a:pt x="1580" y="652"/>
              </a:lnTo>
              <a:lnTo>
                <a:pt x="1569" y="652"/>
              </a:lnTo>
              <a:lnTo>
                <a:pt x="1557" y="650"/>
              </a:lnTo>
              <a:lnTo>
                <a:pt x="1545" y="647"/>
              </a:lnTo>
              <a:lnTo>
                <a:pt x="1533" y="645"/>
              </a:lnTo>
              <a:lnTo>
                <a:pt x="1523" y="643"/>
              </a:lnTo>
              <a:lnTo>
                <a:pt x="1511" y="640"/>
              </a:lnTo>
              <a:lnTo>
                <a:pt x="1508" y="638"/>
              </a:lnTo>
              <a:lnTo>
                <a:pt x="1506" y="638"/>
              </a:lnTo>
              <a:lnTo>
                <a:pt x="1503" y="638"/>
              </a:lnTo>
              <a:lnTo>
                <a:pt x="1501" y="637"/>
              </a:lnTo>
              <a:lnTo>
                <a:pt x="1499" y="637"/>
              </a:lnTo>
              <a:lnTo>
                <a:pt x="1496" y="635"/>
              </a:lnTo>
              <a:lnTo>
                <a:pt x="1494" y="635"/>
              </a:lnTo>
              <a:lnTo>
                <a:pt x="1491" y="635"/>
              </a:lnTo>
              <a:lnTo>
                <a:pt x="1489" y="635"/>
              </a:lnTo>
              <a:lnTo>
                <a:pt x="1487" y="635"/>
              </a:lnTo>
              <a:lnTo>
                <a:pt x="1487" y="633"/>
              </a:lnTo>
              <a:close/>
              <a:moveTo>
                <a:pt x="215" y="173"/>
              </a:moveTo>
              <a:lnTo>
                <a:pt x="255" y="173"/>
              </a:lnTo>
              <a:lnTo>
                <a:pt x="294" y="177"/>
              </a:lnTo>
              <a:lnTo>
                <a:pt x="330" y="182"/>
              </a:lnTo>
              <a:lnTo>
                <a:pt x="363" y="187"/>
              </a:lnTo>
              <a:lnTo>
                <a:pt x="394" y="195"/>
              </a:lnTo>
              <a:lnTo>
                <a:pt x="423" y="204"/>
              </a:lnTo>
              <a:lnTo>
                <a:pt x="450" y="214"/>
              </a:lnTo>
              <a:lnTo>
                <a:pt x="473" y="227"/>
              </a:lnTo>
              <a:lnTo>
                <a:pt x="495" y="241"/>
              </a:lnTo>
              <a:lnTo>
                <a:pt x="514" y="256"/>
              </a:lnTo>
              <a:lnTo>
                <a:pt x="536" y="276"/>
              </a:lnTo>
              <a:lnTo>
                <a:pt x="554" y="298"/>
              </a:lnTo>
              <a:lnTo>
                <a:pt x="571" y="320"/>
              </a:lnTo>
              <a:lnTo>
                <a:pt x="585" y="343"/>
              </a:lnTo>
              <a:lnTo>
                <a:pt x="597" y="369"/>
              </a:lnTo>
              <a:lnTo>
                <a:pt x="607" y="394"/>
              </a:lnTo>
              <a:lnTo>
                <a:pt x="615" y="423"/>
              </a:lnTo>
              <a:lnTo>
                <a:pt x="620" y="451"/>
              </a:lnTo>
              <a:lnTo>
                <a:pt x="624" y="480"/>
              </a:lnTo>
              <a:lnTo>
                <a:pt x="625" y="512"/>
              </a:lnTo>
              <a:lnTo>
                <a:pt x="624" y="542"/>
              </a:lnTo>
              <a:lnTo>
                <a:pt x="620" y="571"/>
              </a:lnTo>
              <a:lnTo>
                <a:pt x="615" y="598"/>
              </a:lnTo>
              <a:lnTo>
                <a:pt x="609" y="625"/>
              </a:lnTo>
              <a:lnTo>
                <a:pt x="598" y="650"/>
              </a:lnTo>
              <a:lnTo>
                <a:pt x="587" y="675"/>
              </a:lnTo>
              <a:lnTo>
                <a:pt x="573" y="699"/>
              </a:lnTo>
              <a:lnTo>
                <a:pt x="556" y="721"/>
              </a:lnTo>
              <a:lnTo>
                <a:pt x="539" y="743"/>
              </a:lnTo>
              <a:lnTo>
                <a:pt x="519" y="763"/>
              </a:lnTo>
              <a:lnTo>
                <a:pt x="499" y="780"/>
              </a:lnTo>
              <a:lnTo>
                <a:pt x="477" y="793"/>
              </a:lnTo>
              <a:lnTo>
                <a:pt x="453" y="807"/>
              </a:lnTo>
              <a:lnTo>
                <a:pt x="426" y="819"/>
              </a:lnTo>
              <a:lnTo>
                <a:pt x="397" y="829"/>
              </a:lnTo>
              <a:lnTo>
                <a:pt x="365" y="837"/>
              </a:lnTo>
              <a:lnTo>
                <a:pt x="331" y="844"/>
              </a:lnTo>
              <a:lnTo>
                <a:pt x="294" y="847"/>
              </a:lnTo>
              <a:lnTo>
                <a:pt x="255" y="851"/>
              </a:lnTo>
              <a:lnTo>
                <a:pt x="215" y="851"/>
              </a:lnTo>
              <a:lnTo>
                <a:pt x="169" y="851"/>
              </a:lnTo>
              <a:lnTo>
                <a:pt x="169" y="173"/>
              </a:lnTo>
              <a:lnTo>
                <a:pt x="215" y="173"/>
              </a:lnTo>
              <a:close/>
              <a:moveTo>
                <a:pt x="4523" y="261"/>
              </a:moveTo>
              <a:lnTo>
                <a:pt x="4543" y="281"/>
              </a:lnTo>
              <a:lnTo>
                <a:pt x="4562" y="303"/>
              </a:lnTo>
              <a:lnTo>
                <a:pt x="4577" y="325"/>
              </a:lnTo>
              <a:lnTo>
                <a:pt x="4590" y="349"/>
              </a:lnTo>
              <a:lnTo>
                <a:pt x="4602" y="374"/>
              </a:lnTo>
              <a:lnTo>
                <a:pt x="4611" y="399"/>
              </a:lnTo>
              <a:lnTo>
                <a:pt x="4618" y="426"/>
              </a:lnTo>
              <a:lnTo>
                <a:pt x="4623" y="455"/>
              </a:lnTo>
              <a:lnTo>
                <a:pt x="4626" y="482"/>
              </a:lnTo>
              <a:lnTo>
                <a:pt x="4628" y="512"/>
              </a:lnTo>
              <a:lnTo>
                <a:pt x="4626" y="541"/>
              </a:lnTo>
              <a:lnTo>
                <a:pt x="4623" y="569"/>
              </a:lnTo>
              <a:lnTo>
                <a:pt x="4618" y="596"/>
              </a:lnTo>
              <a:lnTo>
                <a:pt x="4611" y="623"/>
              </a:lnTo>
              <a:lnTo>
                <a:pt x="4601" y="649"/>
              </a:lnTo>
              <a:lnTo>
                <a:pt x="4590" y="674"/>
              </a:lnTo>
              <a:lnTo>
                <a:pt x="4577" y="697"/>
              </a:lnTo>
              <a:lnTo>
                <a:pt x="4560" y="719"/>
              </a:lnTo>
              <a:lnTo>
                <a:pt x="4543" y="743"/>
              </a:lnTo>
              <a:lnTo>
                <a:pt x="4523" y="763"/>
              </a:lnTo>
              <a:lnTo>
                <a:pt x="4503" y="783"/>
              </a:lnTo>
              <a:lnTo>
                <a:pt x="4481" y="800"/>
              </a:lnTo>
              <a:lnTo>
                <a:pt x="4459" y="815"/>
              </a:lnTo>
              <a:lnTo>
                <a:pt x="4435" y="829"/>
              </a:lnTo>
              <a:lnTo>
                <a:pt x="4410" y="841"/>
              </a:lnTo>
              <a:lnTo>
                <a:pt x="4384" y="851"/>
              </a:lnTo>
              <a:lnTo>
                <a:pt x="4359" y="857"/>
              </a:lnTo>
              <a:lnTo>
                <a:pt x="4332" y="863"/>
              </a:lnTo>
              <a:lnTo>
                <a:pt x="4303" y="866"/>
              </a:lnTo>
              <a:lnTo>
                <a:pt x="4274" y="868"/>
              </a:lnTo>
              <a:lnTo>
                <a:pt x="4217" y="863"/>
              </a:lnTo>
              <a:lnTo>
                <a:pt x="4163" y="849"/>
              </a:lnTo>
              <a:lnTo>
                <a:pt x="4112" y="827"/>
              </a:lnTo>
              <a:lnTo>
                <a:pt x="4067" y="798"/>
              </a:lnTo>
              <a:lnTo>
                <a:pt x="4024" y="761"/>
              </a:lnTo>
              <a:lnTo>
                <a:pt x="3990" y="721"/>
              </a:lnTo>
              <a:lnTo>
                <a:pt x="3962" y="674"/>
              </a:lnTo>
              <a:lnTo>
                <a:pt x="3940" y="623"/>
              </a:lnTo>
              <a:lnTo>
                <a:pt x="3926" y="569"/>
              </a:lnTo>
              <a:lnTo>
                <a:pt x="3923" y="512"/>
              </a:lnTo>
              <a:lnTo>
                <a:pt x="3923" y="483"/>
              </a:lnTo>
              <a:lnTo>
                <a:pt x="3926" y="455"/>
              </a:lnTo>
              <a:lnTo>
                <a:pt x="3931" y="428"/>
              </a:lnTo>
              <a:lnTo>
                <a:pt x="3940" y="401"/>
              </a:lnTo>
              <a:lnTo>
                <a:pt x="3948" y="375"/>
              </a:lnTo>
              <a:lnTo>
                <a:pt x="3960" y="350"/>
              </a:lnTo>
              <a:lnTo>
                <a:pt x="3974" y="327"/>
              </a:lnTo>
              <a:lnTo>
                <a:pt x="3989" y="303"/>
              </a:lnTo>
              <a:lnTo>
                <a:pt x="4006" y="281"/>
              </a:lnTo>
              <a:lnTo>
                <a:pt x="4026" y="259"/>
              </a:lnTo>
              <a:lnTo>
                <a:pt x="4046" y="239"/>
              </a:lnTo>
              <a:lnTo>
                <a:pt x="4068" y="222"/>
              </a:lnTo>
              <a:lnTo>
                <a:pt x="4092" y="207"/>
              </a:lnTo>
              <a:lnTo>
                <a:pt x="4116" y="193"/>
              </a:lnTo>
              <a:lnTo>
                <a:pt x="4139" y="182"/>
              </a:lnTo>
              <a:lnTo>
                <a:pt x="4165" y="173"/>
              </a:lnTo>
              <a:lnTo>
                <a:pt x="4192" y="167"/>
              </a:lnTo>
              <a:lnTo>
                <a:pt x="4219" y="161"/>
              </a:lnTo>
              <a:lnTo>
                <a:pt x="4246" y="158"/>
              </a:lnTo>
              <a:lnTo>
                <a:pt x="4274" y="156"/>
              </a:lnTo>
              <a:lnTo>
                <a:pt x="4303" y="158"/>
              </a:lnTo>
              <a:lnTo>
                <a:pt x="4330" y="161"/>
              </a:lnTo>
              <a:lnTo>
                <a:pt x="4357" y="167"/>
              </a:lnTo>
              <a:lnTo>
                <a:pt x="4384" y="173"/>
              </a:lnTo>
              <a:lnTo>
                <a:pt x="4410" y="183"/>
              </a:lnTo>
              <a:lnTo>
                <a:pt x="4433" y="193"/>
              </a:lnTo>
              <a:lnTo>
                <a:pt x="4457" y="207"/>
              </a:lnTo>
              <a:lnTo>
                <a:pt x="4481" y="224"/>
              </a:lnTo>
              <a:lnTo>
                <a:pt x="4503" y="241"/>
              </a:lnTo>
              <a:lnTo>
                <a:pt x="4523" y="261"/>
              </a:lnTo>
              <a:close/>
              <a:moveTo>
                <a:pt x="2872" y="320"/>
              </a:moveTo>
              <a:lnTo>
                <a:pt x="2995" y="214"/>
              </a:lnTo>
              <a:lnTo>
                <a:pt x="2961" y="173"/>
              </a:lnTo>
              <a:lnTo>
                <a:pt x="2927" y="136"/>
              </a:lnTo>
              <a:lnTo>
                <a:pt x="2890" y="104"/>
              </a:lnTo>
              <a:lnTo>
                <a:pt x="2850" y="77"/>
              </a:lnTo>
              <a:lnTo>
                <a:pt x="2809" y="54"/>
              </a:lnTo>
              <a:lnTo>
                <a:pt x="2767" y="35"/>
              </a:lnTo>
              <a:lnTo>
                <a:pt x="2721" y="20"/>
              </a:lnTo>
              <a:lnTo>
                <a:pt x="2676" y="8"/>
              </a:lnTo>
              <a:lnTo>
                <a:pt x="2627" y="3"/>
              </a:lnTo>
              <a:lnTo>
                <a:pt x="2578" y="0"/>
              </a:lnTo>
              <a:lnTo>
                <a:pt x="2493" y="6"/>
              </a:lnTo>
              <a:lnTo>
                <a:pt x="2414" y="27"/>
              </a:lnTo>
              <a:lnTo>
                <a:pt x="2339" y="57"/>
              </a:lnTo>
              <a:lnTo>
                <a:pt x="2272" y="99"/>
              </a:lnTo>
              <a:lnTo>
                <a:pt x="2211" y="150"/>
              </a:lnTo>
              <a:lnTo>
                <a:pt x="2160" y="210"/>
              </a:lnTo>
              <a:lnTo>
                <a:pt x="2118" y="278"/>
              </a:lnTo>
              <a:lnTo>
                <a:pt x="2087" y="350"/>
              </a:lnTo>
              <a:lnTo>
                <a:pt x="2067" y="429"/>
              </a:lnTo>
              <a:lnTo>
                <a:pt x="2060" y="514"/>
              </a:lnTo>
              <a:lnTo>
                <a:pt x="2067" y="596"/>
              </a:lnTo>
              <a:lnTo>
                <a:pt x="2086" y="674"/>
              </a:lnTo>
              <a:lnTo>
                <a:pt x="2118" y="746"/>
              </a:lnTo>
              <a:lnTo>
                <a:pt x="2158" y="814"/>
              </a:lnTo>
              <a:lnTo>
                <a:pt x="2211" y="873"/>
              </a:lnTo>
              <a:lnTo>
                <a:pt x="2270" y="925"/>
              </a:lnTo>
              <a:lnTo>
                <a:pt x="2336" y="965"/>
              </a:lnTo>
              <a:lnTo>
                <a:pt x="2410" y="997"/>
              </a:lnTo>
              <a:lnTo>
                <a:pt x="2488" y="1016"/>
              </a:lnTo>
              <a:lnTo>
                <a:pt x="2571" y="1023"/>
              </a:lnTo>
              <a:lnTo>
                <a:pt x="2591" y="1023"/>
              </a:lnTo>
              <a:lnTo>
                <a:pt x="2613" y="1021"/>
              </a:lnTo>
              <a:lnTo>
                <a:pt x="2633" y="1019"/>
              </a:lnTo>
              <a:lnTo>
                <a:pt x="2654" y="1016"/>
              </a:lnTo>
              <a:lnTo>
                <a:pt x="2674" y="1013"/>
              </a:lnTo>
              <a:lnTo>
                <a:pt x="2694" y="1007"/>
              </a:lnTo>
              <a:lnTo>
                <a:pt x="2714" y="1001"/>
              </a:lnTo>
              <a:lnTo>
                <a:pt x="2735" y="994"/>
              </a:lnTo>
              <a:lnTo>
                <a:pt x="2755" y="987"/>
              </a:lnTo>
              <a:lnTo>
                <a:pt x="2774" y="979"/>
              </a:lnTo>
              <a:lnTo>
                <a:pt x="2794" y="969"/>
              </a:lnTo>
              <a:lnTo>
                <a:pt x="2811" y="960"/>
              </a:lnTo>
              <a:lnTo>
                <a:pt x="2829" y="950"/>
              </a:lnTo>
              <a:lnTo>
                <a:pt x="2846" y="938"/>
              </a:lnTo>
              <a:lnTo>
                <a:pt x="2863" y="927"/>
              </a:lnTo>
              <a:lnTo>
                <a:pt x="2880" y="915"/>
              </a:lnTo>
              <a:lnTo>
                <a:pt x="2895" y="901"/>
              </a:lnTo>
              <a:lnTo>
                <a:pt x="2910" y="888"/>
              </a:lnTo>
              <a:lnTo>
                <a:pt x="2924" y="873"/>
              </a:lnTo>
              <a:lnTo>
                <a:pt x="2939" y="857"/>
              </a:lnTo>
              <a:lnTo>
                <a:pt x="2951" y="842"/>
              </a:lnTo>
              <a:lnTo>
                <a:pt x="2963" y="827"/>
              </a:lnTo>
              <a:lnTo>
                <a:pt x="2973" y="812"/>
              </a:lnTo>
              <a:lnTo>
                <a:pt x="2983" y="797"/>
              </a:lnTo>
              <a:lnTo>
                <a:pt x="2992" y="780"/>
              </a:lnTo>
              <a:lnTo>
                <a:pt x="3000" y="763"/>
              </a:lnTo>
              <a:lnTo>
                <a:pt x="3009" y="746"/>
              </a:lnTo>
              <a:lnTo>
                <a:pt x="3015" y="729"/>
              </a:lnTo>
              <a:lnTo>
                <a:pt x="3020" y="713"/>
              </a:lnTo>
              <a:lnTo>
                <a:pt x="3025" y="694"/>
              </a:lnTo>
              <a:lnTo>
                <a:pt x="3029" y="679"/>
              </a:lnTo>
              <a:lnTo>
                <a:pt x="3034" y="662"/>
              </a:lnTo>
              <a:lnTo>
                <a:pt x="3036" y="645"/>
              </a:lnTo>
              <a:lnTo>
                <a:pt x="3039" y="628"/>
              </a:lnTo>
              <a:lnTo>
                <a:pt x="3041" y="610"/>
              </a:lnTo>
              <a:lnTo>
                <a:pt x="3042" y="591"/>
              </a:lnTo>
              <a:lnTo>
                <a:pt x="3044" y="571"/>
              </a:lnTo>
              <a:lnTo>
                <a:pt x="3044" y="551"/>
              </a:lnTo>
              <a:lnTo>
                <a:pt x="3044" y="531"/>
              </a:lnTo>
              <a:lnTo>
                <a:pt x="3044" y="509"/>
              </a:lnTo>
              <a:lnTo>
                <a:pt x="3041" y="478"/>
              </a:lnTo>
              <a:lnTo>
                <a:pt x="2594" y="478"/>
              </a:lnTo>
              <a:lnTo>
                <a:pt x="2594" y="635"/>
              </a:lnTo>
              <a:lnTo>
                <a:pt x="2868" y="635"/>
              </a:lnTo>
              <a:lnTo>
                <a:pt x="2867" y="654"/>
              </a:lnTo>
              <a:lnTo>
                <a:pt x="2861" y="672"/>
              </a:lnTo>
              <a:lnTo>
                <a:pt x="2856" y="689"/>
              </a:lnTo>
              <a:lnTo>
                <a:pt x="2848" y="706"/>
              </a:lnTo>
              <a:lnTo>
                <a:pt x="2840" y="721"/>
              </a:lnTo>
              <a:lnTo>
                <a:pt x="2829" y="738"/>
              </a:lnTo>
              <a:lnTo>
                <a:pt x="2818" y="751"/>
              </a:lnTo>
              <a:lnTo>
                <a:pt x="2804" y="766"/>
              </a:lnTo>
              <a:lnTo>
                <a:pt x="2790" y="780"/>
              </a:lnTo>
              <a:lnTo>
                <a:pt x="2774" y="793"/>
              </a:lnTo>
              <a:lnTo>
                <a:pt x="2757" y="809"/>
              </a:lnTo>
              <a:lnTo>
                <a:pt x="2736" y="820"/>
              </a:lnTo>
              <a:lnTo>
                <a:pt x="2718" y="832"/>
              </a:lnTo>
              <a:lnTo>
                <a:pt x="2698" y="841"/>
              </a:lnTo>
              <a:lnTo>
                <a:pt x="2677" y="849"/>
              </a:lnTo>
              <a:lnTo>
                <a:pt x="2657" y="856"/>
              </a:lnTo>
              <a:lnTo>
                <a:pt x="2635" y="861"/>
              </a:lnTo>
              <a:lnTo>
                <a:pt x="2613" y="864"/>
              </a:lnTo>
              <a:lnTo>
                <a:pt x="2591" y="866"/>
              </a:lnTo>
              <a:lnTo>
                <a:pt x="2567" y="868"/>
              </a:lnTo>
              <a:lnTo>
                <a:pt x="2542" y="866"/>
              </a:lnTo>
              <a:lnTo>
                <a:pt x="2515" y="863"/>
              </a:lnTo>
              <a:lnTo>
                <a:pt x="2490" y="857"/>
              </a:lnTo>
              <a:lnTo>
                <a:pt x="2466" y="849"/>
              </a:lnTo>
              <a:lnTo>
                <a:pt x="2441" y="839"/>
              </a:lnTo>
              <a:lnTo>
                <a:pt x="2417" y="827"/>
              </a:lnTo>
              <a:lnTo>
                <a:pt x="2393" y="814"/>
              </a:lnTo>
              <a:lnTo>
                <a:pt x="2370" y="797"/>
              </a:lnTo>
              <a:lnTo>
                <a:pt x="2348" y="778"/>
              </a:lnTo>
              <a:lnTo>
                <a:pt x="2326" y="758"/>
              </a:lnTo>
              <a:lnTo>
                <a:pt x="2305" y="736"/>
              </a:lnTo>
              <a:lnTo>
                <a:pt x="2289" y="716"/>
              </a:lnTo>
              <a:lnTo>
                <a:pt x="2273" y="692"/>
              </a:lnTo>
              <a:lnTo>
                <a:pt x="2261" y="670"/>
              </a:lnTo>
              <a:lnTo>
                <a:pt x="2250" y="647"/>
              </a:lnTo>
              <a:lnTo>
                <a:pt x="2241" y="622"/>
              </a:lnTo>
              <a:lnTo>
                <a:pt x="2234" y="596"/>
              </a:lnTo>
              <a:lnTo>
                <a:pt x="2229" y="569"/>
              </a:lnTo>
              <a:lnTo>
                <a:pt x="2226" y="542"/>
              </a:lnTo>
              <a:lnTo>
                <a:pt x="2224" y="515"/>
              </a:lnTo>
              <a:lnTo>
                <a:pt x="2226" y="485"/>
              </a:lnTo>
              <a:lnTo>
                <a:pt x="2229" y="456"/>
              </a:lnTo>
              <a:lnTo>
                <a:pt x="2234" y="429"/>
              </a:lnTo>
              <a:lnTo>
                <a:pt x="2241" y="402"/>
              </a:lnTo>
              <a:lnTo>
                <a:pt x="2251" y="375"/>
              </a:lnTo>
              <a:lnTo>
                <a:pt x="2263" y="350"/>
              </a:lnTo>
              <a:lnTo>
                <a:pt x="2277" y="327"/>
              </a:lnTo>
              <a:lnTo>
                <a:pt x="2292" y="303"/>
              </a:lnTo>
              <a:lnTo>
                <a:pt x="2310" y="279"/>
              </a:lnTo>
              <a:lnTo>
                <a:pt x="2331" y="258"/>
              </a:lnTo>
              <a:lnTo>
                <a:pt x="2353" y="239"/>
              </a:lnTo>
              <a:lnTo>
                <a:pt x="2373" y="220"/>
              </a:lnTo>
              <a:lnTo>
                <a:pt x="2397" y="205"/>
              </a:lnTo>
              <a:lnTo>
                <a:pt x="2419" y="193"/>
              </a:lnTo>
              <a:lnTo>
                <a:pt x="2444" y="182"/>
              </a:lnTo>
              <a:lnTo>
                <a:pt x="2468" y="173"/>
              </a:lnTo>
              <a:lnTo>
                <a:pt x="2493" y="167"/>
              </a:lnTo>
              <a:lnTo>
                <a:pt x="2520" y="161"/>
              </a:lnTo>
              <a:lnTo>
                <a:pt x="2547" y="158"/>
              </a:lnTo>
              <a:lnTo>
                <a:pt x="2576" y="156"/>
              </a:lnTo>
              <a:lnTo>
                <a:pt x="2611" y="158"/>
              </a:lnTo>
              <a:lnTo>
                <a:pt x="2645" y="163"/>
              </a:lnTo>
              <a:lnTo>
                <a:pt x="2677" y="172"/>
              </a:lnTo>
              <a:lnTo>
                <a:pt x="2709" y="183"/>
              </a:lnTo>
              <a:lnTo>
                <a:pt x="2738" y="199"/>
              </a:lnTo>
              <a:lnTo>
                <a:pt x="2767" y="215"/>
              </a:lnTo>
              <a:lnTo>
                <a:pt x="2796" y="237"/>
              </a:lnTo>
              <a:lnTo>
                <a:pt x="2821" y="261"/>
              </a:lnTo>
              <a:lnTo>
                <a:pt x="2846" y="290"/>
              </a:lnTo>
              <a:lnTo>
                <a:pt x="2872" y="320"/>
              </a:lnTo>
              <a:close/>
              <a:moveTo>
                <a:pt x="1819" y="792"/>
              </a:moveTo>
              <a:lnTo>
                <a:pt x="1910" y="1007"/>
              </a:lnTo>
              <a:lnTo>
                <a:pt x="2091" y="1007"/>
              </a:lnTo>
              <a:lnTo>
                <a:pt x="1668" y="13"/>
              </a:lnTo>
              <a:lnTo>
                <a:pt x="1585" y="13"/>
              </a:lnTo>
              <a:lnTo>
                <a:pt x="1151" y="1007"/>
              </a:lnTo>
              <a:lnTo>
                <a:pt x="1330" y="1007"/>
              </a:lnTo>
              <a:lnTo>
                <a:pt x="1425" y="787"/>
              </a:lnTo>
              <a:lnTo>
                <a:pt x="1427" y="785"/>
              </a:lnTo>
              <a:lnTo>
                <a:pt x="1427" y="783"/>
              </a:lnTo>
              <a:lnTo>
                <a:pt x="1427" y="782"/>
              </a:lnTo>
              <a:lnTo>
                <a:pt x="1427" y="780"/>
              </a:lnTo>
              <a:lnTo>
                <a:pt x="1428" y="778"/>
              </a:lnTo>
              <a:lnTo>
                <a:pt x="1428" y="777"/>
              </a:lnTo>
              <a:lnTo>
                <a:pt x="1428" y="775"/>
              </a:lnTo>
              <a:lnTo>
                <a:pt x="1430" y="773"/>
              </a:lnTo>
              <a:lnTo>
                <a:pt x="1432" y="773"/>
              </a:lnTo>
              <a:lnTo>
                <a:pt x="1433" y="775"/>
              </a:lnTo>
              <a:lnTo>
                <a:pt x="1435" y="775"/>
              </a:lnTo>
              <a:lnTo>
                <a:pt x="1437" y="777"/>
              </a:lnTo>
              <a:lnTo>
                <a:pt x="1438" y="777"/>
              </a:lnTo>
              <a:lnTo>
                <a:pt x="1440" y="777"/>
              </a:lnTo>
              <a:lnTo>
                <a:pt x="1443" y="778"/>
              </a:lnTo>
              <a:lnTo>
                <a:pt x="1445" y="778"/>
              </a:lnTo>
              <a:lnTo>
                <a:pt x="1447" y="780"/>
              </a:lnTo>
              <a:lnTo>
                <a:pt x="1464" y="785"/>
              </a:lnTo>
              <a:lnTo>
                <a:pt x="1481" y="792"/>
              </a:lnTo>
              <a:lnTo>
                <a:pt x="1498" y="795"/>
              </a:lnTo>
              <a:lnTo>
                <a:pt x="1514" y="800"/>
              </a:lnTo>
              <a:lnTo>
                <a:pt x="1533" y="804"/>
              </a:lnTo>
              <a:lnTo>
                <a:pt x="1552" y="807"/>
              </a:lnTo>
              <a:lnTo>
                <a:pt x="1570" y="809"/>
              </a:lnTo>
              <a:lnTo>
                <a:pt x="1589" y="810"/>
              </a:lnTo>
              <a:lnTo>
                <a:pt x="1607" y="812"/>
              </a:lnTo>
              <a:lnTo>
                <a:pt x="1626" y="812"/>
              </a:lnTo>
              <a:lnTo>
                <a:pt x="1645" y="812"/>
              </a:lnTo>
              <a:lnTo>
                <a:pt x="1663" y="810"/>
              </a:lnTo>
              <a:lnTo>
                <a:pt x="1680" y="809"/>
              </a:lnTo>
              <a:lnTo>
                <a:pt x="1699" y="807"/>
              </a:lnTo>
              <a:lnTo>
                <a:pt x="1716" y="804"/>
              </a:lnTo>
              <a:lnTo>
                <a:pt x="1731" y="800"/>
              </a:lnTo>
              <a:lnTo>
                <a:pt x="1746" y="798"/>
              </a:lnTo>
              <a:lnTo>
                <a:pt x="1760" y="793"/>
              </a:lnTo>
              <a:lnTo>
                <a:pt x="1773" y="790"/>
              </a:lnTo>
              <a:lnTo>
                <a:pt x="1785" y="787"/>
              </a:lnTo>
              <a:lnTo>
                <a:pt x="1790" y="785"/>
              </a:lnTo>
              <a:lnTo>
                <a:pt x="1793" y="783"/>
              </a:lnTo>
              <a:lnTo>
                <a:pt x="1798" y="782"/>
              </a:lnTo>
              <a:lnTo>
                <a:pt x="1802" y="782"/>
              </a:lnTo>
              <a:lnTo>
                <a:pt x="1803" y="780"/>
              </a:lnTo>
              <a:lnTo>
                <a:pt x="1807" y="778"/>
              </a:lnTo>
              <a:lnTo>
                <a:pt x="1809" y="778"/>
              </a:lnTo>
              <a:lnTo>
                <a:pt x="1810" y="777"/>
              </a:lnTo>
              <a:lnTo>
                <a:pt x="1812" y="775"/>
              </a:lnTo>
              <a:lnTo>
                <a:pt x="1814" y="775"/>
              </a:lnTo>
              <a:lnTo>
                <a:pt x="1815" y="777"/>
              </a:lnTo>
              <a:lnTo>
                <a:pt x="1815" y="778"/>
              </a:lnTo>
              <a:lnTo>
                <a:pt x="1815" y="780"/>
              </a:lnTo>
              <a:lnTo>
                <a:pt x="1815" y="782"/>
              </a:lnTo>
              <a:lnTo>
                <a:pt x="1817" y="783"/>
              </a:lnTo>
              <a:lnTo>
                <a:pt x="1817" y="785"/>
              </a:lnTo>
              <a:lnTo>
                <a:pt x="1819" y="787"/>
              </a:lnTo>
              <a:lnTo>
                <a:pt x="1819" y="788"/>
              </a:lnTo>
              <a:lnTo>
                <a:pt x="1819" y="790"/>
              </a:lnTo>
              <a:lnTo>
                <a:pt x="1819" y="792"/>
              </a:lnTo>
              <a:close/>
              <a:moveTo>
                <a:pt x="210" y="1007"/>
              </a:moveTo>
              <a:lnTo>
                <a:pt x="264" y="1007"/>
              </a:lnTo>
              <a:lnTo>
                <a:pt x="314" y="1002"/>
              </a:lnTo>
              <a:lnTo>
                <a:pt x="362" y="997"/>
              </a:lnTo>
              <a:lnTo>
                <a:pt x="409" y="989"/>
              </a:lnTo>
              <a:lnTo>
                <a:pt x="451" y="977"/>
              </a:lnTo>
              <a:lnTo>
                <a:pt x="492" y="964"/>
              </a:lnTo>
              <a:lnTo>
                <a:pt x="529" y="947"/>
              </a:lnTo>
              <a:lnTo>
                <a:pt x="565" y="928"/>
              </a:lnTo>
              <a:lnTo>
                <a:pt x="597" y="906"/>
              </a:lnTo>
              <a:lnTo>
                <a:pt x="627" y="883"/>
              </a:lnTo>
              <a:lnTo>
                <a:pt x="658" y="852"/>
              </a:lnTo>
              <a:lnTo>
                <a:pt x="685" y="822"/>
              </a:lnTo>
              <a:lnTo>
                <a:pt x="710" y="788"/>
              </a:lnTo>
              <a:lnTo>
                <a:pt x="730" y="755"/>
              </a:lnTo>
              <a:lnTo>
                <a:pt x="749" y="718"/>
              </a:lnTo>
              <a:lnTo>
                <a:pt x="764" y="681"/>
              </a:lnTo>
              <a:lnTo>
                <a:pt x="774" y="640"/>
              </a:lnTo>
              <a:lnTo>
                <a:pt x="783" y="600"/>
              </a:lnTo>
              <a:lnTo>
                <a:pt x="788" y="558"/>
              </a:lnTo>
              <a:lnTo>
                <a:pt x="789" y="514"/>
              </a:lnTo>
              <a:lnTo>
                <a:pt x="788" y="466"/>
              </a:lnTo>
              <a:lnTo>
                <a:pt x="783" y="423"/>
              </a:lnTo>
              <a:lnTo>
                <a:pt x="774" y="381"/>
              </a:lnTo>
              <a:lnTo>
                <a:pt x="762" y="340"/>
              </a:lnTo>
              <a:lnTo>
                <a:pt x="747" y="301"/>
              </a:lnTo>
              <a:lnTo>
                <a:pt x="730" y="264"/>
              </a:lnTo>
              <a:lnTo>
                <a:pt x="708" y="229"/>
              </a:lnTo>
              <a:lnTo>
                <a:pt x="683" y="197"/>
              </a:lnTo>
              <a:lnTo>
                <a:pt x="654" y="165"/>
              </a:lnTo>
              <a:lnTo>
                <a:pt x="624" y="136"/>
              </a:lnTo>
              <a:lnTo>
                <a:pt x="593" y="114"/>
              </a:lnTo>
              <a:lnTo>
                <a:pt x="561" y="94"/>
              </a:lnTo>
              <a:lnTo>
                <a:pt x="527" y="76"/>
              </a:lnTo>
              <a:lnTo>
                <a:pt x="490" y="60"/>
              </a:lnTo>
              <a:lnTo>
                <a:pt x="450" y="47"/>
              </a:lnTo>
              <a:lnTo>
                <a:pt x="407" y="35"/>
              </a:lnTo>
              <a:lnTo>
                <a:pt x="362" y="28"/>
              </a:lnTo>
              <a:lnTo>
                <a:pt x="314" y="22"/>
              </a:lnTo>
              <a:lnTo>
                <a:pt x="264" y="18"/>
              </a:lnTo>
              <a:lnTo>
                <a:pt x="211" y="17"/>
              </a:lnTo>
              <a:lnTo>
                <a:pt x="0" y="17"/>
              </a:lnTo>
              <a:lnTo>
                <a:pt x="0" y="1007"/>
              </a:lnTo>
              <a:lnTo>
                <a:pt x="210" y="1007"/>
              </a:lnTo>
              <a:close/>
              <a:moveTo>
                <a:pt x="923" y="17"/>
              </a:moveTo>
              <a:lnTo>
                <a:pt x="923" y="1007"/>
              </a:lnTo>
              <a:lnTo>
                <a:pt x="1085" y="1007"/>
              </a:lnTo>
              <a:lnTo>
                <a:pt x="1085" y="17"/>
              </a:lnTo>
              <a:lnTo>
                <a:pt x="923" y="17"/>
              </a:lnTo>
              <a:close/>
              <a:moveTo>
                <a:pt x="3313" y="546"/>
              </a:moveTo>
              <a:lnTo>
                <a:pt x="3661" y="546"/>
              </a:lnTo>
              <a:lnTo>
                <a:pt x="3661" y="391"/>
              </a:lnTo>
              <a:lnTo>
                <a:pt x="3313" y="391"/>
              </a:lnTo>
              <a:lnTo>
                <a:pt x="3313" y="173"/>
              </a:lnTo>
              <a:lnTo>
                <a:pt x="3691" y="173"/>
              </a:lnTo>
              <a:lnTo>
                <a:pt x="3691" y="17"/>
              </a:lnTo>
              <a:lnTo>
                <a:pt x="3150" y="17"/>
              </a:lnTo>
              <a:lnTo>
                <a:pt x="3150" y="1007"/>
              </a:lnTo>
              <a:lnTo>
                <a:pt x="3693" y="1007"/>
              </a:lnTo>
              <a:lnTo>
                <a:pt x="3693" y="851"/>
              </a:lnTo>
              <a:lnTo>
                <a:pt x="3313" y="851"/>
              </a:lnTo>
              <a:lnTo>
                <a:pt x="3313" y="546"/>
              </a:lnTo>
              <a:close/>
              <a:moveTo>
                <a:pt x="3909" y="151"/>
              </a:moveTo>
              <a:lnTo>
                <a:pt x="3881" y="182"/>
              </a:lnTo>
              <a:lnTo>
                <a:pt x="3855" y="214"/>
              </a:lnTo>
              <a:lnTo>
                <a:pt x="3833" y="246"/>
              </a:lnTo>
              <a:lnTo>
                <a:pt x="3813" y="281"/>
              </a:lnTo>
              <a:lnTo>
                <a:pt x="3796" y="317"/>
              </a:lnTo>
              <a:lnTo>
                <a:pt x="3783" y="354"/>
              </a:lnTo>
              <a:lnTo>
                <a:pt x="3772" y="391"/>
              </a:lnTo>
              <a:lnTo>
                <a:pt x="3764" y="431"/>
              </a:lnTo>
              <a:lnTo>
                <a:pt x="3761" y="472"/>
              </a:lnTo>
              <a:lnTo>
                <a:pt x="3759" y="514"/>
              </a:lnTo>
              <a:lnTo>
                <a:pt x="3766" y="596"/>
              </a:lnTo>
              <a:lnTo>
                <a:pt x="3784" y="675"/>
              </a:lnTo>
              <a:lnTo>
                <a:pt x="3816" y="750"/>
              </a:lnTo>
              <a:lnTo>
                <a:pt x="3857" y="815"/>
              </a:lnTo>
              <a:lnTo>
                <a:pt x="3909" y="874"/>
              </a:lnTo>
              <a:lnTo>
                <a:pt x="3970" y="927"/>
              </a:lnTo>
              <a:lnTo>
                <a:pt x="4038" y="967"/>
              </a:lnTo>
              <a:lnTo>
                <a:pt x="4110" y="997"/>
              </a:lnTo>
              <a:lnTo>
                <a:pt x="4190" y="1016"/>
              </a:lnTo>
              <a:lnTo>
                <a:pt x="4274" y="1023"/>
              </a:lnTo>
              <a:lnTo>
                <a:pt x="4359" y="1018"/>
              </a:lnTo>
              <a:lnTo>
                <a:pt x="4438" y="997"/>
              </a:lnTo>
              <a:lnTo>
                <a:pt x="4513" y="967"/>
              </a:lnTo>
              <a:lnTo>
                <a:pt x="4580" y="927"/>
              </a:lnTo>
              <a:lnTo>
                <a:pt x="4640" y="876"/>
              </a:lnTo>
              <a:lnTo>
                <a:pt x="4692" y="817"/>
              </a:lnTo>
              <a:lnTo>
                <a:pt x="4732" y="750"/>
              </a:lnTo>
              <a:lnTo>
                <a:pt x="4765" y="675"/>
              </a:lnTo>
              <a:lnTo>
                <a:pt x="4783" y="596"/>
              </a:lnTo>
              <a:lnTo>
                <a:pt x="4790" y="514"/>
              </a:lnTo>
              <a:lnTo>
                <a:pt x="4788" y="472"/>
              </a:lnTo>
              <a:lnTo>
                <a:pt x="4785" y="431"/>
              </a:lnTo>
              <a:lnTo>
                <a:pt x="4776" y="392"/>
              </a:lnTo>
              <a:lnTo>
                <a:pt x="4766" y="354"/>
              </a:lnTo>
              <a:lnTo>
                <a:pt x="4753" y="318"/>
              </a:lnTo>
              <a:lnTo>
                <a:pt x="4736" y="283"/>
              </a:lnTo>
              <a:lnTo>
                <a:pt x="4716" y="247"/>
              </a:lnTo>
              <a:lnTo>
                <a:pt x="4694" y="215"/>
              </a:lnTo>
              <a:lnTo>
                <a:pt x="4668" y="183"/>
              </a:lnTo>
              <a:lnTo>
                <a:pt x="4640" y="151"/>
              </a:lnTo>
              <a:lnTo>
                <a:pt x="4609" y="123"/>
              </a:lnTo>
              <a:lnTo>
                <a:pt x="4577" y="97"/>
              </a:lnTo>
              <a:lnTo>
                <a:pt x="4543" y="74"/>
              </a:lnTo>
              <a:lnTo>
                <a:pt x="4509" y="55"/>
              </a:lnTo>
              <a:lnTo>
                <a:pt x="4472" y="38"/>
              </a:lnTo>
              <a:lnTo>
                <a:pt x="4435" y="25"/>
              </a:lnTo>
              <a:lnTo>
                <a:pt x="4398" y="13"/>
              </a:lnTo>
              <a:lnTo>
                <a:pt x="4357" y="6"/>
              </a:lnTo>
              <a:lnTo>
                <a:pt x="4317" y="1"/>
              </a:lnTo>
              <a:lnTo>
                <a:pt x="4274" y="0"/>
              </a:lnTo>
              <a:lnTo>
                <a:pt x="4232" y="1"/>
              </a:lnTo>
              <a:lnTo>
                <a:pt x="4192" y="6"/>
              </a:lnTo>
              <a:lnTo>
                <a:pt x="4153" y="13"/>
              </a:lnTo>
              <a:lnTo>
                <a:pt x="4114" y="25"/>
              </a:lnTo>
              <a:lnTo>
                <a:pt x="4077" y="38"/>
              </a:lnTo>
              <a:lnTo>
                <a:pt x="4041" y="55"/>
              </a:lnTo>
              <a:lnTo>
                <a:pt x="4006" y="74"/>
              </a:lnTo>
              <a:lnTo>
                <a:pt x="3974" y="97"/>
              </a:lnTo>
              <a:lnTo>
                <a:pt x="3941" y="123"/>
              </a:lnTo>
              <a:lnTo>
                <a:pt x="3909" y="151"/>
              </a:lnTo>
              <a:close/>
            </a:path>
          </a:pathLst>
        </a:custGeom>
        <a:solidFill>
          <a:srgbClr val="D10077"/>
        </a:solidFill>
        <a:ln w="9525">
          <a:noFill/>
          <a:round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933450</xdr:colOff>
          <xdr:row>0</xdr:row>
          <xdr:rowOff>171450</xdr:rowOff>
        </xdr:from>
        <xdr:to>
          <xdr:col>7</xdr:col>
          <xdr:colOff>3009900</xdr:colOff>
          <xdr:row>3</xdr:row>
          <xdr:rowOff>88900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8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933450</xdr:colOff>
          <xdr:row>0</xdr:row>
          <xdr:rowOff>171450</xdr:rowOff>
        </xdr:from>
        <xdr:to>
          <xdr:col>7</xdr:col>
          <xdr:colOff>3009900</xdr:colOff>
          <xdr:row>3</xdr:row>
          <xdr:rowOff>88900</xdr:rowOff>
        </xdr:to>
        <xdr:sp macro="" textlink="">
          <xdr:nvSpPr>
            <xdr:cNvPr id="356353" name="Button 1" hidden="1">
              <a:extLst>
                <a:ext uri="{63B3BB69-23CF-44E3-9099-C40C66FF867C}">
                  <a14:compatExt spid="_x0000_s356353"/>
                </a:ext>
                <a:ext uri="{FF2B5EF4-FFF2-40B4-BE49-F238E27FC236}">
                  <a16:creationId xmlns:a16="http://schemas.microsoft.com/office/drawing/2014/main" id="{00000000-0008-0000-0900-000001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171450</xdr:rowOff>
        </xdr:from>
        <xdr:to>
          <xdr:col>7</xdr:col>
          <xdr:colOff>3200400</xdr:colOff>
          <xdr:row>3</xdr:row>
          <xdr:rowOff>88900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A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1117600</xdr:colOff>
          <xdr:row>1</xdr:row>
          <xdr:rowOff>19050</xdr:rowOff>
        </xdr:from>
        <xdr:to>
          <xdr:col>7</xdr:col>
          <xdr:colOff>3194050</xdr:colOff>
          <xdr:row>3</xdr:row>
          <xdr:rowOff>127000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B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1009650</xdr:colOff>
          <xdr:row>1</xdr:row>
          <xdr:rowOff>50800</xdr:rowOff>
        </xdr:from>
        <xdr:to>
          <xdr:col>7</xdr:col>
          <xdr:colOff>3086100</xdr:colOff>
          <xdr:row>3</xdr:row>
          <xdr:rowOff>152400</xdr:rowOff>
        </xdr:to>
        <xdr:sp macro="" textlink="">
          <xdr:nvSpPr>
            <xdr:cNvPr id="116739" name="Button 3" hidden="1">
              <a:extLst>
                <a:ext uri="{63B3BB69-23CF-44E3-9099-C40C66FF867C}">
                  <a14:compatExt spid="_x0000_s116739"/>
                </a:ext>
                <a:ext uri="{FF2B5EF4-FFF2-40B4-BE49-F238E27FC236}">
                  <a16:creationId xmlns:a16="http://schemas.microsoft.com/office/drawing/2014/main" id="{00000000-0008-0000-0C00-000003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</xdr:row>
          <xdr:rowOff>95250</xdr:rowOff>
        </xdr:from>
        <xdr:to>
          <xdr:col>7</xdr:col>
          <xdr:colOff>3067050</xdr:colOff>
          <xdr:row>3</xdr:row>
          <xdr:rowOff>203200</xdr:rowOff>
        </xdr:to>
        <xdr:sp macro="" textlink="">
          <xdr:nvSpPr>
            <xdr:cNvPr id="220163" name="Button 3" hidden="1">
              <a:extLst>
                <a:ext uri="{63B3BB69-23CF-44E3-9099-C40C66FF867C}">
                  <a14:compatExt spid="_x0000_s220163"/>
                </a:ext>
                <a:ext uri="{FF2B5EF4-FFF2-40B4-BE49-F238E27FC236}">
                  <a16:creationId xmlns:a16="http://schemas.microsoft.com/office/drawing/2014/main" id="{00000000-0008-0000-0D00-000003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1009650</xdr:colOff>
          <xdr:row>1</xdr:row>
          <xdr:rowOff>19050</xdr:rowOff>
        </xdr:from>
        <xdr:to>
          <xdr:col>7</xdr:col>
          <xdr:colOff>3086100</xdr:colOff>
          <xdr:row>3</xdr:row>
          <xdr:rowOff>127000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E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1009650</xdr:colOff>
          <xdr:row>0</xdr:row>
          <xdr:rowOff>165100</xdr:rowOff>
        </xdr:from>
        <xdr:to>
          <xdr:col>7</xdr:col>
          <xdr:colOff>3086100</xdr:colOff>
          <xdr:row>3</xdr:row>
          <xdr:rowOff>69850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F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1212850</xdr:colOff>
          <xdr:row>1</xdr:row>
          <xdr:rowOff>38100</xdr:rowOff>
        </xdr:from>
        <xdr:to>
          <xdr:col>7</xdr:col>
          <xdr:colOff>3289300</xdr:colOff>
          <xdr:row>3</xdr:row>
          <xdr:rowOff>146050</xdr:rowOff>
        </xdr:to>
        <xdr:sp macro="" textlink="">
          <xdr:nvSpPr>
            <xdr:cNvPr id="118787" name="Button 3" hidden="1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1000-000003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1181100</xdr:colOff>
          <xdr:row>0</xdr:row>
          <xdr:rowOff>171450</xdr:rowOff>
        </xdr:from>
        <xdr:to>
          <xdr:col>7</xdr:col>
          <xdr:colOff>3257550</xdr:colOff>
          <xdr:row>3</xdr:row>
          <xdr:rowOff>88900</xdr:rowOff>
        </xdr:to>
        <xdr:sp macro="" textlink="">
          <xdr:nvSpPr>
            <xdr:cNvPr id="119811" name="Button 3" hidden="1">
              <a:extLst>
                <a:ext uri="{63B3BB69-23CF-44E3-9099-C40C66FF867C}">
                  <a14:compatExt spid="_x0000_s119811"/>
                </a:ext>
                <a:ext uri="{FF2B5EF4-FFF2-40B4-BE49-F238E27FC236}">
                  <a16:creationId xmlns:a16="http://schemas.microsoft.com/office/drawing/2014/main" id="{00000000-0008-0000-1100-000003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1041400</xdr:colOff>
          <xdr:row>1</xdr:row>
          <xdr:rowOff>12700</xdr:rowOff>
        </xdr:from>
        <xdr:to>
          <xdr:col>7</xdr:col>
          <xdr:colOff>3117850</xdr:colOff>
          <xdr:row>3</xdr:row>
          <xdr:rowOff>114300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1174750</xdr:colOff>
          <xdr:row>1</xdr:row>
          <xdr:rowOff>19050</xdr:rowOff>
        </xdr:from>
        <xdr:to>
          <xdr:col>7</xdr:col>
          <xdr:colOff>3251200</xdr:colOff>
          <xdr:row>3</xdr:row>
          <xdr:rowOff>127000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13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184150</xdr:rowOff>
        </xdr:from>
        <xdr:to>
          <xdr:col>7</xdr:col>
          <xdr:colOff>3200400</xdr:colOff>
          <xdr:row>3</xdr:row>
          <xdr:rowOff>95250</xdr:rowOff>
        </xdr:to>
        <xdr:sp macro="" textlink="">
          <xdr:nvSpPr>
            <xdr:cNvPr id="120835" name="Button 3" hidden="1">
              <a:extLst>
                <a:ext uri="{63B3BB69-23CF-44E3-9099-C40C66FF867C}">
                  <a14:compatExt spid="_x0000_s120835"/>
                </a:ext>
                <a:ext uri="{FF2B5EF4-FFF2-40B4-BE49-F238E27FC236}">
                  <a16:creationId xmlns:a16="http://schemas.microsoft.com/office/drawing/2014/main" id="{00000000-0008-0000-1400-000003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850900</xdr:colOff>
          <xdr:row>1</xdr:row>
          <xdr:rowOff>50800</xdr:rowOff>
        </xdr:from>
        <xdr:to>
          <xdr:col>7</xdr:col>
          <xdr:colOff>2927350</xdr:colOff>
          <xdr:row>3</xdr:row>
          <xdr:rowOff>152400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5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755650</xdr:colOff>
          <xdr:row>0</xdr:row>
          <xdr:rowOff>171450</xdr:rowOff>
        </xdr:from>
        <xdr:to>
          <xdr:col>7</xdr:col>
          <xdr:colOff>2832100</xdr:colOff>
          <xdr:row>3</xdr:row>
          <xdr:rowOff>88900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6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1003300</xdr:colOff>
          <xdr:row>0</xdr:row>
          <xdr:rowOff>165100</xdr:rowOff>
        </xdr:from>
        <xdr:to>
          <xdr:col>7</xdr:col>
          <xdr:colOff>3079750</xdr:colOff>
          <xdr:row>3</xdr:row>
          <xdr:rowOff>69850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7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831850</xdr:colOff>
          <xdr:row>0</xdr:row>
          <xdr:rowOff>146050</xdr:rowOff>
        </xdr:from>
        <xdr:to>
          <xdr:col>7</xdr:col>
          <xdr:colOff>2908300</xdr:colOff>
          <xdr:row>3</xdr:row>
          <xdr:rowOff>57150</xdr:rowOff>
        </xdr:to>
        <xdr:sp macro="" textlink="">
          <xdr:nvSpPr>
            <xdr:cNvPr id="121859" name="Button 3" hidden="1">
              <a:extLst>
                <a:ext uri="{63B3BB69-23CF-44E3-9099-C40C66FF867C}">
                  <a14:compatExt spid="_x0000_s121859"/>
                </a:ext>
                <a:ext uri="{FF2B5EF4-FFF2-40B4-BE49-F238E27FC236}">
                  <a16:creationId xmlns:a16="http://schemas.microsoft.com/office/drawing/2014/main" id="{00000000-0008-0000-1800-000003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8707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6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9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/>
      </xdr:nvSpPr>
      <xdr:spPr>
        <a:xfrm>
          <a:off x="11964458" y="27294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SpPr/>
      </xdr:nvSpPr>
      <xdr:spPr>
        <a:xfrm>
          <a:off x="11968691" y="39232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895350</xdr:colOff>
          <xdr:row>0</xdr:row>
          <xdr:rowOff>190500</xdr:rowOff>
        </xdr:from>
        <xdr:to>
          <xdr:col>7</xdr:col>
          <xdr:colOff>2971800</xdr:colOff>
          <xdr:row>3</xdr:row>
          <xdr:rowOff>107950</xdr:rowOff>
        </xdr:to>
        <xdr:sp macro="" textlink="">
          <xdr:nvSpPr>
            <xdr:cNvPr id="122883" name="Button 3" hidden="1">
              <a:extLst>
                <a:ext uri="{63B3BB69-23CF-44E3-9099-C40C66FF867C}">
                  <a14:compatExt spid="_x0000_s122883"/>
                </a:ext>
                <a:ext uri="{FF2B5EF4-FFF2-40B4-BE49-F238E27FC236}">
                  <a16:creationId xmlns:a16="http://schemas.microsoft.com/office/drawing/2014/main" id="{00000000-0008-0000-1900-000003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8707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6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9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11964458" y="27294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SpPr/>
      </xdr:nvSpPr>
      <xdr:spPr>
        <a:xfrm>
          <a:off x="11968691" y="39232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0</xdr:row>
          <xdr:rowOff>171450</xdr:rowOff>
        </xdr:from>
        <xdr:to>
          <xdr:col>7</xdr:col>
          <xdr:colOff>2781300</xdr:colOff>
          <xdr:row>3</xdr:row>
          <xdr:rowOff>107950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1A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8707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6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6" name="3ndD0PrkUao36M:" descr="Resultado de imagen para te hatsu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9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SpPr/>
      </xdr:nvSpPr>
      <xdr:spPr>
        <a:xfrm>
          <a:off x="11964458" y="27294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9" name="Flecha: hacia arriba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SpPr/>
      </xdr:nvSpPr>
      <xdr:spPr>
        <a:xfrm>
          <a:off x="11968691" y="39232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0</xdr:row>
          <xdr:rowOff>184150</xdr:rowOff>
        </xdr:from>
        <xdr:to>
          <xdr:col>7</xdr:col>
          <xdr:colOff>2794000</xdr:colOff>
          <xdr:row>3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1B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776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3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8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SpPr/>
      </xdr:nvSpPr>
      <xdr:spPr>
        <a:xfrm>
          <a:off x="11964458" y="352001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SpPr/>
      </xdr:nvSpPr>
      <xdr:spPr>
        <a:xfrm>
          <a:off x="11968691" y="471381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717550</xdr:colOff>
          <xdr:row>1</xdr:row>
          <xdr:rowOff>0</xdr:rowOff>
        </xdr:from>
        <xdr:to>
          <xdr:col>7</xdr:col>
          <xdr:colOff>2800350</xdr:colOff>
          <xdr:row>3</xdr:row>
          <xdr:rowOff>107950</xdr:rowOff>
        </xdr:to>
        <xdr:sp macro="" textlink="">
          <xdr:nvSpPr>
            <xdr:cNvPr id="123907" name="Button 3" hidden="1">
              <a:extLst>
                <a:ext uri="{63B3BB69-23CF-44E3-9099-C40C66FF867C}">
                  <a14:compatExt spid="_x0000_s123907"/>
                </a:ext>
                <a:ext uri="{FF2B5EF4-FFF2-40B4-BE49-F238E27FC236}">
                  <a16:creationId xmlns:a16="http://schemas.microsoft.com/office/drawing/2014/main" id="{00000000-0008-0000-1C00-000003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D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1085850</xdr:colOff>
          <xdr:row>1</xdr:row>
          <xdr:rowOff>12700</xdr:rowOff>
        </xdr:from>
        <xdr:to>
          <xdr:col>7</xdr:col>
          <xdr:colOff>3175000</xdr:colOff>
          <xdr:row>3</xdr:row>
          <xdr:rowOff>114300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E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1</xdr:row>
          <xdr:rowOff>38100</xdr:rowOff>
        </xdr:from>
        <xdr:to>
          <xdr:col>7</xdr:col>
          <xdr:colOff>2876550</xdr:colOff>
          <xdr:row>3</xdr:row>
          <xdr:rowOff>146050</xdr:rowOff>
        </xdr:to>
        <xdr:sp macro="" textlink="">
          <xdr:nvSpPr>
            <xdr:cNvPr id="124931" name="Button 3" hidden="1">
              <a:extLst>
                <a:ext uri="{63B3BB69-23CF-44E3-9099-C40C66FF867C}">
                  <a14:compatExt spid="_x0000_s124931"/>
                </a:ext>
                <a:ext uri="{FF2B5EF4-FFF2-40B4-BE49-F238E27FC236}">
                  <a16:creationId xmlns:a16="http://schemas.microsoft.com/office/drawing/2014/main" id="{00000000-0008-0000-1E00-000003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908050</xdr:colOff>
          <xdr:row>1</xdr:row>
          <xdr:rowOff>0</xdr:rowOff>
        </xdr:from>
        <xdr:to>
          <xdr:col>7</xdr:col>
          <xdr:colOff>2990850</xdr:colOff>
          <xdr:row>3</xdr:row>
          <xdr:rowOff>107950</xdr:rowOff>
        </xdr:to>
        <xdr:sp macro="" textlink="">
          <xdr:nvSpPr>
            <xdr:cNvPr id="126979" name="Button 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F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00137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25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98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70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/>
      </xdr:nvSpPr>
      <xdr:spPr>
        <a:xfrm>
          <a:off x="11964458" y="283421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SpPr/>
      </xdr:nvSpPr>
      <xdr:spPr>
        <a:xfrm>
          <a:off x="11968691" y="402801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1257300</xdr:colOff>
          <xdr:row>1</xdr:row>
          <xdr:rowOff>12700</xdr:rowOff>
        </xdr:from>
        <xdr:to>
          <xdr:col>7</xdr:col>
          <xdr:colOff>3333750</xdr:colOff>
          <xdr:row>3</xdr:row>
          <xdr:rowOff>114300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2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8707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6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9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100-000007000000}"/>
            </a:ext>
          </a:extLst>
        </xdr:cNvPr>
        <xdr:cNvSpPr/>
      </xdr:nvSpPr>
      <xdr:spPr>
        <a:xfrm>
          <a:off x="11964458" y="27294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100-000008000000}"/>
            </a:ext>
          </a:extLst>
        </xdr:cNvPr>
        <xdr:cNvSpPr/>
      </xdr:nvSpPr>
      <xdr:spPr>
        <a:xfrm>
          <a:off x="11968691" y="39232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1181100</xdr:colOff>
          <xdr:row>1</xdr:row>
          <xdr:rowOff>57150</xdr:rowOff>
        </xdr:from>
        <xdr:to>
          <xdr:col>7</xdr:col>
          <xdr:colOff>3270250</xdr:colOff>
          <xdr:row>3</xdr:row>
          <xdr:rowOff>184150</xdr:rowOff>
        </xdr:to>
        <xdr:sp macro="" textlink="">
          <xdr:nvSpPr>
            <xdr:cNvPr id="65539" name="Button 3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21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4907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0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3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5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SpPr/>
      </xdr:nvSpPr>
      <xdr:spPr>
        <a:xfrm>
          <a:off x="11970808" y="1972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SpPr/>
      </xdr:nvSpPr>
      <xdr:spPr>
        <a:xfrm>
          <a:off x="11964458" y="34914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200-000008000000}"/>
            </a:ext>
          </a:extLst>
        </xdr:cNvPr>
        <xdr:cNvSpPr/>
      </xdr:nvSpPr>
      <xdr:spPr>
        <a:xfrm>
          <a:off x="11968691" y="46852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1060450</xdr:colOff>
          <xdr:row>1</xdr:row>
          <xdr:rowOff>0</xdr:rowOff>
        </xdr:from>
        <xdr:to>
          <xdr:col>7</xdr:col>
          <xdr:colOff>3136900</xdr:colOff>
          <xdr:row>3</xdr:row>
          <xdr:rowOff>127000</xdr:rowOff>
        </xdr:to>
        <xdr:sp macro="" textlink="">
          <xdr:nvSpPr>
            <xdr:cNvPr id="125955" name="Button 3" hidden="1">
              <a:extLst>
                <a:ext uri="{63B3BB69-23CF-44E3-9099-C40C66FF867C}">
                  <a14:compatExt spid="_x0000_s125955"/>
                </a:ext>
                <a:ext uri="{FF2B5EF4-FFF2-40B4-BE49-F238E27FC236}">
                  <a16:creationId xmlns:a16="http://schemas.microsoft.com/office/drawing/2014/main" id="{00000000-0008-0000-2200-000003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3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1009650</xdr:colOff>
          <xdr:row>1</xdr:row>
          <xdr:rowOff>12700</xdr:rowOff>
        </xdr:from>
        <xdr:to>
          <xdr:col>7</xdr:col>
          <xdr:colOff>3098800</xdr:colOff>
          <xdr:row>3</xdr:row>
          <xdr:rowOff>114300</xdr:rowOff>
        </xdr:to>
        <xdr:sp macro="" textlink="">
          <xdr:nvSpPr>
            <xdr:cNvPr id="129027" name="Button 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2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4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1181100</xdr:colOff>
          <xdr:row>1</xdr:row>
          <xdr:rowOff>12700</xdr:rowOff>
        </xdr:from>
        <xdr:to>
          <xdr:col>7</xdr:col>
          <xdr:colOff>3270250</xdr:colOff>
          <xdr:row>3</xdr:row>
          <xdr:rowOff>114300</xdr:rowOff>
        </xdr:to>
        <xdr:sp macro="" textlink="">
          <xdr:nvSpPr>
            <xdr:cNvPr id="128003" name="Button 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2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8707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6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723639</xdr:colOff>
      <xdr:row>29</xdr:row>
      <xdr:rowOff>89958</xdr:rowOff>
    </xdr:from>
    <xdr:to>
      <xdr:col>4</xdr:col>
      <xdr:colOff>332772</xdr:colOff>
      <xdr:row>52</xdr:row>
      <xdr:rowOff>123708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80889" y="5271558"/>
          <a:ext cx="3533433" cy="431047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>
              <a:lumMod val="95000"/>
            </a:schemeClr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6" name="3ndD0PrkUao36M:" descr="Resultado de imagen para te hatsu">
          <a:extLst>
            <a:ext uri="{FF2B5EF4-FFF2-40B4-BE49-F238E27FC236}">
              <a16:creationId xmlns:a16="http://schemas.microsoft.com/office/drawing/2014/main" id="{00000000-0008-0000-25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9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500-000007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500-000008000000}"/>
            </a:ext>
          </a:extLst>
        </xdr:cNvPr>
        <xdr:cNvSpPr/>
      </xdr:nvSpPr>
      <xdr:spPr>
        <a:xfrm>
          <a:off x="11964458" y="27294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9" name="Flecha: hacia arriba 8">
          <a:extLst>
            <a:ext uri="{FF2B5EF4-FFF2-40B4-BE49-F238E27FC236}">
              <a16:creationId xmlns:a16="http://schemas.microsoft.com/office/drawing/2014/main" id="{00000000-0008-0000-2500-000009000000}"/>
            </a:ext>
          </a:extLst>
        </xdr:cNvPr>
        <xdr:cNvSpPr/>
      </xdr:nvSpPr>
      <xdr:spPr>
        <a:xfrm>
          <a:off x="11968691" y="392324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1136650</xdr:colOff>
          <xdr:row>1</xdr:row>
          <xdr:rowOff>50800</xdr:rowOff>
        </xdr:from>
        <xdr:to>
          <xdr:col>7</xdr:col>
          <xdr:colOff>3213100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2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6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1250950</xdr:colOff>
          <xdr:row>0</xdr:row>
          <xdr:rowOff>184150</xdr:rowOff>
        </xdr:from>
        <xdr:to>
          <xdr:col>7</xdr:col>
          <xdr:colOff>3327400</xdr:colOff>
          <xdr:row>3</xdr:row>
          <xdr:rowOff>95250</xdr:rowOff>
        </xdr:to>
        <xdr:sp macro="" textlink="">
          <xdr:nvSpPr>
            <xdr:cNvPr id="130051" name="Button 3" hidden="1">
              <a:extLst>
                <a:ext uri="{63B3BB69-23CF-44E3-9099-C40C66FF867C}">
                  <a14:compatExt spid="_x0000_s130051"/>
                </a:ext>
                <a:ext uri="{FF2B5EF4-FFF2-40B4-BE49-F238E27FC236}">
                  <a16:creationId xmlns:a16="http://schemas.microsoft.com/office/drawing/2014/main" id="{00000000-0008-0000-2600-000003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7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1276350</xdr:colOff>
          <xdr:row>1</xdr:row>
          <xdr:rowOff>19050</xdr:rowOff>
        </xdr:from>
        <xdr:to>
          <xdr:col>7</xdr:col>
          <xdr:colOff>3365500</xdr:colOff>
          <xdr:row>3</xdr:row>
          <xdr:rowOff>127000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2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8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774700</xdr:colOff>
          <xdr:row>1</xdr:row>
          <xdr:rowOff>69850</xdr:rowOff>
        </xdr:from>
        <xdr:to>
          <xdr:col>7</xdr:col>
          <xdr:colOff>2851150</xdr:colOff>
          <xdr:row>3</xdr:row>
          <xdr:rowOff>171450</xdr:rowOff>
        </xdr:to>
        <xdr:sp macro="" textlink="">
          <xdr:nvSpPr>
            <xdr:cNvPr id="131075" name="Button 3" hidden="1">
              <a:extLst>
                <a:ext uri="{63B3BB69-23CF-44E3-9099-C40C66FF867C}">
                  <a14:compatExt spid="_x0000_s131075"/>
                </a:ext>
                <a:ext uri="{FF2B5EF4-FFF2-40B4-BE49-F238E27FC236}">
                  <a16:creationId xmlns:a16="http://schemas.microsoft.com/office/drawing/2014/main" id="{00000000-0008-0000-2800-000003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1022350</xdr:colOff>
          <xdr:row>1</xdr:row>
          <xdr:rowOff>31750</xdr:rowOff>
        </xdr:from>
        <xdr:to>
          <xdr:col>7</xdr:col>
          <xdr:colOff>3086100</xdr:colOff>
          <xdr:row>3</xdr:row>
          <xdr:rowOff>133350</xdr:rowOff>
        </xdr:to>
        <xdr:sp macro="" textlink="">
          <xdr:nvSpPr>
            <xdr:cNvPr id="132099" name="Button 3" hidden="1">
              <a:extLst>
                <a:ext uri="{63B3BB69-23CF-44E3-9099-C40C66FF867C}">
                  <a14:compatExt spid="_x0000_s132099"/>
                </a:ext>
                <a:ext uri="{FF2B5EF4-FFF2-40B4-BE49-F238E27FC236}">
                  <a16:creationId xmlns:a16="http://schemas.microsoft.com/office/drawing/2014/main" id="{00000000-0008-0000-2900-000003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A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2</xdr:row>
          <xdr:rowOff>57150</xdr:rowOff>
        </xdr:from>
        <xdr:to>
          <xdr:col>7</xdr:col>
          <xdr:colOff>3517900</xdr:colOff>
          <xdr:row>4</xdr:row>
          <xdr:rowOff>95250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2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B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B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B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B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1295400</xdr:colOff>
          <xdr:row>0</xdr:row>
          <xdr:rowOff>184150</xdr:rowOff>
        </xdr:from>
        <xdr:to>
          <xdr:col>7</xdr:col>
          <xdr:colOff>3384550</xdr:colOff>
          <xdr:row>3</xdr:row>
          <xdr:rowOff>95250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2B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C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D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D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D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D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1047750</xdr:colOff>
          <xdr:row>1</xdr:row>
          <xdr:rowOff>69850</xdr:rowOff>
        </xdr:from>
        <xdr:to>
          <xdr:col>7</xdr:col>
          <xdr:colOff>3124200</xdr:colOff>
          <xdr:row>3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2D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E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E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E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E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1231900</xdr:colOff>
          <xdr:row>0</xdr:row>
          <xdr:rowOff>171450</xdr:rowOff>
        </xdr:from>
        <xdr:to>
          <xdr:col>7</xdr:col>
          <xdr:colOff>3308350</xdr:colOff>
          <xdr:row>3</xdr:row>
          <xdr:rowOff>88900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2E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2F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2F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889000</xdr:colOff>
          <xdr:row>0</xdr:row>
          <xdr:rowOff>146050</xdr:rowOff>
        </xdr:from>
        <xdr:to>
          <xdr:col>7</xdr:col>
          <xdr:colOff>2971800</xdr:colOff>
          <xdr:row>3</xdr:row>
          <xdr:rowOff>57150</xdr:rowOff>
        </xdr:to>
        <xdr:sp macro="" textlink="">
          <xdr:nvSpPr>
            <xdr:cNvPr id="133123" name="Button 3" hidden="1">
              <a:extLst>
                <a:ext uri="{63B3BB69-23CF-44E3-9099-C40C66FF867C}">
                  <a14:compatExt spid="_x0000_s133123"/>
                </a:ext>
                <a:ext uri="{FF2B5EF4-FFF2-40B4-BE49-F238E27FC236}">
                  <a16:creationId xmlns:a16="http://schemas.microsoft.com/office/drawing/2014/main" id="{00000000-0008-0000-2F00-000003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0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0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0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0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1079500</xdr:colOff>
          <xdr:row>1</xdr:row>
          <xdr:rowOff>38100</xdr:rowOff>
        </xdr:from>
        <xdr:to>
          <xdr:col>7</xdr:col>
          <xdr:colOff>3162300</xdr:colOff>
          <xdr:row>3</xdr:row>
          <xdr:rowOff>146050</xdr:rowOff>
        </xdr:to>
        <xdr:sp macro="" textlink="">
          <xdr:nvSpPr>
            <xdr:cNvPr id="134147" name="Button 3" hidden="1">
              <a:extLst>
                <a:ext uri="{63B3BB69-23CF-44E3-9099-C40C66FF867C}">
                  <a14:compatExt spid="_x0000_s134147"/>
                </a:ext>
                <a:ext uri="{FF2B5EF4-FFF2-40B4-BE49-F238E27FC236}">
                  <a16:creationId xmlns:a16="http://schemas.microsoft.com/office/drawing/2014/main" id="{00000000-0008-0000-3000-000003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1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1060450</xdr:colOff>
          <xdr:row>1</xdr:row>
          <xdr:rowOff>50800</xdr:rowOff>
        </xdr:from>
        <xdr:to>
          <xdr:col>7</xdr:col>
          <xdr:colOff>3136900</xdr:colOff>
          <xdr:row>3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3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2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2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2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1047750</xdr:colOff>
          <xdr:row>1</xdr:row>
          <xdr:rowOff>12700</xdr:rowOff>
        </xdr:from>
        <xdr:to>
          <xdr:col>7</xdr:col>
          <xdr:colOff>3124200</xdr:colOff>
          <xdr:row>3</xdr:row>
          <xdr:rowOff>114300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32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3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3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3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3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1181100</xdr:colOff>
          <xdr:row>1</xdr:row>
          <xdr:rowOff>50800</xdr:rowOff>
        </xdr:from>
        <xdr:to>
          <xdr:col>7</xdr:col>
          <xdr:colOff>3270250</xdr:colOff>
          <xdr:row>3</xdr:row>
          <xdr:rowOff>152400</xdr:rowOff>
        </xdr:to>
        <xdr:sp macro="" textlink="">
          <xdr:nvSpPr>
            <xdr:cNvPr id="135171" name="Button 3" hidden="1">
              <a:extLst>
                <a:ext uri="{63B3BB69-23CF-44E3-9099-C40C66FF867C}">
                  <a14:compatExt spid="_x0000_s135171"/>
                </a:ext>
                <a:ext uri="{FF2B5EF4-FFF2-40B4-BE49-F238E27FC236}">
                  <a16:creationId xmlns:a16="http://schemas.microsoft.com/office/drawing/2014/main" id="{00000000-0008-0000-3300-000003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4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1079500</xdr:colOff>
          <xdr:row>0</xdr:row>
          <xdr:rowOff>184150</xdr:rowOff>
        </xdr:from>
        <xdr:to>
          <xdr:col>7</xdr:col>
          <xdr:colOff>3162300</xdr:colOff>
          <xdr:row>3</xdr:row>
          <xdr:rowOff>95250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34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5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5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5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5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1009650</xdr:colOff>
          <xdr:row>1</xdr:row>
          <xdr:rowOff>0</xdr:rowOff>
        </xdr:from>
        <xdr:to>
          <xdr:col>7</xdr:col>
          <xdr:colOff>3098800</xdr:colOff>
          <xdr:row>3</xdr:row>
          <xdr:rowOff>107950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3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6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6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6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6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</xdr:row>
          <xdr:rowOff>12700</xdr:rowOff>
        </xdr:from>
        <xdr:to>
          <xdr:col>7</xdr:col>
          <xdr:colOff>3079750</xdr:colOff>
          <xdr:row>3</xdr:row>
          <xdr:rowOff>114300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36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7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7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7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971550</xdr:colOff>
          <xdr:row>1</xdr:row>
          <xdr:rowOff>19050</xdr:rowOff>
        </xdr:from>
        <xdr:to>
          <xdr:col>7</xdr:col>
          <xdr:colOff>3048000</xdr:colOff>
          <xdr:row>3</xdr:row>
          <xdr:rowOff>127000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37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8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8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8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8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8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831850</xdr:colOff>
          <xdr:row>0</xdr:row>
          <xdr:rowOff>184150</xdr:rowOff>
        </xdr:from>
        <xdr:to>
          <xdr:col>7</xdr:col>
          <xdr:colOff>2914650</xdr:colOff>
          <xdr:row>3</xdr:row>
          <xdr:rowOff>95250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3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9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89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9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5</xdr:row>
      <xdr:rowOff>105832</xdr:rowOff>
    </xdr:from>
    <xdr:to>
      <xdr:col>9</xdr:col>
      <xdr:colOff>412749</xdr:colOff>
      <xdr:row>6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9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12</xdr:row>
      <xdr:rowOff>110066</xdr:rowOff>
    </xdr:from>
    <xdr:to>
      <xdr:col>9</xdr:col>
      <xdr:colOff>406399</xdr:colOff>
      <xdr:row>13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9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18</xdr:row>
      <xdr:rowOff>103716</xdr:rowOff>
    </xdr:from>
    <xdr:to>
      <xdr:col>9</xdr:col>
      <xdr:colOff>410632</xdr:colOff>
      <xdr:row>19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9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89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A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5</xdr:row>
      <xdr:rowOff>105832</xdr:rowOff>
    </xdr:from>
    <xdr:to>
      <xdr:col>9</xdr:col>
      <xdr:colOff>412749</xdr:colOff>
      <xdr:row>6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A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12</xdr:row>
      <xdr:rowOff>110066</xdr:rowOff>
    </xdr:from>
    <xdr:to>
      <xdr:col>9</xdr:col>
      <xdr:colOff>406399</xdr:colOff>
      <xdr:row>13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A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18</xdr:row>
      <xdr:rowOff>103716</xdr:rowOff>
    </xdr:from>
    <xdr:to>
      <xdr:col>9</xdr:col>
      <xdr:colOff>410632</xdr:colOff>
      <xdr:row>19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A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B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89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B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B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5</xdr:row>
      <xdr:rowOff>105832</xdr:rowOff>
    </xdr:from>
    <xdr:to>
      <xdr:col>9</xdr:col>
      <xdr:colOff>412749</xdr:colOff>
      <xdr:row>6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B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12</xdr:row>
      <xdr:rowOff>110066</xdr:rowOff>
    </xdr:from>
    <xdr:to>
      <xdr:col>9</xdr:col>
      <xdr:colOff>406399</xdr:colOff>
      <xdr:row>13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B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18</xdr:row>
      <xdr:rowOff>103716</xdr:rowOff>
    </xdr:from>
    <xdr:to>
      <xdr:col>9</xdr:col>
      <xdr:colOff>410632</xdr:colOff>
      <xdr:row>19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B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C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89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C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C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5</xdr:row>
      <xdr:rowOff>105832</xdr:rowOff>
    </xdr:from>
    <xdr:to>
      <xdr:col>9</xdr:col>
      <xdr:colOff>412749</xdr:colOff>
      <xdr:row>6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C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12</xdr:row>
      <xdr:rowOff>110066</xdr:rowOff>
    </xdr:from>
    <xdr:to>
      <xdr:col>9</xdr:col>
      <xdr:colOff>406399</xdr:colOff>
      <xdr:row>13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C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18</xdr:row>
      <xdr:rowOff>103716</xdr:rowOff>
    </xdr:from>
    <xdr:to>
      <xdr:col>9</xdr:col>
      <xdr:colOff>410632</xdr:colOff>
      <xdr:row>19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C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D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D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89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D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D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5</xdr:row>
      <xdr:rowOff>105832</xdr:rowOff>
    </xdr:from>
    <xdr:to>
      <xdr:col>9</xdr:col>
      <xdr:colOff>412749</xdr:colOff>
      <xdr:row>6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D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12</xdr:row>
      <xdr:rowOff>110066</xdr:rowOff>
    </xdr:from>
    <xdr:to>
      <xdr:col>9</xdr:col>
      <xdr:colOff>406399</xdr:colOff>
      <xdr:row>13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D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18</xdr:row>
      <xdr:rowOff>103716</xdr:rowOff>
    </xdr:from>
    <xdr:to>
      <xdr:col>9</xdr:col>
      <xdr:colOff>410632</xdr:colOff>
      <xdr:row>19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D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E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E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89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E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E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5</xdr:row>
      <xdr:rowOff>105832</xdr:rowOff>
    </xdr:from>
    <xdr:to>
      <xdr:col>9</xdr:col>
      <xdr:colOff>412749</xdr:colOff>
      <xdr:row>6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E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12</xdr:row>
      <xdr:rowOff>110066</xdr:rowOff>
    </xdr:from>
    <xdr:to>
      <xdr:col>9</xdr:col>
      <xdr:colOff>406399</xdr:colOff>
      <xdr:row>13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E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18</xdr:row>
      <xdr:rowOff>103716</xdr:rowOff>
    </xdr:from>
    <xdr:to>
      <xdr:col>9</xdr:col>
      <xdr:colOff>410632</xdr:colOff>
      <xdr:row>19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E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3F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3F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3F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3F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3F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3F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3F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850900</xdr:colOff>
          <xdr:row>1</xdr:row>
          <xdr:rowOff>57150</xdr:rowOff>
        </xdr:from>
        <xdr:to>
          <xdr:col>7</xdr:col>
          <xdr:colOff>2927350</xdr:colOff>
          <xdr:row>3</xdr:row>
          <xdr:rowOff>165100</xdr:rowOff>
        </xdr:to>
        <xdr:sp macro="" textlink="">
          <xdr:nvSpPr>
            <xdr:cNvPr id="136195" name="Button 3" hidden="1">
              <a:extLst>
                <a:ext uri="{63B3BB69-23CF-44E3-9099-C40C66FF867C}">
                  <a14:compatExt spid="_x0000_s136195"/>
                </a:ext>
                <a:ext uri="{FF2B5EF4-FFF2-40B4-BE49-F238E27FC236}">
                  <a16:creationId xmlns:a16="http://schemas.microsoft.com/office/drawing/2014/main" id="{00000000-0008-0000-3F00-000003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4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4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40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40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40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40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40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1</xdr:row>
          <xdr:rowOff>0</xdr:rowOff>
        </xdr:from>
        <xdr:to>
          <xdr:col>7</xdr:col>
          <xdr:colOff>3003550</xdr:colOff>
          <xdr:row>3</xdr:row>
          <xdr:rowOff>107950</xdr:rowOff>
        </xdr:to>
        <xdr:sp macro="" textlink="">
          <xdr:nvSpPr>
            <xdr:cNvPr id="137219" name="Button 3" hidden="1">
              <a:extLst>
                <a:ext uri="{63B3BB69-23CF-44E3-9099-C40C66FF867C}">
                  <a14:compatExt spid="_x0000_s137219"/>
                </a:ext>
                <a:ext uri="{FF2B5EF4-FFF2-40B4-BE49-F238E27FC236}">
                  <a16:creationId xmlns:a16="http://schemas.microsoft.com/office/drawing/2014/main" id="{00000000-0008-0000-4000-000003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41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41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41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41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41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41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1047750</xdr:colOff>
          <xdr:row>1</xdr:row>
          <xdr:rowOff>57150</xdr:rowOff>
        </xdr:from>
        <xdr:to>
          <xdr:col>7</xdr:col>
          <xdr:colOff>3124200</xdr:colOff>
          <xdr:row>3</xdr:row>
          <xdr:rowOff>165100</xdr:rowOff>
        </xdr:to>
        <xdr:sp macro="" textlink="">
          <xdr:nvSpPr>
            <xdr:cNvPr id="138243" name="Button 3" hidden="1">
              <a:extLst>
                <a:ext uri="{63B3BB69-23CF-44E3-9099-C40C66FF867C}">
                  <a14:compatExt spid="_x0000_s138243"/>
                </a:ext>
                <a:ext uri="{FF2B5EF4-FFF2-40B4-BE49-F238E27FC236}">
                  <a16:creationId xmlns:a16="http://schemas.microsoft.com/office/drawing/2014/main" id="{00000000-0008-0000-4100-000003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4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4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4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4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42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42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42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857250</xdr:colOff>
          <xdr:row>1</xdr:row>
          <xdr:rowOff>50800</xdr:rowOff>
        </xdr:from>
        <xdr:to>
          <xdr:col>7</xdr:col>
          <xdr:colOff>2933700</xdr:colOff>
          <xdr:row>3</xdr:row>
          <xdr:rowOff>152400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42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4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1668125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80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43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92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43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96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43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237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9</xdr:row>
      <xdr:rowOff>105832</xdr:rowOff>
    </xdr:from>
    <xdr:to>
      <xdr:col>9</xdr:col>
      <xdr:colOff>412749</xdr:colOff>
      <xdr:row>10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4300-000006000000}"/>
            </a:ext>
          </a:extLst>
        </xdr:cNvPr>
        <xdr:cNvSpPr/>
      </xdr:nvSpPr>
      <xdr:spPr>
        <a:xfrm>
          <a:off x="11970808" y="2001307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16</xdr:row>
      <xdr:rowOff>110066</xdr:rowOff>
    </xdr:from>
    <xdr:to>
      <xdr:col>9</xdr:col>
      <xdr:colOff>406399</xdr:colOff>
      <xdr:row>17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4300-000007000000}"/>
            </a:ext>
          </a:extLst>
        </xdr:cNvPr>
        <xdr:cNvSpPr/>
      </xdr:nvSpPr>
      <xdr:spPr>
        <a:xfrm>
          <a:off x="11964458" y="35009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22</xdr:row>
      <xdr:rowOff>103716</xdr:rowOff>
    </xdr:from>
    <xdr:to>
      <xdr:col>9</xdr:col>
      <xdr:colOff>410632</xdr:colOff>
      <xdr:row>23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4300-000008000000}"/>
            </a:ext>
          </a:extLst>
        </xdr:cNvPr>
        <xdr:cNvSpPr/>
      </xdr:nvSpPr>
      <xdr:spPr>
        <a:xfrm>
          <a:off x="11968691" y="4694766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869950</xdr:colOff>
          <xdr:row>1</xdr:row>
          <xdr:rowOff>69850</xdr:rowOff>
        </xdr:from>
        <xdr:to>
          <xdr:col>7</xdr:col>
          <xdr:colOff>2946400</xdr:colOff>
          <xdr:row>3</xdr:row>
          <xdr:rowOff>171450</xdr:rowOff>
        </xdr:to>
        <xdr:sp macro="" textlink="">
          <xdr:nvSpPr>
            <xdr:cNvPr id="140291" name="Button 3" hidden="1">
              <a:extLst>
                <a:ext uri="{63B3BB69-23CF-44E3-9099-C40C66FF867C}">
                  <a14:compatExt spid="_x0000_s140291"/>
                </a:ext>
                <a:ext uri="{FF2B5EF4-FFF2-40B4-BE49-F238E27FC236}">
                  <a16:creationId xmlns:a16="http://schemas.microsoft.com/office/drawing/2014/main" id="{00000000-0008-0000-4300-000003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PORTADA</a:t>
              </a:r>
            </a:p>
          </xdr:txBody>
        </xdr:sp>
        <xdr:clientData fPrintsWithSheet="0"/>
      </xdr:twoCellAnchor>
    </mc:Choice>
    <mc:Fallback/>
  </mc:AlternateContent>
</xdr:wsDr>
</file>

<file path=xl/drawings/drawing6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44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4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89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44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44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5</xdr:row>
      <xdr:rowOff>105832</xdr:rowOff>
    </xdr:from>
    <xdr:to>
      <xdr:col>9</xdr:col>
      <xdr:colOff>412749</xdr:colOff>
      <xdr:row>6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44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12</xdr:row>
      <xdr:rowOff>110066</xdr:rowOff>
    </xdr:from>
    <xdr:to>
      <xdr:col>9</xdr:col>
      <xdr:colOff>406399</xdr:colOff>
      <xdr:row>13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44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18</xdr:row>
      <xdr:rowOff>103716</xdr:rowOff>
    </xdr:from>
    <xdr:to>
      <xdr:col>9</xdr:col>
      <xdr:colOff>410632</xdr:colOff>
      <xdr:row>19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44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4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4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89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45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45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5</xdr:row>
      <xdr:rowOff>105832</xdr:rowOff>
    </xdr:from>
    <xdr:to>
      <xdr:col>9</xdr:col>
      <xdr:colOff>412749</xdr:colOff>
      <xdr:row>6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45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12</xdr:row>
      <xdr:rowOff>110066</xdr:rowOff>
    </xdr:from>
    <xdr:to>
      <xdr:col>9</xdr:col>
      <xdr:colOff>406399</xdr:colOff>
      <xdr:row>13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45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18</xdr:row>
      <xdr:rowOff>103716</xdr:rowOff>
    </xdr:from>
    <xdr:to>
      <xdr:col>9</xdr:col>
      <xdr:colOff>410632</xdr:colOff>
      <xdr:row>19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45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4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46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89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46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46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5</xdr:row>
      <xdr:rowOff>105832</xdr:rowOff>
    </xdr:from>
    <xdr:to>
      <xdr:col>9</xdr:col>
      <xdr:colOff>412749</xdr:colOff>
      <xdr:row>6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46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12</xdr:row>
      <xdr:rowOff>110066</xdr:rowOff>
    </xdr:from>
    <xdr:to>
      <xdr:col>9</xdr:col>
      <xdr:colOff>406399</xdr:colOff>
      <xdr:row>13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46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18</xdr:row>
      <xdr:rowOff>103716</xdr:rowOff>
    </xdr:from>
    <xdr:to>
      <xdr:col>9</xdr:col>
      <xdr:colOff>410632</xdr:colOff>
      <xdr:row>19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46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103717</xdr:rowOff>
    </xdr:to>
    <xdr:sp macro="" textlink="">
      <xdr:nvSpPr>
        <xdr:cNvPr id="2" name="3ndD0PrkUao36M:" descr="Resultado de imagen para te hatsu">
          <a:extLst>
            <a:ext uri="{FF2B5EF4-FFF2-40B4-BE49-F238E27FC236}">
              <a16:creationId xmlns:a16="http://schemas.microsoft.com/office/drawing/2014/main" id="{00000000-0008-0000-47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0877550"/>
          <a:ext cx="304800" cy="303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3" name="3ndD0PrkUao36M:" descr="Resultado de imagen para te hatsu">
          <a:extLst>
            <a:ext uri="{FF2B5EF4-FFF2-40B4-BE49-F238E27FC236}">
              <a16:creationId xmlns:a16="http://schemas.microsoft.com/office/drawing/2014/main" id="{00000000-0008-0000-47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613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89</xdr:row>
      <xdr:rowOff>0</xdr:rowOff>
    </xdr:from>
    <xdr:ext cx="304800" cy="304800"/>
    <xdr:sp macro="" textlink="">
      <xdr:nvSpPr>
        <xdr:cNvPr id="4" name="3ndD0PrkUao36M:" descr="Resultado de imagen para te hatsu">
          <a:extLst>
            <a:ext uri="{FF2B5EF4-FFF2-40B4-BE49-F238E27FC236}">
              <a16:creationId xmlns:a16="http://schemas.microsoft.com/office/drawing/2014/main" id="{00000000-0008-0000-47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5" name="3ndD0PrkUao36M:" descr="Resultado de imagen para te hatsu">
          <a:extLst>
            <a:ext uri="{FF2B5EF4-FFF2-40B4-BE49-F238E27FC236}">
              <a16:creationId xmlns:a16="http://schemas.microsoft.com/office/drawing/2014/main" id="{00000000-0008-0000-47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7250" y="2158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9</xdr:col>
      <xdr:colOff>264583</xdr:colOff>
      <xdr:row>5</xdr:row>
      <xdr:rowOff>105832</xdr:rowOff>
    </xdr:from>
    <xdr:to>
      <xdr:col>9</xdr:col>
      <xdr:colOff>412749</xdr:colOff>
      <xdr:row>6</xdr:row>
      <xdr:rowOff>127000</xdr:rowOff>
    </xdr:to>
    <xdr:sp macro="" textlink="">
      <xdr:nvSpPr>
        <xdr:cNvPr id="6" name="Flecha: hacia arriba 5">
          <a:extLst>
            <a:ext uri="{FF2B5EF4-FFF2-40B4-BE49-F238E27FC236}">
              <a16:creationId xmlns:a16="http://schemas.microsoft.com/office/drawing/2014/main" id="{00000000-0008-0000-4700-000006000000}"/>
            </a:ext>
          </a:extLst>
        </xdr:cNvPr>
        <xdr:cNvSpPr/>
      </xdr:nvSpPr>
      <xdr:spPr>
        <a:xfrm>
          <a:off x="11970808" y="1210732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258233</xdr:colOff>
      <xdr:row>12</xdr:row>
      <xdr:rowOff>110066</xdr:rowOff>
    </xdr:from>
    <xdr:to>
      <xdr:col>9</xdr:col>
      <xdr:colOff>406399</xdr:colOff>
      <xdr:row>13</xdr:row>
      <xdr:rowOff>131234</xdr:rowOff>
    </xdr:to>
    <xdr:sp macro="" textlink="">
      <xdr:nvSpPr>
        <xdr:cNvPr id="7" name="Flecha: hacia arriba 6">
          <a:extLst>
            <a:ext uri="{FF2B5EF4-FFF2-40B4-BE49-F238E27FC236}">
              <a16:creationId xmlns:a16="http://schemas.microsoft.com/office/drawing/2014/main" id="{00000000-0008-0000-4700-000007000000}"/>
            </a:ext>
          </a:extLst>
        </xdr:cNvPr>
        <xdr:cNvSpPr/>
      </xdr:nvSpPr>
      <xdr:spPr>
        <a:xfrm>
          <a:off x="11964458" y="27103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262466</xdr:colOff>
      <xdr:row>18</xdr:row>
      <xdr:rowOff>103716</xdr:rowOff>
    </xdr:from>
    <xdr:to>
      <xdr:col>9</xdr:col>
      <xdr:colOff>410632</xdr:colOff>
      <xdr:row>19</xdr:row>
      <xdr:rowOff>124884</xdr:rowOff>
    </xdr:to>
    <xdr:sp macro="" textlink="">
      <xdr:nvSpPr>
        <xdr:cNvPr id="8" name="Flecha: hacia arriba 7">
          <a:extLst>
            <a:ext uri="{FF2B5EF4-FFF2-40B4-BE49-F238E27FC236}">
              <a16:creationId xmlns:a16="http://schemas.microsoft.com/office/drawing/2014/main" id="{00000000-0008-0000-4700-000008000000}"/>
            </a:ext>
          </a:extLst>
        </xdr:cNvPr>
        <xdr:cNvSpPr/>
      </xdr:nvSpPr>
      <xdr:spPr>
        <a:xfrm>
          <a:off x="11968691" y="3904191"/>
          <a:ext cx="148166" cy="211668"/>
        </a:xfrm>
        <a:prstGeom prst="up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faed6c87cb008d70/ADMINISTRATIVO%20LORENA%20DAGER/BOOT%20CAMP%20%5eN%202/COSTOS%20DBA/LORENA%20DAGER%20-%20MATRIZ%20DE%20COSTOS%20CONSULTORES%20DBA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 "/>
      <sheetName val="GUÍA DE SABORES"/>
      <sheetName val="MATERIA PRIMA"/>
      <sheetName val="PLANTILLA FINAL"/>
      <sheetName val="BOOT CAMP"/>
      <sheetName val="MENÚ 1"/>
      <sheetName val="MENÚ 2"/>
      <sheetName val="MENÚ 3"/>
      <sheetName val="MENÚ 4"/>
      <sheetName val="MENÚ 5"/>
      <sheetName val="MENÚ 6"/>
      <sheetName val="MENÚ 7"/>
      <sheetName val="MENÚ 8"/>
      <sheetName val="MENÚ 9"/>
      <sheetName val="MENÚ 10"/>
      <sheetName val="MIX TOTAL"/>
    </sheetNames>
    <sheetDataSet>
      <sheetData sheetId="0"/>
      <sheetData sheetId="1">
        <row r="16">
          <cell r="B16" t="str">
            <v>TÓNICA</v>
          </cell>
        </row>
        <row r="20">
          <cell r="B20" t="str">
            <v>GIN TANQUERAY RANGPUR</v>
          </cell>
        </row>
        <row r="23">
          <cell r="B23" t="str">
            <v>VODKA SMIRNOFF</v>
          </cell>
        </row>
        <row r="24">
          <cell r="B24" t="str">
            <v>WHISKY BUCHANA'S 12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LORENA DAGER" id="{8F2DC9DC-B9CF-4EE3-88A2-C1EBB258A7A2}" userId="faed6c87cb008d70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00000000}" name="Tabla13456810911139232526272839" displayName="Tabla13456810911139232526272839" ref="B8:F13" totalsRowShown="0" headerRowDxfId="543" headerRowBorderDxfId="542" tableBorderDxfId="541">
  <tableColumns count="5">
    <tableColumn id="1" xr3:uid="{00000000-0010-0000-0000-000001000000}" name="PRODUCTO" dataDxfId="540"/>
    <tableColumn id="2" xr3:uid="{00000000-0010-0000-0000-000002000000}" name="CANTIDAD" dataDxfId="539"/>
    <tableColumn id="3" xr3:uid="{00000000-0010-0000-0000-000003000000}" name="UN. MEDIDA_x000a_(GR/ML)" dataDxfId="538"/>
    <tableColumn id="4" xr3:uid="{00000000-0010-0000-0000-000004000000}" name="PRECIO" dataDxfId="537"/>
    <tableColumn id="6" xr3:uid="{00000000-0010-0000-0000-000006000000}" name="VALOR X UN. MEDIDA" dataDxfId="536">
      <calculatedColumnFormula>Tabla13456810911139232526272839[[#This Row],[PRECIO]]/Tabla13456810911139232526272839[[#This Row],[CANTIDAD]]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01000000}" name="Tabla1345681091113923252627283941" displayName="Tabla1345681091113923252627283941" ref="B8:F13" totalsRowShown="0" headerRowDxfId="535" headerRowBorderDxfId="534" tableBorderDxfId="533">
  <tableColumns count="5">
    <tableColumn id="1" xr3:uid="{00000000-0010-0000-0100-000001000000}" name="PRODUCTO" dataDxfId="532"/>
    <tableColumn id="2" xr3:uid="{00000000-0010-0000-0100-000002000000}" name="CANTIDAD" dataDxfId="531"/>
    <tableColumn id="3" xr3:uid="{00000000-0010-0000-0100-000003000000}" name="UN. MEDIDA_x000a_(GR/ML)" dataDxfId="530"/>
    <tableColumn id="4" xr3:uid="{00000000-0010-0000-0100-000004000000}" name="PRECIO" dataDxfId="529"/>
    <tableColumn id="6" xr3:uid="{00000000-0010-0000-0100-000006000000}" name="VALOR X UN. MEDIDA" dataDxfId="528">
      <calculatedColumnFormula>Tabla1345681091113923252627283941[[#This Row],[PRECIO]]/Tabla1345681091113923252627283941[[#This Row],[CANTIDAD]]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00000000-000C-0000-FFFF-FFFF02000000}" name="Tabla134568109111392325262728434750" displayName="Tabla134568109111392325262728434750" ref="B8:F13" totalsRowShown="0" headerRowDxfId="527" headerRowBorderDxfId="526" tableBorderDxfId="525">
  <tableColumns count="5">
    <tableColumn id="1" xr3:uid="{00000000-0010-0000-0200-000001000000}" name="PRODUCTO" dataDxfId="524"/>
    <tableColumn id="2" xr3:uid="{00000000-0010-0000-0200-000002000000}" name="CANTIDAD" dataDxfId="523"/>
    <tableColumn id="3" xr3:uid="{00000000-0010-0000-0200-000003000000}" name="UN. MEDIDA_x000a_(GR/ML)" dataDxfId="522"/>
    <tableColumn id="4" xr3:uid="{00000000-0010-0000-0200-000004000000}" name="PRECIO" dataDxfId="521"/>
    <tableColumn id="6" xr3:uid="{00000000-0010-0000-0200-000006000000}" name="VALOR X UN. MEDIDA" dataDxfId="520">
      <calculatedColumnFormula>Tabla134568109111392325262728434750[[#This Row],[PRECIO]]/Tabla134568109111392325262728434750[[#This Row],[CANTIDAD]]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0000000-000C-0000-FFFF-FFFF03000000}" name="Tabla1345681091113923252627284347" displayName="Tabla1345681091113923252627284347" ref="B8:F13" totalsRowShown="0" headerRowDxfId="519" headerRowBorderDxfId="518" tableBorderDxfId="517">
  <tableColumns count="5">
    <tableColumn id="1" xr3:uid="{00000000-0010-0000-0300-000001000000}" name="PRODUCTO" dataDxfId="516"/>
    <tableColumn id="2" xr3:uid="{00000000-0010-0000-0300-000002000000}" name="CANTIDAD" dataDxfId="515"/>
    <tableColumn id="3" xr3:uid="{00000000-0010-0000-0300-000003000000}" name="UN. MEDIDA_x000a_(GR/ML)" dataDxfId="514"/>
    <tableColumn id="4" xr3:uid="{00000000-0010-0000-0300-000004000000}" name="PRECIO" dataDxfId="513"/>
    <tableColumn id="6" xr3:uid="{00000000-0010-0000-0300-000006000000}" name="VALOR X UN. MEDIDA" dataDxfId="512">
      <calculatedColumnFormula>Tabla1345681091113923252627284347[[#This Row],[PRECIO]]/Tabla1345681091113923252627284347[[#This Row],[CANTIDAD]]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00000000-000C-0000-FFFF-FFFF04000000}" name="Tabla13456810911139232526272843475051" displayName="Tabla13456810911139232526272843475051" ref="B8:F13" totalsRowShown="0" headerRowDxfId="511" headerRowBorderDxfId="510" tableBorderDxfId="509">
  <tableColumns count="5">
    <tableColumn id="1" xr3:uid="{00000000-0010-0000-0400-000001000000}" name="PRODUCTO" dataDxfId="508"/>
    <tableColumn id="2" xr3:uid="{00000000-0010-0000-0400-000002000000}" name="CANTIDAD" dataDxfId="507"/>
    <tableColumn id="3" xr3:uid="{00000000-0010-0000-0400-000003000000}" name="UN. MEDIDA_x000a_(GR/ML)" dataDxfId="506"/>
    <tableColumn id="4" xr3:uid="{00000000-0010-0000-0400-000004000000}" name="PRECIO" dataDxfId="505"/>
    <tableColumn id="6" xr3:uid="{00000000-0010-0000-0400-000006000000}" name="VALOR X UN. MEDIDA" dataDxfId="504">
      <calculatedColumnFormula>Tabla13456810911139232526272843475051[[#This Row],[PRECIO]]/Tabla13456810911139232526272843475051[[#This Row],[CANTIDAD]]</calculatedColumnFormula>
    </tableColumn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abla134568109111392325262728434750518" displayName="Tabla134568109111392325262728434750518" ref="B8:F13" totalsRowShown="0" headerRowDxfId="503" headerRowBorderDxfId="502" tableBorderDxfId="501">
  <tableColumns count="5">
    <tableColumn id="1" xr3:uid="{00000000-0010-0000-0500-000001000000}" name="PRODUCTO" dataDxfId="500"/>
    <tableColumn id="2" xr3:uid="{00000000-0010-0000-0500-000002000000}" name="CANTIDAD" dataDxfId="499"/>
    <tableColumn id="3" xr3:uid="{00000000-0010-0000-0500-000003000000}" name="UN. MEDIDA_x000a_(GR/ML)" dataDxfId="498"/>
    <tableColumn id="4" xr3:uid="{00000000-0010-0000-0500-000004000000}" name="PRECIO" dataDxfId="497"/>
    <tableColumn id="6" xr3:uid="{00000000-0010-0000-0500-000006000000}" name="VALOR X UN. MEDIDA" dataDxfId="496">
      <calculatedColumnFormula>Tabla134568109111392325262728434750518[[#This Row],[PRECIO]]/Tabla134568109111392325262728434750518[[#This Row],[CANTIDAD]]</calculatedColumnFormula>
    </tableColumn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0000000-000C-0000-FFFF-FFFF06000000}" name="Tabla134568109111392325262728434748" displayName="Tabla134568109111392325262728434748" ref="B8:F13" totalsRowShown="0" headerRowDxfId="495" headerRowBorderDxfId="494" tableBorderDxfId="493">
  <tableColumns count="5">
    <tableColumn id="1" xr3:uid="{00000000-0010-0000-0600-000001000000}" name="PRODUCTO" dataDxfId="492"/>
    <tableColumn id="2" xr3:uid="{00000000-0010-0000-0600-000002000000}" name="CANTIDAD" dataDxfId="491"/>
    <tableColumn id="3" xr3:uid="{00000000-0010-0000-0600-000003000000}" name="UN. MEDIDA_x000a_(GR/ML)" dataDxfId="490"/>
    <tableColumn id="4" xr3:uid="{00000000-0010-0000-0600-000004000000}" name="PRECIO" dataDxfId="489"/>
    <tableColumn id="6" xr3:uid="{00000000-0010-0000-0600-000006000000}" name="VALOR X UN. MEDIDA" dataDxfId="488">
      <calculatedColumnFormula>Tabla134568109111392325262728434748[[#This Row],[PRECIO]]/Tabla134568109111392325262728434748[[#This Row],[CANTIDAD]]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00000000-000C-0000-FFFF-FFFF07000000}" name="Tabla1345681091113923252627284347505152" displayName="Tabla1345681091113923252627284347505152" ref="B8:F13" totalsRowShown="0" headerRowDxfId="487" headerRowBorderDxfId="486" tableBorderDxfId="485">
  <tableColumns count="5">
    <tableColumn id="1" xr3:uid="{00000000-0010-0000-0700-000001000000}" name="PRODUCTO" dataDxfId="484"/>
    <tableColumn id="2" xr3:uid="{00000000-0010-0000-0700-000002000000}" name="CANTIDAD" dataDxfId="483"/>
    <tableColumn id="3" xr3:uid="{00000000-0010-0000-0700-000003000000}" name="UN. MEDIDA_x000a_(GR/ML)" dataDxfId="482"/>
    <tableColumn id="4" xr3:uid="{00000000-0010-0000-0700-000004000000}" name="PRECIO" dataDxfId="481"/>
    <tableColumn id="6" xr3:uid="{00000000-0010-0000-0700-000006000000}" name="VALOR X UN. MEDIDA" dataDxfId="480">
      <calculatedColumnFormula>Tabla1345681091113923252627284347505152[[#This Row],[PRECIO]]/Tabla1345681091113923252627284347505152[[#This Row],[CANTIDAD]]</calculatedColumnFormula>
    </tableColumn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13456810911139232526272843475051527" displayName="Tabla13456810911139232526272843475051527" ref="B8:F13" totalsRowShown="0" headerRowDxfId="479" headerRowBorderDxfId="478" tableBorderDxfId="477">
  <tableColumns count="5">
    <tableColumn id="1" xr3:uid="{00000000-0010-0000-0800-000001000000}" name="PRODUCTO" dataDxfId="476"/>
    <tableColumn id="2" xr3:uid="{00000000-0010-0000-0800-000002000000}" name="CANTIDAD" dataDxfId="475"/>
    <tableColumn id="3" xr3:uid="{00000000-0010-0000-0800-000003000000}" name="UN. MEDIDA_x000a_(GR/ML)" dataDxfId="474"/>
    <tableColumn id="4" xr3:uid="{00000000-0010-0000-0800-000004000000}" name="PRECIO" dataDxfId="473"/>
    <tableColumn id="6" xr3:uid="{00000000-0010-0000-0800-000006000000}" name="VALOR X UN. MEDIDA" dataDxfId="472">
      <calculatedColumnFormula>Tabla13456810911139232526272843475051527[[#This Row],[PRECIO]]/Tabla13456810911139232526272843475051527[[#This Row],[CANTIDAD]]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Tabla13456810911139232526272843443" displayName="Tabla13456810911139232526272843443" ref="B8:F13" totalsRowShown="0" headerRowDxfId="471" headerRowBorderDxfId="470" tableBorderDxfId="469">
  <tableColumns count="5">
    <tableColumn id="1" xr3:uid="{00000000-0010-0000-0900-000001000000}" name="PRODUCTO" dataDxfId="468"/>
    <tableColumn id="2" xr3:uid="{00000000-0010-0000-0900-000002000000}" name="CANTIDAD" dataDxfId="467"/>
    <tableColumn id="3" xr3:uid="{00000000-0010-0000-0900-000003000000}" name="UN. MEDIDA_x000a_(GR/ML)" dataDxfId="466"/>
    <tableColumn id="4" xr3:uid="{00000000-0010-0000-0900-000004000000}" name="PRECIO" dataDxfId="465"/>
    <tableColumn id="6" xr3:uid="{00000000-0010-0000-0900-000006000000}" name="VALOR X UN. MEDIDA" dataDxfId="464">
      <calculatedColumnFormula>Tabla13456810911139232526272843443[[#This Row],[PRECIO]]/Tabla13456810911139232526272843443[[#This Row],[CANTIDAD]]</calculatedColumnFormula>
    </tableColumn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0A000000}" name="Tabla1345681091113923252627284382" displayName="Tabla1345681091113923252627284382" ref="B8:F13" totalsRowShown="0" headerRowDxfId="463" headerRowBorderDxfId="462" tableBorderDxfId="461">
  <tableColumns count="5">
    <tableColumn id="1" xr3:uid="{00000000-0010-0000-0A00-000001000000}" name="PRODUCTO" dataDxfId="460"/>
    <tableColumn id="2" xr3:uid="{00000000-0010-0000-0A00-000002000000}" name="CANTIDAD" dataDxfId="459"/>
    <tableColumn id="3" xr3:uid="{00000000-0010-0000-0A00-000003000000}" name="UN. MEDIDA_x000a_(GR/ML)" dataDxfId="458"/>
    <tableColumn id="4" xr3:uid="{00000000-0010-0000-0A00-000004000000}" name="PRECIO" dataDxfId="457"/>
    <tableColumn id="6" xr3:uid="{00000000-0010-0000-0A00-000006000000}" name="VALOR X UN. MEDIDA" dataDxfId="456">
      <calculatedColumnFormula>Tabla1345681091113923252627284382[[#This Row],[PRECIO]]/Tabla1345681091113923252627284382[[#This Row],[CANTIDAD]]</calculatedColumnFormula>
    </tableColumn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0B000000}" name="Tabla1345681091113923252627284344" displayName="Tabla1345681091113923252627284344" ref="B8:F13" totalsRowShown="0" headerRowDxfId="455" headerRowBorderDxfId="454" tableBorderDxfId="453">
  <tableColumns count="5">
    <tableColumn id="1" xr3:uid="{00000000-0010-0000-0B00-000001000000}" name="PRODUCTO" dataDxfId="452"/>
    <tableColumn id="2" xr3:uid="{00000000-0010-0000-0B00-000002000000}" name="CANTIDAD" dataDxfId="451"/>
    <tableColumn id="3" xr3:uid="{00000000-0010-0000-0B00-000003000000}" name="UN. MEDIDA_x000a_(GR/ML)" dataDxfId="450"/>
    <tableColumn id="4" xr3:uid="{00000000-0010-0000-0B00-000004000000}" name="PRECIO" dataDxfId="449"/>
    <tableColumn id="6" xr3:uid="{00000000-0010-0000-0B00-000006000000}" name="VALOR X UN. MEDIDA" dataDxfId="448">
      <calculatedColumnFormula>Tabla1345681091113923252627284344[[#This Row],[PRECIO]]/Tabla1345681091113923252627284344[[#This Row],[CANTIDAD]]</calculatedColumnFormula>
    </tableColumn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C000000}" name="Tabla134568109111392310" displayName="Tabla134568109111392310" ref="B8:F13" totalsRowShown="0" headerRowDxfId="447" headerRowBorderDxfId="446" tableBorderDxfId="445">
  <tableColumns count="5">
    <tableColumn id="1" xr3:uid="{00000000-0010-0000-0C00-000001000000}" name="PRODUCTO" dataDxfId="444"/>
    <tableColumn id="2" xr3:uid="{00000000-0010-0000-0C00-000002000000}" name="CANTIDAD" dataDxfId="443"/>
    <tableColumn id="3" xr3:uid="{00000000-0010-0000-0C00-000003000000}" name="UN. MEDIDA_x000a_(GR/ML)" dataDxfId="442"/>
    <tableColumn id="4" xr3:uid="{00000000-0010-0000-0C00-000004000000}" name="PRECIO" dataDxfId="441"/>
    <tableColumn id="6" xr3:uid="{00000000-0010-0000-0C00-000006000000}" name="VALOR X UN. MEDIDA" dataDxfId="440">
      <calculatedColumnFormula>Tabla134568109111392310[[#This Row],[PRECIO]]/Tabla134568109111392310[[#This Row],[CANTIDAD]]</calculatedColumnFormula>
    </tableColumn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D000000}" name="Tabla13456810911139232526272811" displayName="Tabla13456810911139232526272811" ref="B8:F13" totalsRowShown="0" headerRowDxfId="439" headerRowBorderDxfId="438" tableBorderDxfId="437">
  <tableColumns count="5">
    <tableColumn id="1" xr3:uid="{00000000-0010-0000-0D00-000001000000}" name="PRODUCTO" dataDxfId="436"/>
    <tableColumn id="2" xr3:uid="{00000000-0010-0000-0D00-000002000000}" name="CANTIDAD" dataDxfId="435"/>
    <tableColumn id="3" xr3:uid="{00000000-0010-0000-0D00-000003000000}" name="UN. MEDIDA_x000a_(GR/ML)" dataDxfId="434"/>
    <tableColumn id="4" xr3:uid="{00000000-0010-0000-0D00-000004000000}" name="PRECIO" dataDxfId="433"/>
    <tableColumn id="6" xr3:uid="{00000000-0010-0000-0D00-000006000000}" name="VALOR X UN. MEDIDA" dataDxfId="432">
      <calculatedColumnFormula>Tabla13456810911139232526272811[[#This Row],[PRECIO]]/Tabla13456810911139232526272811[[#This Row],[CANTIDAD]]</calculatedColumnFormula>
    </tableColumn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0E000000}" name="Tabla1345681091113923" displayName="Tabla1345681091113923" ref="B8:F13" totalsRowShown="0" headerRowDxfId="431" headerRowBorderDxfId="430" tableBorderDxfId="429">
  <tableColumns count="5">
    <tableColumn id="1" xr3:uid="{00000000-0010-0000-0E00-000001000000}" name="PRODUCTO" dataDxfId="428"/>
    <tableColumn id="2" xr3:uid="{00000000-0010-0000-0E00-000002000000}" name="CANTIDAD" dataDxfId="427"/>
    <tableColumn id="3" xr3:uid="{00000000-0010-0000-0E00-000003000000}" name="UN. MEDIDA_x000a_(GR/ML)" dataDxfId="426"/>
    <tableColumn id="4" xr3:uid="{00000000-0010-0000-0E00-000004000000}" name="PRECIO" dataDxfId="425"/>
    <tableColumn id="6" xr3:uid="{00000000-0010-0000-0E00-000006000000}" name="VALOR X UN. MEDIDA" dataDxfId="424">
      <calculatedColumnFormula>Tabla1345681091113923[[#This Row],[PRECIO]]/Tabla1345681091113923[[#This Row],[CANTIDAD]]</calculatedColumnFormula>
    </tableColumn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0F000000}" name="Tabla134568109111392325262728" displayName="Tabla134568109111392325262728" ref="B8:F13" totalsRowShown="0" headerRowDxfId="423" headerRowBorderDxfId="422" tableBorderDxfId="421">
  <tableColumns count="5">
    <tableColumn id="1" xr3:uid="{00000000-0010-0000-0F00-000001000000}" name="PRODUCTO" dataDxfId="420"/>
    <tableColumn id="2" xr3:uid="{00000000-0010-0000-0F00-000002000000}" name="CANTIDAD" dataDxfId="419"/>
    <tableColumn id="3" xr3:uid="{00000000-0010-0000-0F00-000003000000}" name="UN. MEDIDA_x000a_(GR/ML)" dataDxfId="418"/>
    <tableColumn id="4" xr3:uid="{00000000-0010-0000-0F00-000004000000}" name="PRECIO" dataDxfId="417"/>
    <tableColumn id="6" xr3:uid="{00000000-0010-0000-0F00-000006000000}" name="VALOR X UN. MEDIDA" dataDxfId="416">
      <calculatedColumnFormula>Tabla134568109111392325262728[[#This Row],[PRECIO]]/Tabla134568109111392325262728[[#This Row],[CANTIDAD]]</calculatedColumnFormula>
    </tableColumn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abla1345681091113923252627281112" displayName="Tabla1345681091113923252627281112" ref="B8:F13" totalsRowShown="0" headerRowDxfId="415" headerRowBorderDxfId="414" tableBorderDxfId="413">
  <tableColumns count="5">
    <tableColumn id="1" xr3:uid="{00000000-0010-0000-1000-000001000000}" name="PRODUCTO" dataDxfId="412"/>
    <tableColumn id="2" xr3:uid="{00000000-0010-0000-1000-000002000000}" name="CANTIDAD" dataDxfId="411"/>
    <tableColumn id="3" xr3:uid="{00000000-0010-0000-1000-000003000000}" name="UN. MEDIDA_x000a_(GR/ML)" dataDxfId="410"/>
    <tableColumn id="4" xr3:uid="{00000000-0010-0000-1000-000004000000}" name="PRECIO" dataDxfId="409"/>
    <tableColumn id="6" xr3:uid="{00000000-0010-0000-1000-000006000000}" name="VALOR X UN. MEDIDA" dataDxfId="408">
      <calculatedColumnFormula>Tabla1345681091113923252627281112[[#This Row],[PRECIO]]/Tabla1345681091113923252627281112[[#This Row],[CANTIDAD]]</calculatedColumnFormula>
    </tableColumn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00000000-000C-0000-FFFF-FFFF11000000}" name="Tabla1345681091113923252627293031323334353854" displayName="Tabla1345681091113923252627293031323334353854" ref="B8:F13" totalsRowShown="0" headerRowDxfId="407" headerRowBorderDxfId="406" tableBorderDxfId="405">
  <tableColumns count="5">
    <tableColumn id="1" xr3:uid="{00000000-0010-0000-1100-000001000000}" name="PRODUCTO" dataDxfId="404"/>
    <tableColumn id="2" xr3:uid="{00000000-0010-0000-1100-000002000000}" name="CANTIDAD" dataDxfId="403"/>
    <tableColumn id="3" xr3:uid="{00000000-0010-0000-1100-000003000000}" name="UN. MEDIDA_x000a_(GR/ML)" dataDxfId="402"/>
    <tableColumn id="4" xr3:uid="{00000000-0010-0000-1100-000004000000}" name="PRECIO" dataDxfId="401"/>
    <tableColumn id="6" xr3:uid="{00000000-0010-0000-1100-000006000000}" name="VALOR X UN. MEDIDA" dataDxfId="400">
      <calculatedColumnFormula>Tabla1345681091113923252627293031323334353854[[#This Row],[PRECIO]]/Tabla1345681091113923252627293031323334353854[[#This Row],[CANTIDAD]]</calculatedColumnFormula>
    </tableColumn>
  </tableColumns>
  <tableStyleInfo name="TableStyleLight8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00000000-000C-0000-FFFF-FFFF12000000}" name="Tabla1345681091113923252627284347484953" displayName="Tabla1345681091113923252627284347484953" ref="B8:F13" totalsRowShown="0" headerRowDxfId="399" headerRowBorderDxfId="398" tableBorderDxfId="397">
  <tableColumns count="5">
    <tableColumn id="1" xr3:uid="{00000000-0010-0000-1200-000001000000}" name="PRODUCTO" dataDxfId="396"/>
    <tableColumn id="2" xr3:uid="{00000000-0010-0000-1200-000002000000}" name="CANTIDAD" dataDxfId="395"/>
    <tableColumn id="3" xr3:uid="{00000000-0010-0000-1200-000003000000}" name="UN. MEDIDA_x000a_(GR/ML)" dataDxfId="394"/>
    <tableColumn id="4" xr3:uid="{00000000-0010-0000-1200-000004000000}" name="PRECIO" dataDxfId="393"/>
    <tableColumn id="6" xr3:uid="{00000000-0010-0000-1200-000006000000}" name="VALOR X UN. MEDIDA" dataDxfId="392">
      <calculatedColumnFormula>Tabla1345681091113923252627284347484953[[#This Row],[PRECIO]]/Tabla1345681091113923252627284347484953[[#This Row],[CANTIDAD]]</calculatedColumnFormula>
    </tableColumn>
  </tableColumns>
  <tableStyleInfo name="TableStyleLight8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0000000-000C-0000-FFFF-FFFF13000000}" name="Tabla13456810911139232526272843474849" displayName="Tabla13456810911139232526272843474849" ref="B8:F13" totalsRowShown="0" headerRowDxfId="391" headerRowBorderDxfId="390" tableBorderDxfId="389">
  <tableColumns count="5">
    <tableColumn id="1" xr3:uid="{00000000-0010-0000-1300-000001000000}" name="PRODUCTO" dataDxfId="388"/>
    <tableColumn id="2" xr3:uid="{00000000-0010-0000-1300-000002000000}" name="CANTIDAD" dataDxfId="387"/>
    <tableColumn id="3" xr3:uid="{00000000-0010-0000-1300-000003000000}" name="UN. MEDIDA_x000a_(GR/ML)" dataDxfId="386"/>
    <tableColumn id="4" xr3:uid="{00000000-0010-0000-1300-000004000000}" name="PRECIO" dataDxfId="385"/>
    <tableColumn id="6" xr3:uid="{00000000-0010-0000-1300-000006000000}" name="VALOR X UN. MEDIDA" dataDxfId="384">
      <calculatedColumnFormula>Tabla13456810911139232526272843474849[[#This Row],[PRECIO]]/Tabla13456810911139232526272843474849[[#This Row],[CANTIDAD]]</calculatedColumnFormula>
    </tableColumn>
  </tableColumns>
  <tableStyleInfo name="TableStyleLight8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4000000}" name="Tabla13456810911131516346121719202113" displayName="Tabla13456810911131516346121719202113" ref="B8:F13" totalsRowShown="0" headerRowDxfId="383" headerRowBorderDxfId="382" tableBorderDxfId="381">
  <tableColumns count="5">
    <tableColumn id="1" xr3:uid="{00000000-0010-0000-1400-000001000000}" name="PRODUCTO" dataDxfId="380"/>
    <tableColumn id="2" xr3:uid="{00000000-0010-0000-1400-000002000000}" name="CANTIDAD" dataDxfId="379"/>
    <tableColumn id="3" xr3:uid="{00000000-0010-0000-1400-000003000000}" name="UN. MEDIDA_x000a_(GR/ML)" dataDxfId="378"/>
    <tableColumn id="4" xr3:uid="{00000000-0010-0000-1400-000004000000}" name="PRECIO" dataDxfId="377"/>
    <tableColumn id="6" xr3:uid="{00000000-0010-0000-1400-000006000000}" name="VALOR X UN. MEDIDA" dataDxfId="376">
      <calculatedColumnFormula>Tabla13456810911131516346121719202113[[#This Row],[PRECIO]]/Tabla13456810911131516346121719202113[[#This Row],[CANTIDAD]]</calculatedColumnFormula>
    </tableColumn>
  </tableColumns>
  <tableStyleInfo name="TableStyleLight8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5000000}" name="Tabla1345681014" displayName="Tabla1345681014" ref="B8:F13" totalsRowShown="0" headerRowDxfId="375" dataDxfId="373" headerRowBorderDxfId="374">
  <tableColumns count="5">
    <tableColumn id="1" xr3:uid="{00000000-0010-0000-1500-000001000000}" name="PRODUCTO" dataDxfId="372"/>
    <tableColumn id="2" xr3:uid="{00000000-0010-0000-1500-000002000000}" name="CANTIDAD" dataDxfId="371"/>
    <tableColumn id="3" xr3:uid="{00000000-0010-0000-1500-000003000000}" name="UN. MEDIDA_x000a_(GR/ML)" dataDxfId="370"/>
    <tableColumn id="4" xr3:uid="{00000000-0010-0000-1500-000004000000}" name="PRECIO" dataDxfId="369"/>
    <tableColumn id="6" xr3:uid="{00000000-0010-0000-1500-000006000000}" name="VALOR X UN. MEDIDA" dataDxfId="368">
      <calculatedColumnFormula>Tabla1345681014[[#This Row],[PRECIO]]/Tabla1345681014[[#This Row],[CANTIDAD]]</calculatedColumnFormula>
    </tableColumn>
  </tableColumns>
  <tableStyleInfo name="TableStyleLight8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6000000}" name="Tabla13456914" displayName="Tabla13456914" ref="B8:F13" totalsRowShown="0" headerRowDxfId="367" headerRowBorderDxfId="366" tableBorderDxfId="365">
  <tableColumns count="5">
    <tableColumn id="1" xr3:uid="{00000000-0010-0000-1600-000001000000}" name="PRODUCTO" dataDxfId="364"/>
    <tableColumn id="2" xr3:uid="{00000000-0010-0000-1600-000002000000}" name="CANTIDAD" dataDxfId="363"/>
    <tableColumn id="3" xr3:uid="{00000000-0010-0000-1600-000003000000}" name="UN. MEDIDA_x000a_(GR/ML)" dataDxfId="362"/>
    <tableColumn id="4" xr3:uid="{00000000-0010-0000-1600-000004000000}" name="PRECIO" dataDxfId="361"/>
    <tableColumn id="6" xr3:uid="{00000000-0010-0000-1600-000006000000}" name="VALOR X UN. MEDIDA" dataDxfId="360">
      <calculatedColumnFormula>Tabla13456914[[#This Row],[PRECIO]]/Tabla13456914[[#This Row],[CANTIDAD]]</calculatedColumnFormula>
    </tableColumn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Tabla13456810" displayName="Tabla13456810" ref="B8:F13" totalsRowShown="0" headerRowDxfId="359" dataDxfId="357" headerRowBorderDxfId="358">
  <tableColumns count="5">
    <tableColumn id="1" xr3:uid="{00000000-0010-0000-1700-000001000000}" name="PRODUCTO" dataDxfId="356"/>
    <tableColumn id="2" xr3:uid="{00000000-0010-0000-1700-000002000000}" name="CANTIDAD" dataDxfId="355"/>
    <tableColumn id="3" xr3:uid="{00000000-0010-0000-1700-000003000000}" name="UN. MEDIDA_x000a_(GR/ML)" dataDxfId="354"/>
    <tableColumn id="4" xr3:uid="{00000000-0010-0000-1700-000004000000}" name="PRECIO" dataDxfId="353"/>
    <tableColumn id="6" xr3:uid="{00000000-0010-0000-1700-000006000000}" name="VALOR X UN. MEDIDA" dataDxfId="352">
      <calculatedColumnFormula>Tabla13456810[[#This Row],[PRECIO]]/Tabla13456810[[#This Row],[CANTIDAD]]</calculatedColumnFormula>
    </tableColumn>
  </tableColumns>
  <tableStyleInfo name="TableStyleLight8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8000000}" name="Tabla134568101416" displayName="Tabla134568101416" ref="B8:F13" totalsRowShown="0" headerRowDxfId="351" dataDxfId="349" headerRowBorderDxfId="350">
  <tableColumns count="5">
    <tableColumn id="1" xr3:uid="{00000000-0010-0000-1800-000001000000}" name="PRODUCTO" dataDxfId="348"/>
    <tableColumn id="2" xr3:uid="{00000000-0010-0000-1800-000002000000}" name="CANTIDAD" dataDxfId="347"/>
    <tableColumn id="3" xr3:uid="{00000000-0010-0000-1800-000003000000}" name="UN. MEDIDA_x000a_(GR/ML)" dataDxfId="346"/>
    <tableColumn id="4" xr3:uid="{00000000-0010-0000-1800-000004000000}" name="PRECIO" dataDxfId="345"/>
    <tableColumn id="6" xr3:uid="{00000000-0010-0000-1800-000006000000}" name="VALOR X UN. MEDIDA" dataDxfId="344">
      <calculatedColumnFormula>Tabla134568101416[[#This Row],[PRECIO]]/Tabla134568101416[[#This Row],[CANTIDAD]]</calculatedColumnFormula>
    </tableColumn>
  </tableColumns>
  <tableStyleInfo name="TableStyleLight8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19000000}" name="Tabla1345681091113923252627293031323334" displayName="Tabla1345681091113923252627293031323334" ref="B8:F13" totalsRowShown="0" headerRowDxfId="343" headerRowBorderDxfId="342" tableBorderDxfId="341">
  <tableColumns count="5">
    <tableColumn id="1" xr3:uid="{00000000-0010-0000-1900-000001000000}" name="PRODUCTO" dataDxfId="340"/>
    <tableColumn id="2" xr3:uid="{00000000-0010-0000-1900-000002000000}" name="CANTIDAD" dataDxfId="339"/>
    <tableColumn id="3" xr3:uid="{00000000-0010-0000-1900-000003000000}" name="UN. MEDIDA_x000a_(GR/ML)" dataDxfId="338"/>
    <tableColumn id="4" xr3:uid="{00000000-0010-0000-1900-000004000000}" name="PRECIO" dataDxfId="337"/>
    <tableColumn id="6" xr3:uid="{00000000-0010-0000-1900-000006000000}" name="VALOR X UN. MEDIDA" dataDxfId="336">
      <calculatedColumnFormula>Tabla1345681091113923252627293031323334[[#This Row],[PRECIO]]/Tabla1345681091113923252627293031323334[[#This Row],[CANTIDAD]]</calculatedColumnFormula>
    </tableColumn>
  </tableColumns>
  <tableStyleInfo name="TableStyleLight8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A000000}" name="Tabla134568109111392325262729303132333417" displayName="Tabla134568109111392325262729303132333417" ref="B8:F13" totalsRowShown="0" headerRowDxfId="335" headerRowBorderDxfId="334" tableBorderDxfId="333">
  <tableColumns count="5">
    <tableColumn id="1" xr3:uid="{00000000-0010-0000-1A00-000001000000}" name="PRODUCTO" dataDxfId="332"/>
    <tableColumn id="2" xr3:uid="{00000000-0010-0000-1A00-000002000000}" name="CANTIDAD" dataDxfId="331"/>
    <tableColumn id="3" xr3:uid="{00000000-0010-0000-1A00-000003000000}" name="UN. MEDIDA_x000a_(GR/ML)" dataDxfId="330"/>
    <tableColumn id="4" xr3:uid="{00000000-0010-0000-1A00-000004000000}" name="PRECIO" dataDxfId="329"/>
    <tableColumn id="6" xr3:uid="{00000000-0010-0000-1A00-000006000000}" name="VALOR X UN. MEDIDA" dataDxfId="328">
      <calculatedColumnFormula>Tabla134568109111392325262729303132333417[[#This Row],[PRECIO]]/Tabla134568109111392325262729303132333417[[#This Row],[CANTIDAD]]</calculatedColumnFormula>
    </tableColumn>
  </tableColumns>
  <tableStyleInfo name="TableStyleLight8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B000000}" name="Tabla13456914220" displayName="Tabla13456914220" ref="B8:F13" totalsRowShown="0" headerRowDxfId="327" headerRowBorderDxfId="326" tableBorderDxfId="325">
  <tableColumns count="5">
    <tableColumn id="1" xr3:uid="{00000000-0010-0000-1B00-000001000000}" name="PRODUCTO" dataDxfId="324"/>
    <tableColumn id="2" xr3:uid="{00000000-0010-0000-1B00-000002000000}" name="CANTIDAD" dataDxfId="323"/>
    <tableColumn id="3" xr3:uid="{00000000-0010-0000-1B00-000003000000}" name="UN. MEDIDA_x000a_(GR/ML)" dataDxfId="322"/>
    <tableColumn id="4" xr3:uid="{00000000-0010-0000-1B00-000004000000}" name="PRECIO" dataDxfId="321"/>
    <tableColumn id="6" xr3:uid="{00000000-0010-0000-1B00-000006000000}" name="VALOR X UN. MEDIDA" dataDxfId="320">
      <calculatedColumnFormula>Tabla13456914220[[#This Row],[PRECIO]]/Tabla13456914220[[#This Row],[CANTIDAD]]</calculatedColumnFormula>
    </tableColumn>
  </tableColumns>
  <tableStyleInfo name="TableStyleLight8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C000000}" name="Tabla134569142" displayName="Tabla134569142" ref="B8:F13" totalsRowShown="0" headerRowDxfId="319" headerRowBorderDxfId="318" tableBorderDxfId="317">
  <tableColumns count="5">
    <tableColumn id="1" xr3:uid="{00000000-0010-0000-1C00-000001000000}" name="PRODUCTO" dataDxfId="316"/>
    <tableColumn id="2" xr3:uid="{00000000-0010-0000-1C00-000002000000}" name="CANTIDAD" dataDxfId="315"/>
    <tableColumn id="3" xr3:uid="{00000000-0010-0000-1C00-000003000000}" name="UN. MEDIDA_x000a_(GR/ML)" dataDxfId="314"/>
    <tableColumn id="4" xr3:uid="{00000000-0010-0000-1C00-000004000000}" name="PRECIO" dataDxfId="313"/>
    <tableColumn id="6" xr3:uid="{00000000-0010-0000-1C00-000006000000}" name="VALOR X UN. MEDIDA" dataDxfId="312">
      <calculatedColumnFormula>Tabla134569142[[#This Row],[PRECIO]]/Tabla134569142[[#This Row],[CANTIDAD]]</calculatedColumnFormula>
    </tableColumn>
  </tableColumns>
  <tableStyleInfo name="TableStyleLight8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D000000}" name="Tabla1345681035" displayName="Tabla1345681035" ref="B8:F13" totalsRowShown="0" headerRowDxfId="311" dataDxfId="309" headerRowBorderDxfId="310">
  <tableColumns count="5">
    <tableColumn id="1" xr3:uid="{00000000-0010-0000-1D00-000001000000}" name="PRODUCTO" dataDxfId="308"/>
    <tableColumn id="2" xr3:uid="{00000000-0010-0000-1D00-000002000000}" name="CANTIDAD" dataDxfId="307"/>
    <tableColumn id="3" xr3:uid="{00000000-0010-0000-1D00-000003000000}" name="UN. MEDIDA_x000a_(GR/ML)" dataDxfId="306"/>
    <tableColumn id="4" xr3:uid="{00000000-0010-0000-1D00-000004000000}" name="PRECIO" dataDxfId="305"/>
    <tableColumn id="6" xr3:uid="{00000000-0010-0000-1D00-000006000000}" name="VALOR X UN. MEDIDA" dataDxfId="304">
      <calculatedColumnFormula>Tabla1345681035[[#This Row],[PRECIO]]/Tabla1345681035[[#This Row],[CANTIDAD]]</calculatedColumnFormula>
    </tableColumn>
  </tableColumns>
  <tableStyleInfo name="TableStyleLight8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E000000}" name="Tabla134568103518" displayName="Tabla134568103518" ref="B8:F13" totalsRowShown="0" headerRowDxfId="303" dataDxfId="301" headerRowBorderDxfId="302">
  <tableColumns count="5">
    <tableColumn id="1" xr3:uid="{00000000-0010-0000-1E00-000001000000}" name="PRODUCTO" dataDxfId="300"/>
    <tableColumn id="2" xr3:uid="{00000000-0010-0000-1E00-000002000000}" name="CANTIDAD" dataDxfId="299"/>
    <tableColumn id="3" xr3:uid="{00000000-0010-0000-1E00-000003000000}" name="UN. MEDIDA_x000a_(GR/ML)" dataDxfId="298"/>
    <tableColumn id="4" xr3:uid="{00000000-0010-0000-1E00-000004000000}" name="PRECIO" dataDxfId="297"/>
    <tableColumn id="6" xr3:uid="{00000000-0010-0000-1E00-000006000000}" name="VALOR X UN. MEDIDA" dataDxfId="296">
      <calculatedColumnFormula>Tabla134568103518[[#This Row],[PRECIO]]/Tabla134568103518[[#This Row],[CANTIDAD]]</calculatedColumnFormula>
    </tableColumn>
  </tableColumns>
  <tableStyleInfo name="TableStyleLight8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F000000}" name="Tabla134568109112324" displayName="Tabla134568109112324" ref="B8:F13" totalsRowShown="0" headerRowDxfId="295" headerRowBorderDxfId="294" tableBorderDxfId="293">
  <tableColumns count="5">
    <tableColumn id="1" xr3:uid="{00000000-0010-0000-1F00-000001000000}" name="PRODUCTO" dataDxfId="292"/>
    <tableColumn id="2" xr3:uid="{00000000-0010-0000-1F00-000002000000}" name="CANTIDAD" dataDxfId="291"/>
    <tableColumn id="3" xr3:uid="{00000000-0010-0000-1F00-000003000000}" name="UN. MEDIDA_x000a_(GR/ML)" dataDxfId="290"/>
    <tableColumn id="4" xr3:uid="{00000000-0010-0000-1F00-000004000000}" name="PRECIO" dataDxfId="289"/>
    <tableColumn id="6" xr3:uid="{00000000-0010-0000-1F00-000006000000}" name="VALOR X UN. MEDIDA" dataDxfId="288">
      <calculatedColumnFormula>Tabla134568109112324[[#This Row],[PRECIO]]/Tabla134568109112324[[#This Row],[CANTIDAD]]</calculatedColumnFormula>
    </tableColumn>
  </tableColumns>
  <tableStyleInfo name="TableStyleLight8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20000000}" name="Tabla1345681091123" displayName="Tabla1345681091123" ref="B8:F13" totalsRowShown="0" headerRowDxfId="287" headerRowBorderDxfId="286" tableBorderDxfId="285">
  <tableColumns count="5">
    <tableColumn id="1" xr3:uid="{00000000-0010-0000-2000-000001000000}" name="PRODUCTO" dataDxfId="284"/>
    <tableColumn id="2" xr3:uid="{00000000-0010-0000-2000-000002000000}" name="CANTIDAD" dataDxfId="283"/>
    <tableColumn id="3" xr3:uid="{00000000-0010-0000-2000-000003000000}" name="UN. MEDIDA_x000a_(GR/ML)" dataDxfId="282"/>
    <tableColumn id="4" xr3:uid="{00000000-0010-0000-2000-000004000000}" name="PRECIO" dataDxfId="281"/>
    <tableColumn id="6" xr3:uid="{00000000-0010-0000-2000-000006000000}" name="VALOR X UN. MEDIDA" dataDxfId="280">
      <calculatedColumnFormula>Tabla1345681091123[[#This Row],[PRECIO]]/Tabla1345681091123[[#This Row],[CANTIDAD]]</calculatedColumnFormula>
    </tableColumn>
  </tableColumns>
  <tableStyleInfo name="TableStyleLight8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21000000}" name="Tabla134568108" displayName="Tabla134568108" ref="B8:F13" totalsRowShown="0" headerRowDxfId="279" headerRowBorderDxfId="278" tableBorderDxfId="277">
  <tableColumns count="5">
    <tableColumn id="1" xr3:uid="{00000000-0010-0000-2100-000001000000}" name="PRODUCTO" dataDxfId="276"/>
    <tableColumn id="2" xr3:uid="{00000000-0010-0000-2100-000002000000}" name="CANTIDAD" dataDxfId="275"/>
    <tableColumn id="3" xr3:uid="{00000000-0010-0000-2100-000003000000}" name="UN. MEDIDA_x000a_(GR/ML)" dataDxfId="274"/>
    <tableColumn id="4" xr3:uid="{00000000-0010-0000-2100-000004000000}" name="PRECIO" dataDxfId="273"/>
    <tableColumn id="6" xr3:uid="{00000000-0010-0000-2100-000006000000}" name="VALOR X UN. MEDIDA" dataDxfId="272">
      <calculatedColumnFormula>Tabla134568108[[#This Row],[PRECIO]]/Tabla134568108[[#This Row],[CANTIDAD]]</calculatedColumnFormula>
    </tableColumn>
  </tableColumns>
  <tableStyleInfo name="TableStyleLight8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22000000}" name="Tabla1345681091125" displayName="Tabla1345681091125" ref="B8:F13" totalsRowShown="0" headerRowDxfId="271" headerRowBorderDxfId="270" tableBorderDxfId="269">
  <tableColumns count="5">
    <tableColumn id="1" xr3:uid="{00000000-0010-0000-2200-000001000000}" name="PRODUCTO" dataDxfId="268"/>
    <tableColumn id="2" xr3:uid="{00000000-0010-0000-2200-000002000000}" name="CANTIDAD" dataDxfId="267"/>
    <tableColumn id="3" xr3:uid="{00000000-0010-0000-2200-000003000000}" name="UN. MEDIDA_x000a_(GR/ML)" dataDxfId="266"/>
    <tableColumn id="4" xr3:uid="{00000000-0010-0000-2200-000004000000}" name="PRECIO" dataDxfId="265"/>
    <tableColumn id="6" xr3:uid="{00000000-0010-0000-2200-000006000000}" name="VALOR X UN. MEDIDA" dataDxfId="264">
      <calculatedColumnFormula>Tabla1345681091125[[#This Row],[PRECIO]]/Tabla1345681091125[[#This Row],[CANTIDAD]]</calculatedColumnFormula>
    </tableColumn>
  </tableColumns>
  <tableStyleInfo name="TableStyleLight8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23000000}" name="Tabla13456810911" displayName="Tabla13456810911" ref="B8:F13" totalsRowShown="0" headerRowDxfId="263" headerRowBorderDxfId="262" tableBorderDxfId="261">
  <tableColumns count="5">
    <tableColumn id="1" xr3:uid="{00000000-0010-0000-2300-000001000000}" name="PRODUCTO" dataDxfId="260"/>
    <tableColumn id="2" xr3:uid="{00000000-0010-0000-2300-000002000000}" name="CANTIDAD" dataDxfId="259"/>
    <tableColumn id="3" xr3:uid="{00000000-0010-0000-2300-000003000000}" name="UN. MEDIDA_x000a_(GR/ML)" dataDxfId="258"/>
    <tableColumn id="4" xr3:uid="{00000000-0010-0000-2300-000004000000}" name="PRECIO" dataDxfId="257"/>
    <tableColumn id="6" xr3:uid="{00000000-0010-0000-2300-000006000000}" name="VALOR X UN. MEDIDA" dataDxfId="256">
      <calculatedColumnFormula>Tabla13456810911[[#This Row],[PRECIO]]/Tabla13456810911[[#This Row],[CANTIDAD]]</calculatedColumnFormula>
    </tableColumn>
  </tableColumns>
  <tableStyleInfo name="TableStyleLight8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24000000}" name="Tabla134568109112529" displayName="Tabla134568109112529" ref="B8:F13" totalsRowShown="0" headerRowDxfId="255" headerRowBorderDxfId="254" tableBorderDxfId="253">
  <tableColumns count="5">
    <tableColumn id="1" xr3:uid="{00000000-0010-0000-2400-000001000000}" name="PRODUCTO" dataDxfId="252"/>
    <tableColumn id="2" xr3:uid="{00000000-0010-0000-2400-000002000000}" name="CANTIDAD" dataDxfId="251"/>
    <tableColumn id="3" xr3:uid="{00000000-0010-0000-2400-000003000000}" name="UN. MEDIDA_x000a_(GR/ML)" dataDxfId="250"/>
    <tableColumn id="4" xr3:uid="{00000000-0010-0000-2400-000004000000}" name="PRECIO" dataDxfId="249"/>
    <tableColumn id="6" xr3:uid="{00000000-0010-0000-2400-000006000000}" name="VALOR X UN. MEDIDA" dataDxfId="248">
      <calculatedColumnFormula>Tabla134568109112529[[#This Row],[PRECIO]]/Tabla134568109112529[[#This Row],[CANTIDAD]]</calculatedColumnFormula>
    </tableColumn>
  </tableColumns>
  <tableStyleInfo name="TableStyleLight8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25000000}" name="Tabla13456810911252930" displayName="Tabla13456810911252930" ref="B8:F13" totalsRowShown="0" headerRowDxfId="247" headerRowBorderDxfId="246" tableBorderDxfId="245">
  <tableColumns count="5">
    <tableColumn id="1" xr3:uid="{00000000-0010-0000-2500-000001000000}" name="PRODUCTO" dataDxfId="244"/>
    <tableColumn id="2" xr3:uid="{00000000-0010-0000-2500-000002000000}" name="CANTIDAD" dataDxfId="243"/>
    <tableColumn id="3" xr3:uid="{00000000-0010-0000-2500-000003000000}" name="UN. MEDIDA_x000a_(GR/ML)" dataDxfId="242"/>
    <tableColumn id="4" xr3:uid="{00000000-0010-0000-2500-000004000000}" name="PRECIO" dataDxfId="241"/>
    <tableColumn id="6" xr3:uid="{00000000-0010-0000-2500-000006000000}" name="VALOR X UN. MEDIDA" dataDxfId="240">
      <calculatedColumnFormula>Tabla13456810911252930[[#This Row],[PRECIO]]/Tabla13456810911252930[[#This Row],[CANTIDAD]]</calculatedColumnFormula>
    </tableColumn>
  </tableColumns>
  <tableStyleInfo name="TableStyleLight8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26000000}" name="Tabla1345681091113" displayName="Tabla1345681091113" ref="B8:F13" totalsRowShown="0" headerRowDxfId="239" headerRowBorderDxfId="238" tableBorderDxfId="237">
  <tableColumns count="5">
    <tableColumn id="1" xr3:uid="{00000000-0010-0000-2600-000001000000}" name="PRODUCTO" dataDxfId="236"/>
    <tableColumn id="2" xr3:uid="{00000000-0010-0000-2600-000002000000}" name="CANTIDAD" dataDxfId="235"/>
    <tableColumn id="3" xr3:uid="{00000000-0010-0000-2600-000003000000}" name="UN. MEDIDA_x000a_(GR/ML)" dataDxfId="234"/>
    <tableColumn id="4" xr3:uid="{00000000-0010-0000-2600-000004000000}" name="PRECIO" dataDxfId="233"/>
    <tableColumn id="6" xr3:uid="{00000000-0010-0000-2600-000006000000}" name="VALOR X UN. MEDIDA" dataDxfId="232">
      <calculatedColumnFormula>Tabla1345681091113[[#This Row],[PRECIO]]/Tabla1345681091113[[#This Row],[CANTIDAD]]</calculatedColumnFormula>
    </tableColumn>
  </tableColumns>
  <tableStyleInfo name="TableStyleLight8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27000000}" name="Tabla13456810911131521" displayName="Tabla13456810911131521" ref="B8:F13" totalsRowShown="0" headerRowDxfId="231" headerRowBorderDxfId="230" tableBorderDxfId="229">
  <tableColumns count="5">
    <tableColumn id="1" xr3:uid="{00000000-0010-0000-2700-000001000000}" name="PRODUCTO" dataDxfId="228"/>
    <tableColumn id="2" xr3:uid="{00000000-0010-0000-2700-000002000000}" name="CANTIDAD" dataDxfId="227"/>
    <tableColumn id="3" xr3:uid="{00000000-0010-0000-2700-000003000000}" name="UN. MEDIDA_x000a_(GR/ML)" dataDxfId="226"/>
    <tableColumn id="4" xr3:uid="{00000000-0010-0000-2700-000004000000}" name="PRECIO" dataDxfId="225"/>
    <tableColumn id="6" xr3:uid="{00000000-0010-0000-2700-000006000000}" name="VALOR X UN. MEDIDA" dataDxfId="224">
      <calculatedColumnFormula>Tabla13456810911131521[[#This Row],[PRECIO]]/Tabla13456810911131521[[#This Row],[CANTIDAD]]</calculatedColumnFormula>
    </tableColumn>
  </tableColumns>
  <tableStyleInfo name="TableStyleLight8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28000000}" name="Tabla13456810911131516" displayName="Tabla13456810911131516" ref="B8:F13" totalsRowShown="0" headerRowDxfId="223" headerRowBorderDxfId="222" tableBorderDxfId="221">
  <tableColumns count="5">
    <tableColumn id="1" xr3:uid="{00000000-0010-0000-2800-000001000000}" name="PRODUCTO" dataDxfId="220"/>
    <tableColumn id="2" xr3:uid="{00000000-0010-0000-2800-000002000000}" name="CANTIDAD" dataDxfId="219"/>
    <tableColumn id="3" xr3:uid="{00000000-0010-0000-2800-000003000000}" name="UN. MEDIDA_x000a_(GR/ML)" dataDxfId="218"/>
    <tableColumn id="4" xr3:uid="{00000000-0010-0000-2800-000004000000}" name="PRECIO" dataDxfId="217"/>
    <tableColumn id="6" xr3:uid="{00000000-0010-0000-2800-000006000000}" name="VALOR X UN. MEDIDA" dataDxfId="216">
      <calculatedColumnFormula>Tabla13456810911131516[[#This Row],[PRECIO]]/Tabla13456810911131516[[#This Row],[CANTIDAD]]</calculatedColumnFormula>
    </tableColumn>
  </tableColumns>
  <tableStyleInfo name="TableStyleLight8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29000000}" name="Tabla134568109111315163" displayName="Tabla134568109111315163" ref="B8:F13" totalsRowShown="0" headerRowDxfId="215" headerRowBorderDxfId="214" tableBorderDxfId="213">
  <tableColumns count="5">
    <tableColumn id="1" xr3:uid="{00000000-0010-0000-2900-000001000000}" name="PRODUCTO" dataDxfId="212"/>
    <tableColumn id="2" xr3:uid="{00000000-0010-0000-2900-000002000000}" name="CANTIDAD" dataDxfId="211"/>
    <tableColumn id="3" xr3:uid="{00000000-0010-0000-2900-000003000000}" name="UN. MEDIDA_x000a_(GR/ML)" dataDxfId="210"/>
    <tableColumn id="4" xr3:uid="{00000000-0010-0000-2900-000004000000}" name="PRECIO" dataDxfId="209"/>
    <tableColumn id="6" xr3:uid="{00000000-0010-0000-2900-000006000000}" name="VALOR X UN. MEDIDA" dataDxfId="208">
      <calculatedColumnFormula>Tabla134568109111315163[[#This Row],[PRECIO]]/Tabla134568109111315163[[#This Row],[CANTIDAD]]</calculatedColumnFormula>
    </tableColumn>
  </tableColumns>
  <tableStyleInfo name="TableStyleLight8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2A000000}" name="Tabla1345681091113151634" displayName="Tabla1345681091113151634" ref="B8:F13" totalsRowShown="0" headerRowDxfId="207" headerRowBorderDxfId="206" tableBorderDxfId="205">
  <tableColumns count="5">
    <tableColumn id="1" xr3:uid="{00000000-0010-0000-2A00-000001000000}" name="PRODUCTO" dataDxfId="204"/>
    <tableColumn id="2" xr3:uid="{00000000-0010-0000-2A00-000002000000}" name="CANTIDAD" dataDxfId="203"/>
    <tableColumn id="3" xr3:uid="{00000000-0010-0000-2A00-000003000000}" name="UN. MEDIDA_x000a_(GR/ML)" dataDxfId="202"/>
    <tableColumn id="4" xr3:uid="{00000000-0010-0000-2A00-000004000000}" name="PRECIO" dataDxfId="201"/>
    <tableColumn id="6" xr3:uid="{00000000-0010-0000-2A00-000006000000}" name="VALOR X UN. MEDIDA" dataDxfId="200">
      <calculatedColumnFormula>Tabla1345681091113151634[[#This Row],[PRECIO]]/Tabla1345681091113151634[[#This Row],[CANTIDAD]]</calculatedColumnFormula>
    </tableColumn>
  </tableColumns>
  <tableStyleInfo name="TableStyleLight8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B000000}" name="Tabla13456810911131516331" displayName="Tabla13456810911131516331" ref="B8:F13" totalsRowShown="0" headerRowDxfId="199" headerRowBorderDxfId="198" tableBorderDxfId="197">
  <tableColumns count="5">
    <tableColumn id="1" xr3:uid="{00000000-0010-0000-2B00-000001000000}" name="PRODUCTO" dataDxfId="196"/>
    <tableColumn id="2" xr3:uid="{00000000-0010-0000-2B00-000002000000}" name="CANTIDAD" dataDxfId="195"/>
    <tableColumn id="3" xr3:uid="{00000000-0010-0000-2B00-000003000000}" name="UN. MEDIDA_x000a_(GR/ML)" dataDxfId="194"/>
    <tableColumn id="4" xr3:uid="{00000000-0010-0000-2B00-000004000000}" name="PRECIO" dataDxfId="193"/>
    <tableColumn id="6" xr3:uid="{00000000-0010-0000-2B00-000006000000}" name="VALOR X UN. MEDIDA" dataDxfId="192">
      <calculatedColumnFormula>Tabla13456810911131516331[[#This Row],[PRECIO]]/Tabla13456810911131516331[[#This Row],[CANTIDAD]]</calculatedColumnFormula>
    </tableColumn>
  </tableColumns>
  <tableStyleInfo name="TableStyleLight8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2C000000}" name="Tabla13456810911131516332" displayName="Tabla13456810911131516332" ref="B8:F13" totalsRowShown="0" headerRowDxfId="191" headerRowBorderDxfId="190" tableBorderDxfId="189">
  <tableColumns count="5">
    <tableColumn id="1" xr3:uid="{00000000-0010-0000-2C00-000001000000}" name="PRODUCTO" dataDxfId="188"/>
    <tableColumn id="2" xr3:uid="{00000000-0010-0000-2C00-000002000000}" name="CANTIDAD" dataDxfId="187"/>
    <tableColumn id="3" xr3:uid="{00000000-0010-0000-2C00-000003000000}" name="UN. MEDIDA_x000a_(GR/ML)" dataDxfId="186"/>
    <tableColumn id="4" xr3:uid="{00000000-0010-0000-2C00-000004000000}" name="PRECIO" dataDxfId="185"/>
    <tableColumn id="6" xr3:uid="{00000000-0010-0000-2C00-000006000000}" name="VALOR X UN. MEDIDA" dataDxfId="184">
      <calculatedColumnFormula>Tabla13456810911131516332[[#This Row],[PRECIO]]/Tabla13456810911131516332[[#This Row],[CANTIDAD]]</calculatedColumnFormula>
    </tableColumn>
  </tableColumns>
  <tableStyleInfo name="TableStyleLight8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D000000}" name="Tabla13456810911131516346" displayName="Tabla13456810911131516346" ref="B8:F13" totalsRowShown="0" headerRowDxfId="183" headerRowBorderDxfId="182" tableBorderDxfId="181">
  <tableColumns count="5">
    <tableColumn id="1" xr3:uid="{00000000-0010-0000-2D00-000001000000}" name="PRODUCTO" dataDxfId="180"/>
    <tableColumn id="2" xr3:uid="{00000000-0010-0000-2D00-000002000000}" name="CANTIDAD" dataDxfId="179"/>
    <tableColumn id="3" xr3:uid="{00000000-0010-0000-2D00-000003000000}" name="UN. MEDIDA_x000a_(GR/ML)" dataDxfId="178"/>
    <tableColumn id="4" xr3:uid="{00000000-0010-0000-2D00-000004000000}" name="PRECIO" dataDxfId="177"/>
    <tableColumn id="6" xr3:uid="{00000000-0010-0000-2D00-000006000000}" name="VALOR X UN. MEDIDA" dataDxfId="176">
      <calculatedColumnFormula>Tabla13456810911131516346[[#This Row],[PRECIO]]/Tabla13456810911131516346[[#This Row],[CANTIDAD]]</calculatedColumnFormula>
    </tableColumn>
  </tableColumns>
  <tableStyleInfo name="TableStyleLight8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2E000000}" name="Tabla1345681091113151634612" displayName="Tabla1345681091113151634612" ref="B8:F13" totalsRowShown="0" headerRowDxfId="175" headerRowBorderDxfId="174" tableBorderDxfId="173">
  <tableColumns count="5">
    <tableColumn id="1" xr3:uid="{00000000-0010-0000-2E00-000001000000}" name="PRODUCTO" dataDxfId="172"/>
    <tableColumn id="2" xr3:uid="{00000000-0010-0000-2E00-000002000000}" name="CANTIDAD" dataDxfId="171"/>
    <tableColumn id="3" xr3:uid="{00000000-0010-0000-2E00-000003000000}" name="UN. MEDIDA_x000a_(GR/ML)" dataDxfId="170"/>
    <tableColumn id="4" xr3:uid="{00000000-0010-0000-2E00-000004000000}" name="PRECIO" dataDxfId="169"/>
    <tableColumn id="6" xr3:uid="{00000000-0010-0000-2E00-000006000000}" name="VALOR X UN. MEDIDA" dataDxfId="168">
      <calculatedColumnFormula>Tabla1345681091113151634612[[#This Row],[PRECIO]]/Tabla1345681091113151634612[[#This Row],[CANTIDAD]]</calculatedColumnFormula>
    </tableColumn>
  </tableColumns>
  <tableStyleInfo name="TableStyleLight8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F000000}" name="Tabla134568109111315163461233" displayName="Tabla134568109111315163461233" ref="B8:F13" totalsRowShown="0" headerRowDxfId="167" headerRowBorderDxfId="166" tableBorderDxfId="165">
  <tableColumns count="5">
    <tableColumn id="1" xr3:uid="{00000000-0010-0000-2F00-000001000000}" name="PRODUCTO" dataDxfId="164"/>
    <tableColumn id="2" xr3:uid="{00000000-0010-0000-2F00-000002000000}" name="CANTIDAD" dataDxfId="163"/>
    <tableColumn id="3" xr3:uid="{00000000-0010-0000-2F00-000003000000}" name="UN. MEDIDA_x000a_(GR/ML)" dataDxfId="162"/>
    <tableColumn id="4" xr3:uid="{00000000-0010-0000-2F00-000004000000}" name="PRECIO" dataDxfId="161"/>
    <tableColumn id="6" xr3:uid="{00000000-0010-0000-2F00-000006000000}" name="VALOR X UN. MEDIDA" dataDxfId="160">
      <calculatedColumnFormula>Tabla134568109111315163461233[[#This Row],[PRECIO]]/Tabla134568109111315163461233[[#This Row],[CANTIDAD]]</calculatedColumnFormula>
    </tableColumn>
  </tableColumns>
  <tableStyleInfo name="TableStyleLight8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30000000}" name="Tabla134568109111315163461217" displayName="Tabla134568109111315163461217" ref="B8:F13" totalsRowShown="0" headerRowDxfId="159" headerRowBorderDxfId="158" tableBorderDxfId="157">
  <tableColumns count="5">
    <tableColumn id="1" xr3:uid="{00000000-0010-0000-3000-000001000000}" name="PRODUCTO" dataDxfId="156"/>
    <tableColumn id="2" xr3:uid="{00000000-0010-0000-3000-000002000000}" name="CANTIDAD" dataDxfId="155"/>
    <tableColumn id="3" xr3:uid="{00000000-0010-0000-3000-000003000000}" name="UN. MEDIDA_x000a_(GR/ML)" dataDxfId="154"/>
    <tableColumn id="4" xr3:uid="{00000000-0010-0000-3000-000004000000}" name="PRECIO" dataDxfId="153"/>
    <tableColumn id="6" xr3:uid="{00000000-0010-0000-3000-000006000000}" name="VALOR X UN. MEDIDA" dataDxfId="152">
      <calculatedColumnFormula>Tabla134568109111315163461217[[#This Row],[PRECIO]]/Tabla134568109111315163461217[[#This Row],[CANTIDAD]]</calculatedColumnFormula>
    </tableColumn>
  </tableColumns>
  <tableStyleInfo name="TableStyleLight8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31000000}" name="Tabla134568109111315163461217192037" displayName="Tabla134568109111315163461217192037" ref="B8:F13" totalsRowShown="0" headerRowDxfId="151" headerRowBorderDxfId="150" tableBorderDxfId="149">
  <tableColumns count="5">
    <tableColumn id="1" xr3:uid="{00000000-0010-0000-3100-000001000000}" name="PRODUCTO" dataDxfId="148"/>
    <tableColumn id="2" xr3:uid="{00000000-0010-0000-3100-000002000000}" name="CANTIDAD" dataDxfId="147"/>
    <tableColumn id="3" xr3:uid="{00000000-0010-0000-3100-000003000000}" name="UN. MEDIDA_x000a_(GR/ML)" dataDxfId="146"/>
    <tableColumn id="4" xr3:uid="{00000000-0010-0000-3100-000004000000}" name="PRECIO" dataDxfId="145"/>
    <tableColumn id="6" xr3:uid="{00000000-0010-0000-3100-000006000000}" name="VALOR X UN. MEDIDA" dataDxfId="144">
      <calculatedColumnFormula>Tabla134568109111315163461217192037[[#This Row],[PRECIO]]/Tabla134568109111315163461217192037[[#This Row],[CANTIDAD]]</calculatedColumnFormula>
    </tableColumn>
  </tableColumns>
  <tableStyleInfo name="TableStyleLight8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32000000}" name="Tabla13456810911131516346121719202122" displayName="Tabla13456810911131516346121719202122" ref="B8:F13" totalsRowShown="0" headerRowDxfId="143" headerRowBorderDxfId="142" tableBorderDxfId="141">
  <tableColumns count="5">
    <tableColumn id="1" xr3:uid="{00000000-0010-0000-3200-000001000000}" name="PRODUCTO" dataDxfId="140"/>
    <tableColumn id="2" xr3:uid="{00000000-0010-0000-3200-000002000000}" name="CANTIDAD" dataDxfId="139"/>
    <tableColumn id="3" xr3:uid="{00000000-0010-0000-3200-000003000000}" name="UN. MEDIDA_x000a_(GR/ML)" dataDxfId="138"/>
    <tableColumn id="4" xr3:uid="{00000000-0010-0000-3200-000004000000}" name="PRECIO" dataDxfId="137"/>
    <tableColumn id="6" xr3:uid="{00000000-0010-0000-3200-000006000000}" name="VALOR X UN. MEDIDA" dataDxfId="136">
      <calculatedColumnFormula>Tabla13456810911131516346121719202122[[#This Row],[PRECIO]]/Tabla13456810911131516346121719202122[[#This Row],[CANTIDAD]]</calculatedColumnFormula>
    </tableColumn>
  </tableColumns>
  <tableStyleInfo name="TableStyleLight8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33000000}" name="Tabla1345681091113151634612171920212224" displayName="Tabla1345681091113151634612171920212224" ref="B8:F13" totalsRowShown="0" headerRowDxfId="135" headerRowBorderDxfId="134" tableBorderDxfId="133">
  <tableColumns count="5">
    <tableColumn id="1" xr3:uid="{00000000-0010-0000-3300-000001000000}" name="PRODUCTO" dataDxfId="132"/>
    <tableColumn id="2" xr3:uid="{00000000-0010-0000-3300-000002000000}" name="CANTIDAD" dataDxfId="131"/>
    <tableColumn id="3" xr3:uid="{00000000-0010-0000-3300-000003000000}" name="UN. MEDIDA_x000a_(GR/ML)" dataDxfId="130"/>
    <tableColumn id="4" xr3:uid="{00000000-0010-0000-3300-000004000000}" name="PRECIO" dataDxfId="129"/>
    <tableColumn id="6" xr3:uid="{00000000-0010-0000-3300-000006000000}" name="VALOR X UN. MEDIDA" dataDxfId="128">
      <calculatedColumnFormula>Tabla1345681091113151634612171920212224[[#This Row],[PRECIO]]/Tabla1345681091113151634612171920212224[[#This Row],[CANTIDAD]]</calculatedColumnFormula>
    </tableColumn>
  </tableColumns>
  <tableStyleInfo name="TableStyleLight8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34000000}" name="Tabla13456810911139" displayName="Tabla13456810911139" ref="B8:F13" totalsRowShown="0" headerRowDxfId="127" headerRowBorderDxfId="126" tableBorderDxfId="125">
  <tableColumns count="5">
    <tableColumn id="1" xr3:uid="{00000000-0010-0000-3400-000001000000}" name="PRODUCTO" dataDxfId="124"/>
    <tableColumn id="2" xr3:uid="{00000000-0010-0000-3400-000002000000}" name="CANTIDAD" dataDxfId="123"/>
    <tableColumn id="3" xr3:uid="{00000000-0010-0000-3400-000003000000}" name="UN. MEDIDA_x000a_(GR/ML)" dataDxfId="122"/>
    <tableColumn id="4" xr3:uid="{00000000-0010-0000-3400-000004000000}" name="PRECIO" dataDxfId="121"/>
    <tableColumn id="6" xr3:uid="{00000000-0010-0000-3400-000006000000}" name="VALOR X UN. MEDIDA" dataDxfId="120">
      <calculatedColumnFormula>Tabla13456810911139[[#This Row],[PRECIO]]/Tabla13456810911139[[#This Row],[CANTIDAD]]</calculatedColumnFormula>
    </tableColumn>
  </tableColumns>
  <tableStyleInfo name="TableStyleLight8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5000000}" name="Tabla1345681091113923252627" displayName="Tabla1345681091113923252627" ref="B4:F9" totalsRowShown="0" headerRowDxfId="119" headerRowBorderDxfId="118" tableBorderDxfId="117">
  <tableColumns count="5">
    <tableColumn id="1" xr3:uid="{00000000-0010-0000-3500-000001000000}" name="PRODUCTO" dataDxfId="116"/>
    <tableColumn id="2" xr3:uid="{00000000-0010-0000-3500-000002000000}" name="CANTIDAD" dataDxfId="115"/>
    <tableColumn id="3" xr3:uid="{00000000-0010-0000-3500-000003000000}" name="UN. MEDIDA_x000a_(GR/ML)" dataDxfId="114"/>
    <tableColumn id="4" xr3:uid="{00000000-0010-0000-3500-000004000000}" name="PRECIO" dataDxfId="113"/>
    <tableColumn id="6" xr3:uid="{00000000-0010-0000-3500-000006000000}" name="VALOR X UN. MEDIDA" dataDxfId="112">
      <calculatedColumnFormula>Tabla1345681091113923252627[[#This Row],[PRECIO]]/Tabla1345681091113923252627[[#This Row],[CANTIDAD]]</calculatedColumnFormula>
    </tableColumn>
  </tableColumns>
  <tableStyleInfo name="TableStyleLight8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36000000}" name="Tabla13456810911139232526272930" displayName="Tabla13456810911139232526272930" ref="B4:F9" totalsRowShown="0" headerRowDxfId="111" headerRowBorderDxfId="110" tableBorderDxfId="109">
  <tableColumns count="5">
    <tableColumn id="1" xr3:uid="{00000000-0010-0000-3600-000001000000}" name="PRODUCTO" dataDxfId="108"/>
    <tableColumn id="2" xr3:uid="{00000000-0010-0000-3600-000002000000}" name="CANTIDAD" dataDxfId="107"/>
    <tableColumn id="3" xr3:uid="{00000000-0010-0000-3600-000003000000}" name="UN. MEDIDA_x000a_(GR/ML)" dataDxfId="106"/>
    <tableColumn id="4" xr3:uid="{00000000-0010-0000-3600-000004000000}" name="PRECIO" dataDxfId="105"/>
    <tableColumn id="6" xr3:uid="{00000000-0010-0000-3600-000006000000}" name="VALOR X UN. MEDIDA" dataDxfId="104">
      <calculatedColumnFormula>Tabla13456810911139232526272930[[#This Row],[PRECIO]]/Tabla13456810911139232526272930[[#This Row],[CANTIDAD]]</calculatedColumnFormula>
    </tableColumn>
  </tableColumns>
  <tableStyleInfo name="TableStyleLight8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37000000}" name="Tabla134568109111392325262729" displayName="Tabla134568109111392325262729" ref="B4:F9" totalsRowShown="0" headerRowDxfId="103" headerRowBorderDxfId="102" tableBorderDxfId="101">
  <tableColumns count="5">
    <tableColumn id="1" xr3:uid="{00000000-0010-0000-3700-000001000000}" name="PRODUCTO" dataDxfId="100"/>
    <tableColumn id="2" xr3:uid="{00000000-0010-0000-3700-000002000000}" name="CANTIDAD" dataDxfId="99"/>
    <tableColumn id="3" xr3:uid="{00000000-0010-0000-3700-000003000000}" name="UN. MEDIDA_x000a_(GR/ML)" dataDxfId="98"/>
    <tableColumn id="4" xr3:uid="{00000000-0010-0000-3700-000004000000}" name="PRECIO" dataDxfId="97"/>
    <tableColumn id="6" xr3:uid="{00000000-0010-0000-3700-000006000000}" name="VALOR X UN. MEDIDA" dataDxfId="96">
      <calculatedColumnFormula>Tabla134568109111392325262729[[#This Row],[PRECIO]]/Tabla134568109111392325262729[[#This Row],[CANTIDAD]]</calculatedColumnFormula>
    </tableColumn>
  </tableColumns>
  <tableStyleInfo name="TableStyleLight8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38000000}" name="Tabla1345681091113923252627293031" displayName="Tabla1345681091113923252627293031" ref="B4:F9" totalsRowShown="0" headerRowDxfId="95" headerRowBorderDxfId="94" tableBorderDxfId="93">
  <tableColumns count="5">
    <tableColumn id="1" xr3:uid="{00000000-0010-0000-3800-000001000000}" name="PRODUCTO" dataDxfId="92"/>
    <tableColumn id="2" xr3:uid="{00000000-0010-0000-3800-000002000000}" name="CANTIDAD" dataDxfId="91"/>
    <tableColumn id="3" xr3:uid="{00000000-0010-0000-3800-000003000000}" name="UN. MEDIDA_x000a_(GR/ML)" dataDxfId="90"/>
    <tableColumn id="4" xr3:uid="{00000000-0010-0000-3800-000004000000}" name="PRECIO" dataDxfId="89"/>
    <tableColumn id="6" xr3:uid="{00000000-0010-0000-3800-000006000000}" name="VALOR X UN. MEDIDA" dataDxfId="88">
      <calculatedColumnFormula>Tabla1345681091113923252627293031[[#This Row],[PRECIO]]/Tabla1345681091113923252627293031[[#This Row],[CANTIDAD]]</calculatedColumnFormula>
    </tableColumn>
  </tableColumns>
  <tableStyleInfo name="TableStyleLight8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39000000}" name="Tabla134568109111392325262729303132" displayName="Tabla134568109111392325262729303132" ref="B4:F9" totalsRowShown="0" headerRowDxfId="87" headerRowBorderDxfId="86" tableBorderDxfId="85">
  <tableColumns count="5">
    <tableColumn id="1" xr3:uid="{00000000-0010-0000-3900-000001000000}" name="PRODUCTO" dataDxfId="84"/>
    <tableColumn id="2" xr3:uid="{00000000-0010-0000-3900-000002000000}" name="CANTIDAD" dataDxfId="83"/>
    <tableColumn id="3" xr3:uid="{00000000-0010-0000-3900-000003000000}" name="UN. MEDIDA_x000a_(GR/ML)" dataDxfId="82"/>
    <tableColumn id="4" xr3:uid="{00000000-0010-0000-3900-000004000000}" name="PRECIO" dataDxfId="81"/>
    <tableColumn id="6" xr3:uid="{00000000-0010-0000-3900-000006000000}" name="VALOR X UN. MEDIDA" dataDxfId="80">
      <calculatedColumnFormula>Tabla134568109111392325262729303132[[#This Row],[PRECIO]]/Tabla134568109111392325262729303132[[#This Row],[CANTIDAD]]</calculatedColumnFormula>
    </tableColumn>
  </tableColumns>
  <tableStyleInfo name="TableStyleLight8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3A000000}" name="Tabla13456810911139232526272930313233" displayName="Tabla13456810911139232526272930313233" ref="B4:F9" totalsRowShown="0" headerRowDxfId="79" headerRowBorderDxfId="78" tableBorderDxfId="77">
  <tableColumns count="5">
    <tableColumn id="1" xr3:uid="{00000000-0010-0000-3A00-000001000000}" name="PRODUCTO" dataDxfId="76"/>
    <tableColumn id="2" xr3:uid="{00000000-0010-0000-3A00-000002000000}" name="CANTIDAD" dataDxfId="75"/>
    <tableColumn id="3" xr3:uid="{00000000-0010-0000-3A00-000003000000}" name="UN. MEDIDA_x000a_(GR/ML)" dataDxfId="74"/>
    <tableColumn id="4" xr3:uid="{00000000-0010-0000-3A00-000004000000}" name="PRECIO" dataDxfId="73"/>
    <tableColumn id="6" xr3:uid="{00000000-0010-0000-3A00-000006000000}" name="VALOR X UN. MEDIDA" dataDxfId="72">
      <calculatedColumnFormula>Tabla13456810911139232526272930313233[[#This Row],[PRECIO]]/Tabla13456810911139232526272930313233[[#This Row],[CANTIDAD]]</calculatedColumnFormula>
    </tableColumn>
  </tableColumns>
  <tableStyleInfo name="TableStyleLight8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3B000000}" name="Tabla1345681091113935" displayName="Tabla1345681091113935" ref="B8:F13" totalsRowShown="0" headerRowDxfId="71" headerRowBorderDxfId="70" tableBorderDxfId="69">
  <tableColumns count="5">
    <tableColumn id="1" xr3:uid="{00000000-0010-0000-3B00-000001000000}" name="PRODUCTO" dataDxfId="68"/>
    <tableColumn id="2" xr3:uid="{00000000-0010-0000-3B00-000002000000}" name="CANTIDAD" dataDxfId="67"/>
    <tableColumn id="3" xr3:uid="{00000000-0010-0000-3B00-000003000000}" name="UN. MEDIDA_x000a_(GR/ML)" dataDxfId="66"/>
    <tableColumn id="4" xr3:uid="{00000000-0010-0000-3B00-000004000000}" name="PRECIO" dataDxfId="65"/>
    <tableColumn id="6" xr3:uid="{00000000-0010-0000-3B00-000006000000}" name="VALOR X UN. MEDIDA" dataDxfId="64">
      <calculatedColumnFormula>Tabla1345681091113935[[#This Row],[PRECIO]]/Tabla1345681091113935[[#This Row],[CANTIDAD]]</calculatedColumnFormula>
    </tableColumn>
  </tableColumns>
  <tableStyleInfo name="TableStyleLight8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3C000000}" name="Tabla134568109111393536" displayName="Tabla134568109111393536" ref="B8:F13" totalsRowShown="0" headerRowDxfId="63" headerRowBorderDxfId="62" tableBorderDxfId="61">
  <tableColumns count="5">
    <tableColumn id="1" xr3:uid="{00000000-0010-0000-3C00-000001000000}" name="PRODUCTO" dataDxfId="60"/>
    <tableColumn id="2" xr3:uid="{00000000-0010-0000-3C00-000002000000}" name="CANTIDAD" dataDxfId="59"/>
    <tableColumn id="3" xr3:uid="{00000000-0010-0000-3C00-000003000000}" name="UN. MEDIDA_x000a_(GR/ML)" dataDxfId="58"/>
    <tableColumn id="4" xr3:uid="{00000000-0010-0000-3C00-000004000000}" name="PRECIO" dataDxfId="57"/>
    <tableColumn id="6" xr3:uid="{00000000-0010-0000-3C00-000006000000}" name="VALOR X UN. MEDIDA" dataDxfId="56">
      <calculatedColumnFormula>Tabla134568109111393536[[#This Row],[PRECIO]]/Tabla134568109111393536[[#This Row],[CANTIDAD]]</calculatedColumnFormula>
    </tableColumn>
  </tableColumns>
  <tableStyleInfo name="TableStyleLight8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3D000000}" name="Tabla13456810911139353641" displayName="Tabla13456810911139353641" ref="B8:F13" totalsRowShown="0" headerRowDxfId="55" headerRowBorderDxfId="54" tableBorderDxfId="53">
  <tableColumns count="5">
    <tableColumn id="1" xr3:uid="{00000000-0010-0000-3D00-000001000000}" name="PRODUCTO" dataDxfId="52"/>
    <tableColumn id="2" xr3:uid="{00000000-0010-0000-3D00-000002000000}" name="CANTIDAD" dataDxfId="51"/>
    <tableColumn id="3" xr3:uid="{00000000-0010-0000-3D00-000003000000}" name="UN. MEDIDA_x000a_(GR/ML)" dataDxfId="50"/>
    <tableColumn id="4" xr3:uid="{00000000-0010-0000-3D00-000004000000}" name="PRECIO" dataDxfId="49"/>
    <tableColumn id="6" xr3:uid="{00000000-0010-0000-3D00-000006000000}" name="VALOR X UN. MEDIDA" dataDxfId="48">
      <calculatedColumnFormula>Tabla13456810911139353641[[#This Row],[PRECIO]]/Tabla13456810911139353641[[#This Row],[CANTIDAD]]</calculatedColumnFormula>
    </tableColumn>
  </tableColumns>
  <tableStyleInfo name="TableStyleLight8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3E000000}" name="Tabla1345681091113935364142" displayName="Tabla1345681091113935364142" ref="B8:F13" totalsRowShown="0" headerRowDxfId="47" headerRowBorderDxfId="46" tableBorderDxfId="45">
  <tableColumns count="5">
    <tableColumn id="1" xr3:uid="{00000000-0010-0000-3E00-000001000000}" name="PRODUCTO" dataDxfId="44"/>
    <tableColumn id="2" xr3:uid="{00000000-0010-0000-3E00-000002000000}" name="CANTIDAD" dataDxfId="43"/>
    <tableColumn id="3" xr3:uid="{00000000-0010-0000-3E00-000003000000}" name="UN. MEDIDA_x000a_(GR/ML)" dataDxfId="42"/>
    <tableColumn id="4" xr3:uid="{00000000-0010-0000-3E00-000004000000}" name="PRECIO" dataDxfId="41"/>
    <tableColumn id="6" xr3:uid="{00000000-0010-0000-3E00-000006000000}" name="VALOR X UN. MEDIDA" dataDxfId="40">
      <calculatedColumnFormula>Tabla1345681091113935364142[[#This Row],[PRECIO]]/Tabla1345681091113935364142[[#This Row],[CANTIDAD]]</calculatedColumnFormula>
    </tableColumn>
  </tableColumns>
  <tableStyleInfo name="TableStyleLight8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3F000000}" name="Tabla134568109111393536414243" displayName="Tabla134568109111393536414243" ref="B8:F13" totalsRowShown="0" headerRowDxfId="39" headerRowBorderDxfId="38" tableBorderDxfId="37">
  <tableColumns count="5">
    <tableColumn id="1" xr3:uid="{00000000-0010-0000-3F00-000001000000}" name="PRODUCTO" dataDxfId="36"/>
    <tableColumn id="2" xr3:uid="{00000000-0010-0000-3F00-000002000000}" name="CANTIDAD" dataDxfId="35"/>
    <tableColumn id="3" xr3:uid="{00000000-0010-0000-3F00-000003000000}" name="UN. MEDIDA_x000a_(GR/ML)" dataDxfId="34"/>
    <tableColumn id="4" xr3:uid="{00000000-0010-0000-3F00-000004000000}" name="PRECIO" dataDxfId="33"/>
    <tableColumn id="6" xr3:uid="{00000000-0010-0000-3F00-000006000000}" name="VALOR X UN. MEDIDA" dataDxfId="32">
      <calculatedColumnFormula>Tabla134568109111393536414243[[#This Row],[PRECIO]]/Tabla134568109111393536414243[[#This Row],[CANTIDAD]]</calculatedColumnFormula>
    </tableColumn>
  </tableColumns>
  <tableStyleInfo name="TableStyleLight8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40000000}" name="Tabla1345681091113923252627293031323334353845" displayName="Tabla1345681091113923252627293031323334353845" ref="B4:F9" totalsRowShown="0" headerRowDxfId="31" headerRowBorderDxfId="30" tableBorderDxfId="29">
  <tableColumns count="5">
    <tableColumn id="1" xr3:uid="{00000000-0010-0000-4000-000001000000}" name="PRODUCTO" dataDxfId="28"/>
    <tableColumn id="2" xr3:uid="{00000000-0010-0000-4000-000002000000}" name="CANTIDAD" dataDxfId="27"/>
    <tableColumn id="3" xr3:uid="{00000000-0010-0000-4000-000003000000}" name="UN. MEDIDA_x000a_(GR/ML)" dataDxfId="26"/>
    <tableColumn id="4" xr3:uid="{00000000-0010-0000-4000-000004000000}" name="PRECIO" dataDxfId="25"/>
    <tableColumn id="6" xr3:uid="{00000000-0010-0000-4000-000006000000}" name="VALOR X UN. MEDIDA" dataDxfId="24">
      <calculatedColumnFormula>Tabla1345681091113923252627293031323334353845[[#This Row],[PRECIO]]/Tabla1345681091113923252627293031323334353845[[#This Row],[CANTIDAD]]</calculatedColumnFormula>
    </tableColumn>
  </tableColumns>
  <tableStyleInfo name="TableStyleLight8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0000000-000C-0000-FFFF-FFFF41000000}" name="Tabla134568109111392325262729303132333435384690" displayName="Tabla134568109111392325262729303132333435384690" ref="B4:F9" totalsRowShown="0" headerRowDxfId="23" headerRowBorderDxfId="22" tableBorderDxfId="21">
  <tableColumns count="5">
    <tableColumn id="1" xr3:uid="{00000000-0010-0000-4100-000001000000}" name="PRODUCTO" dataDxfId="20"/>
    <tableColumn id="2" xr3:uid="{00000000-0010-0000-4100-000002000000}" name="CANTIDAD" dataDxfId="19"/>
    <tableColumn id="3" xr3:uid="{00000000-0010-0000-4100-000003000000}" name="UN. MEDIDA_x000a_(GR/ML)" dataDxfId="18"/>
    <tableColumn id="4" xr3:uid="{00000000-0010-0000-4100-000004000000}" name="PRECIO" dataDxfId="17"/>
    <tableColumn id="6" xr3:uid="{00000000-0010-0000-4100-000006000000}" name="VALOR X UN. MEDIDA" dataDxfId="16">
      <calculatedColumnFormula>Tabla134568109111392325262729303132333435384690[[#This Row],[PRECIO]]/Tabla134568109111392325262729303132333435384690[[#This Row],[CANTIDAD]]</calculatedColumnFormula>
    </tableColumn>
  </tableColumns>
  <tableStyleInfo name="TableStyleLight8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42000000}" name="Tabla1345681091113923252627293031323334353879" displayName="Tabla1345681091113923252627293031323334353879" ref="B4:F9" totalsRowShown="0" headerRowDxfId="15" headerRowBorderDxfId="14" tableBorderDxfId="13">
  <tableColumns count="5">
    <tableColumn id="1" xr3:uid="{00000000-0010-0000-4200-000001000000}" name="PRODUCTO" dataDxfId="12"/>
    <tableColumn id="2" xr3:uid="{00000000-0010-0000-4200-000002000000}" name="CANTIDAD" dataDxfId="11"/>
    <tableColumn id="3" xr3:uid="{00000000-0010-0000-4200-000003000000}" name="UN. MEDIDA_x000a_(GR/ML)" dataDxfId="10"/>
    <tableColumn id="4" xr3:uid="{00000000-0010-0000-4200-000004000000}" name="PRECIO" dataDxfId="9"/>
    <tableColumn id="6" xr3:uid="{00000000-0010-0000-4200-000006000000}" name="VALOR X UN. MEDIDA" dataDxfId="8">
      <calculatedColumnFormula>Tabla1345681091113923252627293031323334353879[[#This Row],[PRECIO]]/Tabla1345681091113923252627293031323334353879[[#This Row],[CANTIDAD]]</calculatedColumnFormula>
    </tableColumn>
  </tableColumns>
  <tableStyleInfo name="TableStyleLight8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43000000}" name="Tabla1345681091113923252627293031323334353637" displayName="Tabla1345681091113923252627293031323334353637" ref="B4:F9" totalsRowShown="0" headerRowDxfId="7" headerRowBorderDxfId="6" tableBorderDxfId="5">
  <tableColumns count="5">
    <tableColumn id="1" xr3:uid="{00000000-0010-0000-4300-000001000000}" name="PRODUCTO" dataDxfId="4"/>
    <tableColumn id="2" xr3:uid="{00000000-0010-0000-4300-000002000000}" name="CANTIDAD" dataDxfId="3"/>
    <tableColumn id="3" xr3:uid="{00000000-0010-0000-4300-000003000000}" name="UN. MEDIDA_x000a_(GR/ML)" dataDxfId="2"/>
    <tableColumn id="4" xr3:uid="{00000000-0010-0000-4300-000004000000}" name="PRECIO" dataDxfId="1"/>
    <tableColumn id="6" xr3:uid="{00000000-0010-0000-4300-000006000000}" name="VALOR X UN. MEDIDA" dataDxfId="0">
      <calculatedColumnFormula>Tabla1345681091113923252627293031323334353637[[#This Row],[PRECIO]]/Tabla1345681091113923252627293031323334353637[[#This Row],[CANTIDAD]]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934E0CBB-EDC7-48F3-8ADC-9CA0934932C4}">
    <text>Explica cuantas cervezas, tragos o copas de vino se deben vender para igualar la rentabilidad que genera el servicio Diageo.</text>
  </threadedComment>
  <threadedComment ref="H35" dT="2019-04-12T00:44:06.15" personId="{8F2DC9DC-B9CF-4EE3-88A2-C1EBB258A7A2}" id="{C4C56D90-B7D6-4B38-B992-E84F8C17E205}">
    <text>Explica cuantas cervezas, tragos o copas de vino se deben vender para igualar el ticket por persona que genera la venta de 1 servicio Diageo.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CD35D38C-B3B9-43FB-B852-3F6170EF6E14}">
    <text>Explica cuantas cervezas, tragos o copas de vino se deben vender para igualar la rentabilidad que genera el servicio Diageo.</text>
  </threadedComment>
  <threadedComment ref="H35" dT="2019-04-12T00:44:06.15" personId="{8F2DC9DC-B9CF-4EE3-88A2-C1EBB258A7A2}" id="{E24C3326-87D6-4C72-B489-A289D72A3A0F}">
    <text>Explica cuantas cervezas, tragos o copas de vino se deben vender para igualar el ticket por persona que genera la venta de 1 servicio Diageo.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068B0B6E-7E46-4093-963C-F4C70FBCCC2F}">
    <text>Explica cuantas cervezas, tragos o copas de vino se deben vender para igualar la rentabilidad que genera el servicio Diageo.</text>
  </threadedComment>
  <threadedComment ref="H35" dT="2019-04-12T00:44:06.15" personId="{8F2DC9DC-B9CF-4EE3-88A2-C1EBB258A7A2}" id="{5A198BF0-C70A-45AB-89AF-0FA378ECB4F5}">
    <text>Explica cuantas cervezas, tragos o copas de vino se deben vender para igualar el ticket por persona que genera la venta de 1 servicio Diageo.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6AA3B1B5-EBC2-4EB2-BAB8-03278244E52E}">
    <text>Explica cuantas cervezas, tragos o copas de vino se deben vender para igualar la rentabilidad que genera el servicio Diageo.</text>
  </threadedComment>
  <threadedComment ref="H35" dT="2019-04-12T00:44:06.15" personId="{8F2DC9DC-B9CF-4EE3-88A2-C1EBB258A7A2}" id="{6C69FD0D-D35C-4089-B0B7-A9B1D91558D8}">
    <text>Explica cuantas cervezas, tragos o copas de vino se deben vender para igualar el ticket por persona que genera la venta de 1 servicio Diageo.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9AC6C530-98E6-46B7-8787-4971A86E387F}">
    <text>Explica cuantas cervezas, tragos o copas de vino se deben vender para igualar la rentabilidad que genera el servicio Diageo.</text>
  </threadedComment>
  <threadedComment ref="H35" dT="2019-04-12T00:44:06.15" personId="{8F2DC9DC-B9CF-4EE3-88A2-C1EBB258A7A2}" id="{1856BD9F-3876-47DB-8F64-A181BA6ECBE7}">
    <text>Explica cuantas cervezas, tragos o copas de vino se deben vender para igualar el ticket por persona que genera la venta de 1 servicio Diageo.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9AC6C530-98E6-46B8-8787-4971A86E387F}">
    <text>Explica cuantas cervezas, tragos o copas de vino se deben vender para igualar la rentabilidad que genera el servicio Diageo.</text>
  </threadedComment>
  <threadedComment ref="H35" dT="2019-04-12T00:44:06.15" personId="{8F2DC9DC-B9CF-4EE3-88A2-C1EBB258A7A2}" id="{1856BD9F-3876-47DC-8F64-A181BA6ECBE7}">
    <text>Explica cuantas cervezas, tragos o copas de vino se deben vender para igualar el ticket por persona que genera la venta de 1 servicio Diageo.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D4211F62-6E98-4AD2-B17C-ACA4674CF91A}">
    <text>Explica cuantas cervezas, tragos o copas de vino se deben vender para igualar la rentabilidad que genera el servicio Diageo.</text>
  </threadedComment>
  <threadedComment ref="H35" dT="2019-04-12T00:44:06.15" personId="{8F2DC9DC-B9CF-4EE3-88A2-C1EBB258A7A2}" id="{511B467E-D42E-49A2-8E1D-1DD885BF81AC}">
    <text>Explica cuantas cervezas, tragos o copas de vino se deben vender para igualar el ticket por persona que genera la venta de 1 servicio Diageo.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7DCA3C17-C4B9-4E8D-AF3F-2F6E3EADDCF9}">
    <text>Explica cuantas cervezas, tragos o copas de vino se deben vender para igualar la rentabilidad que genera el servicio Diageo.</text>
  </threadedComment>
  <threadedComment ref="H35" dT="2019-04-12T00:44:06.15" personId="{8F2DC9DC-B9CF-4EE3-88A2-C1EBB258A7A2}" id="{D8946CC0-4EFC-4113-9905-5F4603946084}">
    <text>Explica cuantas cervezas, tragos o copas de vino se deben vender para igualar el ticket por persona que genera la venta de 1 servicio Diageo.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AFB50877-1A32-4F12-BFDB-A8A842A13CBD}">
    <text>Explica cuantas cervezas, tragos o copas de vino se deben vender para igualar la rentabilidad que genera el servicio Diageo.</text>
  </threadedComment>
  <threadedComment ref="H35" dT="2019-04-12T00:44:06.15" personId="{8F2DC9DC-B9CF-4EE3-88A2-C1EBB258A7A2}" id="{0EA5F9A7-59BB-496A-8450-23A549ED88DB}">
    <text>Explica cuantas cervezas, tragos o copas de vino se deben vender para igualar el ticket por persona que genera la venta de 1 servicio Diageo.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EC5A9FA0-81CC-459F-B458-93E0976F624B}">
    <text>Explica cuantas cervezas, tragos o copas de vino se deben vender para igualar la rentabilidad que genera el servicio Diageo.</text>
  </threadedComment>
  <threadedComment ref="H35" dT="2019-04-12T00:44:06.15" personId="{8F2DC9DC-B9CF-4EE3-88A2-C1EBB258A7A2}" id="{EE2C6CA2-0A5B-40B9-B1E7-9E1D40FFED3A}">
    <text>Explica cuantas cervezas, tragos o copas de vino se deben vender para igualar el ticket por persona que genera la venta de 1 servicio Diageo.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B28D741B-C77A-4C80-8362-EB493AA635CD}">
    <text>Explica cuantas cervezas, tragos o copas de vino se deben vender para igualar la rentabilidad que genera el servicio Diageo.</text>
  </threadedComment>
  <threadedComment ref="H35" dT="2019-04-12T00:44:06.15" personId="{8F2DC9DC-B9CF-4EE3-88A2-C1EBB258A7A2}" id="{8F754AD9-E34A-4CF8-B76C-8103F998B457}">
    <text>Explica cuantas cervezas, tragos o copas de vino se deben vender para igualar el ticket por persona que genera la venta de 1 servicio Diageo.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315722ED-40AF-4C4F-81D0-0FDF960DA4E9}">
    <text>Explica cuantas cervezas, tragos o copas de vino se deben vender para igualar la rentabilidad que genera el servicio Diageo.</text>
  </threadedComment>
  <threadedComment ref="H35" dT="2019-04-12T00:44:06.15" personId="{8F2DC9DC-B9CF-4EE3-88A2-C1EBB258A7A2}" id="{22852E66-1692-4755-A07C-08E0513307F2}">
    <text>Explica cuantas cervezas, tragos o copas de vino se deben vender para igualar el ticket por persona que genera la venta de 1 servicio Diageo.</text>
  </threadedComment>
</ThreadedComments>
</file>

<file path=xl/threadedComments/threadedComment13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EFFB341D-8FE9-42BA-8E09-7FD4CADA451C}">
    <text>Explica cuantas cervezas, tragos o copas de vino se deben vender para igualar la rentabilidad que genera el servicio Diageo.</text>
  </threadedComment>
  <threadedComment ref="H35" dT="2019-04-12T00:44:06.15" personId="{8F2DC9DC-B9CF-4EE3-88A2-C1EBB258A7A2}" id="{86A16E4F-BD34-4242-A2CF-FFEB997A4C33}">
    <text>Explica cuantas cervezas, tragos o copas de vino se deben vender para igualar el ticket por persona que genera la venta de 1 servicio Diageo.</text>
  </threadedComment>
</ThreadedComments>
</file>

<file path=xl/threadedComments/threadedComment14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7123308B-1DBE-48B5-AA0E-AD40C1CD5864}">
    <text>Explica cuantas cervezas, tragos o copas de vino se deben vender para igualar la rentabilidad que genera el servicio Diageo.</text>
  </threadedComment>
  <threadedComment ref="H35" dT="2019-04-12T00:44:06.15" personId="{8F2DC9DC-B9CF-4EE3-88A2-C1EBB258A7A2}" id="{402DD7A1-A7A9-43DE-8C07-920596BDE391}">
    <text>Explica cuantas cervezas, tragos o copas de vino se deben vender para igualar el ticket por persona que genera la venta de 1 servicio Diageo.</text>
  </threadedComment>
</ThreadedComments>
</file>

<file path=xl/threadedComments/threadedComment15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D5F491AC-AA60-4114-92F4-1C6A7C994043}">
    <text>Explica cuantas cervezas, tragos o copas de vino se deben vender para igualar la rentabilidad que genera el servicio Diageo.</text>
  </threadedComment>
  <threadedComment ref="H35" dT="2019-04-12T00:44:06.15" personId="{8F2DC9DC-B9CF-4EE3-88A2-C1EBB258A7A2}" id="{C3A352EC-8485-41F7-AF01-193A2A452B36}">
    <text>Explica cuantas cervezas, tragos o copas de vino se deben vender para igualar el ticket por persona que genera la venta de 1 servicio Diageo.</text>
  </threadedComment>
</ThreadedComments>
</file>

<file path=xl/threadedComments/threadedComment16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6E2F7A51-79D4-4464-A107-58C556DD8C1A}">
    <text>Explica cuantas cervezas, tragos o copas de vino se deben vender para igualar la rentabilidad que genera el servicio Diageo.</text>
  </threadedComment>
  <threadedComment ref="H35" dT="2019-04-12T00:44:06.15" personId="{8F2DC9DC-B9CF-4EE3-88A2-C1EBB258A7A2}" id="{7D7EB41D-8B26-409D-ADC5-EF7A78D5F7AE}">
    <text>Explica cuantas cervezas, tragos o copas de vino se deben vender para igualar el ticket por persona que genera la venta de 1 servicio Diageo.</text>
  </threadedComment>
</ThreadedComments>
</file>

<file path=xl/threadedComments/threadedComment17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A7538C31-3148-4E4F-93F0-E622B8FB8754}">
    <text>Explica cuantas cervezas, tragos o copas de vino se deben vender para igualar la rentabilidad que genera el servicio Diageo.</text>
  </threadedComment>
  <threadedComment ref="H35" dT="2019-04-12T00:44:06.15" personId="{8F2DC9DC-B9CF-4EE3-88A2-C1EBB258A7A2}" id="{71096413-B55D-407D-A0ED-0291C4E1F7E2}">
    <text>Explica cuantas cervezas, tragos o copas de vino se deben vender para igualar el ticket por persona que genera la venta de 1 servicio Diageo.</text>
  </threadedComment>
</ThreadedComments>
</file>

<file path=xl/threadedComments/threadedComment18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3BDD34BD-CF06-4BC2-9B16-EC14A87850FD}">
    <text>Explica cuantas cervezas, tragos o copas de vino se deben vender para igualar la rentabilidad que genera el servicio Diageo.</text>
  </threadedComment>
  <threadedComment ref="H35" dT="2019-04-12T00:44:06.15" personId="{8F2DC9DC-B9CF-4EE3-88A2-C1EBB258A7A2}" id="{1D8CF0BE-2BAE-4350-BCF9-A22080B3CF49}">
    <text>Explica cuantas cervezas, tragos o copas de vino se deben vender para igualar el ticket por persona que genera la venta de 1 servicio Diageo.</text>
  </threadedComment>
</ThreadedComments>
</file>

<file path=xl/threadedComments/threadedComment19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FADDE1A0-84AA-4890-92E8-C51816AB1F0B}">
    <text>Explica cuantas cervezas, tragos o copas de vino se deben vender para igualar la rentabilidad que genera el servicio Diageo.</text>
  </threadedComment>
  <threadedComment ref="H35" dT="2019-04-12T00:44:06.15" personId="{8F2DC9DC-B9CF-4EE3-88A2-C1EBB258A7A2}" id="{6CF97F58-CDAF-4847-A0CF-E59B4676975F}">
    <text>Explica cuantas cervezas, tragos o copas de vino se deben vender para igualar el ticket por persona que genera la venta de 1 servicio Diageo.</text>
  </threadedComment>
</ThreadedComments>
</file>

<file path=xl/threadedComments/threadedComment20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EF0EC392-C28F-4F33-80A9-BBADD58E3785}">
    <text>Explica cuantas cervezas, tragos o copas de vino se deben vender para igualar la rentabilidad que genera el servicio Diageo.</text>
  </threadedComment>
  <threadedComment ref="H35" dT="2019-04-12T00:44:06.15" personId="{8F2DC9DC-B9CF-4EE3-88A2-C1EBB258A7A2}" id="{75543F78-DA7B-4B68-A92A-525E93A757FB}">
    <text>Explica cuantas cervezas, tragos o copas de vino se deben vender para igualar el ticket por persona que genera la venta de 1 servicio Diageo.</text>
  </threadedComment>
</ThreadedComments>
</file>

<file path=xl/threadedComments/threadedComment21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0E59A610-EC7D-4A9F-B488-DA821680362F}">
    <text>Explica cuantas cervezas, tragos o copas de vino se deben vender para igualar la rentabilidad que genera el servicio Diageo.</text>
  </threadedComment>
  <threadedComment ref="H35" dT="2019-04-12T00:44:06.15" personId="{8F2DC9DC-B9CF-4EE3-88A2-C1EBB258A7A2}" id="{5A7DD81E-77A7-4141-84F4-A5F9E6F6AEA6}">
    <text>Explica cuantas cervezas, tragos o copas de vino se deben vender para igualar el ticket por persona que genera la venta de 1 servicio Diageo.</text>
  </threadedComment>
</ThreadedComments>
</file>

<file path=xl/threadedComments/threadedComment22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ED820F9B-4C27-423C-924F-5A5B2D9A87C0}">
    <text>Explica cuantas cervezas, tragos o copas de vino se deben vender para igualar la rentabilidad que genera el servicio Diageo.</text>
  </threadedComment>
  <threadedComment ref="H35" dT="2019-04-12T00:44:06.15" personId="{8F2DC9DC-B9CF-4EE3-88A2-C1EBB258A7A2}" id="{B38D4745-03AF-49C1-808D-2553AA83E4D4}">
    <text>Explica cuantas cervezas, tragos o copas de vino se deben vender para igualar el ticket por persona que genera la venta de 1 servicio Diageo.</text>
  </threadedComment>
</ThreadedComments>
</file>

<file path=xl/threadedComments/threadedComment23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3461BE72-51D3-4B1D-AA50-EF89A230A487}">
    <text>Explica cuantas cervezas, tragos o copas de vino se deben vender para igualar la rentabilidad que genera el servicio Diageo.</text>
  </threadedComment>
  <threadedComment ref="H35" dT="2019-04-12T00:44:06.15" personId="{8F2DC9DC-B9CF-4EE3-88A2-C1EBB258A7A2}" id="{B4CC4AD5-B583-4BE1-9DBA-CF3E1562244E}">
    <text>Explica cuantas cervezas, tragos o copas de vino se deben vender para igualar el ticket por persona que genera la venta de 1 servicio Diageo.</text>
  </threadedComment>
</ThreadedComments>
</file>

<file path=xl/threadedComments/threadedComment24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FEF106C8-3276-4814-8B6A-19C267F20278}">
    <text>Explica cuantas cervezas, tragos o copas de vino se deben vender para igualar la rentabilidad que genera el servicio Diageo.</text>
  </threadedComment>
  <threadedComment ref="H35" dT="2019-04-12T00:44:06.15" personId="{8F2DC9DC-B9CF-4EE3-88A2-C1EBB258A7A2}" id="{F3106F87-CC09-4B4E-A2AF-9DB4EE0B5391}">
    <text>Explica cuantas cervezas, tragos o copas de vino se deben vender para igualar el ticket por persona que genera la venta de 1 servicio Diageo.</text>
  </threadedComment>
</ThreadedComments>
</file>

<file path=xl/threadedComments/threadedComment25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1438CC2D-32D3-4470-92B2-3CE43087E43C}">
    <text>Explica cuantas cervezas, tragos o copas de vino se deben vender para igualar la rentabilidad que genera el servicio Diageo.</text>
  </threadedComment>
  <threadedComment ref="H35" dT="2019-04-12T00:44:06.15" personId="{8F2DC9DC-B9CF-4EE3-88A2-C1EBB258A7A2}" id="{3BEE1088-412A-4089-9FD2-97B1FA512D23}">
    <text>Explica cuantas cervezas, tragos o copas de vino se deben vender para igualar el ticket por persona que genera la venta de 1 servicio Diageo.</text>
  </threadedComment>
</ThreadedComments>
</file>

<file path=xl/threadedComments/threadedComment26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83B5230F-3BAF-4F3E-98ED-D1897AF01E40}">
    <text>Explica cuantas cervezas, tragos o copas de vino se deben vender para igualar la rentabilidad que genera el servicio Diageo.</text>
  </threadedComment>
  <threadedComment ref="H35" dT="2019-04-12T00:44:06.15" personId="{8F2DC9DC-B9CF-4EE3-88A2-C1EBB258A7A2}" id="{C854A4D9-47F5-49B2-B859-9EC942925E67}">
    <text>Explica cuantas cervezas, tragos o copas de vino se deben vender para igualar el ticket por persona que genera la venta de 1 servicio Diageo.</text>
  </threadedComment>
</ThreadedComments>
</file>

<file path=xl/threadedComments/threadedComment27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0E058C7A-3CFE-47EC-BAEF-D2D62579164B}">
    <text>Explica cuantas cervezas, tragos o copas de vino se deben vender para igualar la rentabilidad que genera el servicio Diageo.</text>
  </threadedComment>
  <threadedComment ref="H35" dT="2019-04-12T00:44:06.15" personId="{8F2DC9DC-B9CF-4EE3-88A2-C1EBB258A7A2}" id="{662A3B97-A523-440F-8E9D-EF4F91FE9399}">
    <text>Explica cuantas cervezas, tragos o copas de vino se deben vender para igualar el ticket por persona que genera la venta de 1 servicio Diageo.</text>
  </threadedComment>
</ThreadedComments>
</file>

<file path=xl/threadedComments/threadedComment28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12D92C26-1A7E-4381-AAC2-2FB167A87257}">
    <text>Explica cuantas cervezas, tragos o copas de vino se deben vender para igualar la rentabilidad que genera el servicio Diageo.</text>
  </threadedComment>
  <threadedComment ref="H35" dT="2019-04-12T00:44:06.15" personId="{8F2DC9DC-B9CF-4EE3-88A2-C1EBB258A7A2}" id="{A4E1B073-15B0-4D78-8800-B582E7E1F64E}">
    <text>Explica cuantas cervezas, tragos o copas de vino se deben vender para igualar el ticket por persona que genera la venta de 1 servicio Diageo.</text>
  </threadedComment>
</ThreadedComments>
</file>

<file path=xl/threadedComments/threadedComment29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D7ACFFDB-C39F-41A7-A81A-62D51D14B682}">
    <text>Explica cuantas cervezas, tragos o copas de vino se deben vender para igualar la rentabilidad que genera el servicio Diageo.</text>
  </threadedComment>
  <threadedComment ref="H35" dT="2019-04-12T00:44:06.15" personId="{8F2DC9DC-B9CF-4EE3-88A2-C1EBB258A7A2}" id="{4B9A3B36-4193-4310-8FFB-43A1AB97490C}">
    <text>Explica cuantas cervezas, tragos o copas de vino se deben vender para igualar el ticket por persona que genera la venta de 1 servicio Diageo.</text>
  </threadedComment>
</ThreadedComments>
</file>

<file path=xl/threadedComments/threadedComment30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A5002EC3-D39C-48F1-841D-9DABE22A90C6}">
    <text>Explica cuantas cervezas, tragos o copas de vino se deben vender para igualar la rentabilidad que genera el servicio Diageo.</text>
  </threadedComment>
  <threadedComment ref="H35" dT="2019-04-12T00:44:06.15" personId="{8F2DC9DC-B9CF-4EE3-88A2-C1EBB258A7A2}" id="{E27C3B8B-5A3C-4A1E-8FF1-C506FE77A4BA}">
    <text>Explica cuantas cervezas, tragos o copas de vino se deben vender para igualar el ticket por persona que genera la venta de 1 servicio Diageo.</text>
  </threadedComment>
</ThreadedComments>
</file>

<file path=xl/threadedComments/threadedComment31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38D18B7C-6B20-4A92-A428-382CB2CE4D49}">
    <text>Explica cuantas cervezas, tragos o copas de vino se deben vender para igualar la rentabilidad que genera el servicio Diageo.</text>
  </threadedComment>
  <threadedComment ref="H35" dT="2019-04-12T00:44:06.15" personId="{8F2DC9DC-B9CF-4EE3-88A2-C1EBB258A7A2}" id="{7201471E-51FF-4DBC-9B2B-8856C8E4DFCB}">
    <text>Explica cuantas cervezas, tragos o copas de vino se deben vender para igualar el ticket por persona que genera la venta de 1 servicio Diageo.</text>
  </threadedComment>
</ThreadedComments>
</file>

<file path=xl/threadedComments/threadedComment32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5C798C6C-4D79-4241-BA57-A3B9AE6AE952}">
    <text>Explica cuantas cervezas, tragos o copas de vino se deben vender para igualar la rentabilidad que genera el servicio Diageo.</text>
  </threadedComment>
  <threadedComment ref="H35" dT="2019-04-12T00:44:06.15" personId="{8F2DC9DC-B9CF-4EE3-88A2-C1EBB258A7A2}" id="{8CAEA679-4A66-4DBA-89B0-E0A39B5A59A0}">
    <text>Explica cuantas cervezas, tragos o copas de vino se deben vender para igualar el ticket por persona que genera la venta de 1 servicio Diageo.</text>
  </threadedComment>
</ThreadedComments>
</file>

<file path=xl/threadedComments/threadedComment33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A891F831-3CCB-44AB-9B57-050AF9DB35DB}">
    <text>Explica cuantas cervezas, tragos o copas de vino se deben vender para igualar la rentabilidad que genera el servicio Diageo.</text>
  </threadedComment>
  <threadedComment ref="H35" dT="2019-04-12T00:44:06.15" personId="{8F2DC9DC-B9CF-4EE3-88A2-C1EBB258A7A2}" id="{15AE1AFC-DF63-40D6-9B88-D45F50ED931A}">
    <text>Explica cuantas cervezas, tragos o copas de vino se deben vender para igualar el ticket por persona que genera la venta de 1 servicio Diageo.</text>
  </threadedComment>
</ThreadedComments>
</file>

<file path=xl/threadedComments/threadedComment34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94743C7A-3FF0-436F-AFAD-178E4A378B18}">
    <text>Explica cuantas cervezas, tragos o copas de vino se deben vender para igualar la rentabilidad que genera el servicio Diageo.</text>
  </threadedComment>
  <threadedComment ref="H35" dT="2019-04-12T00:44:06.15" personId="{8F2DC9DC-B9CF-4EE3-88A2-C1EBB258A7A2}" id="{65C002D8-818A-4A9D-BCCD-5F7DBD31EA9F}">
    <text>Explica cuantas cervezas, tragos o copas de vino se deben vender para igualar el ticket por persona que genera la venta de 1 servicio Diageo.</text>
  </threadedComment>
</ThreadedComments>
</file>

<file path=xl/threadedComments/threadedComment35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A47E2AB8-CA4E-44F1-A119-562BF93819CD}">
    <text>Explica cuantas cervezas, tragos o copas de vino se deben vender para igualar la rentabilidad que genera el servicio Diageo.</text>
  </threadedComment>
  <threadedComment ref="H35" dT="2019-04-12T00:44:06.15" personId="{8F2DC9DC-B9CF-4EE3-88A2-C1EBB258A7A2}" id="{0AC869E8-6D99-4C25-A537-E77E3560DEA8}">
    <text>Explica cuantas cervezas, tragos o copas de vino se deben vender para igualar el ticket por persona que genera la venta de 1 servicio Diageo.</text>
  </threadedComment>
</ThreadedComments>
</file>

<file path=xl/threadedComments/threadedComment36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E5CB2BC4-B4A5-42B6-B5BA-BE0D23BD101D}">
    <text>Explica cuantas cervezas, tragos o copas de vino se deben vender para igualar la rentabilidad que genera el servicio Diageo.</text>
  </threadedComment>
  <threadedComment ref="H35" dT="2019-04-12T00:44:06.15" personId="{8F2DC9DC-B9CF-4EE3-88A2-C1EBB258A7A2}" id="{E2F8603E-C3BF-4A76-ABB7-9515AFF5D9BB}">
    <text>Explica cuantas cervezas, tragos o copas de vino se deben vender para igualar el ticket por persona que genera la venta de 1 servicio Diageo.</text>
  </threadedComment>
</ThreadedComments>
</file>

<file path=xl/threadedComments/threadedComment37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D0657926-025A-43BF-8CD6-086D5E3AF98D}">
    <text>Explica cuantas cervezas, tragos o copas de vino se deben vender para igualar la rentabilidad que genera el servicio Diageo.</text>
  </threadedComment>
  <threadedComment ref="H35" dT="2019-04-12T00:44:06.15" personId="{8F2DC9DC-B9CF-4EE3-88A2-C1EBB258A7A2}" id="{DFBBEB40-AAE7-41E3-B281-710E8DDBB9B7}">
    <text>Explica cuantas cervezas, tragos o copas de vino se deben vender para igualar el ticket por persona que genera la venta de 1 servicio Diageo.</text>
  </threadedComment>
</ThreadedComments>
</file>

<file path=xl/threadedComments/threadedComment38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96698782-6B7F-48A5-A089-965FEF8AF857}">
    <text>Explica cuantas cervezas, tragos o copas de vino se deben vender para igualar la rentabilidad que genera el servicio Diageo.</text>
  </threadedComment>
  <threadedComment ref="H35" dT="2019-04-12T00:44:06.15" personId="{8F2DC9DC-B9CF-4EE3-88A2-C1EBB258A7A2}" id="{388A9169-10DB-4E77-8CDD-B8E867C68320}">
    <text>Explica cuantas cervezas, tragos o copas de vino se deben vender para igualar el ticket por persona que genera la venta de 1 servicio Diageo.</text>
  </threadedComment>
</ThreadedComments>
</file>

<file path=xl/threadedComments/threadedComment39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5F189FED-CEA6-4705-A166-5C6C7812C6CD}">
    <text>Explica cuantas cervezas, tragos o copas de vino se deben vender para igualar la rentabilidad que genera el servicio Diageo.</text>
  </threadedComment>
  <threadedComment ref="H35" dT="2019-04-12T00:44:06.15" personId="{8F2DC9DC-B9CF-4EE3-88A2-C1EBB258A7A2}" id="{1C9F28DC-C2DD-497A-A173-DCE04BAD14A9}">
    <text>Explica cuantas cervezas, tragos o copas de vino se deben vender para igualar el ticket por persona que genera la venta de 1 servicio Diageo.</text>
  </threadedComment>
</ThreadedComments>
</file>

<file path=xl/threadedComments/threadedComment40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36D1427F-E995-47D6-8377-C8EF650C44B8}">
    <text>Explica cuantas cervezas, tragos o copas de vino se deben vender para igualar la rentabilidad que genera el servicio Diageo.</text>
  </threadedComment>
  <threadedComment ref="H35" dT="2019-04-12T00:44:06.15" personId="{8F2DC9DC-B9CF-4EE3-88A2-C1EBB258A7A2}" id="{3534EEF8-ED55-4381-8416-6C66AC194187}">
    <text>Explica cuantas cervezas, tragos o copas de vino se deben vender para igualar el ticket por persona que genera la venta de 1 servicio Diageo.</text>
  </threadedComment>
</ThreadedComments>
</file>

<file path=xl/threadedComments/threadedComment41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59086895-4566-47FD-8E44-3FCC017A15BC}">
    <text>Explica cuantas cervezas, tragos o copas de vino se deben vender para igualar la rentabilidad que genera el servicio Diageo.</text>
  </threadedComment>
  <threadedComment ref="H35" dT="2019-04-12T00:44:06.15" personId="{8F2DC9DC-B9CF-4EE3-88A2-C1EBB258A7A2}" id="{66D02EB3-C709-48AA-BB40-287178AD78E5}">
    <text>Explica cuantas cervezas, tragos o copas de vino se deben vender para igualar el ticket por persona que genera la venta de 1 servicio Diageo.</text>
  </threadedComment>
</ThreadedComments>
</file>

<file path=xl/threadedComments/threadedComment42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FB8A667B-3133-4994-805A-5A997A84990B}">
    <text>Explica cuantas cervezas, tragos o copas de vino se deben vender para igualar la rentabilidad que genera el servicio Diageo.</text>
  </threadedComment>
  <threadedComment ref="H35" dT="2019-04-12T00:44:06.15" personId="{8F2DC9DC-B9CF-4EE3-88A2-C1EBB258A7A2}" id="{2952347A-866B-4120-9D33-1CCB861CF674}">
    <text>Explica cuantas cervezas, tragos o copas de vino se deben vender para igualar el ticket por persona que genera la venta de 1 servicio Diageo.</text>
  </threadedComment>
</ThreadedComments>
</file>

<file path=xl/threadedComments/threadedComment43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0CC2370B-0338-4B04-9958-0F6AE13481F8}">
    <text>Explica cuantas cervezas, tragos o copas de vino se deben vender para igualar la rentabilidad que genera el servicio Diageo.</text>
  </threadedComment>
  <threadedComment ref="H35" dT="2019-04-12T00:44:06.15" personId="{8F2DC9DC-B9CF-4EE3-88A2-C1EBB258A7A2}" id="{C6CED5B3-28EB-480A-8312-EC84B16CDFED}">
    <text>Explica cuantas cervezas, tragos o copas de vino se deben vender para igualar el ticket por persona que genera la venta de 1 servicio Diageo.</text>
  </threadedComment>
</ThreadedComments>
</file>

<file path=xl/threadedComments/threadedComment44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BC568525-A640-4F66-8DBB-78A6CADFD374}">
    <text>Explica cuantas cervezas, tragos o copas de vino se deben vender para igualar la rentabilidad que genera el servicio Diageo.</text>
  </threadedComment>
  <threadedComment ref="H35" dT="2019-04-12T00:44:06.15" personId="{8F2DC9DC-B9CF-4EE3-88A2-C1EBB258A7A2}" id="{AAF20D3C-9CF1-4CF7-B984-D9DA61CC6CDB}">
    <text>Explica cuantas cervezas, tragos o copas de vino se deben vender para igualar el ticket por persona que genera la venta de 1 servicio Diageo.</text>
  </threadedComment>
</ThreadedComments>
</file>

<file path=xl/threadedComments/threadedComment45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3ACD1566-8B27-4DBF-BF91-4B80169CAF11}">
    <text>Explica cuantas cervezas, tragos o copas de vino se deben vender para igualar la rentabilidad que genera el servicio Diageo.</text>
  </threadedComment>
  <threadedComment ref="H35" dT="2019-04-12T00:44:06.15" personId="{8F2DC9DC-B9CF-4EE3-88A2-C1EBB258A7A2}" id="{841C2782-01F5-4913-8554-8570837D7C4B}">
    <text>Explica cuantas cervezas, tragos o copas de vino se deben vender para igualar el ticket por persona que genera la venta de 1 servicio Diageo.</text>
  </threadedComment>
</ThreadedComments>
</file>

<file path=xl/threadedComments/threadedComment46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9B27C433-F4E4-4427-B52A-6FE63DE1AC2E}">
    <text>Explica cuantas cervezas, tragos o copas de vino se deben vender para igualar la rentabilidad que genera el servicio Diageo.</text>
  </threadedComment>
  <threadedComment ref="H35" dT="2019-04-12T00:44:06.15" personId="{8F2DC9DC-B9CF-4EE3-88A2-C1EBB258A7A2}" id="{FD18F561-5C94-4D6C-83E0-4232D57918DB}">
    <text>Explica cuantas cervezas, tragos o copas de vino se deben vender para igualar el ticket por persona que genera la venta de 1 servicio Diageo.</text>
  </threadedComment>
</ThreadedComments>
</file>

<file path=xl/threadedComments/threadedComment47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991CE584-D35E-40E7-A575-79F0E2FD1076}">
    <text>Explica cuantas cervezas, tragos o copas de vino se deben vender para igualar la rentabilidad que genera el servicio Diageo.</text>
  </threadedComment>
  <threadedComment ref="H35" dT="2019-04-12T00:44:06.15" personId="{8F2DC9DC-B9CF-4EE3-88A2-C1EBB258A7A2}" id="{49D19786-BB0F-490B-A7D0-CBAF2554A867}">
    <text>Explica cuantas cervezas, tragos o copas de vino se deben vender para igualar el ticket por persona que genera la venta de 1 servicio Diageo.</text>
  </threadedComment>
</ThreadedComments>
</file>

<file path=xl/threadedComments/threadedComment48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37EA65F9-AADC-483C-8F8D-4739DBCFE2C0}">
    <text>Explica cuantas cervezas, tragos o copas de vino se deben vender para igualar la rentabilidad que genera el servicio Diageo.</text>
  </threadedComment>
  <threadedComment ref="H35" dT="2019-04-12T00:44:06.15" personId="{8F2DC9DC-B9CF-4EE3-88A2-C1EBB258A7A2}" id="{FBD62BFA-F3B7-41DB-8DE0-F83C97B04F4C}">
    <text>Explica cuantas cervezas, tragos o copas de vino se deben vender para igualar el ticket por persona que genera la venta de 1 servicio Diageo.</text>
  </threadedComment>
</ThreadedComments>
</file>

<file path=xl/threadedComments/threadedComment49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B1E68BB5-A780-410A-8F6A-5B9E5955CF89}">
    <text>Explica cuantas cervezas, tragos o copas de vino se deben vender para igualar la rentabilidad que genera el servicio Diageo.</text>
  </threadedComment>
  <threadedComment ref="H35" dT="2019-04-12T00:44:06.15" personId="{8F2DC9DC-B9CF-4EE3-88A2-C1EBB258A7A2}" id="{E869B931-7F39-4353-BD16-7E82DC3AC17D}">
    <text>Explica cuantas cervezas, tragos o copas de vino se deben vender para igualar el ticket por persona que genera la venta de 1 servicio Diageo.</text>
  </threadedComment>
</ThreadedComments>
</file>

<file path=xl/threadedComments/threadedComment50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998C493E-D8B2-4408-B2EF-F361C8810993}">
    <text>Explica cuantas cervezas, tragos o copas de vino se deben vender para igualar la rentabilidad que genera el servicio Diageo.</text>
  </threadedComment>
  <threadedComment ref="H35" dT="2019-04-12T00:44:06.15" personId="{8F2DC9DC-B9CF-4EE3-88A2-C1EBB258A7A2}" id="{883D083F-66A5-4FA2-9E64-84523566025C}">
    <text>Explica cuantas cervezas, tragos o copas de vino se deben vender para igualar el ticket por persona que genera la venta de 1 servicio Diageo.</text>
  </threadedComment>
</ThreadedComments>
</file>

<file path=xl/threadedComments/threadedComment51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FB1A78F0-4BAB-4CE2-9A98-A285461DC85C}">
    <text>Explica cuantas cervezas, tragos o copas de vino se deben vender para igualar la rentabilidad que genera el servicio Diageo.</text>
  </threadedComment>
  <threadedComment ref="H35" dT="2019-04-12T00:44:06.15" personId="{8F2DC9DC-B9CF-4EE3-88A2-C1EBB258A7A2}" id="{D452061B-76C4-45BA-B3EC-478FE687B795}">
    <text>Explica cuantas cervezas, tragos o copas de vino se deben vender para igualar el ticket por persona que genera la venta de 1 servicio Diageo.</text>
  </threadedComment>
</ThreadedComments>
</file>

<file path=xl/threadedComments/threadedComment52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149E92DD-AADF-491B-A0DA-B43437204A47}">
    <text>Explica cuantas cervezas, tragos o copas de vino se deben vender para igualar la rentabilidad que genera el servicio Diageo.</text>
  </threadedComment>
  <threadedComment ref="H35" dT="2019-04-12T00:44:06.15" personId="{8F2DC9DC-B9CF-4EE3-88A2-C1EBB258A7A2}" id="{F68429A8-E715-4FF6-A4DF-7AC8BF3AA48A}">
    <text>Explica cuantas cervezas, tragos o copas de vino se deben vender para igualar el ticket por persona que genera la venta de 1 servicio Diageo.</text>
  </threadedComment>
</ThreadedComments>
</file>

<file path=xl/threadedComments/threadedComment53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E37A89D5-12A9-4374-8345-818F2219E246}">
    <text>Explica cuantas cervezas, tragos o copas de vino se deben vender para igualar la rentabilidad que genera el servicio Diageo.</text>
  </threadedComment>
  <threadedComment ref="H35" dT="2019-04-12T00:44:06.15" personId="{8F2DC9DC-B9CF-4EE3-88A2-C1EBB258A7A2}" id="{89E661A8-A652-4C66-9707-327183E32BBD}">
    <text>Explica cuantas cervezas, tragos o copas de vino se deben vender para igualar el ticket por persona que genera la venta de 1 servicio Diageo.</text>
  </threadedComment>
</ThreadedComments>
</file>

<file path=xl/threadedComments/threadedComment54.xml><?xml version="1.0" encoding="utf-8"?>
<ThreadedComments xmlns="http://schemas.microsoft.com/office/spreadsheetml/2018/threadedcomments" xmlns:x="http://schemas.openxmlformats.org/spreadsheetml/2006/main">
  <threadedComment ref="H23" dT="2019-04-12T00:44:06.15" personId="{8F2DC9DC-B9CF-4EE3-88A2-C1EBB258A7A2}" id="{FBDCC9C9-DC6D-4203-96F8-9880C8A9DB61}">
    <text>Explica cuantas cervezas, tragos o copas de vino se deben vender para igualar la rentabilidad que genera el servicio Diageo.</text>
  </threadedComment>
  <threadedComment ref="H31" dT="2019-04-12T00:44:06.15" personId="{8F2DC9DC-B9CF-4EE3-88A2-C1EBB258A7A2}" id="{B879723B-4CC5-475F-B086-898E9991B25D}">
    <text>Explica cuantas cervezas, tragos o copas de vino se deben vender para igualar el ticket por persona que genera la venta de 1 servicio Diageo.</text>
  </threadedComment>
</ThreadedComments>
</file>

<file path=xl/threadedComments/threadedComment55.xml><?xml version="1.0" encoding="utf-8"?>
<ThreadedComments xmlns="http://schemas.microsoft.com/office/spreadsheetml/2018/threadedcomments" xmlns:x="http://schemas.openxmlformats.org/spreadsheetml/2006/main">
  <threadedComment ref="H23" dT="2019-04-12T00:44:06.15" personId="{8F2DC9DC-B9CF-4EE3-88A2-C1EBB258A7A2}" id="{D77EEC51-4F0B-4F7B-8F1A-6683D93E865C}">
    <text>Explica cuantas cervezas, tragos o copas de vino se deben vender para igualar la rentabilidad que genera el servicio Diageo.</text>
  </threadedComment>
  <threadedComment ref="H31" dT="2019-04-12T00:44:06.15" personId="{8F2DC9DC-B9CF-4EE3-88A2-C1EBB258A7A2}" id="{8F6C2957-7B4F-4D7F-B223-4E3C13E0A2AA}">
    <text>Explica cuantas cervezas, tragos o copas de vino se deben vender para igualar el ticket por persona que genera la venta de 1 servicio Diageo.</text>
  </threadedComment>
</ThreadedComments>
</file>

<file path=xl/threadedComments/threadedComment56.xml><?xml version="1.0" encoding="utf-8"?>
<ThreadedComments xmlns="http://schemas.microsoft.com/office/spreadsheetml/2018/threadedcomments" xmlns:x="http://schemas.openxmlformats.org/spreadsheetml/2006/main">
  <threadedComment ref="H23" dT="2019-04-12T00:44:06.15" personId="{8F2DC9DC-B9CF-4EE3-88A2-C1EBB258A7A2}" id="{DFDA03BE-7627-4589-AB8A-D454F0E5EFF9}">
    <text>Explica cuantas cervezas, tragos o copas de vino se deben vender para igualar la rentabilidad que genera el servicio Diageo.</text>
  </threadedComment>
  <threadedComment ref="H31" dT="2019-04-12T00:44:06.15" personId="{8F2DC9DC-B9CF-4EE3-88A2-C1EBB258A7A2}" id="{213EB4D3-768A-4B63-84C2-6F3C6D0FDC46}">
    <text>Explica cuantas cervezas, tragos o copas de vino se deben vender para igualar el ticket por persona que genera la venta de 1 servicio Diageo.</text>
  </threadedComment>
</ThreadedComments>
</file>

<file path=xl/threadedComments/threadedComment57.xml><?xml version="1.0" encoding="utf-8"?>
<ThreadedComments xmlns="http://schemas.microsoft.com/office/spreadsheetml/2018/threadedcomments" xmlns:x="http://schemas.openxmlformats.org/spreadsheetml/2006/main">
  <threadedComment ref="H23" dT="2019-04-12T00:44:06.15" personId="{8F2DC9DC-B9CF-4EE3-88A2-C1EBB258A7A2}" id="{EA6BFC31-F789-450B-B394-96F203AF7ADB}">
    <text>Explica cuantas cervezas, tragos o copas de vino se deben vender para igualar la rentabilidad que genera el servicio Diageo.</text>
  </threadedComment>
  <threadedComment ref="H31" dT="2019-04-12T00:44:06.15" personId="{8F2DC9DC-B9CF-4EE3-88A2-C1EBB258A7A2}" id="{7A16BEC0-9CF4-450C-8E00-3B642FFB5F53}">
    <text>Explica cuantas cervezas, tragos o copas de vino se deben vender para igualar el ticket por persona que genera la venta de 1 servicio Diageo.</text>
  </threadedComment>
</ThreadedComments>
</file>

<file path=xl/threadedComments/threadedComment58.xml><?xml version="1.0" encoding="utf-8"?>
<ThreadedComments xmlns="http://schemas.microsoft.com/office/spreadsheetml/2018/threadedcomments" xmlns:x="http://schemas.openxmlformats.org/spreadsheetml/2006/main">
  <threadedComment ref="H23" dT="2019-04-12T00:44:06.15" personId="{8F2DC9DC-B9CF-4EE3-88A2-C1EBB258A7A2}" id="{40C38851-4EA9-4CC4-A1F4-B472C882DEC0}">
    <text>Explica cuantas cervezas, tragos o copas de vino se deben vender para igualar la rentabilidad que genera el servicio Diageo.</text>
  </threadedComment>
  <threadedComment ref="H31" dT="2019-04-12T00:44:06.15" personId="{8F2DC9DC-B9CF-4EE3-88A2-C1EBB258A7A2}" id="{A999D89F-7E37-4967-91C9-04E6E279B979}">
    <text>Explica cuantas cervezas, tragos o copas de vino se deben vender para igualar el ticket por persona que genera la venta de 1 servicio Diageo.</text>
  </threadedComment>
</ThreadedComments>
</file>

<file path=xl/threadedComments/threadedComment59.xml><?xml version="1.0" encoding="utf-8"?>
<ThreadedComments xmlns="http://schemas.microsoft.com/office/spreadsheetml/2018/threadedcomments" xmlns:x="http://schemas.openxmlformats.org/spreadsheetml/2006/main">
  <threadedComment ref="H23" dT="2019-04-12T00:44:06.15" personId="{8F2DC9DC-B9CF-4EE3-88A2-C1EBB258A7A2}" id="{096F26C8-B612-4766-B40C-00242D5A11F7}">
    <text>Explica cuantas cervezas, tragos o copas de vino se deben vender para igualar la rentabilidad que genera el servicio Diageo.</text>
  </threadedComment>
  <threadedComment ref="H31" dT="2019-04-12T00:44:06.15" personId="{8F2DC9DC-B9CF-4EE3-88A2-C1EBB258A7A2}" id="{D8C7CB28-A17C-4EE1-9429-4D7B14A69BFE}">
    <text>Explica cuantas cervezas, tragos o copas de vino se deben vender para igualar el ticket por persona que genera la venta de 1 servicio Diageo.</text>
  </threadedComment>
</ThreadedComments>
</file>

<file path=xl/threadedComments/threadedComment60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1FB95113-A347-46F1-B6FD-A32DD7EBFE08}">
    <text>Explica cuantas cervezas, tragos o copas de vino se deben vender para igualar la rentabilidad que genera el servicio Diageo.</text>
  </threadedComment>
  <threadedComment ref="H35" dT="2019-04-12T00:44:06.15" personId="{8F2DC9DC-B9CF-4EE3-88A2-C1EBB258A7A2}" id="{ABFD2ADB-44BF-4A6A-8CCA-28CAD3C9C89D}">
    <text>Explica cuantas cervezas, tragos o copas de vino se deben vender para igualar el ticket por persona que genera la venta de 1 servicio Diageo.</text>
  </threadedComment>
</ThreadedComments>
</file>

<file path=xl/threadedComments/threadedComment61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366683BF-5E75-481A-89EB-18F5836640B2}">
    <text>Explica cuantas cervezas, tragos o copas de vino se deben vender para igualar la rentabilidad que genera el servicio Diageo.</text>
  </threadedComment>
  <threadedComment ref="H35" dT="2019-04-12T00:44:06.15" personId="{8F2DC9DC-B9CF-4EE3-88A2-C1EBB258A7A2}" id="{99A4DDAD-0162-43AB-B34A-77BFAB6549E8}">
    <text>Explica cuantas cervezas, tragos o copas de vino se deben vender para igualar el ticket por persona que genera la venta de 1 servicio Diageo.</text>
  </threadedComment>
</ThreadedComments>
</file>

<file path=xl/threadedComments/threadedComment62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4F7160B5-E87C-4005-B85F-5EE1576B893D}">
    <text>Explica cuantas cervezas, tragos o copas de vino se deben vender para igualar la rentabilidad que genera el servicio Diageo.</text>
  </threadedComment>
  <threadedComment ref="H35" dT="2019-04-12T00:44:06.15" personId="{8F2DC9DC-B9CF-4EE3-88A2-C1EBB258A7A2}" id="{6982EFAC-1E97-46D9-9DD0-3F2BD07C94D1}">
    <text>Explica cuantas cervezas, tragos o copas de vino se deben vender para igualar el ticket por persona que genera la venta de 1 servicio Diageo.</text>
  </threadedComment>
</ThreadedComments>
</file>

<file path=xl/threadedComments/threadedComment63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7550A2EF-FA14-40E6-B1DE-B1DC5B49A433}">
    <text>Explica cuantas cervezas, tragos o copas de vino se deben vender para igualar la rentabilidad que genera el servicio Diageo.</text>
  </threadedComment>
  <threadedComment ref="H35" dT="2019-04-12T00:44:06.15" personId="{8F2DC9DC-B9CF-4EE3-88A2-C1EBB258A7A2}" id="{1A3B00B5-A01B-4945-A6A7-8AFF1FF0B30A}">
    <text>Explica cuantas cervezas, tragos o copas de vino se deben vender para igualar el ticket por persona que genera la venta de 1 servicio Diageo.</text>
  </threadedComment>
</ThreadedComments>
</file>

<file path=xl/threadedComments/threadedComment64.xml><?xml version="1.0" encoding="utf-8"?>
<ThreadedComments xmlns="http://schemas.microsoft.com/office/spreadsheetml/2018/threadedcomments" xmlns:x="http://schemas.openxmlformats.org/spreadsheetml/2006/main">
  <threadedComment ref="H27" dT="2019-04-12T00:44:06.15" personId="{8F2DC9DC-B9CF-4EE3-88A2-C1EBB258A7A2}" id="{39358E54-3C74-4F3A-9D49-86E5DF3D524E}">
    <text>Explica cuantas cervezas, tragos o copas de vino se deben vender para igualar la rentabilidad que genera el servicio Diageo.</text>
  </threadedComment>
  <threadedComment ref="H35" dT="2019-04-12T00:44:06.15" personId="{8F2DC9DC-B9CF-4EE3-88A2-C1EBB258A7A2}" id="{90323209-A66A-4122-AE23-EB0C4181284A}">
    <text>Explica cuantas cervezas, tragos o copas de vino se deben vender para igualar el ticket por persona que genera la venta de 1 servicio Diageo.</text>
  </threadedComment>
</ThreadedComments>
</file>

<file path=xl/threadedComments/threadedComment65.xml><?xml version="1.0" encoding="utf-8"?>
<ThreadedComments xmlns="http://schemas.microsoft.com/office/spreadsheetml/2018/threadedcomments" xmlns:x="http://schemas.openxmlformats.org/spreadsheetml/2006/main">
  <threadedComment ref="H23" dT="2019-04-12T00:44:06.15" personId="{8F2DC9DC-B9CF-4EE3-88A2-C1EBB258A7A2}" id="{DABB685D-1E88-4327-AF80-E915B521CE17}">
    <text>Explica cuantas cervezas, tragos o copas de vino se deben vender para igualar la rentabilidad que genera el servicio Diageo.</text>
  </threadedComment>
  <threadedComment ref="H31" dT="2019-04-12T00:44:06.15" personId="{8F2DC9DC-B9CF-4EE3-88A2-C1EBB258A7A2}" id="{8B58E573-E5CE-4C08-8A3C-14B06C58AD10}">
    <text>Explica cuantas cervezas, tragos o copas de vino se deben vender para igualar el ticket por persona que genera la venta de 1 servicio Diageo.</text>
  </threadedComment>
</ThreadedComments>
</file>

<file path=xl/threadedComments/threadedComment66.xml><?xml version="1.0" encoding="utf-8"?>
<ThreadedComments xmlns="http://schemas.microsoft.com/office/spreadsheetml/2018/threadedcomments" xmlns:x="http://schemas.openxmlformats.org/spreadsheetml/2006/main">
  <threadedComment ref="H23" dT="2019-04-12T00:44:06.15" personId="{8F2DC9DC-B9CF-4EE3-88A2-C1EBB258A7A2}" id="{F2D4CD60-18B1-48A2-8EC7-4B592CC8F888}">
    <text>Explica cuantas cervezas, tragos o copas de vino se deben vender para igualar la rentabilidad que genera el servicio Diageo.</text>
  </threadedComment>
  <threadedComment ref="H31" dT="2019-04-12T00:44:06.15" personId="{8F2DC9DC-B9CF-4EE3-88A2-C1EBB258A7A2}" id="{EB2AEF41-17DF-4642-AD49-145D833625BD}">
    <text>Explica cuantas cervezas, tragos o copas de vino se deben vender para igualar el ticket por persona que genera la venta de 1 servicio Diageo.</text>
  </threadedComment>
</ThreadedComments>
</file>

<file path=xl/threadedComments/threadedComment67.xml><?xml version="1.0" encoding="utf-8"?>
<ThreadedComments xmlns="http://schemas.microsoft.com/office/spreadsheetml/2018/threadedcomments" xmlns:x="http://schemas.openxmlformats.org/spreadsheetml/2006/main">
  <threadedComment ref="H23" dT="2019-04-12T00:44:06.15" personId="{8F2DC9DC-B9CF-4EE3-88A2-C1EBB258A7A2}" id="{4EFDC191-3C22-49F8-8C9A-C99ABD677E34}">
    <text>Explica cuantas cervezas, tragos o copas de vino se deben vender para igualar la rentabilidad que genera el servicio Diageo.</text>
  </threadedComment>
  <threadedComment ref="H31" dT="2019-04-12T00:44:06.15" personId="{8F2DC9DC-B9CF-4EE3-88A2-C1EBB258A7A2}" id="{44B21318-934B-4D4D-9266-F8D6D2EE4E91}">
    <text>Explica cuantas cervezas, tragos o copas de vino se deben vender para igualar el ticket por persona que genera la venta de 1 servicio Diageo.</text>
  </threadedComment>
</ThreadedComments>
</file>

<file path=xl/threadedComments/threadedComment68.xml><?xml version="1.0" encoding="utf-8"?>
<ThreadedComments xmlns="http://schemas.microsoft.com/office/spreadsheetml/2018/threadedcomments" xmlns:x="http://schemas.openxmlformats.org/spreadsheetml/2006/main">
  <threadedComment ref="H23" dT="2019-04-12T00:44:06.15" personId="{8F2DC9DC-B9CF-4EE3-88A2-C1EBB258A7A2}" id="{12FF3135-459C-47F1-B2F7-9C37A778BA97}">
    <text>Explica cuantas cervezas, tragos o copas de vino se deben vender para igualar la rentabilidad que genera el servicio Diageo.</text>
  </threadedComment>
  <threadedComment ref="H31" dT="2019-04-12T00:44:06.15" personId="{8F2DC9DC-B9CF-4EE3-88A2-C1EBB258A7A2}" id="{FBE5FFB8-431B-462A-8083-6D0344E6EA69}">
    <text>Explica cuantas cervezas, tragos o copas de vino se deben vender para igualar el ticket por persona que genera la venta de 1 servicio Diageo.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17/10/relationships/threadedComment" Target="../threadedComments/threadedComment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microsoft.com/office/2017/10/relationships/threadedComment" Target="../threadedComments/threadedComment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microsoft.com/office/2017/10/relationships/threadedComment" Target="../threadedComments/threadedComment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microsoft.com/office/2017/10/relationships/threadedComment" Target="../threadedComments/threadedComment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6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microsoft.com/office/2017/10/relationships/threadedComment" Target="../threadedComments/threadedComment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7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microsoft.com/office/2017/10/relationships/threadedComment" Target="../threadedComments/threadedComment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8.xml"/><Relationship Id="rId5" Type="http://schemas.openxmlformats.org/officeDocument/2006/relationships/table" Target="../tables/table7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microsoft.com/office/2017/10/relationships/threadedComment" Target="../threadedComments/threadedComment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9.xml"/><Relationship Id="rId5" Type="http://schemas.openxmlformats.org/officeDocument/2006/relationships/table" Target="../tables/table8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microsoft.com/office/2017/10/relationships/threadedComment" Target="../threadedComments/threadedComment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10.xml"/><Relationship Id="rId5" Type="http://schemas.openxmlformats.org/officeDocument/2006/relationships/table" Target="../tables/table9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microsoft.com/office/2017/10/relationships/threadedComment" Target="../threadedComments/threadedComment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11.xml"/><Relationship Id="rId5" Type="http://schemas.openxmlformats.org/officeDocument/2006/relationships/table" Target="../tables/table10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microsoft.com/office/2017/10/relationships/threadedComment" Target="../threadedComments/threadedComment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12.xml"/><Relationship Id="rId5" Type="http://schemas.openxmlformats.org/officeDocument/2006/relationships/table" Target="../tables/table11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microsoft.com/office/2017/10/relationships/threadedComment" Target="../threadedComments/threadedComment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13.xml"/><Relationship Id="rId5" Type="http://schemas.openxmlformats.org/officeDocument/2006/relationships/table" Target="../tables/table12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microsoft.com/office/2017/10/relationships/threadedComment" Target="../threadedComments/threadedComment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omments" Target="../comments14.xml"/><Relationship Id="rId5" Type="http://schemas.openxmlformats.org/officeDocument/2006/relationships/table" Target="../tables/table13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microsoft.com/office/2017/10/relationships/threadedComment" Target="../threadedComments/threadedComment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15.xml"/><Relationship Id="rId5" Type="http://schemas.openxmlformats.org/officeDocument/2006/relationships/table" Target="../tables/table14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microsoft.com/office/2017/10/relationships/threadedComment" Target="../threadedComments/threadedComment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omments" Target="../comments16.xml"/><Relationship Id="rId5" Type="http://schemas.openxmlformats.org/officeDocument/2006/relationships/table" Target="../tables/table15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microsoft.com/office/2017/10/relationships/threadedComment" Target="../threadedComments/threadedComment1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17.xml"/><Relationship Id="rId5" Type="http://schemas.openxmlformats.org/officeDocument/2006/relationships/table" Target="../tables/table16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microsoft.com/office/2017/10/relationships/threadedComment" Target="../threadedComments/threadedComment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omments" Target="../comments18.xml"/><Relationship Id="rId5" Type="http://schemas.openxmlformats.org/officeDocument/2006/relationships/table" Target="../tables/table17.xml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microsoft.com/office/2017/10/relationships/threadedComment" Target="../threadedComments/threadedComment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19.xml"/><Relationship Id="rId5" Type="http://schemas.openxmlformats.org/officeDocument/2006/relationships/table" Target="../tables/table18.xml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microsoft.com/office/2017/10/relationships/threadedComment" Target="../threadedComments/threadedComment1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omments" Target="../comments20.xml"/><Relationship Id="rId5" Type="http://schemas.openxmlformats.org/officeDocument/2006/relationships/table" Target="../tables/table19.xml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7" Type="http://schemas.microsoft.com/office/2017/10/relationships/threadedComment" Target="../threadedComments/threadedComment2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6" Type="http://schemas.openxmlformats.org/officeDocument/2006/relationships/comments" Target="../comments21.xml"/><Relationship Id="rId5" Type="http://schemas.openxmlformats.org/officeDocument/2006/relationships/table" Target="../tables/table20.xml"/><Relationship Id="rId4" Type="http://schemas.openxmlformats.org/officeDocument/2006/relationships/ctrlProp" Target="../ctrlProps/ctrlProp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7" Type="http://schemas.microsoft.com/office/2017/10/relationships/threadedComment" Target="../threadedComments/threadedComment2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6" Type="http://schemas.openxmlformats.org/officeDocument/2006/relationships/comments" Target="../comments22.xml"/><Relationship Id="rId5" Type="http://schemas.openxmlformats.org/officeDocument/2006/relationships/table" Target="../tables/table21.xml"/><Relationship Id="rId4" Type="http://schemas.openxmlformats.org/officeDocument/2006/relationships/ctrlProp" Target="../ctrlProps/ctrlProp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7" Type="http://schemas.microsoft.com/office/2017/10/relationships/threadedComment" Target="../threadedComments/threadedComment2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23.xml"/><Relationship Id="rId5" Type="http://schemas.openxmlformats.org/officeDocument/2006/relationships/table" Target="../tables/table22.xml"/><Relationship Id="rId4" Type="http://schemas.openxmlformats.org/officeDocument/2006/relationships/ctrlProp" Target="../ctrlProps/ctrlProp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7" Type="http://schemas.microsoft.com/office/2017/10/relationships/threadedComment" Target="../threadedComments/threadedComment2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6" Type="http://schemas.openxmlformats.org/officeDocument/2006/relationships/comments" Target="../comments24.xml"/><Relationship Id="rId5" Type="http://schemas.openxmlformats.org/officeDocument/2006/relationships/table" Target="../tables/table23.xml"/><Relationship Id="rId4" Type="http://schemas.openxmlformats.org/officeDocument/2006/relationships/ctrlProp" Target="../ctrlProps/ctrlProp2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7" Type="http://schemas.microsoft.com/office/2017/10/relationships/threadedComment" Target="../threadedComments/threadedComment24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25.xml"/><Relationship Id="rId5" Type="http://schemas.openxmlformats.org/officeDocument/2006/relationships/table" Target="../tables/table24.xml"/><Relationship Id="rId4" Type="http://schemas.openxmlformats.org/officeDocument/2006/relationships/ctrlProp" Target="../ctrlProps/ctrlProp2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7" Type="http://schemas.microsoft.com/office/2017/10/relationships/threadedComment" Target="../threadedComments/threadedComment2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6" Type="http://schemas.openxmlformats.org/officeDocument/2006/relationships/comments" Target="../comments26.xml"/><Relationship Id="rId5" Type="http://schemas.openxmlformats.org/officeDocument/2006/relationships/table" Target="../tables/table25.xml"/><Relationship Id="rId4" Type="http://schemas.openxmlformats.org/officeDocument/2006/relationships/ctrlProp" Target="../ctrlProps/ctrlProp2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7" Type="http://schemas.microsoft.com/office/2017/10/relationships/threadedComment" Target="../threadedComments/threadedComment26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7.xml"/><Relationship Id="rId5" Type="http://schemas.openxmlformats.org/officeDocument/2006/relationships/table" Target="../tables/table26.xml"/><Relationship Id="rId4" Type="http://schemas.openxmlformats.org/officeDocument/2006/relationships/ctrlProp" Target="../ctrlProps/ctrlProp2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7" Type="http://schemas.microsoft.com/office/2017/10/relationships/threadedComment" Target="../threadedComments/threadedComment27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8.xml"/><Relationship Id="rId5" Type="http://schemas.openxmlformats.org/officeDocument/2006/relationships/table" Target="../tables/table27.xml"/><Relationship Id="rId4" Type="http://schemas.openxmlformats.org/officeDocument/2006/relationships/ctrlProp" Target="../ctrlProps/ctrlProp2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7" Type="http://schemas.microsoft.com/office/2017/10/relationships/threadedComment" Target="../threadedComments/threadedComment2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6" Type="http://schemas.openxmlformats.org/officeDocument/2006/relationships/comments" Target="../comments29.xml"/><Relationship Id="rId5" Type="http://schemas.openxmlformats.org/officeDocument/2006/relationships/table" Target="../tables/table28.xml"/><Relationship Id="rId4" Type="http://schemas.openxmlformats.org/officeDocument/2006/relationships/ctrlProp" Target="../ctrlProps/ctrlProp3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7" Type="http://schemas.microsoft.com/office/2017/10/relationships/threadedComment" Target="../threadedComments/threadedComment29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6" Type="http://schemas.openxmlformats.org/officeDocument/2006/relationships/comments" Target="../comments30.xml"/><Relationship Id="rId5" Type="http://schemas.openxmlformats.org/officeDocument/2006/relationships/table" Target="../tables/table29.xml"/><Relationship Id="rId4" Type="http://schemas.openxmlformats.org/officeDocument/2006/relationships/ctrlProp" Target="../ctrlProps/ctrlProp3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7" Type="http://schemas.microsoft.com/office/2017/10/relationships/threadedComment" Target="../threadedComments/threadedComment30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6" Type="http://schemas.openxmlformats.org/officeDocument/2006/relationships/comments" Target="../comments31.xml"/><Relationship Id="rId5" Type="http://schemas.openxmlformats.org/officeDocument/2006/relationships/table" Target="../tables/table30.xml"/><Relationship Id="rId4" Type="http://schemas.openxmlformats.org/officeDocument/2006/relationships/ctrlProp" Target="../ctrlProps/ctrlProp3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7" Type="http://schemas.microsoft.com/office/2017/10/relationships/threadedComment" Target="../threadedComments/threadedComment3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6" Type="http://schemas.openxmlformats.org/officeDocument/2006/relationships/comments" Target="../comments32.xml"/><Relationship Id="rId5" Type="http://schemas.openxmlformats.org/officeDocument/2006/relationships/table" Target="../tables/table31.xml"/><Relationship Id="rId4" Type="http://schemas.openxmlformats.org/officeDocument/2006/relationships/ctrlProp" Target="../ctrlProps/ctrlProp3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7" Type="http://schemas.microsoft.com/office/2017/10/relationships/threadedComment" Target="../threadedComments/threadedComment3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33.xml"/><Relationship Id="rId5" Type="http://schemas.openxmlformats.org/officeDocument/2006/relationships/table" Target="../tables/table32.xml"/><Relationship Id="rId4" Type="http://schemas.openxmlformats.org/officeDocument/2006/relationships/ctrlProp" Target="../ctrlProps/ctrlProp3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7" Type="http://schemas.microsoft.com/office/2017/10/relationships/threadedComment" Target="../threadedComments/threadedComment3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4.xml"/><Relationship Id="rId5" Type="http://schemas.openxmlformats.org/officeDocument/2006/relationships/table" Target="../tables/table33.xml"/><Relationship Id="rId4" Type="http://schemas.openxmlformats.org/officeDocument/2006/relationships/ctrlProp" Target="../ctrlProps/ctrlProp3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7" Type="http://schemas.microsoft.com/office/2017/10/relationships/threadedComment" Target="../threadedComments/threadedComment34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5.xml"/><Relationship Id="rId5" Type="http://schemas.openxmlformats.org/officeDocument/2006/relationships/table" Target="../tables/table34.xml"/><Relationship Id="rId4" Type="http://schemas.openxmlformats.org/officeDocument/2006/relationships/ctrlProp" Target="../ctrlProps/ctrlProp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7" Type="http://schemas.microsoft.com/office/2017/10/relationships/threadedComment" Target="../threadedComments/threadedComment35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Relationship Id="rId6" Type="http://schemas.openxmlformats.org/officeDocument/2006/relationships/comments" Target="../comments36.xml"/><Relationship Id="rId5" Type="http://schemas.openxmlformats.org/officeDocument/2006/relationships/table" Target="../tables/table35.xml"/><Relationship Id="rId4" Type="http://schemas.openxmlformats.org/officeDocument/2006/relationships/ctrlProp" Target="../ctrlProps/ctrlProp37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7" Type="http://schemas.microsoft.com/office/2017/10/relationships/threadedComment" Target="../threadedComments/threadedComment36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37.xml"/><Relationship Id="rId5" Type="http://schemas.openxmlformats.org/officeDocument/2006/relationships/table" Target="../tables/table36.xml"/><Relationship Id="rId4" Type="http://schemas.openxmlformats.org/officeDocument/2006/relationships/ctrlProp" Target="../ctrlProps/ctrlProp3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7" Type="http://schemas.microsoft.com/office/2017/10/relationships/threadedComment" Target="../threadedComments/threadedComment37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6" Type="http://schemas.openxmlformats.org/officeDocument/2006/relationships/comments" Target="../comments38.xml"/><Relationship Id="rId5" Type="http://schemas.openxmlformats.org/officeDocument/2006/relationships/table" Target="../tables/table37.xml"/><Relationship Id="rId4" Type="http://schemas.openxmlformats.org/officeDocument/2006/relationships/ctrlProp" Target="../ctrlProps/ctrlProp39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7" Type="http://schemas.microsoft.com/office/2017/10/relationships/threadedComment" Target="../threadedComments/threadedComment38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6" Type="http://schemas.openxmlformats.org/officeDocument/2006/relationships/comments" Target="../comments39.xml"/><Relationship Id="rId5" Type="http://schemas.openxmlformats.org/officeDocument/2006/relationships/table" Target="../tables/table38.xml"/><Relationship Id="rId4" Type="http://schemas.openxmlformats.org/officeDocument/2006/relationships/ctrlProp" Target="../ctrlProps/ctrlProp40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7" Type="http://schemas.microsoft.com/office/2017/10/relationships/threadedComment" Target="../threadedComments/threadedComment3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3.bin"/><Relationship Id="rId6" Type="http://schemas.openxmlformats.org/officeDocument/2006/relationships/comments" Target="../comments40.xml"/><Relationship Id="rId5" Type="http://schemas.openxmlformats.org/officeDocument/2006/relationships/table" Target="../tables/table39.xml"/><Relationship Id="rId4" Type="http://schemas.openxmlformats.org/officeDocument/2006/relationships/ctrlProp" Target="../ctrlProps/ctrlProp41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7" Type="http://schemas.microsoft.com/office/2017/10/relationships/threadedComment" Target="../threadedComments/threadedComment40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4.bin"/><Relationship Id="rId6" Type="http://schemas.openxmlformats.org/officeDocument/2006/relationships/comments" Target="../comments41.xml"/><Relationship Id="rId5" Type="http://schemas.openxmlformats.org/officeDocument/2006/relationships/table" Target="../tables/table40.xml"/><Relationship Id="rId4" Type="http://schemas.openxmlformats.org/officeDocument/2006/relationships/ctrlProp" Target="../ctrlProps/ctrlProp4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5.bin"/><Relationship Id="rId6" Type="http://schemas.microsoft.com/office/2017/10/relationships/threadedComment" Target="../threadedComments/threadedComment41.xml"/><Relationship Id="rId5" Type="http://schemas.openxmlformats.org/officeDocument/2006/relationships/comments" Target="../comments42.xml"/><Relationship Id="rId4" Type="http://schemas.openxmlformats.org/officeDocument/2006/relationships/table" Target="../tables/table41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7" Type="http://schemas.microsoft.com/office/2017/10/relationships/threadedComment" Target="../threadedComments/threadedComment42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6.bin"/><Relationship Id="rId6" Type="http://schemas.openxmlformats.org/officeDocument/2006/relationships/comments" Target="../comments43.xml"/><Relationship Id="rId5" Type="http://schemas.openxmlformats.org/officeDocument/2006/relationships/table" Target="../tables/table42.xml"/><Relationship Id="rId4" Type="http://schemas.openxmlformats.org/officeDocument/2006/relationships/ctrlProp" Target="../ctrlProps/ctrlProp43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7" Type="http://schemas.microsoft.com/office/2017/10/relationships/threadedComment" Target="../threadedComments/threadedComment43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44.xml"/><Relationship Id="rId5" Type="http://schemas.openxmlformats.org/officeDocument/2006/relationships/table" Target="../tables/table43.xml"/><Relationship Id="rId4" Type="http://schemas.openxmlformats.org/officeDocument/2006/relationships/ctrlProp" Target="../ctrlProps/ctrlProp4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7" Type="http://schemas.microsoft.com/office/2017/10/relationships/threadedComment" Target="../threadedComments/threadedComment44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8.bin"/><Relationship Id="rId6" Type="http://schemas.openxmlformats.org/officeDocument/2006/relationships/comments" Target="../comments45.xml"/><Relationship Id="rId5" Type="http://schemas.openxmlformats.org/officeDocument/2006/relationships/table" Target="../tables/table44.xml"/><Relationship Id="rId4" Type="http://schemas.openxmlformats.org/officeDocument/2006/relationships/ctrlProp" Target="../ctrlProps/ctrlProp45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7" Type="http://schemas.microsoft.com/office/2017/10/relationships/threadedComment" Target="../threadedComments/threadedComment45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9.bin"/><Relationship Id="rId6" Type="http://schemas.openxmlformats.org/officeDocument/2006/relationships/comments" Target="../comments46.xml"/><Relationship Id="rId5" Type="http://schemas.openxmlformats.org/officeDocument/2006/relationships/table" Target="../tables/table45.xml"/><Relationship Id="rId4" Type="http://schemas.openxmlformats.org/officeDocument/2006/relationships/ctrlProp" Target="../ctrlProps/ctrlProp46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7" Type="http://schemas.microsoft.com/office/2017/10/relationships/threadedComment" Target="../threadedComments/threadedComment46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50.bin"/><Relationship Id="rId6" Type="http://schemas.openxmlformats.org/officeDocument/2006/relationships/comments" Target="../comments47.xml"/><Relationship Id="rId5" Type="http://schemas.openxmlformats.org/officeDocument/2006/relationships/table" Target="../tables/table46.xml"/><Relationship Id="rId4" Type="http://schemas.openxmlformats.org/officeDocument/2006/relationships/ctrlProp" Target="../ctrlProps/ctrlProp47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7" Type="http://schemas.microsoft.com/office/2017/10/relationships/threadedComment" Target="../threadedComments/threadedComment4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1.bin"/><Relationship Id="rId6" Type="http://schemas.openxmlformats.org/officeDocument/2006/relationships/comments" Target="../comments48.xml"/><Relationship Id="rId5" Type="http://schemas.openxmlformats.org/officeDocument/2006/relationships/table" Target="../tables/table47.xml"/><Relationship Id="rId4" Type="http://schemas.openxmlformats.org/officeDocument/2006/relationships/ctrlProp" Target="../ctrlProps/ctrlProp48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7" Type="http://schemas.microsoft.com/office/2017/10/relationships/threadedComment" Target="../threadedComments/threadedComment48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2.bin"/><Relationship Id="rId6" Type="http://schemas.openxmlformats.org/officeDocument/2006/relationships/comments" Target="../comments49.xml"/><Relationship Id="rId5" Type="http://schemas.openxmlformats.org/officeDocument/2006/relationships/table" Target="../tables/table48.xml"/><Relationship Id="rId4" Type="http://schemas.openxmlformats.org/officeDocument/2006/relationships/ctrlProp" Target="../ctrlProps/ctrlProp49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7" Type="http://schemas.microsoft.com/office/2017/10/relationships/threadedComment" Target="../threadedComments/threadedComment4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3.bin"/><Relationship Id="rId6" Type="http://schemas.openxmlformats.org/officeDocument/2006/relationships/comments" Target="../comments50.xml"/><Relationship Id="rId5" Type="http://schemas.openxmlformats.org/officeDocument/2006/relationships/table" Target="../tables/table49.xml"/><Relationship Id="rId4" Type="http://schemas.openxmlformats.org/officeDocument/2006/relationships/ctrlProp" Target="../ctrlProps/ctrlProp5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7" Type="http://schemas.microsoft.com/office/2017/10/relationships/threadedComment" Target="../threadedComments/threadedComment50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4.bin"/><Relationship Id="rId6" Type="http://schemas.openxmlformats.org/officeDocument/2006/relationships/comments" Target="../comments51.xml"/><Relationship Id="rId5" Type="http://schemas.openxmlformats.org/officeDocument/2006/relationships/table" Target="../tables/table50.xml"/><Relationship Id="rId4" Type="http://schemas.openxmlformats.org/officeDocument/2006/relationships/ctrlProp" Target="../ctrlProps/ctrlProp51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7" Type="http://schemas.microsoft.com/office/2017/10/relationships/threadedComment" Target="../threadedComments/threadedComment5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5.bin"/><Relationship Id="rId6" Type="http://schemas.openxmlformats.org/officeDocument/2006/relationships/comments" Target="../comments52.xml"/><Relationship Id="rId5" Type="http://schemas.openxmlformats.org/officeDocument/2006/relationships/table" Target="../tables/table51.xml"/><Relationship Id="rId4" Type="http://schemas.openxmlformats.org/officeDocument/2006/relationships/ctrlProp" Target="../ctrlProps/ctrlProp52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7" Type="http://schemas.microsoft.com/office/2017/10/relationships/threadedComment" Target="../threadedComments/threadedComment52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6.bin"/><Relationship Id="rId6" Type="http://schemas.openxmlformats.org/officeDocument/2006/relationships/comments" Target="../comments53.xml"/><Relationship Id="rId5" Type="http://schemas.openxmlformats.org/officeDocument/2006/relationships/table" Target="../tables/table52.xml"/><Relationship Id="rId4" Type="http://schemas.openxmlformats.org/officeDocument/2006/relationships/ctrlProp" Target="../ctrlProps/ctrlProp53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7" Type="http://schemas.microsoft.com/office/2017/10/relationships/threadedComment" Target="../threadedComments/threadedComment53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7.bin"/><Relationship Id="rId6" Type="http://schemas.openxmlformats.org/officeDocument/2006/relationships/comments" Target="../comments54.xml"/><Relationship Id="rId5" Type="http://schemas.openxmlformats.org/officeDocument/2006/relationships/table" Target="../tables/table53.xml"/><Relationship Id="rId4" Type="http://schemas.openxmlformats.org/officeDocument/2006/relationships/ctrlProp" Target="../ctrlProps/ctrlProp5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8.bin"/><Relationship Id="rId6" Type="http://schemas.microsoft.com/office/2017/10/relationships/threadedComment" Target="../threadedComments/threadedComment54.xml"/><Relationship Id="rId5" Type="http://schemas.openxmlformats.org/officeDocument/2006/relationships/comments" Target="../comments55.xml"/><Relationship Id="rId4" Type="http://schemas.openxmlformats.org/officeDocument/2006/relationships/table" Target="../tables/table5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9.bin"/><Relationship Id="rId6" Type="http://schemas.microsoft.com/office/2017/10/relationships/threadedComment" Target="../threadedComments/threadedComment55.xml"/><Relationship Id="rId5" Type="http://schemas.openxmlformats.org/officeDocument/2006/relationships/comments" Target="../comments56.xml"/><Relationship Id="rId4" Type="http://schemas.openxmlformats.org/officeDocument/2006/relationships/table" Target="../tables/table5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60.bin"/><Relationship Id="rId6" Type="http://schemas.microsoft.com/office/2017/10/relationships/threadedComment" Target="../threadedComments/threadedComment56.xml"/><Relationship Id="rId5" Type="http://schemas.openxmlformats.org/officeDocument/2006/relationships/comments" Target="../comments57.xml"/><Relationship Id="rId4" Type="http://schemas.openxmlformats.org/officeDocument/2006/relationships/table" Target="../tables/table56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.v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1.bin"/><Relationship Id="rId6" Type="http://schemas.microsoft.com/office/2017/10/relationships/threadedComment" Target="../threadedComments/threadedComment57.xml"/><Relationship Id="rId5" Type="http://schemas.openxmlformats.org/officeDocument/2006/relationships/comments" Target="../comments58.xml"/><Relationship Id="rId4" Type="http://schemas.openxmlformats.org/officeDocument/2006/relationships/table" Target="../tables/table57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0.v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2.bin"/><Relationship Id="rId6" Type="http://schemas.microsoft.com/office/2017/10/relationships/threadedComment" Target="../threadedComments/threadedComment58.xml"/><Relationship Id="rId5" Type="http://schemas.openxmlformats.org/officeDocument/2006/relationships/comments" Target="../comments59.xml"/><Relationship Id="rId4" Type="http://schemas.openxmlformats.org/officeDocument/2006/relationships/table" Target="../tables/table58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1.v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3.bin"/><Relationship Id="rId6" Type="http://schemas.microsoft.com/office/2017/10/relationships/threadedComment" Target="../threadedComments/threadedComment59.xml"/><Relationship Id="rId5" Type="http://schemas.openxmlformats.org/officeDocument/2006/relationships/comments" Target="../comments60.xml"/><Relationship Id="rId4" Type="http://schemas.openxmlformats.org/officeDocument/2006/relationships/table" Target="../tables/table59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7" Type="http://schemas.microsoft.com/office/2017/10/relationships/threadedComment" Target="../threadedComments/threadedComment60.xml"/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4.bin"/><Relationship Id="rId6" Type="http://schemas.openxmlformats.org/officeDocument/2006/relationships/comments" Target="../comments61.xml"/><Relationship Id="rId5" Type="http://schemas.openxmlformats.org/officeDocument/2006/relationships/table" Target="../tables/table60.xml"/><Relationship Id="rId4" Type="http://schemas.openxmlformats.org/officeDocument/2006/relationships/ctrlProp" Target="../ctrlProps/ctrlProp5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3.vml"/><Relationship Id="rId7" Type="http://schemas.microsoft.com/office/2017/10/relationships/threadedComment" Target="../threadedComments/threadedComment61.xml"/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62.xml"/><Relationship Id="rId5" Type="http://schemas.openxmlformats.org/officeDocument/2006/relationships/table" Target="../tables/table61.xml"/><Relationship Id="rId4" Type="http://schemas.openxmlformats.org/officeDocument/2006/relationships/ctrlProp" Target="../ctrlProps/ctrlProp5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7" Type="http://schemas.microsoft.com/office/2017/10/relationships/threadedComment" Target="../threadedComments/threadedComment62.xml"/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6.bin"/><Relationship Id="rId6" Type="http://schemas.openxmlformats.org/officeDocument/2006/relationships/comments" Target="../comments63.xml"/><Relationship Id="rId5" Type="http://schemas.openxmlformats.org/officeDocument/2006/relationships/table" Target="../tables/table62.xml"/><Relationship Id="rId4" Type="http://schemas.openxmlformats.org/officeDocument/2006/relationships/ctrlProp" Target="../ctrlProps/ctrlProp57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5.vml"/><Relationship Id="rId7" Type="http://schemas.microsoft.com/office/2017/10/relationships/threadedComment" Target="../threadedComments/threadedComment63.xml"/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7.bin"/><Relationship Id="rId6" Type="http://schemas.openxmlformats.org/officeDocument/2006/relationships/comments" Target="../comments64.xml"/><Relationship Id="rId5" Type="http://schemas.openxmlformats.org/officeDocument/2006/relationships/table" Target="../tables/table63.xml"/><Relationship Id="rId4" Type="http://schemas.openxmlformats.org/officeDocument/2006/relationships/ctrlProp" Target="../ctrlProps/ctrlProp58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7" Type="http://schemas.microsoft.com/office/2017/10/relationships/threadedComment" Target="../threadedComments/threadedComment64.xml"/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8.bin"/><Relationship Id="rId6" Type="http://schemas.openxmlformats.org/officeDocument/2006/relationships/comments" Target="../comments65.xml"/><Relationship Id="rId5" Type="http://schemas.openxmlformats.org/officeDocument/2006/relationships/table" Target="../tables/table64.xml"/><Relationship Id="rId4" Type="http://schemas.openxmlformats.org/officeDocument/2006/relationships/ctrlProp" Target="../ctrlProps/ctrlProp59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9.bin"/><Relationship Id="rId6" Type="http://schemas.microsoft.com/office/2017/10/relationships/threadedComment" Target="../threadedComments/threadedComment65.xml"/><Relationship Id="rId5" Type="http://schemas.openxmlformats.org/officeDocument/2006/relationships/comments" Target="../comments66.xml"/><Relationship Id="rId4" Type="http://schemas.openxmlformats.org/officeDocument/2006/relationships/table" Target="../tables/table65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8.vml"/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70.bin"/><Relationship Id="rId6" Type="http://schemas.microsoft.com/office/2017/10/relationships/threadedComment" Target="../threadedComments/threadedComment66.xml"/><Relationship Id="rId5" Type="http://schemas.openxmlformats.org/officeDocument/2006/relationships/comments" Target="../comments67.xml"/><Relationship Id="rId4" Type="http://schemas.openxmlformats.org/officeDocument/2006/relationships/table" Target="../tables/table66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9.vml"/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1.bin"/><Relationship Id="rId6" Type="http://schemas.microsoft.com/office/2017/10/relationships/threadedComment" Target="../threadedComments/threadedComment67.xml"/><Relationship Id="rId5" Type="http://schemas.openxmlformats.org/officeDocument/2006/relationships/comments" Target="../comments68.xml"/><Relationship Id="rId4" Type="http://schemas.openxmlformats.org/officeDocument/2006/relationships/table" Target="../tables/table67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0.vml"/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2.bin"/><Relationship Id="rId6" Type="http://schemas.microsoft.com/office/2017/10/relationships/threadedComment" Target="../threadedComments/threadedComment68.xml"/><Relationship Id="rId5" Type="http://schemas.openxmlformats.org/officeDocument/2006/relationships/comments" Target="../comments69.xml"/><Relationship Id="rId4" Type="http://schemas.openxmlformats.org/officeDocument/2006/relationships/table" Target="../tables/table6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XFC37"/>
  <sheetViews>
    <sheetView topLeftCell="B1" zoomScale="55" zoomScaleNormal="55" workbookViewId="0">
      <selection activeCell="E8" sqref="E8"/>
    </sheetView>
  </sheetViews>
  <sheetFormatPr baseColWidth="10" defaultColWidth="0" defaultRowHeight="33" customHeight="1" x14ac:dyDescent="0.35"/>
  <cols>
    <col min="1" max="1" width="11.36328125" style="251" hidden="1"/>
    <col min="2" max="2" width="11.36328125" style="251" customWidth="1"/>
    <col min="3" max="3" width="43.26953125" style="251" customWidth="1"/>
    <col min="4" max="4" width="20.26953125" style="251" customWidth="1"/>
    <col min="5" max="5" width="21.36328125" style="251" customWidth="1"/>
    <col min="6" max="6" width="30.6328125" style="251" customWidth="1"/>
    <col min="7" max="7" width="25.6328125" style="251" customWidth="1"/>
    <col min="8" max="8" width="43.36328125" style="251" customWidth="1"/>
    <col min="9" max="9" width="4.26953125" style="251" customWidth="1"/>
    <col min="10" max="10" width="34.36328125" style="251" bestFit="1" customWidth="1"/>
    <col min="11" max="11" width="58.6328125" style="251" bestFit="1" customWidth="1"/>
    <col min="12" max="12" width="27" style="251" bestFit="1" customWidth="1"/>
    <col min="13" max="13" width="4.26953125" style="251" bestFit="1" customWidth="1"/>
    <col min="14" max="14" width="3.7265625" style="251" bestFit="1" customWidth="1"/>
    <col min="15" max="16383" width="11.36328125" style="251" hidden="1"/>
    <col min="16384" max="16384" width="11.6328125" style="251" hidden="1"/>
  </cols>
  <sheetData>
    <row r="1" spans="2:14" s="252" customFormat="1" ht="33" customHeight="1" x14ac:dyDescent="0.35">
      <c r="I1" s="253" t="str">
        <f>D5&amp;G5</f>
        <v>Estrato4al6BarEstandár</v>
      </c>
      <c r="M1" s="253">
        <v>8</v>
      </c>
    </row>
    <row r="2" spans="2:14" ht="33" customHeight="1" x14ac:dyDescent="0.35">
      <c r="C2" s="273" t="s">
        <v>667</v>
      </c>
      <c r="D2" s="274"/>
      <c r="E2" s="274"/>
      <c r="F2" s="274"/>
      <c r="G2" s="274"/>
      <c r="H2" s="274"/>
      <c r="I2" s="253"/>
      <c r="J2" s="253"/>
      <c r="K2" s="253"/>
      <c r="L2" s="253"/>
      <c r="M2" s="253">
        <v>5</v>
      </c>
      <c r="N2" s="253"/>
    </row>
    <row r="3" spans="2:14" ht="33" customHeight="1" thickBot="1" x14ac:dyDescent="0.4">
      <c r="C3" s="273"/>
      <c r="D3" s="274"/>
      <c r="E3" s="274"/>
      <c r="F3" s="274"/>
      <c r="G3" s="274"/>
      <c r="H3" s="274"/>
      <c r="I3" s="253" t="str">
        <f>D5&amp;G5</f>
        <v>Estrato4al6BarEstandár</v>
      </c>
      <c r="J3" s="253" t="str">
        <f>$D$5&amp;$G$5&amp;$L$4&amp;$L$3</f>
        <v>Estrato4al6BarEstandárJohnnie Walker Red o BlackMezcla 1</v>
      </c>
      <c r="K3" s="253"/>
      <c r="L3" s="253" t="s">
        <v>498</v>
      </c>
      <c r="M3" s="253">
        <v>3</v>
      </c>
      <c r="N3" s="253">
        <f>nFILAS-M3</f>
        <v>2</v>
      </c>
    </row>
    <row r="4" spans="2:14" ht="33" customHeight="1" thickTop="1" thickBot="1" x14ac:dyDescent="0.4">
      <c r="C4" s="254"/>
      <c r="D4" s="254"/>
      <c r="G4" s="254"/>
      <c r="I4" s="253"/>
      <c r="J4" s="275" t="s">
        <v>907</v>
      </c>
      <c r="K4" s="276"/>
      <c r="L4" s="253" t="s">
        <v>670</v>
      </c>
      <c r="M4" s="253"/>
      <c r="N4" s="253">
        <f>nFILAS-N3</f>
        <v>3</v>
      </c>
    </row>
    <row r="5" spans="2:14" ht="33" customHeight="1" thickTop="1" thickBot="1" x14ac:dyDescent="0.4">
      <c r="B5" s="254"/>
      <c r="C5" s="255" t="s">
        <v>374</v>
      </c>
      <c r="D5" s="266" t="s">
        <v>573</v>
      </c>
      <c r="F5" s="269" t="s">
        <v>473</v>
      </c>
      <c r="G5" s="266" t="s">
        <v>618</v>
      </c>
      <c r="I5" s="253"/>
      <c r="J5" s="255" t="s">
        <v>908</v>
      </c>
      <c r="K5" s="260" t="s">
        <v>909</v>
      </c>
      <c r="L5" s="253"/>
      <c r="M5" s="253">
        <v>2</v>
      </c>
      <c r="N5" s="253"/>
    </row>
    <row r="6" spans="2:14" ht="75" thickTop="1" thickBot="1" x14ac:dyDescent="0.5">
      <c r="C6" s="254"/>
      <c r="D6" s="254"/>
      <c r="F6" s="254"/>
      <c r="I6" s="253"/>
      <c r="J6" s="268" t="s">
        <v>107</v>
      </c>
      <c r="K6" s="267" t="str">
        <f>IFERROR(VLOOKUP(J6,ARBOL!AR6:AS29,2,FALSE),"")</f>
        <v>O simplemente tónica, es un refresco carbonatado saborizado con quinina. La bebida toma el nombre de los efectos médicos de este aromatizante amargo.</v>
      </c>
      <c r="L6" s="253"/>
      <c r="M6" s="253">
        <v>3</v>
      </c>
      <c r="N6" s="253"/>
    </row>
    <row r="7" spans="2:14" ht="33" customHeight="1" thickTop="1" thickBot="1" x14ac:dyDescent="0.4">
      <c r="B7" s="254"/>
      <c r="C7" s="261" t="s">
        <v>679</v>
      </c>
      <c r="D7" s="270" t="s">
        <v>860</v>
      </c>
      <c r="E7" s="271"/>
      <c r="F7" s="271"/>
      <c r="G7" s="272"/>
      <c r="H7" s="261" t="s">
        <v>614</v>
      </c>
      <c r="I7" s="262"/>
      <c r="J7" s="253"/>
      <c r="K7" s="253"/>
      <c r="L7" s="253"/>
      <c r="M7" s="253">
        <v>4</v>
      </c>
      <c r="N7" s="253"/>
    </row>
    <row r="8" spans="2:14" ht="33" customHeight="1" thickTop="1" thickBot="1" x14ac:dyDescent="0.4">
      <c r="C8" s="263" t="str">
        <f>IFERROR(IF(HLOOKUP($I$3,ARBOL!$P$2:$AI$25,M5,FALSE)=0," ",HLOOKUP($I$3,ARBOL!$P$2:$AI$25,M5,FALSE))," ")</f>
        <v>Johnnie Walker Red o Black</v>
      </c>
      <c r="D8" s="264" t="str">
        <f>IFERROR(IF(VLOOKUP($D$5&amp;$G$5&amp;$C8,ARBOL!$AK$7:$AO$171,$M$5,FALSE)=0,"",(VLOOKUP($D$5&amp;$G$5&amp;$C8,ARBOL!$AK$7:$AO$171,$M$5,FALSE))),"")</f>
        <v>Botella 1</v>
      </c>
      <c r="E8" s="264" t="str">
        <f>IFERROR(IF(VLOOKUP($D$5&amp;$G$5&amp;$C8,ARBOL!$AK$7:$AO$171,$M$6,FALSE)=0,"",(VLOOKUP($D$5&amp;$G$5&amp;$C8,ARBOL!$AK$7:$AO$171,$M$6,FALSE))),"")</f>
        <v>Mezcla 1</v>
      </c>
      <c r="F8" s="264" t="str">
        <f>IFERROR(IF(VLOOKUP($D$5&amp;$G$5&amp;$C8,ARBOL!$AK$7:$AO$171,$M$7,FALSE)=0,"",(VLOOKUP($D$5&amp;$G$5&amp;$C8,ARBOL!$AK$7:$AO$171,$M$7,FALSE))),"")</f>
        <v>Mezcla 13</v>
      </c>
      <c r="G8" s="264" t="str">
        <f>IFERROR(IF(VLOOKUP($D$5&amp;$G$5&amp;$C8,ARBOL!$AK$7:$AO$171,$M$8,FALSE)=0,"",(VLOOKUP($D$5&amp;$G$5&amp;$C8,ARBOL!$AK$7:$AO$171,$M$8,FALSE))),"")</f>
        <v/>
      </c>
      <c r="H8" s="256" t="str">
        <f>IFERROR(VLOOKUP(J3,ARBOL!D3:I328,6,FALSE),"")</f>
        <v>JOHNNIE RED &amp; LEMON</v>
      </c>
      <c r="I8" s="262"/>
      <c r="J8" s="253"/>
      <c r="K8" s="253"/>
      <c r="L8" s="253"/>
      <c r="M8" s="253">
        <v>5</v>
      </c>
      <c r="N8" s="253"/>
    </row>
    <row r="9" spans="2:14" ht="33" customHeight="1" thickTop="1" x14ac:dyDescent="0.35">
      <c r="B9" s="254"/>
      <c r="C9" s="263" t="str">
        <f>IFERROR(IF(HLOOKUP($I$3,ARBOL!$P$2:$AI$25,M6,FALSE)=0," ",HLOOKUP($I$3,ARBOL!$P$2:$AI$25,M6,FALSE))," ")</f>
        <v>Old Parr 12</v>
      </c>
      <c r="D9" s="264" t="str">
        <f>IFERROR(IF(VLOOKUP($D$5&amp;$G$5&amp;$C9,ARBOL!$AK$7:$AO$171,$M$5,FALSE)=0,"",(VLOOKUP($D$5&amp;$G$5&amp;$C9,ARBOL!$AK$7:$AO$171,$M$5,FALSE))),"")</f>
        <v>Botella 2</v>
      </c>
      <c r="E9" s="264" t="str">
        <f>IFERROR(IF(VLOOKUP($D$5&amp;$G$5&amp;$C9,ARBOL!$AK$7:$AO$171,$M$6,FALSE)=0,"",(VLOOKUP($D$5&amp;$G$5&amp;$C9,ARBOL!$AK$7:$AO$171,$M$6,FALSE))),"")</f>
        <v>Coctel 1</v>
      </c>
      <c r="F9" s="264" t="str">
        <f>IFERROR(IF(VLOOKUP($D$5&amp;$G$5&amp;$C9,ARBOL!$AK$7:$AO$171,$M$7,FALSE)=0,"",(VLOOKUP($D$5&amp;$G$5&amp;$C9,ARBOL!$AK$7:$AO$171,$M$7,FALSE))),"")</f>
        <v>Coctel 14</v>
      </c>
      <c r="G9" s="264" t="str">
        <f>IFERROR(IF(VLOOKUP($D$5&amp;$G$5&amp;$C9,ARBOL!$AK$7:$AO$171,$M$8,FALSE)=0,"",(VLOOKUP($D$5&amp;$G$5&amp;$C9,ARBOL!$AK$7:$AO$171,$M$8,FALSE))),"")</f>
        <v>Mezcla 2</v>
      </c>
      <c r="H9" s="265"/>
      <c r="I9" s="262"/>
      <c r="J9" s="253"/>
      <c r="K9" s="253"/>
      <c r="L9" s="253"/>
      <c r="M9" s="253">
        <v>6</v>
      </c>
      <c r="N9" s="253"/>
    </row>
    <row r="10" spans="2:14" ht="33" customHeight="1" x14ac:dyDescent="0.35">
      <c r="C10" s="263" t="str">
        <f>IFERROR(IF(HLOOKUP($I$3,ARBOL!$P$2:$AI$25,M7,FALSE)=0," ",HLOOKUP($I$3,ARBOL!$P$2:$AI$25,M7,FALSE))," ")</f>
        <v>Smirnoff</v>
      </c>
      <c r="D10" s="264" t="str">
        <f>IFERROR(IF(VLOOKUP($D$5&amp;$G$5&amp;$C10,ARBOL!$AK$7:$AO$171,$M$5,FALSE)=0,"",(VLOOKUP($D$5&amp;$G$5&amp;$C10,ARBOL!$AK$7:$AO$171,$M$5,FALSE))),"")</f>
        <v>Botella 3</v>
      </c>
      <c r="E10" s="264" t="str">
        <f>IFERROR(IF(VLOOKUP($D$5&amp;$G$5&amp;$C10,ARBOL!$AK$7:$AO$171,$M$6,FALSE)=0,"",(VLOOKUP($D$5&amp;$G$5&amp;$C10,ARBOL!$AK$7:$AO$171,$M$6,FALSE))),"")</f>
        <v>Coctel 2</v>
      </c>
      <c r="F10" s="264" t="str">
        <f>IFERROR(IF(VLOOKUP($D$5&amp;$G$5&amp;$C10,ARBOL!$AK$7:$AO$171,$M$7,FALSE)=0,"",(VLOOKUP($D$5&amp;$G$5&amp;$C10,ARBOL!$AK$7:$AO$171,$M$7,FALSE))),"")</f>
        <v/>
      </c>
      <c r="G10" s="264" t="str">
        <f>IFERROR(IF(VLOOKUP($D$5&amp;$G$5&amp;$C10,ARBOL!$AK$7:$AO$171,$M$8,FALSE)=0,"",(VLOOKUP($D$5&amp;$G$5&amp;$C10,ARBOL!$AK$7:$AO$171,$M$8,FALSE))),"")</f>
        <v/>
      </c>
      <c r="H10" s="265"/>
      <c r="I10" s="262"/>
      <c r="J10" s="253"/>
      <c r="K10" s="253"/>
      <c r="L10" s="253"/>
      <c r="M10" s="253">
        <v>7</v>
      </c>
      <c r="N10" s="253"/>
    </row>
    <row r="11" spans="2:14" ht="33" customHeight="1" x14ac:dyDescent="0.35">
      <c r="C11" s="263" t="str">
        <f>IFERROR(IF(HLOOKUP($I$3,ARBOL!$P$2:$AI$25,M8,FALSE)=0," ",HLOOKUP($I$3,ARBOL!$P$2:$AI$25,M8,FALSE))," ")</f>
        <v>Don Julio Reposado</v>
      </c>
      <c r="D11" s="264" t="str">
        <f>IFERROR(IF(VLOOKUP($D$5&amp;$G$5&amp;$C11,ARBOL!$AK$7:$AO$171,$M$5,FALSE)=0,"",(VLOOKUP($D$5&amp;$G$5&amp;$C11,ARBOL!$AK$7:$AO$171,$M$5,FALSE))),"")</f>
        <v>Coctel 3</v>
      </c>
      <c r="E11" s="264" t="str">
        <f>IFERROR(IF(VLOOKUP($D$5&amp;$G$5&amp;$C11,ARBOL!$AK$7:$AO$171,$M$6,FALSE)=0,"",(VLOOKUP($D$5&amp;$G$5&amp;$C11,ARBOL!$AK$7:$AO$171,$M$6,FALSE))),"")</f>
        <v/>
      </c>
      <c r="F11" s="264" t="str">
        <f>IFERROR(IF(VLOOKUP($D$5&amp;$G$5&amp;$C11,ARBOL!$AK$7:$AO$171,$M$7,FALSE)=0,"",(VLOOKUP($D$5&amp;$G$5&amp;$C11,ARBOL!$AK$7:$AO$171,$M$7,FALSE))),"")</f>
        <v/>
      </c>
      <c r="G11" s="264" t="str">
        <f>IFERROR(IF(VLOOKUP($D$5&amp;$G$5&amp;$C11,ARBOL!$AK$7:$AO$171,$M$8,FALSE)=0,"",(VLOOKUP($D$5&amp;$G$5&amp;$C11,ARBOL!$AK$7:$AO$171,$M$8,FALSE))),"")</f>
        <v/>
      </c>
      <c r="H11" s="265"/>
      <c r="I11" s="262"/>
      <c r="J11" s="253"/>
      <c r="K11" s="253"/>
      <c r="L11" s="253"/>
      <c r="M11" s="253">
        <v>8</v>
      </c>
      <c r="N11" s="253"/>
    </row>
    <row r="12" spans="2:14" ht="33" customHeight="1" x14ac:dyDescent="0.35">
      <c r="C12" s="263" t="str">
        <f>IFERROR(IF(HLOOKUP($I$3,ARBOL!$P$2:$AI$25,M9,FALSE)=0," ",HLOOKUP($I$3,ARBOL!$P$2:$AI$25,M9,FALSE))," ")</f>
        <v>Tanqueray Ten</v>
      </c>
      <c r="D12" s="264" t="str">
        <f>IFERROR(IF(VLOOKUP($D$5&amp;$G$5&amp;$C12,ARBOL!$AK$7:$AO$171,$M$5,FALSE)=0,"",(VLOOKUP($D$5&amp;$G$5&amp;$C12,ARBOL!$AK$7:$AO$171,$M$5,FALSE))),"")</f>
        <v>Coctel 4</v>
      </c>
      <c r="E12" s="264" t="str">
        <f>IFERROR(IF(VLOOKUP($D$5&amp;$G$5&amp;$C12,ARBOL!$AK$7:$AO$171,$M$6,FALSE)=0,"",(VLOOKUP($D$5&amp;$G$5&amp;$C12,ARBOL!$AK$7:$AO$171,$M$6,FALSE))),"")</f>
        <v>Mezcla 4</v>
      </c>
      <c r="F12" s="264" t="str">
        <f>IFERROR(IF(VLOOKUP($D$5&amp;$G$5&amp;$C12,ARBOL!$AK$7:$AO$171,$M$7,FALSE)=0,"",(VLOOKUP($D$5&amp;$G$5&amp;$C12,ARBOL!$AK$7:$AO$171,$M$7,FALSE))),"")</f>
        <v/>
      </c>
      <c r="G12" s="264" t="str">
        <f>IFERROR(IF(VLOOKUP($D$5&amp;$G$5&amp;$C12,ARBOL!$AK$7:$AO$171,$M$8,FALSE)=0,"",(VLOOKUP($D$5&amp;$G$5&amp;$C12,ARBOL!$AK$7:$AO$171,$M$8,FALSE))),"")</f>
        <v/>
      </c>
      <c r="H12" s="265"/>
      <c r="I12" s="262" t="str">
        <f>IFERROR(HLOOKUP($I$3,ARBOL!$P$2:$Q$10,M13,FALSE),"")</f>
        <v/>
      </c>
      <c r="J12" s="253"/>
      <c r="K12" s="253"/>
      <c r="L12" s="253"/>
      <c r="M12" s="253">
        <v>9</v>
      </c>
      <c r="N12" s="253"/>
    </row>
    <row r="13" spans="2:14" ht="33" customHeight="1" x14ac:dyDescent="0.35">
      <c r="C13" s="263" t="str">
        <f>IFERROR(IF(HLOOKUP($I$3,ARBOL!$P$2:$AI$25,M10,FALSE)=0," ",HLOOKUP($I$3,ARBOL!$P$2:$AI$25,M10,FALSE))," ")</f>
        <v>Buchanan's 18</v>
      </c>
      <c r="D13" s="264" t="str">
        <f>IFERROR(IF(VLOOKUP($D$5&amp;$G$5&amp;$C13,ARBOL!$AK$7:$AO$171,$M$5,FALSE)=0,"",(VLOOKUP($D$5&amp;$G$5&amp;$C13,ARBOL!$AK$7:$AO$171,$M$5,FALSE))),"")</f>
        <v>Coctel 5</v>
      </c>
      <c r="E13" s="264" t="str">
        <f>IFERROR(IF(VLOOKUP($D$5&amp;$G$5&amp;$C13,ARBOL!$AK$7:$AO$171,$M$6,FALSE)=0,"",(VLOOKUP($D$5&amp;$G$5&amp;$C13,ARBOL!$AK$7:$AO$171,$M$6,FALSE))),"")</f>
        <v>En las rocas 2</v>
      </c>
      <c r="F13" s="264" t="str">
        <f>IFERROR(IF(VLOOKUP($D$5&amp;$G$5&amp;$C13,ARBOL!$AK$7:$AO$171,$M$7,FALSE)=0,"",(VLOOKUP($D$5&amp;$G$5&amp;$C13,ARBOL!$AK$7:$AO$171,$M$7,FALSE))),"")</f>
        <v/>
      </c>
      <c r="G13" s="264" t="str">
        <f>IFERROR(IF(VLOOKUP($D$5&amp;$G$5&amp;$C13,ARBOL!$AK$7:$AO$171,$M$8,FALSE)=0,"",(VLOOKUP($D$5&amp;$G$5&amp;$C13,ARBOL!$AK$7:$AO$171,$M$8,FALSE))),"")</f>
        <v/>
      </c>
      <c r="H13" s="265"/>
      <c r="I13" s="262" t="str">
        <f>IFERROR(HLOOKUP($I$3,ARBOL!$P$2:$Q$10,M14,FALSE),"")</f>
        <v/>
      </c>
      <c r="J13" s="253"/>
      <c r="K13" s="253"/>
      <c r="L13" s="253"/>
      <c r="M13" s="253">
        <v>10</v>
      </c>
      <c r="N13" s="253"/>
    </row>
    <row r="14" spans="2:14" ht="33" customHeight="1" x14ac:dyDescent="0.35">
      <c r="C14" s="263" t="str">
        <f>IFERROR(IF(HLOOKUP($I$3,ARBOL!$P$2:$AI$25,M11,FALSE)=0," ",HLOOKUP($I$3,ARBOL!$P$2:$AI$25,M11,FALSE))," ")</f>
        <v>Don Julio Blanco</v>
      </c>
      <c r="D14" s="264" t="str">
        <f>IFERROR(IF(VLOOKUP($D$5&amp;$G$5&amp;$C14,ARBOL!$AK$7:$AO$171,$M$5,FALSE)=0,"",(VLOOKUP($D$5&amp;$G$5&amp;$C14,ARBOL!$AK$7:$AO$171,$M$5,FALSE))),"")</f>
        <v>Coctel 6</v>
      </c>
      <c r="E14" s="264" t="str">
        <f>IFERROR(IF(VLOOKUP($D$5&amp;$G$5&amp;$C14,ARBOL!$AK$7:$AO$171,$M$6,FALSE)=0,"",(VLOOKUP($D$5&amp;$G$5&amp;$C14,ARBOL!$AK$7:$AO$171,$M$6,FALSE))),"")</f>
        <v/>
      </c>
      <c r="F14" s="264" t="str">
        <f>IFERROR(IF(VLOOKUP($D$5&amp;$G$5&amp;$C14,ARBOL!$AK$7:$AO$171,$M$7,FALSE)=0,"",(VLOOKUP($D$5&amp;$G$5&amp;$C14,ARBOL!$AK$7:$AO$171,$M$7,FALSE))),"")</f>
        <v/>
      </c>
      <c r="G14" s="264" t="str">
        <f>IFERROR(IF(VLOOKUP($D$5&amp;$G$5&amp;$C14,ARBOL!$AK$7:$AO$171,$M$8,FALSE)=0,"",(VLOOKUP($D$5&amp;$G$5&amp;$C14,ARBOL!$AK$7:$AO$171,$M$8,FALSE))),"")</f>
        <v/>
      </c>
      <c r="H14" s="265"/>
      <c r="I14" s="262" t="str">
        <f>IFERROR(HLOOKUP($I$3,ARBOL!$P$2:$Q$10,M15,FALSE),"")</f>
        <v/>
      </c>
      <c r="J14" s="253"/>
      <c r="K14" s="253"/>
      <c r="L14" s="253"/>
      <c r="M14" s="253">
        <v>11</v>
      </c>
      <c r="N14" s="253"/>
    </row>
    <row r="15" spans="2:14" ht="33" customHeight="1" x14ac:dyDescent="0.35">
      <c r="C15" s="263" t="str">
        <f>IFERROR(IF(HLOOKUP($I$3,ARBOL!$P$2:$AI$25,M12,FALSE)=0," ",HLOOKUP($I$3,ARBOL!$P$2:$AI$25,M12,FALSE))," ")</f>
        <v>Tanqueray Rangpur</v>
      </c>
      <c r="D15" s="264" t="str">
        <f>IFERROR(IF(VLOOKUP($D$5&amp;$G$5&amp;$C15,ARBOL!$AK$7:$AO$171,$M$5,FALSE)=0,"",(VLOOKUP($D$5&amp;$G$5&amp;$C15,ARBOL!$AK$7:$AO$171,$M$5,FALSE))),"")</f>
        <v>Coctel 7</v>
      </c>
      <c r="E15" s="264" t="str">
        <f>IFERROR(IF(VLOOKUP($D$5&amp;$G$5&amp;$C15,ARBOL!$AK$7:$AO$171,$M$6,FALSE)=0,"",(VLOOKUP($D$5&amp;$G$5&amp;$C15,ARBOL!$AK$7:$AO$171,$M$6,FALSE))),"")</f>
        <v>Mezcla 5</v>
      </c>
      <c r="F15" s="264" t="str">
        <f>IFERROR(IF(VLOOKUP($D$5&amp;$G$5&amp;$C15,ARBOL!$AK$7:$AO$171,$M$7,FALSE)=0,"",(VLOOKUP($D$5&amp;$G$5&amp;$C15,ARBOL!$AK$7:$AO$171,$M$7,FALSE))),"")</f>
        <v/>
      </c>
      <c r="G15" s="264" t="str">
        <f>IFERROR(IF(VLOOKUP($D$5&amp;$G$5&amp;$C15,ARBOL!$AK$7:$AO$171,$M$8,FALSE)=0,"",(VLOOKUP($D$5&amp;$G$5&amp;$C15,ARBOL!$AK$7:$AO$171,$M$8,FALSE))),"")</f>
        <v/>
      </c>
      <c r="H15" s="265"/>
      <c r="I15" s="265" t="str">
        <f>IFERROR(HLOOKUP($I$3,ARBOL!$P$2:$Q$10,M16,FALSE),"")</f>
        <v/>
      </c>
      <c r="M15" s="253">
        <v>12</v>
      </c>
    </row>
    <row r="16" spans="2:14" ht="33" customHeight="1" x14ac:dyDescent="0.35">
      <c r="C16" s="263" t="str">
        <f>IFERROR(IF(HLOOKUP($I$3,ARBOL!$P$2:$AI$25,M13,FALSE)=0," ",HLOOKUP($I$3,ARBOL!$P$2:$AI$25,M13,FALSE))," ")</f>
        <v>Tanqueray London Dry</v>
      </c>
      <c r="D16" s="264" t="str">
        <f>IFERROR(IF(VLOOKUP($D$5&amp;$G$5&amp;$C16,ARBOL!$AK$7:$AO$171,$M$5,FALSE)=0,"",(VLOOKUP($D$5&amp;$G$5&amp;$C16,ARBOL!$AK$7:$AO$171,$M$5,FALSE))),"")</f>
        <v>Coctel 8</v>
      </c>
      <c r="E16" s="264" t="str">
        <f>IFERROR(IF(VLOOKUP($D$5&amp;$G$5&amp;$C16,ARBOL!$AK$7:$AO$171,$M$6,FALSE)=0,"",(VLOOKUP($D$5&amp;$G$5&amp;$C16,ARBOL!$AK$7:$AO$171,$M$6,FALSE))),"")</f>
        <v>Mezcla 6</v>
      </c>
      <c r="F16" s="264" t="str">
        <f>IFERROR(IF(VLOOKUP($D$5&amp;$G$5&amp;$C16,ARBOL!$AK$7:$AO$171,$M$7,FALSE)=0,"",(VLOOKUP($D$5&amp;$G$5&amp;$C16,ARBOL!$AK$7:$AO$171,$M$7,FALSE))),"")</f>
        <v/>
      </c>
      <c r="G16" s="264" t="str">
        <f>IFERROR(IF(VLOOKUP($D$5&amp;$G$5&amp;$C16,ARBOL!$AK$7:$AO$171,$M$8,FALSE)=0,"",(VLOOKUP($D$5&amp;$G$5&amp;$C16,ARBOL!$AK$7:$AO$171,$M$8,FALSE))),"")</f>
        <v/>
      </c>
      <c r="H16" s="265"/>
      <c r="I16" s="265"/>
      <c r="M16" s="253">
        <v>13</v>
      </c>
    </row>
    <row r="17" spans="3:13" ht="33" customHeight="1" x14ac:dyDescent="0.35">
      <c r="C17" s="263" t="str">
        <f>IFERROR(IF(HLOOKUP($I$3,ARBOL!$P$2:$AI$25,M14,FALSE)=0," ",HLOOKUP($I$3,ARBOL!$P$2:$AI$25,M14,FALSE))," ")</f>
        <v>Ketel One</v>
      </c>
      <c r="D17" s="264" t="str">
        <f>IFERROR(IF(VLOOKUP($D$5&amp;$G$5&amp;$C17,ARBOL!$AK$7:$AO$171,$M$5,FALSE)=0,"",(VLOOKUP($D$5&amp;$G$5&amp;$C17,ARBOL!$AK$7:$AO$171,$M$5,FALSE))),"")</f>
        <v>Coctel 9</v>
      </c>
      <c r="E17" s="264" t="str">
        <f>IFERROR(IF(VLOOKUP($D$5&amp;$G$5&amp;$C17,ARBOL!$AK$7:$AO$171,$M$6,FALSE)=0,"",(VLOOKUP($D$5&amp;$G$5&amp;$C17,ARBOL!$AK$7:$AO$171,$M$6,FALSE))),"")</f>
        <v/>
      </c>
      <c r="F17" s="264" t="str">
        <f>IFERROR(IF(VLOOKUP($D$5&amp;$G$5&amp;$C17,ARBOL!$AK$7:$AO$171,$M$7,FALSE)=0,"",(VLOOKUP($D$5&amp;$G$5&amp;$C17,ARBOL!$AK$7:$AO$171,$M$7,FALSE))),"")</f>
        <v/>
      </c>
      <c r="G17" s="264" t="str">
        <f>IFERROR(IF(VLOOKUP($D$5&amp;$G$5&amp;$C17,ARBOL!$AK$7:$AO$171,$M$8,FALSE)=0,"",(VLOOKUP($D$5&amp;$G$5&amp;$C17,ARBOL!$AK$7:$AO$171,$M$8,FALSE))),"")</f>
        <v/>
      </c>
      <c r="H17" s="265"/>
      <c r="I17" s="265"/>
      <c r="M17" s="253">
        <v>14</v>
      </c>
    </row>
    <row r="18" spans="3:13" ht="33" customHeight="1" x14ac:dyDescent="0.35">
      <c r="C18" s="263" t="str">
        <f>IFERROR(IF(HLOOKUP($I$3,ARBOL!$P$2:$AI$25,M15,FALSE)=0," ",HLOOKUP($I$3,ARBOL!$P$2:$AI$25,M15,FALSE))," ")</f>
        <v>Singleton 12</v>
      </c>
      <c r="D18" s="264" t="str">
        <f>IFERROR(IF(VLOOKUP($D$5&amp;$G$5&amp;$C18,ARBOL!$AK$7:$AO$171,$M$5,FALSE)=0,"",(VLOOKUP($D$5&amp;$G$5&amp;$C18,ARBOL!$AK$7:$AO$171,$M$5,FALSE))),"")</f>
        <v>Coctel 10</v>
      </c>
      <c r="E18" s="264" t="str">
        <f>IFERROR(IF(VLOOKUP($D$5&amp;$G$5&amp;$C18,ARBOL!$AK$7:$AO$171,$M$6,FALSE)=0,"",(VLOOKUP($D$5&amp;$G$5&amp;$C18,ARBOL!$AK$7:$AO$171,$M$6,FALSE))),"")</f>
        <v>Coctel 15</v>
      </c>
      <c r="F18" s="264" t="str">
        <f>IFERROR(IF(VLOOKUP($D$5&amp;$G$5&amp;$C18,ARBOL!$AK$7:$AO$171,$M$7,FALSE)=0,"",(VLOOKUP($D$5&amp;$G$5&amp;$C18,ARBOL!$AK$7:$AO$171,$M$7,FALSE))),"")</f>
        <v>On the rocks 1</v>
      </c>
      <c r="G18" s="264" t="str">
        <f>IFERROR(IF(VLOOKUP($D$5&amp;$G$5&amp;$C18,ARBOL!$AK$7:$AO$171,$M$8,FALSE)=0,"",(VLOOKUP($D$5&amp;$G$5&amp;$C18,ARBOL!$AK$7:$AO$171,$M$8,FALSE))),"")</f>
        <v/>
      </c>
      <c r="H18" s="265"/>
      <c r="I18" s="265"/>
      <c r="M18" s="253">
        <v>15</v>
      </c>
    </row>
    <row r="19" spans="3:13" ht="33" customHeight="1" x14ac:dyDescent="0.35">
      <c r="C19" s="263" t="str">
        <f>IFERROR(IF(HLOOKUP($I$3,ARBOL!$P$2:$AI$25,M16,FALSE)=0," ",HLOOKUP($I$3,ARBOL!$P$2:$AI$25,M16,FALSE))," ")</f>
        <v>Buchanan's 12</v>
      </c>
      <c r="D19" s="264" t="str">
        <f>IFERROR(IF(VLOOKUP($D$5&amp;$G$5&amp;$C19,ARBOL!$AK$7:$AO$171,$M$5,FALSE)=0,"",(VLOOKUP($D$5&amp;$G$5&amp;$C19,ARBOL!$AK$7:$AO$171,$M$5,FALSE))),"")</f>
        <v>Coctel 11</v>
      </c>
      <c r="E19" s="264" t="str">
        <f>IFERROR(IF(VLOOKUP($D$5&amp;$G$5&amp;$C19,ARBOL!$AK$7:$AO$171,$M$6,FALSE)=0,"",(VLOOKUP($D$5&amp;$G$5&amp;$C19,ARBOL!$AK$7:$AO$171,$M$6,FALSE))),"")</f>
        <v>En las rocas 3</v>
      </c>
      <c r="F19" s="264" t="str">
        <f>IFERROR(IF(VLOOKUP($D$5&amp;$G$5&amp;$C19,ARBOL!$AK$7:$AO$171,$M$7,FALSE)=0,"",(VLOOKUP($D$5&amp;$G$5&amp;$C19,ARBOL!$AK$7:$AO$171,$M$7,FALSE))),"")</f>
        <v>Mezcla 7</v>
      </c>
      <c r="G19" s="264" t="str">
        <f>IFERROR(IF(VLOOKUP($D$5&amp;$G$5&amp;$C19,ARBOL!$AK$7:$AO$171,$M$8,FALSE)=0,"",(VLOOKUP($D$5&amp;$G$5&amp;$C19,ARBOL!$AK$7:$AO$171,$M$8,FALSE))),"")</f>
        <v/>
      </c>
      <c r="H19" s="265"/>
      <c r="I19" s="265"/>
      <c r="M19" s="253">
        <v>16</v>
      </c>
    </row>
    <row r="20" spans="3:13" ht="33" customHeight="1" x14ac:dyDescent="0.35">
      <c r="C20" s="263" t="str">
        <f>IFERROR(IF(HLOOKUP($I$3,ARBOL!$P$2:$AI$25,M17,FALSE)=0," ",HLOOKUP($I$3,ARBOL!$P$2:$AI$25,M17,FALSE))," ")</f>
        <v>Johnnie Walker Black Label</v>
      </c>
      <c r="D20" s="264" t="str">
        <f>IFERROR(IF(VLOOKUP($D$5&amp;$G$5&amp;$C20,ARBOL!$AK$7:$AO$171,$M$5,FALSE)=0,"",(VLOOKUP($D$5&amp;$G$5&amp;$C20,ARBOL!$AK$7:$AO$171,$M$5,FALSE))),"")</f>
        <v>Coctel 12</v>
      </c>
      <c r="E20" s="264" t="str">
        <f>IFERROR(IF(VLOOKUP($D$5&amp;$G$5&amp;$C20,ARBOL!$AK$7:$AO$171,$M$6,FALSE)=0,"",(VLOOKUP($D$5&amp;$G$5&amp;$C20,ARBOL!$AK$7:$AO$171,$M$6,FALSE))),"")</f>
        <v>Mezcla 10</v>
      </c>
      <c r="F20" s="264" t="str">
        <f>IFERROR(IF(VLOOKUP($D$5&amp;$G$5&amp;$C20,ARBOL!$AK$7:$AO$171,$M$7,FALSE)=0,"",(VLOOKUP($D$5&amp;$G$5&amp;$C20,ARBOL!$AK$7:$AO$171,$M$7,FALSE))),"")</f>
        <v>Mezcla 14</v>
      </c>
      <c r="G20" s="264" t="str">
        <f>IFERROR(IF(VLOOKUP($D$5&amp;$G$5&amp;$C20,ARBOL!$AK$7:$AO$171,$M$8,FALSE)=0,"",(VLOOKUP($D$5&amp;$G$5&amp;$C20,ARBOL!$AK$7:$AO$171,$M$8,FALSE))),"")</f>
        <v/>
      </c>
      <c r="H20" s="265"/>
      <c r="I20" s="265"/>
      <c r="M20" s="253">
        <v>17</v>
      </c>
    </row>
    <row r="21" spans="3:13" ht="33" customHeight="1" x14ac:dyDescent="0.35">
      <c r="C21" s="263" t="str">
        <f>IFERROR(IF(HLOOKUP($I$3,ARBOL!$P$2:$AI$25,M18,FALSE)=0," ",HLOOKUP($I$3,ARBOL!$P$2:$AI$25,M18,FALSE))," ")</f>
        <v>Haig Club</v>
      </c>
      <c r="D21" s="264" t="str">
        <f>IFERROR(IF(VLOOKUP($D$5&amp;$G$5&amp;$C21,ARBOL!$AK$7:$AO$171,$M$5,FALSE)=0,"",(VLOOKUP($D$5&amp;$G$5&amp;$C21,ARBOL!$AK$7:$AO$171,$M$5,FALSE))),"")</f>
        <v>Coctel 13</v>
      </c>
      <c r="E21" s="264" t="str">
        <f>IFERROR(IF(VLOOKUP($D$5&amp;$G$5&amp;$C21,ARBOL!$AK$7:$AO$171,$M$6,FALSE)=0,"",(VLOOKUP($D$5&amp;$G$5&amp;$C21,ARBOL!$AK$7:$AO$171,$M$6,FALSE))),"")</f>
        <v>Mezcla 11</v>
      </c>
      <c r="F21" s="264" t="str">
        <f>IFERROR(IF(VLOOKUP($D$5&amp;$G$5&amp;$C21,ARBOL!$AK$7:$AO$171,$M$7,FALSE)=0,"",(VLOOKUP($D$5&amp;$G$5&amp;$C21,ARBOL!$AK$7:$AO$171,$M$7,FALSE))),"")</f>
        <v/>
      </c>
      <c r="G21" s="264" t="str">
        <f>IFERROR(IF(VLOOKUP($D$5&amp;$G$5&amp;$C21,ARBOL!$AK$7:$AO$171,$M$8,FALSE)=0,"",(VLOOKUP($D$5&amp;$G$5&amp;$C21,ARBOL!$AK$7:$AO$171,$M$8,FALSE))),"")</f>
        <v/>
      </c>
      <c r="H21" s="265"/>
      <c r="I21" s="265"/>
      <c r="M21" s="253">
        <v>18</v>
      </c>
    </row>
    <row r="22" spans="3:13" ht="33" customHeight="1" x14ac:dyDescent="0.35">
      <c r="C22" s="263" t="str">
        <f>IFERROR(IF(HLOOKUP($I$3,ARBOL!$P$2:$AI$25,M19,FALSE)=0," ",HLOOKUP($I$3,ARBOL!$P$2:$AI$25,M19,FALSE))," ")</f>
        <v>Smirnoff X1</v>
      </c>
      <c r="D22" s="264" t="str">
        <f>IFERROR(IF(VLOOKUP($D$5&amp;$G$5&amp;$C22,ARBOL!$AK$7:$AO$171,$M$5,FALSE)=0,"",(VLOOKUP($D$5&amp;$G$5&amp;$C22,ARBOL!$AK$7:$AO$171,$M$5,FALSE))),"")</f>
        <v>Shot</v>
      </c>
      <c r="E22" s="264" t="str">
        <f>IFERROR(IF(VLOOKUP($D$5&amp;$G$5&amp;$C22,ARBOL!$AK$7:$AO$171,$M$6,FALSE)=0,"",(VLOOKUP($D$5&amp;$G$5&amp;$C22,ARBOL!$AK$7:$AO$171,$M$6,FALSE))),"")</f>
        <v>Botella 4</v>
      </c>
      <c r="F22" s="264" t="str">
        <f>IFERROR(IF(VLOOKUP($D$5&amp;$G$5&amp;$C22,ARBOL!$AK$7:$AO$171,$M$7,FALSE)=0,"",(VLOOKUP($D$5&amp;$G$5&amp;$C22,ARBOL!$AK$7:$AO$171,$M$7,FALSE))),"")</f>
        <v>Media Botella</v>
      </c>
      <c r="G22" s="264" t="str">
        <f>IFERROR(IF(VLOOKUP($D$5&amp;$G$5&amp;$C22,ARBOL!$AK$7:$AO$171,$M$8,FALSE)=0,"",(VLOOKUP($D$5&amp;$G$5&amp;$C22,ARBOL!$AK$7:$AO$171,$M$8,FALSE))),"")</f>
        <v/>
      </c>
      <c r="H22" s="265"/>
      <c r="I22" s="265"/>
      <c r="M22" s="253">
        <v>19</v>
      </c>
    </row>
    <row r="23" spans="3:13" ht="33" customHeight="1" x14ac:dyDescent="0.35">
      <c r="C23" s="263" t="str">
        <f>IFERROR(IF(HLOOKUP($I$3,ARBOL!$P$2:$AI$25,M20,FALSE)=0," ",HLOOKUP($I$3,ARBOL!$P$2:$AI$25,M20,FALSE))," ")</f>
        <v>Buchanan's Master</v>
      </c>
      <c r="D23" s="264" t="str">
        <f>IFERROR(IF(VLOOKUP($D$5&amp;$G$5&amp;$C23,ARBOL!$AK$7:$AO$171,$M$5,FALSE)=0,"",(VLOOKUP($D$5&amp;$G$5&amp;$C23,ARBOL!$AK$7:$AO$171,$M$5,FALSE))),"")</f>
        <v>En las rocas 4</v>
      </c>
      <c r="E23" s="264" t="str">
        <f>IFERROR(IF(VLOOKUP($D$5&amp;$G$5&amp;$C23,ARBOL!$AK$7:$AO$171,$M$6,FALSE)=0,"",(VLOOKUP($D$5&amp;$G$5&amp;$C23,ARBOL!$AK$7:$AO$171,$M$6,FALSE))),"")</f>
        <v>Mezcla 12</v>
      </c>
      <c r="F23" s="264" t="str">
        <f>IFERROR(IF(VLOOKUP($D$5&amp;$G$5&amp;$C23,ARBOL!$AK$7:$AO$171,$M$7,FALSE)=0,"",(VLOOKUP($D$5&amp;$G$5&amp;$C23,ARBOL!$AK$7:$AO$171,$M$7,FALSE))),"")</f>
        <v/>
      </c>
      <c r="G23" s="264" t="str">
        <f>IFERROR(IF(VLOOKUP($D$5&amp;$G$5&amp;$C23,ARBOL!$AK$7:$AO$171,$M$8,FALSE)=0,"",(VLOOKUP($D$5&amp;$G$5&amp;$C23,ARBOL!$AK$7:$AO$171,$M$8,FALSE))),"")</f>
        <v/>
      </c>
      <c r="H23" s="265"/>
      <c r="I23" s="265"/>
      <c r="M23" s="253">
        <v>20</v>
      </c>
    </row>
    <row r="24" spans="3:13" ht="33" customHeight="1" x14ac:dyDescent="0.35">
      <c r="C24" s="263" t="str">
        <f>IFERROR(IF(HLOOKUP($I$3,ARBOL!$P$2:$AI$25,M21,FALSE)=0," ",HLOOKUP($I$3,ARBOL!$P$2:$AI$25,M21,FALSE))," ")</f>
        <v>Johnnie Walker Double Black</v>
      </c>
      <c r="D24" s="264" t="str">
        <f>IFERROR(IF(VLOOKUP($D$5&amp;$G$5&amp;$C24,ARBOL!$AK$7:$AO$171,$M$5,FALSE)=0,"",(VLOOKUP($D$5&amp;$G$5&amp;$C24,ARBOL!$AK$7:$AO$171,$M$5,FALSE))),"")</f>
        <v>En las rocas 5</v>
      </c>
      <c r="E24" s="264" t="str">
        <f>IFERROR(IF(VLOOKUP($D$5&amp;$G$5&amp;$C24,ARBOL!$AK$7:$AO$171,$M$6,FALSE)=0,"",(VLOOKUP($D$5&amp;$G$5&amp;$C24,ARBOL!$AK$7:$AO$171,$M$6,FALSE))),"")</f>
        <v/>
      </c>
      <c r="F24" s="264" t="str">
        <f>IFERROR(IF(VLOOKUP($D$5&amp;$G$5&amp;$C24,ARBOL!$AK$7:$AO$171,$M$7,FALSE)=0,"",(VLOOKUP($D$5&amp;$G$5&amp;$C24,ARBOL!$AK$7:$AO$171,$M$7,FALSE))),"")</f>
        <v/>
      </c>
      <c r="G24" s="264" t="str">
        <f>IFERROR(IF(VLOOKUP($D$5&amp;$G$5&amp;$C24,ARBOL!$AK$7:$AO$171,$M$8,FALSE)=0,"",(VLOOKUP($D$5&amp;$G$5&amp;$C24,ARBOL!$AK$7:$AO$171,$M$8,FALSE))),"")</f>
        <v/>
      </c>
      <c r="H24" s="265"/>
      <c r="I24" s="265"/>
      <c r="M24" s="253">
        <v>21</v>
      </c>
    </row>
    <row r="25" spans="3:13" ht="33" customHeight="1" x14ac:dyDescent="0.35">
      <c r="C25" s="263" t="str">
        <f>IFERROR(IF(HLOOKUP($I$3,ARBOL!$P$2:$AI$25,M22,FALSE)=0," ",HLOOKUP($I$3,ARBOL!$P$2:$AI$25,M22,FALSE))," ")</f>
        <v>Smirnoff Lata</v>
      </c>
      <c r="D25" s="264" t="str">
        <f>IFERROR(IF(VLOOKUP($D$5&amp;$G$5&amp;$C25,ARBOL!$AK$7:$AO$171,$M$5,FALSE)=0,"",(VLOOKUP($D$5&amp;$G$5&amp;$C25,ARBOL!$AK$7:$AO$171,$M$5,FALSE))),"")</f>
        <v>Lata</v>
      </c>
      <c r="E25" s="264" t="str">
        <f>IFERROR(IF(VLOOKUP($D$5&amp;$G$5&amp;$C25,ARBOL!$AK$7:$AO$171,$M$6,FALSE)=0,"",(VLOOKUP($D$5&amp;$G$5&amp;$C25,ARBOL!$AK$7:$AO$171,$M$6,FALSE))),"")</f>
        <v/>
      </c>
      <c r="F25" s="264" t="str">
        <f>IFERROR(IF(VLOOKUP($D$5&amp;$G$5&amp;$C25,ARBOL!$AK$7:$AO$171,$M$7,FALSE)=0,"",(VLOOKUP($D$5&amp;$G$5&amp;$C25,ARBOL!$AK$7:$AO$171,$M$7,FALSE))),"")</f>
        <v/>
      </c>
      <c r="G25" s="264" t="str">
        <f>IFERROR(IF(VLOOKUP($D$5&amp;$G$5&amp;$C25,ARBOL!$AK$7:$AO$171,$M$8,FALSE)=0,"",(VLOOKUP($D$5&amp;$G$5&amp;$C25,ARBOL!$AK$7:$AO$171,$M$8,FALSE))),"")</f>
        <v/>
      </c>
      <c r="H25" s="265"/>
      <c r="I25" s="265"/>
      <c r="M25" s="253">
        <v>22</v>
      </c>
    </row>
    <row r="26" spans="3:13" ht="33" customHeight="1" x14ac:dyDescent="0.35">
      <c r="C26" s="263" t="str">
        <f>IFERROR(IF(HLOOKUP($I$3,ARBOL!$P$2:$AI$25,M23,FALSE)=0," ",HLOOKUP($I$3,ARBOL!$P$2:$AI$25,M23,FALSE))," ")</f>
        <v>Gordon's</v>
      </c>
      <c r="D26" s="264" t="str">
        <f>IFERROR(IF(VLOOKUP($D$5&amp;$G$5&amp;$C26,ARBOL!$AK$7:$AO$171,$M$5,FALSE)=0,"",(VLOOKUP($D$5&amp;$G$5&amp;$C26,ARBOL!$AK$7:$AO$171,$M$5,FALSE))),"")</f>
        <v>Mezcla 3</v>
      </c>
      <c r="E26" s="264" t="str">
        <f>IFERROR(IF(VLOOKUP($D$5&amp;$G$5&amp;$C26,ARBOL!$AK$7:$AO$171,$M$6,FALSE)=0,"",(VLOOKUP($D$5&amp;$G$5&amp;$C26,ARBOL!$AK$7:$AO$171,$M$6,FALSE))),"")</f>
        <v/>
      </c>
      <c r="F26" s="264" t="str">
        <f>IFERROR(IF(VLOOKUP($D$5&amp;$G$5&amp;$C26,ARBOL!$AK$7:$AO$171,$M$7,FALSE)=0,"",(VLOOKUP($D$5&amp;$G$5&amp;$C26,ARBOL!$AK$7:$AO$171,$M$7,FALSE))),"")</f>
        <v/>
      </c>
      <c r="G26" s="264" t="str">
        <f>IFERROR(IF(VLOOKUP($D$5&amp;$G$5&amp;$C26,ARBOL!$AK$7:$AO$171,$M$8,FALSE)=0,"",(VLOOKUP($D$5&amp;$G$5&amp;$C26,ARBOL!$AK$7:$AO$171,$M$8,FALSE))),"")</f>
        <v/>
      </c>
      <c r="H26" s="265"/>
      <c r="I26" s="265"/>
      <c r="M26" s="253">
        <v>23</v>
      </c>
    </row>
    <row r="27" spans="3:13" ht="33" customHeight="1" x14ac:dyDescent="0.35">
      <c r="C27" s="263" t="str">
        <f>IFERROR(IF(HLOOKUP($I$3,ARBOL!$P$2:$AI$25,M24,FALSE)=0," ",HLOOKUP($I$3,ARBOL!$P$2:$AI$25,M24,FALSE))," ")</f>
        <v>Gordon's Cucumber</v>
      </c>
      <c r="D27" s="264" t="str">
        <f>IFERROR(IF(VLOOKUP($D$5&amp;$G$5&amp;$C27,ARBOL!$AK$7:$AO$171,$M$5,FALSE)=0,"",(VLOOKUP($D$5&amp;$G$5&amp;$C27,ARBOL!$AK$7:$AO$171,$M$5,FALSE))),"")</f>
        <v>Mezcla 8</v>
      </c>
      <c r="E27" s="264" t="str">
        <f>IFERROR(IF(VLOOKUP($D$5&amp;$G$5&amp;$C27,ARBOL!$AK$7:$AO$171,$M$6,FALSE)=0,"",(VLOOKUP($D$5&amp;$G$5&amp;$C27,ARBOL!$AK$7:$AO$171,$M$6,FALSE))),"")</f>
        <v/>
      </c>
      <c r="F27" s="264" t="str">
        <f>IFERROR(IF(VLOOKUP($D$5&amp;$G$5&amp;$C27,ARBOL!$AK$7:$AO$171,$M$7,FALSE)=0,"",(VLOOKUP($D$5&amp;$G$5&amp;$C27,ARBOL!$AK$7:$AO$171,$M$7,FALSE))),"")</f>
        <v/>
      </c>
      <c r="G27" s="264" t="str">
        <f>IFERROR(IF(VLOOKUP($D$5&amp;$G$5&amp;$C27,ARBOL!$AK$7:$AO$171,$M$8,FALSE)=0,"",(VLOOKUP($D$5&amp;$G$5&amp;$C27,ARBOL!$AK$7:$AO$171,$M$8,FALSE))),"")</f>
        <v/>
      </c>
      <c r="H27" s="265"/>
      <c r="I27" s="265"/>
    </row>
    <row r="28" spans="3:13" ht="33" customHeight="1" x14ac:dyDescent="0.35">
      <c r="C28" s="263" t="str">
        <f>IFERROR(IF(HLOOKUP($I$3,ARBOL!$P$2:$AI$25,M25,FALSE)=0," ",HLOOKUP($I$3,ARBOL!$P$2:$AI$25,M25,FALSE))," ")</f>
        <v>Gordon's Pink</v>
      </c>
      <c r="D28" s="264" t="str">
        <f>IFERROR(IF(VLOOKUP($D$5&amp;$G$5&amp;$C28,ARBOL!$AK$7:$AO$171,$M$5,FALSE)=0,"",(VLOOKUP($D$5&amp;$G$5&amp;$C28,ARBOL!$AK$7:$AO$171,$M$5,FALSE))),"")</f>
        <v>Mezcla 9</v>
      </c>
      <c r="E28" s="264" t="str">
        <f>IFERROR(IF(VLOOKUP($D$5&amp;$G$5&amp;$C28,ARBOL!$AK$7:$AO$171,$M$6,FALSE)=0,"",(VLOOKUP($D$5&amp;$G$5&amp;$C28,ARBOL!$AK$7:$AO$171,$M$6,FALSE))),"")</f>
        <v/>
      </c>
      <c r="F28" s="264" t="str">
        <f>IFERROR(IF(VLOOKUP($D$5&amp;$G$5&amp;$C28,ARBOL!$AK$7:$AO$171,$M$7,FALSE)=0,"",(VLOOKUP($D$5&amp;$G$5&amp;$C28,ARBOL!$AK$7:$AO$171,$M$7,FALSE))),"")</f>
        <v/>
      </c>
      <c r="G28" s="264" t="str">
        <f>IFERROR(IF(VLOOKUP($D$5&amp;$G$5&amp;$C28,ARBOL!$AK$7:$AO$171,$M$8,FALSE)=0,"",(VLOOKUP($D$5&amp;$G$5&amp;$C28,ARBOL!$AK$7:$AO$171,$M$8,FALSE))),"")</f>
        <v/>
      </c>
      <c r="H28" s="265"/>
      <c r="I28" s="265"/>
    </row>
    <row r="29" spans="3:13" ht="33" customHeight="1" x14ac:dyDescent="0.35">
      <c r="C29" s="263" t="str">
        <f>IFERROR(IF(HLOOKUP($I$3,ARBOL!$P$2:$AI$25,M26,FALSE)=0," ",HLOOKUP($I$3,ARBOL!$P$2:$AI$25,M26,FALSE))," ")</f>
        <v>Singleton Tailfire</v>
      </c>
      <c r="D29" s="264" t="str">
        <f>IFERROR(IF(VLOOKUP($D$5&amp;$G$5&amp;$C29,ARBOL!$AK$7:$AO$171,$M$5,FALSE)=0,"",(VLOOKUP($D$5&amp;$G$5&amp;$C29,ARBOL!$AK$7:$AO$171,$M$5,FALSE))),"")</f>
        <v>On the rocks 2</v>
      </c>
      <c r="E29" s="264" t="str">
        <f>IFERROR(IF(VLOOKUP($D$5&amp;$G$5&amp;$C29,ARBOL!$AK$7:$AO$171,$M$6,FALSE)=0,"",(VLOOKUP($D$5&amp;$G$5&amp;$C29,ARBOL!$AK$7:$AO$171,$M$6,FALSE))),"")</f>
        <v/>
      </c>
      <c r="F29" s="264" t="str">
        <f>IFERROR(IF(VLOOKUP($D$5&amp;$G$5&amp;$C29,ARBOL!$AK$7:$AO$171,$M$7,FALSE)=0,"",(VLOOKUP($D$5&amp;$G$5&amp;$C29,ARBOL!$AK$7:$AO$171,$M$7,FALSE))),"")</f>
        <v/>
      </c>
      <c r="G29" s="264" t="str">
        <f>IFERROR(IF(VLOOKUP($D$5&amp;$G$5&amp;$C29,ARBOL!$AK$7:$AO$171,$M$8,FALSE)=0,"",(VLOOKUP($D$5&amp;$G$5&amp;$C29,ARBOL!$AK$7:$AO$171,$M$8,FALSE))),"")</f>
        <v/>
      </c>
      <c r="H29" s="265"/>
      <c r="I29" s="265"/>
    </row>
    <row r="30" spans="3:13" ht="33" customHeight="1" x14ac:dyDescent="0.35">
      <c r="C30" s="263" t="str">
        <f>IFERROR(IF(HLOOKUP($I$3,ARBOL!$P$2:$AI$25,M27,FALSE)=0," ",HLOOKUP($I$3,ARBOL!$P$2:$AI$25,M27,FALSE))," ")</f>
        <v xml:space="preserve"> </v>
      </c>
      <c r="D30" s="264" t="str">
        <f>IFERROR(IF(VLOOKUP($D$5&amp;$G$5&amp;$C30,ARBOL!$AK$7:$AO$171,$M$5,FALSE)=0,"",(VLOOKUP($D$5&amp;$G$5&amp;$C30,ARBOL!$AK$7:$AO$171,$M$5,FALSE))),"")</f>
        <v/>
      </c>
      <c r="E30" s="264" t="str">
        <f>IFERROR(IF(VLOOKUP($D$5&amp;$G$5&amp;$C30,ARBOL!$AK$7:$AO$171,$M$6,FALSE)=0,"",(VLOOKUP($D$5&amp;$G$5&amp;$C30,ARBOL!$AK$7:$AO$171,$M$6,FALSE))),"")</f>
        <v/>
      </c>
      <c r="F30" s="264" t="str">
        <f>IFERROR(IF(VLOOKUP($D$5&amp;$G$5&amp;$C30,ARBOL!$AK$7:$AO$171,$M$7,FALSE)=0,"",(VLOOKUP($D$5&amp;$G$5&amp;$C30,ARBOL!$AK$7:$AO$171,$M$7,FALSE))),"")</f>
        <v/>
      </c>
      <c r="G30" s="264" t="str">
        <f>IFERROR(IF(VLOOKUP($D$5&amp;$G$5&amp;$C30,ARBOL!$AK$7:$AO$171,$M$8,FALSE)=0,"",(VLOOKUP($D$5&amp;$G$5&amp;$C30,ARBOL!$AK$7:$AO$171,$M$8,FALSE))),"")</f>
        <v/>
      </c>
      <c r="H30" s="265"/>
      <c r="I30" s="265"/>
    </row>
    <row r="31" spans="3:13" ht="33" customHeight="1" x14ac:dyDescent="0.35">
      <c r="C31" s="263" t="str">
        <f>IFERROR(IF(HLOOKUP($I$3,ARBOL!$P$2:$AI$25,M28,FALSE)=0," ",HLOOKUP($I$3,ARBOL!$P$2:$AI$25,M28,FALSE))," ")</f>
        <v xml:space="preserve"> </v>
      </c>
      <c r="D31" s="264" t="str">
        <f>IFERROR(IF(VLOOKUP($D$5&amp;$G$5&amp;$C31,ARBOL!$AK$7:$AO$171,$M$5,FALSE)=0,"",(VLOOKUP($D$5&amp;$G$5&amp;$C31,ARBOL!$AK$7:$AO$171,$M$5,FALSE))),"")</f>
        <v/>
      </c>
      <c r="E31" s="264" t="str">
        <f>IFERROR(IF(VLOOKUP($D$5&amp;$G$5&amp;$C31,ARBOL!$AK$7:$AO$171,$M$6,FALSE)=0,"",(VLOOKUP($D$5&amp;$G$5&amp;$C31,ARBOL!$AK$7:$AO$171,$M$6,FALSE))),"")</f>
        <v/>
      </c>
      <c r="F31" s="264" t="str">
        <f>IFERROR(IF(VLOOKUP($D$5&amp;$G$5&amp;$C31,ARBOL!$AK$7:$AO$171,$M$7,FALSE)=0,"",(VLOOKUP($D$5&amp;$G$5&amp;$C31,ARBOL!$AK$7:$AO$171,$M$7,FALSE))),"")</f>
        <v/>
      </c>
      <c r="G31" s="264" t="str">
        <f>IFERROR(IF(VLOOKUP($D$5&amp;$G$5&amp;$C31,ARBOL!$AK$7:$AO$171,$M$8,FALSE)=0,"",(VLOOKUP($D$5&amp;$G$5&amp;$C31,ARBOL!$AK$7:$AO$171,$M$8,FALSE))),"")</f>
        <v/>
      </c>
      <c r="H31" s="265"/>
      <c r="I31" s="265"/>
    </row>
    <row r="32" spans="3:13" ht="33" customHeight="1" x14ac:dyDescent="0.35">
      <c r="C32" s="263" t="str">
        <f>IFERROR(IF(HLOOKUP($I$3,ARBOL!$P$2:$AI$25,M29,FALSE)=0," ",HLOOKUP($I$3,ARBOL!$P$2:$AI$25,M29,FALSE))," ")</f>
        <v xml:space="preserve"> </v>
      </c>
      <c r="D32" s="264" t="str">
        <f>IFERROR(IF(VLOOKUP($D$5&amp;$G$5&amp;$C32,ARBOL!$AK$7:$AO$171,$M$5,FALSE)=0,"",(VLOOKUP($D$5&amp;$G$5&amp;$C32,ARBOL!$AK$7:$AO$171,$M$5,FALSE))),"")</f>
        <v/>
      </c>
      <c r="E32" s="264" t="str">
        <f>IFERROR(IF(VLOOKUP($D$5&amp;$G$5&amp;$C32,ARBOL!$AK$7:$AO$171,$M$6,FALSE)=0,"",(VLOOKUP($D$5&amp;$G$5&amp;$C32,ARBOL!$AK$7:$AO$171,$M$6,FALSE))),"")</f>
        <v/>
      </c>
      <c r="F32" s="264" t="str">
        <f>IFERROR(IF(VLOOKUP($D$5&amp;$G$5&amp;$C32,ARBOL!$AK$7:$AO$171,$M$7,FALSE)=0,"",(VLOOKUP($D$5&amp;$G$5&amp;$C32,ARBOL!$AK$7:$AO$171,$M$7,FALSE))),"")</f>
        <v/>
      </c>
      <c r="G32" s="264" t="str">
        <f>IFERROR(IF(VLOOKUP($D$5&amp;$G$5&amp;$C32,ARBOL!$AK$7:$AO$171,$M$8,FALSE)=0,"",(VLOOKUP($D$5&amp;$G$5&amp;$C32,ARBOL!$AK$7:$AO$171,$M$8,FALSE))),"")</f>
        <v/>
      </c>
      <c r="H32" s="265"/>
      <c r="I32" s="265"/>
    </row>
    <row r="33" spans="3:9" ht="33" customHeight="1" x14ac:dyDescent="0.35">
      <c r="C33" s="263" t="str">
        <f>IFERROR(IF(HLOOKUP($I$3,ARBOL!$P$2:$AI$25,M30,FALSE)=0," ",HLOOKUP($I$3,ARBOL!$P$2:$AI$25,M30,FALSE))," ")</f>
        <v xml:space="preserve"> </v>
      </c>
      <c r="D33" s="264" t="str">
        <f>IFERROR(IF(VLOOKUP($D$5&amp;$G$5&amp;$C33,ARBOL!$AK$7:$AO$171,$M$5,FALSE)=0,"",(VLOOKUP($D$5&amp;$G$5&amp;$C33,ARBOL!$AK$7:$AO$171,$M$5,FALSE))),"")</f>
        <v/>
      </c>
      <c r="E33" s="264" t="str">
        <f>IFERROR(IF(VLOOKUP($D$5&amp;$G$5&amp;$C33,ARBOL!$AK$7:$AO$171,$M$6,FALSE)=0,"",(VLOOKUP($D$5&amp;$G$5&amp;$C33,ARBOL!$AK$7:$AO$171,$M$6,FALSE))),"")</f>
        <v/>
      </c>
      <c r="F33" s="264" t="str">
        <f>IFERROR(IF(VLOOKUP($D$5&amp;$G$5&amp;$C33,ARBOL!$AK$7:$AO$171,$M$7,FALSE)=0,"",(VLOOKUP($D$5&amp;$G$5&amp;$C33,ARBOL!$AK$7:$AO$171,$M$7,FALSE))),"")</f>
        <v/>
      </c>
      <c r="G33" s="264" t="str">
        <f>IFERROR(IF(VLOOKUP($D$5&amp;$G$5&amp;$C33,ARBOL!$AK$7:$AO$171,$M$8,FALSE)=0,"",(VLOOKUP($D$5&amp;$G$5&amp;$C33,ARBOL!$AK$7:$AO$171,$M$8,FALSE))),"")</f>
        <v/>
      </c>
      <c r="H33" s="265"/>
      <c r="I33" s="265"/>
    </row>
    <row r="34" spans="3:9" ht="33" customHeight="1" x14ac:dyDescent="0.35">
      <c r="C34" s="263" t="str">
        <f>IFERROR(IF(HLOOKUP($I$3,ARBOL!$P$2:$AI$25,M31,FALSE)=0," ",HLOOKUP($I$3,ARBOL!$P$2:$AI$25,M31,FALSE))," ")</f>
        <v xml:space="preserve"> </v>
      </c>
      <c r="D34" s="264" t="str">
        <f>IFERROR(IF(VLOOKUP($D$5&amp;$G$5&amp;$C34,ARBOL!$AK$7:$AO$171,$M$5,FALSE)=0,"",(VLOOKUP($D$5&amp;$G$5&amp;$C34,ARBOL!$AK$7:$AO$171,$M$5,FALSE))),"")</f>
        <v/>
      </c>
      <c r="E34" s="264" t="str">
        <f>IFERROR(IF(VLOOKUP($D$5&amp;$G$5&amp;$C34,ARBOL!$AK$7:$AO$171,$M$6,FALSE)=0,"",(VLOOKUP($D$5&amp;$G$5&amp;$C34,ARBOL!$AK$7:$AO$171,$M$6,FALSE))),"")</f>
        <v/>
      </c>
      <c r="F34" s="264" t="str">
        <f>IFERROR(IF(VLOOKUP($D$5&amp;$G$5&amp;$C34,ARBOL!$AK$7:$AO$171,$M$7,FALSE)=0,"",(VLOOKUP($D$5&amp;$G$5&amp;$C34,ARBOL!$AK$7:$AO$171,$M$7,FALSE))),"")</f>
        <v/>
      </c>
      <c r="G34" s="264" t="str">
        <f>IFERROR(IF(VLOOKUP($D$5&amp;$G$5&amp;$C34,ARBOL!$AK$7:$AO$171,$M$8,FALSE)=0,"",(VLOOKUP($D$5&amp;$G$5&amp;$C34,ARBOL!$AK$7:$AO$171,$M$8,FALSE))),"")</f>
        <v/>
      </c>
      <c r="H34" s="265"/>
      <c r="I34" s="265"/>
    </row>
    <row r="35" spans="3:9" ht="33" customHeight="1" x14ac:dyDescent="0.35">
      <c r="C35" s="263" t="str">
        <f>IFERROR(IF(HLOOKUP($I$3,ARBOL!$P$2:$AI$25,M32,FALSE)=0," ",HLOOKUP($I$3,ARBOL!$P$2:$AI$25,M32,FALSE))," ")</f>
        <v xml:space="preserve"> </v>
      </c>
      <c r="D35" s="264" t="str">
        <f>IFERROR(IF(VLOOKUP($D$5&amp;$G$5&amp;$C35,ARBOL!$AK$7:$AO$171,$M$5,FALSE)=0,"",(VLOOKUP($D$5&amp;$G$5&amp;$C35,ARBOL!$AK$7:$AO$171,$M$5,FALSE))),"")</f>
        <v/>
      </c>
      <c r="E35" s="264" t="str">
        <f>IFERROR(IF(VLOOKUP($D$5&amp;$G$5&amp;$C35,ARBOL!$AK$7:$AO$171,$M$6,FALSE)=0,"",(VLOOKUP($D$5&amp;$G$5&amp;$C35,ARBOL!$AK$7:$AO$171,$M$6,FALSE))),"")</f>
        <v/>
      </c>
      <c r="F35" s="264" t="str">
        <f>IFERROR(IF(VLOOKUP($D$5&amp;$G$5&amp;$C35,ARBOL!$AK$7:$AO$171,$M$7,FALSE)=0,"",(VLOOKUP($D$5&amp;$G$5&amp;$C35,ARBOL!$AK$7:$AO$171,$M$7,FALSE))),"")</f>
        <v/>
      </c>
      <c r="G35" s="264" t="str">
        <f>IFERROR(IF(VLOOKUP($D$5&amp;$G$5&amp;$C35,ARBOL!$AK$7:$AO$171,$M$8,FALSE)=0,"",(VLOOKUP($D$5&amp;$G$5&amp;$C35,ARBOL!$AK$7:$AO$171,$M$8,FALSE))),"")</f>
        <v/>
      </c>
      <c r="H35" s="265"/>
      <c r="I35" s="265"/>
    </row>
    <row r="36" spans="3:9" ht="33" customHeight="1" x14ac:dyDescent="0.35">
      <c r="C36" s="263" t="str">
        <f>IFERROR(IF(HLOOKUP($I$3,ARBOL!$P$2:$AI$25,M33,FALSE)=0," ",HLOOKUP($I$3,ARBOL!$P$2:$AI$25,M33,FALSE))," ")</f>
        <v xml:space="preserve"> </v>
      </c>
      <c r="D36" s="264" t="str">
        <f>IFERROR(IF(VLOOKUP($D$5&amp;$G$5&amp;$C36,ARBOL!$AK$7:$AO$171,$M$5,FALSE)=0,"",(VLOOKUP($D$5&amp;$G$5&amp;$C36,ARBOL!$AK$7:$AO$171,$M$5,FALSE))),"")</f>
        <v/>
      </c>
      <c r="E36" s="264" t="str">
        <f>IFERROR(IF(VLOOKUP($D$5&amp;$G$5&amp;$C36,ARBOL!$AK$7:$AO$171,$M$6,FALSE)=0,"",(VLOOKUP($D$5&amp;$G$5&amp;$C36,ARBOL!$AK$7:$AO$171,$M$6,FALSE))),"")</f>
        <v/>
      </c>
      <c r="F36" s="264" t="str">
        <f>IFERROR(IF(VLOOKUP($D$5&amp;$G$5&amp;$C36,ARBOL!$AK$7:$AO$171,$M$7,FALSE)=0,"",(VLOOKUP($D$5&amp;$G$5&amp;$C36,ARBOL!$AK$7:$AO$171,$M$7,FALSE))),"")</f>
        <v/>
      </c>
      <c r="G36" s="264" t="str">
        <f>IFERROR(IF(VLOOKUP($D$5&amp;$G$5&amp;$C36,ARBOL!$AK$7:$AO$171,$M$8,FALSE)=0,"",(VLOOKUP($D$5&amp;$G$5&amp;$C36,ARBOL!$AK$7:$AO$171,$M$8,FALSE))),"")</f>
        <v/>
      </c>
      <c r="H36" s="265"/>
      <c r="I36" s="265"/>
    </row>
    <row r="37" spans="3:9" ht="33" customHeight="1" x14ac:dyDescent="0.35">
      <c r="C37" s="258"/>
    </row>
  </sheetData>
  <sheetProtection algorithmName="SHA-512" hashValue="EA8BkV2Y2CnCofIftVZyCTD9zoxK3Eow/YBRPdqe9q+eEvIFXrg1XRo8L/1EeCUM+ZfckcOCnM3OaMCOLUcniQ==" saltValue="dQMFc1LsXU+4YkHrYZ9xWQ==" spinCount="100000" sheet="1" selectLockedCells="1" autoFilter="0" pivotTables="0"/>
  <protectedRanges>
    <protectedRange sqref="J6" name="GLOSARIO"/>
    <protectedRange sqref="H1:I5 L1:N5 J1:K4" name="FORMULA"/>
    <protectedRange sqref="D5 G5 G8:G36 D8:F30" name="PORTADA"/>
    <protectedRange sqref="D8:G36" name="SEGUNDA PORTADA"/>
  </protectedRanges>
  <mergeCells count="3">
    <mergeCell ref="D7:G7"/>
    <mergeCell ref="C2:H3"/>
    <mergeCell ref="J4:K4"/>
  </mergeCells>
  <conditionalFormatting sqref="C8">
    <cfRule type="expression" dxfId="679" priority="154">
      <formula>C8=" "</formula>
    </cfRule>
    <cfRule type="expression" dxfId="678" priority="267">
      <formula>C8&gt;0</formula>
    </cfRule>
  </conditionalFormatting>
  <conditionalFormatting sqref="C9">
    <cfRule type="expression" dxfId="677" priority="144">
      <formula>C9=" "</formula>
    </cfRule>
    <cfRule type="expression" dxfId="676" priority="145">
      <formula>C9&gt;0</formula>
    </cfRule>
  </conditionalFormatting>
  <conditionalFormatting sqref="C10">
    <cfRule type="expression" dxfId="675" priority="142">
      <formula>C10=" "</formula>
    </cfRule>
    <cfRule type="expression" dxfId="674" priority="143">
      <formula>C10&gt;0</formula>
    </cfRule>
  </conditionalFormatting>
  <conditionalFormatting sqref="C11">
    <cfRule type="expression" dxfId="673" priority="140">
      <formula>C11=" "</formula>
    </cfRule>
    <cfRule type="expression" dxfId="672" priority="141">
      <formula>C11&gt;0</formula>
    </cfRule>
  </conditionalFormatting>
  <conditionalFormatting sqref="C12">
    <cfRule type="expression" dxfId="671" priority="138">
      <formula>C12=" "</formula>
    </cfRule>
    <cfRule type="expression" dxfId="670" priority="139">
      <formula>C12&gt;0</formula>
    </cfRule>
  </conditionalFormatting>
  <conditionalFormatting sqref="C13">
    <cfRule type="expression" dxfId="669" priority="136">
      <formula>C13=" "</formula>
    </cfRule>
    <cfRule type="expression" dxfId="668" priority="137">
      <formula>C13&gt;0</formula>
    </cfRule>
  </conditionalFormatting>
  <conditionalFormatting sqref="C14">
    <cfRule type="expression" dxfId="667" priority="134">
      <formula>C14=" "</formula>
    </cfRule>
    <cfRule type="expression" dxfId="666" priority="135">
      <formula>C14&gt;0</formula>
    </cfRule>
  </conditionalFormatting>
  <conditionalFormatting sqref="C15">
    <cfRule type="expression" dxfId="665" priority="132">
      <formula>C15=" "</formula>
    </cfRule>
    <cfRule type="expression" dxfId="664" priority="133">
      <formula>C15&gt;0</formula>
    </cfRule>
  </conditionalFormatting>
  <conditionalFormatting sqref="C16">
    <cfRule type="expression" dxfId="663" priority="130">
      <formula>C16=" "</formula>
    </cfRule>
    <cfRule type="expression" dxfId="662" priority="131">
      <formula>C16&gt;0</formula>
    </cfRule>
  </conditionalFormatting>
  <conditionalFormatting sqref="C17">
    <cfRule type="expression" dxfId="661" priority="128">
      <formula>C17=" "</formula>
    </cfRule>
    <cfRule type="expression" dxfId="660" priority="129">
      <formula>C17&gt;0</formula>
    </cfRule>
  </conditionalFormatting>
  <conditionalFormatting sqref="C18">
    <cfRule type="expression" dxfId="659" priority="126">
      <formula>C18=" "</formula>
    </cfRule>
    <cfRule type="expression" dxfId="658" priority="127">
      <formula>C18&gt;0</formula>
    </cfRule>
  </conditionalFormatting>
  <conditionalFormatting sqref="C19">
    <cfRule type="expression" dxfId="657" priority="124">
      <formula>C19=" "</formula>
    </cfRule>
    <cfRule type="expression" dxfId="656" priority="125">
      <formula>C19&gt;0</formula>
    </cfRule>
  </conditionalFormatting>
  <conditionalFormatting sqref="C20">
    <cfRule type="expression" dxfId="655" priority="122">
      <formula>C20=" "</formula>
    </cfRule>
    <cfRule type="expression" dxfId="654" priority="123">
      <formula>C20&gt;0</formula>
    </cfRule>
  </conditionalFormatting>
  <conditionalFormatting sqref="C21">
    <cfRule type="expression" dxfId="653" priority="120">
      <formula>C21=" "</formula>
    </cfRule>
    <cfRule type="expression" dxfId="652" priority="121">
      <formula>C21&gt;0</formula>
    </cfRule>
  </conditionalFormatting>
  <conditionalFormatting sqref="C22">
    <cfRule type="expression" dxfId="651" priority="118">
      <formula>C22=" "</formula>
    </cfRule>
    <cfRule type="expression" dxfId="650" priority="119">
      <formula>C22&gt;0</formula>
    </cfRule>
  </conditionalFormatting>
  <conditionalFormatting sqref="C23">
    <cfRule type="expression" dxfId="649" priority="116">
      <formula>C23=" "</formula>
    </cfRule>
    <cfRule type="expression" dxfId="648" priority="117">
      <formula>C23&gt;0</formula>
    </cfRule>
  </conditionalFormatting>
  <conditionalFormatting sqref="C24">
    <cfRule type="expression" dxfId="647" priority="114">
      <formula>C24=" "</formula>
    </cfRule>
    <cfRule type="expression" dxfId="646" priority="115">
      <formula>C24&gt;0</formula>
    </cfRule>
  </conditionalFormatting>
  <conditionalFormatting sqref="C25">
    <cfRule type="expression" dxfId="645" priority="112">
      <formula>C25=" "</formula>
    </cfRule>
    <cfRule type="expression" dxfId="644" priority="113">
      <formula>C25&gt;0</formula>
    </cfRule>
  </conditionalFormatting>
  <conditionalFormatting sqref="C26">
    <cfRule type="expression" dxfId="643" priority="110">
      <formula>C26=" "</formula>
    </cfRule>
    <cfRule type="expression" dxfId="642" priority="111">
      <formula>C26&gt;0</formula>
    </cfRule>
  </conditionalFormatting>
  <conditionalFormatting sqref="C27">
    <cfRule type="expression" dxfId="641" priority="108">
      <formula>C27=" "</formula>
    </cfRule>
    <cfRule type="expression" dxfId="640" priority="109">
      <formula>C27&gt;0</formula>
    </cfRule>
  </conditionalFormatting>
  <conditionalFormatting sqref="C28">
    <cfRule type="expression" dxfId="639" priority="106">
      <formula>C28=" "</formula>
    </cfRule>
    <cfRule type="expression" dxfId="638" priority="107">
      <formula>C28&gt;0</formula>
    </cfRule>
  </conditionalFormatting>
  <conditionalFormatting sqref="C29">
    <cfRule type="expression" dxfId="637" priority="104">
      <formula>C29=" "</formula>
    </cfRule>
    <cfRule type="expression" dxfId="636" priority="105">
      <formula>C29&gt;0</formula>
    </cfRule>
  </conditionalFormatting>
  <conditionalFormatting sqref="C30">
    <cfRule type="expression" dxfId="635" priority="102">
      <formula>C30=" "</formula>
    </cfRule>
    <cfRule type="expression" dxfId="634" priority="103">
      <formula>C30&gt;0</formula>
    </cfRule>
  </conditionalFormatting>
  <conditionalFormatting sqref="C31">
    <cfRule type="expression" dxfId="633" priority="100">
      <formula>C31=" "</formula>
    </cfRule>
    <cfRule type="expression" dxfId="632" priority="101">
      <formula>C31&gt;0</formula>
    </cfRule>
  </conditionalFormatting>
  <conditionalFormatting sqref="C32">
    <cfRule type="expression" dxfId="631" priority="98">
      <formula>C32=" "</formula>
    </cfRule>
    <cfRule type="expression" dxfId="630" priority="99">
      <formula>C32&gt;0</formula>
    </cfRule>
  </conditionalFormatting>
  <conditionalFormatting sqref="C33">
    <cfRule type="expression" dxfId="629" priority="96">
      <formula>C33=" "</formula>
    </cfRule>
    <cfRule type="expression" dxfId="628" priority="97">
      <formula>C33&gt;0</formula>
    </cfRule>
  </conditionalFormatting>
  <conditionalFormatting sqref="C34">
    <cfRule type="expression" dxfId="627" priority="92">
      <formula>C34=" "</formula>
    </cfRule>
    <cfRule type="expression" dxfId="626" priority="93">
      <formula>C34&gt;0</formula>
    </cfRule>
  </conditionalFormatting>
  <conditionalFormatting sqref="C35">
    <cfRule type="expression" dxfId="625" priority="90">
      <formula>C35=" "</formula>
    </cfRule>
    <cfRule type="expression" dxfId="624" priority="91">
      <formula>C35&gt;0</formula>
    </cfRule>
  </conditionalFormatting>
  <conditionalFormatting sqref="C36">
    <cfRule type="expression" dxfId="623" priority="88">
      <formula>C36=" "</formula>
    </cfRule>
    <cfRule type="expression" dxfId="622" priority="89">
      <formula>C36&gt;0</formula>
    </cfRule>
  </conditionalFormatting>
  <conditionalFormatting sqref="C37">
    <cfRule type="expression" dxfId="621" priority="86">
      <formula>C37=" "</formula>
    </cfRule>
    <cfRule type="expression" dxfId="620" priority="87">
      <formula>C37&gt;0</formula>
    </cfRule>
  </conditionalFormatting>
  <conditionalFormatting sqref="D10">
    <cfRule type="expression" dxfId="619" priority="81">
      <formula>D10=""</formula>
    </cfRule>
    <cfRule type="expression" dxfId="618" priority="82">
      <formula>D10&gt;0</formula>
    </cfRule>
  </conditionalFormatting>
  <conditionalFormatting sqref="D11">
    <cfRule type="expression" dxfId="617" priority="79">
      <formula>D11=""</formula>
    </cfRule>
    <cfRule type="expression" dxfId="616" priority="80">
      <formula>D11&gt;0</formula>
    </cfRule>
  </conditionalFormatting>
  <conditionalFormatting sqref="D12">
    <cfRule type="expression" dxfId="615" priority="77">
      <formula>D12=""</formula>
    </cfRule>
    <cfRule type="expression" dxfId="614" priority="78">
      <formula>D12&gt;0</formula>
    </cfRule>
  </conditionalFormatting>
  <conditionalFormatting sqref="D13">
    <cfRule type="expression" dxfId="613" priority="75">
      <formula>D13=""</formula>
    </cfRule>
    <cfRule type="expression" dxfId="612" priority="76">
      <formula>D13&gt;0</formula>
    </cfRule>
  </conditionalFormatting>
  <conditionalFormatting sqref="D14:D36">
    <cfRule type="expression" dxfId="611" priority="73">
      <formula>D14=""</formula>
    </cfRule>
    <cfRule type="expression" dxfId="610" priority="74">
      <formula>D14&gt;0</formula>
    </cfRule>
  </conditionalFormatting>
  <conditionalFormatting sqref="E8:E36">
    <cfRule type="expression" dxfId="609" priority="69">
      <formula>E8=""</formula>
    </cfRule>
    <cfRule type="expression" dxfId="608" priority="70">
      <formula>E8&gt;0</formula>
    </cfRule>
  </conditionalFormatting>
  <conditionalFormatting sqref="F8:F36">
    <cfRule type="expression" dxfId="607" priority="67">
      <formula>F8=""</formula>
    </cfRule>
    <cfRule type="expression" dxfId="606" priority="68">
      <formula>F8&gt;0</formula>
    </cfRule>
  </conditionalFormatting>
  <conditionalFormatting sqref="D9">
    <cfRule type="expression" dxfId="605" priority="65">
      <formula>D9=""</formula>
    </cfRule>
    <cfRule type="expression" dxfId="604" priority="66">
      <formula>D9&gt;0</formula>
    </cfRule>
  </conditionalFormatting>
  <conditionalFormatting sqref="G35">
    <cfRule type="expression" dxfId="603" priority="5">
      <formula>G35=""</formula>
    </cfRule>
    <cfRule type="expression" dxfId="602" priority="6">
      <formula>G35&gt;0</formula>
    </cfRule>
  </conditionalFormatting>
  <conditionalFormatting sqref="G8">
    <cfRule type="expression" dxfId="601" priority="59">
      <formula>G8=""</formula>
    </cfRule>
    <cfRule type="expression" dxfId="600" priority="60">
      <formula>G8&gt;0</formula>
    </cfRule>
  </conditionalFormatting>
  <conditionalFormatting sqref="G9">
    <cfRule type="expression" dxfId="599" priority="57">
      <formula>G9=""</formula>
    </cfRule>
    <cfRule type="expression" dxfId="598" priority="58">
      <formula>G9&gt;0</formula>
    </cfRule>
  </conditionalFormatting>
  <conditionalFormatting sqref="G10">
    <cfRule type="expression" dxfId="597" priority="55">
      <formula>G10=""</formula>
    </cfRule>
    <cfRule type="expression" dxfId="596" priority="56">
      <formula>G10&gt;0</formula>
    </cfRule>
  </conditionalFormatting>
  <conditionalFormatting sqref="G11">
    <cfRule type="expression" dxfId="595" priority="53">
      <formula>G11=""</formula>
    </cfRule>
    <cfRule type="expression" dxfId="594" priority="54">
      <formula>G11&gt;0</formula>
    </cfRule>
  </conditionalFormatting>
  <conditionalFormatting sqref="G12">
    <cfRule type="expression" dxfId="593" priority="51">
      <formula>G12=""</formula>
    </cfRule>
    <cfRule type="expression" dxfId="592" priority="52">
      <formula>G12&gt;0</formula>
    </cfRule>
  </conditionalFormatting>
  <conditionalFormatting sqref="G13">
    <cfRule type="expression" dxfId="591" priority="49">
      <formula>G13=""</formula>
    </cfRule>
    <cfRule type="expression" dxfId="590" priority="50">
      <formula>G13&gt;0</formula>
    </cfRule>
  </conditionalFormatting>
  <conditionalFormatting sqref="G14">
    <cfRule type="expression" dxfId="589" priority="47">
      <formula>G14=""</formula>
    </cfRule>
    <cfRule type="expression" dxfId="588" priority="48">
      <formula>G14&gt;0</formula>
    </cfRule>
  </conditionalFormatting>
  <conditionalFormatting sqref="G15">
    <cfRule type="expression" dxfId="587" priority="45">
      <formula>G15=""</formula>
    </cfRule>
    <cfRule type="expression" dxfId="586" priority="46">
      <formula>G15&gt;0</formula>
    </cfRule>
  </conditionalFormatting>
  <conditionalFormatting sqref="G16">
    <cfRule type="expression" dxfId="585" priority="43">
      <formula>G16=""</formula>
    </cfRule>
    <cfRule type="expression" dxfId="584" priority="44">
      <formula>G16&gt;0</formula>
    </cfRule>
  </conditionalFormatting>
  <conditionalFormatting sqref="G17">
    <cfRule type="expression" dxfId="583" priority="41">
      <formula>G17=""</formula>
    </cfRule>
    <cfRule type="expression" dxfId="582" priority="42">
      <formula>G17&gt;0</formula>
    </cfRule>
  </conditionalFormatting>
  <conditionalFormatting sqref="G18">
    <cfRule type="expression" dxfId="581" priority="39">
      <formula>G18=""</formula>
    </cfRule>
    <cfRule type="expression" dxfId="580" priority="40">
      <formula>G18&gt;0</formula>
    </cfRule>
  </conditionalFormatting>
  <conditionalFormatting sqref="G19">
    <cfRule type="expression" dxfId="579" priority="37">
      <formula>G19=""</formula>
    </cfRule>
    <cfRule type="expression" dxfId="578" priority="38">
      <formula>G19&gt;0</formula>
    </cfRule>
  </conditionalFormatting>
  <conditionalFormatting sqref="G20">
    <cfRule type="expression" dxfId="577" priority="35">
      <formula>G20=""</formula>
    </cfRule>
    <cfRule type="expression" dxfId="576" priority="36">
      <formula>G20&gt;0</formula>
    </cfRule>
  </conditionalFormatting>
  <conditionalFormatting sqref="G21">
    <cfRule type="expression" dxfId="575" priority="33">
      <formula>G21=""</formula>
    </cfRule>
    <cfRule type="expression" dxfId="574" priority="34">
      <formula>G21&gt;0</formula>
    </cfRule>
  </conditionalFormatting>
  <conditionalFormatting sqref="G22">
    <cfRule type="expression" dxfId="573" priority="31">
      <formula>G22=""</formula>
    </cfRule>
    <cfRule type="expression" dxfId="572" priority="32">
      <formula>G22&gt;0</formula>
    </cfRule>
  </conditionalFormatting>
  <conditionalFormatting sqref="G23">
    <cfRule type="expression" dxfId="571" priority="29">
      <formula>G23=""</formula>
    </cfRule>
    <cfRule type="expression" dxfId="570" priority="30">
      <formula>G23&gt;0</formula>
    </cfRule>
  </conditionalFormatting>
  <conditionalFormatting sqref="G24">
    <cfRule type="expression" dxfId="569" priority="27">
      <formula>G24=""</formula>
    </cfRule>
    <cfRule type="expression" dxfId="568" priority="28">
      <formula>G24&gt;0</formula>
    </cfRule>
  </conditionalFormatting>
  <conditionalFormatting sqref="G25">
    <cfRule type="expression" dxfId="567" priority="25">
      <formula>G25=""</formula>
    </cfRule>
    <cfRule type="expression" dxfId="566" priority="26">
      <formula>G25&gt;0</formula>
    </cfRule>
  </conditionalFormatting>
  <conditionalFormatting sqref="G26">
    <cfRule type="expression" dxfId="565" priority="23">
      <formula>G26=""</formula>
    </cfRule>
    <cfRule type="expression" dxfId="564" priority="24">
      <formula>G26&gt;0</formula>
    </cfRule>
  </conditionalFormatting>
  <conditionalFormatting sqref="G27">
    <cfRule type="expression" dxfId="563" priority="21">
      <formula>G27=""</formula>
    </cfRule>
    <cfRule type="expression" dxfId="562" priority="22">
      <formula>G27&gt;0</formula>
    </cfRule>
  </conditionalFormatting>
  <conditionalFormatting sqref="G28">
    <cfRule type="expression" dxfId="561" priority="19">
      <formula>G28=""</formula>
    </cfRule>
    <cfRule type="expression" dxfId="560" priority="20">
      <formula>G28&gt;0</formula>
    </cfRule>
  </conditionalFormatting>
  <conditionalFormatting sqref="G29">
    <cfRule type="expression" dxfId="559" priority="17">
      <formula>G29=""</formula>
    </cfRule>
    <cfRule type="expression" dxfId="558" priority="18">
      <formula>G29&gt;0</formula>
    </cfRule>
  </conditionalFormatting>
  <conditionalFormatting sqref="G30">
    <cfRule type="expression" dxfId="557" priority="15">
      <formula>G30=""</formula>
    </cfRule>
    <cfRule type="expression" dxfId="556" priority="16">
      <formula>G30&gt;0</formula>
    </cfRule>
  </conditionalFormatting>
  <conditionalFormatting sqref="G31">
    <cfRule type="expression" dxfId="555" priority="13">
      <formula>G31=""</formula>
    </cfRule>
    <cfRule type="expression" dxfId="554" priority="14">
      <formula>G31&gt;0</formula>
    </cfRule>
  </conditionalFormatting>
  <conditionalFormatting sqref="G32">
    <cfRule type="expression" dxfId="553" priority="11">
      <formula>G32=""</formula>
    </cfRule>
    <cfRule type="expression" dxfId="552" priority="12">
      <formula>G32&gt;0</formula>
    </cfRule>
  </conditionalFormatting>
  <conditionalFormatting sqref="G33">
    <cfRule type="expression" dxfId="551" priority="9">
      <formula>G33=""</formula>
    </cfRule>
    <cfRule type="expression" dxfId="550" priority="10">
      <formula>G33&gt;0</formula>
    </cfRule>
  </conditionalFormatting>
  <conditionalFormatting sqref="G34">
    <cfRule type="expression" dxfId="549" priority="7">
      <formula>G34=""</formula>
    </cfRule>
    <cfRule type="expression" dxfId="548" priority="8">
      <formula>G34&gt;0</formula>
    </cfRule>
  </conditionalFormatting>
  <conditionalFormatting sqref="G36">
    <cfRule type="expression" dxfId="547" priority="3">
      <formula>G36=""</formula>
    </cfRule>
    <cfRule type="expression" dxfId="546" priority="4">
      <formula>G36&gt;0</formula>
    </cfRule>
  </conditionalFormatting>
  <conditionalFormatting sqref="D8">
    <cfRule type="expression" dxfId="545" priority="1">
      <formula>D8=""</formula>
    </cfRule>
    <cfRule type="expression" dxfId="544" priority="2">
      <formula>D8&gt;0</formula>
    </cfRule>
  </conditionalFormatting>
  <dataValidations count="1">
    <dataValidation type="list" allowBlank="1" showInputMessage="1" showErrorMessage="1" sqref="G5" xr:uid="{00000000-0002-0000-0000-000000000000}">
      <formula1>INDIRECT($D$5)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650" r:id="rId5" name="Button 2">
              <controlPr defaultSize="0" print="0" autoFill="0" autoPict="0" macro="[0]!Verclientes">
                <anchor moveWithCells="1" sizeWithCells="1">
                  <from>
                    <xdr:col>7</xdr:col>
                    <xdr:colOff>57150</xdr:colOff>
                    <xdr:row>8</xdr:row>
                    <xdr:rowOff>88900</xdr:rowOff>
                  </from>
                  <to>
                    <xdr:col>8</xdr:col>
                    <xdr:colOff>0</xdr:colOff>
                    <xdr:row>9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655" r:id="rId6" name="Button 7">
              <controlPr defaultSize="0" print="0" autoFill="0" autoPict="0" macro="[0]!Borrar">
                <anchor moveWithCells="1" sizeWithCells="1">
                  <from>
                    <xdr:col>7</xdr:col>
                    <xdr:colOff>57150</xdr:colOff>
                    <xdr:row>10</xdr:row>
                    <xdr:rowOff>88900</xdr:rowOff>
                  </from>
                  <to>
                    <xdr:col>8</xdr:col>
                    <xdr:colOff>0</xdr:colOff>
                    <xdr:row>11</xdr:row>
                    <xdr:rowOff>279400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ARBOL!$J$3:$J$4</xm:f>
          </x14:formula1>
          <xm:sqref>D5</xm:sqref>
        </x14:dataValidation>
        <x14:dataValidation type="list" allowBlank="1" showInputMessage="1" showErrorMessage="1" xr:uid="{00000000-0002-0000-0000-000002000000}">
          <x14:formula1>
            <xm:f>ARBOL!$AR$6:$AR$29</xm:f>
          </x14:formula1>
          <xm:sqref>J6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/>
  <dimension ref="A2:AS480"/>
  <sheetViews>
    <sheetView topLeftCell="AI1" workbookViewId="0">
      <selection activeCell="AM18" sqref="AM18"/>
    </sheetView>
  </sheetViews>
  <sheetFormatPr baseColWidth="10" defaultColWidth="10.6328125" defaultRowHeight="14.5" x14ac:dyDescent="0.35"/>
  <cols>
    <col min="1" max="1" width="38.36328125" bestFit="1" customWidth="1"/>
    <col min="2" max="2" width="26.36328125" bestFit="1" customWidth="1"/>
    <col min="3" max="3" width="50.7265625" bestFit="1" customWidth="1"/>
    <col min="4" max="4" width="50.7265625" customWidth="1"/>
    <col min="5" max="5" width="13.7265625" bestFit="1" customWidth="1"/>
    <col min="6" max="6" width="26.08984375" bestFit="1" customWidth="1"/>
    <col min="7" max="7" width="21.36328125" bestFit="1" customWidth="1"/>
    <col min="8" max="8" width="25" bestFit="1" customWidth="1"/>
    <col min="9" max="9" width="28.81640625" bestFit="1" customWidth="1"/>
    <col min="10" max="10" width="26.36328125" bestFit="1" customWidth="1"/>
    <col min="12" max="12" width="16.81640625" bestFit="1" customWidth="1"/>
    <col min="14" max="14" width="10.08984375" bestFit="1" customWidth="1"/>
    <col min="15" max="15" width="45.6328125" bestFit="1" customWidth="1"/>
    <col min="16" max="18" width="23.7265625" bestFit="1" customWidth="1"/>
    <col min="19" max="19" width="25.08984375" bestFit="1" customWidth="1"/>
    <col min="20" max="20" width="20.6328125" bestFit="1" customWidth="1"/>
    <col min="21" max="21" width="17.6328125" bestFit="1" customWidth="1"/>
    <col min="22" max="22" width="23.08984375" bestFit="1" customWidth="1"/>
    <col min="23" max="23" width="25.36328125" bestFit="1" customWidth="1"/>
    <col min="24" max="24" width="23.36328125" bestFit="1" customWidth="1"/>
    <col min="25" max="25" width="25.7265625" bestFit="1" customWidth="1"/>
    <col min="26" max="26" width="16.6328125" bestFit="1" customWidth="1"/>
    <col min="27" max="27" width="20.36328125" bestFit="1" customWidth="1"/>
    <col min="28" max="28" width="21.81640625" bestFit="1" customWidth="1"/>
    <col min="29" max="29" width="25.6328125" bestFit="1" customWidth="1"/>
    <col min="30" max="30" width="21.26953125" bestFit="1" customWidth="1"/>
    <col min="31" max="31" width="18.08984375" bestFit="1" customWidth="1"/>
    <col min="32" max="32" width="23.6328125" bestFit="1" customWidth="1"/>
    <col min="33" max="33" width="25.81640625" bestFit="1" customWidth="1"/>
    <col min="34" max="34" width="24" bestFit="1" customWidth="1"/>
    <col min="35" max="35" width="26.36328125" bestFit="1" customWidth="1"/>
    <col min="36" max="36" width="39.6328125" bestFit="1" customWidth="1"/>
    <col min="37" max="37" width="54.26953125" bestFit="1" customWidth="1"/>
    <col min="44" max="44" width="54.26953125" bestFit="1" customWidth="1"/>
  </cols>
  <sheetData>
    <row r="2" spans="1:45" ht="15.5" x14ac:dyDescent="0.35">
      <c r="C2" t="s">
        <v>858</v>
      </c>
      <c r="D2" t="s">
        <v>864</v>
      </c>
      <c r="E2" s="250" t="s">
        <v>374</v>
      </c>
      <c r="F2" s="250" t="s">
        <v>473</v>
      </c>
      <c r="G2" s="250" t="s">
        <v>475</v>
      </c>
      <c r="H2" s="257" t="s">
        <v>678</v>
      </c>
      <c r="I2" s="250" t="s">
        <v>561</v>
      </c>
      <c r="P2" t="s">
        <v>668</v>
      </c>
      <c r="Q2" t="s">
        <v>669</v>
      </c>
      <c r="R2" t="s">
        <v>683</v>
      </c>
      <c r="S2" t="s">
        <v>684</v>
      </c>
      <c r="T2" t="s">
        <v>685</v>
      </c>
      <c r="U2" t="s">
        <v>686</v>
      </c>
      <c r="V2" t="s">
        <v>687</v>
      </c>
      <c r="W2" t="s">
        <v>688</v>
      </c>
      <c r="X2" t="s">
        <v>689</v>
      </c>
      <c r="Y2" t="s">
        <v>690</v>
      </c>
      <c r="Z2" t="s">
        <v>691</v>
      </c>
      <c r="AA2" t="s">
        <v>692</v>
      </c>
      <c r="AB2" t="s">
        <v>693</v>
      </c>
      <c r="AC2" t="s">
        <v>694</v>
      </c>
      <c r="AD2" t="s">
        <v>695</v>
      </c>
      <c r="AE2" t="s">
        <v>696</v>
      </c>
      <c r="AF2" t="s">
        <v>697</v>
      </c>
      <c r="AG2" t="s">
        <v>698</v>
      </c>
      <c r="AH2" t="s">
        <v>699</v>
      </c>
      <c r="AI2" t="s">
        <v>700</v>
      </c>
    </row>
    <row r="3" spans="1:45" x14ac:dyDescent="0.35">
      <c r="A3" t="str">
        <f>E3&amp;F3&amp;G3</f>
        <v>Estrato2y3BarEliteBotella 1</v>
      </c>
      <c r="B3" t="str">
        <f>E3&amp;F3</f>
        <v>Estrato2y3BarElite</v>
      </c>
      <c r="C3" t="str">
        <f>E3&amp;F3&amp;H3</f>
        <v>Estrato2y3BarEliteJohnnie Walker Red o Black</v>
      </c>
      <c r="D3" t="str">
        <f>E3&amp;F3&amp;H3&amp;G3</f>
        <v>Estrato2y3BarEliteJohnnie Walker Red o BlackBotella 1</v>
      </c>
      <c r="E3" s="245" t="s">
        <v>571</v>
      </c>
      <c r="F3" s="245" t="s">
        <v>616</v>
      </c>
      <c r="G3" s="247" t="s">
        <v>637</v>
      </c>
      <c r="H3" t="s">
        <v>670</v>
      </c>
      <c r="I3" s="248" t="s">
        <v>563</v>
      </c>
      <c r="J3" t="s">
        <v>571</v>
      </c>
      <c r="L3" t="s">
        <v>618</v>
      </c>
      <c r="P3" t="s">
        <v>670</v>
      </c>
      <c r="Q3" t="s">
        <v>290</v>
      </c>
      <c r="R3" t="s">
        <v>670</v>
      </c>
      <c r="S3" t="s">
        <v>670</v>
      </c>
      <c r="T3" t="s">
        <v>290</v>
      </c>
      <c r="U3" t="s">
        <v>290</v>
      </c>
      <c r="V3" t="s">
        <v>261</v>
      </c>
      <c r="W3" t="s">
        <v>290</v>
      </c>
      <c r="X3" t="s">
        <v>261</v>
      </c>
      <c r="Y3" t="s">
        <v>290</v>
      </c>
      <c r="Z3" t="s">
        <v>670</v>
      </c>
      <c r="AA3" t="s">
        <v>670</v>
      </c>
      <c r="AB3" t="s">
        <v>670</v>
      </c>
      <c r="AC3" t="s">
        <v>670</v>
      </c>
      <c r="AD3" t="s">
        <v>672</v>
      </c>
      <c r="AE3" t="s">
        <v>670</v>
      </c>
      <c r="AF3" t="s">
        <v>261</v>
      </c>
      <c r="AG3" t="s">
        <v>379</v>
      </c>
      <c r="AH3" t="s">
        <v>387</v>
      </c>
      <c r="AI3" t="s">
        <v>387</v>
      </c>
    </row>
    <row r="4" spans="1:45" x14ac:dyDescent="0.35">
      <c r="A4" t="str">
        <f t="shared" ref="A4:A67" si="0">E4&amp;F4&amp;G4</f>
        <v>Estrato2y3BarEliteBotella 2</v>
      </c>
      <c r="B4" t="str">
        <f t="shared" ref="B4:B67" si="1">E4&amp;F4</f>
        <v>Estrato2y3BarElite</v>
      </c>
      <c r="C4" t="str">
        <f t="shared" ref="C4:C67" si="2">E4&amp;F4&amp;H4</f>
        <v>Estrato2y3BarEliteOld Parr 12</v>
      </c>
      <c r="D4" t="str">
        <f t="shared" ref="D4:D67" si="3">E4&amp;F4&amp;H4&amp;G4</f>
        <v>Estrato2y3BarEliteOld Parr 12Botella 2</v>
      </c>
      <c r="E4" s="245" t="s">
        <v>571</v>
      </c>
      <c r="F4" s="245" t="s">
        <v>616</v>
      </c>
      <c r="G4" s="247" t="s">
        <v>629</v>
      </c>
      <c r="H4" t="s">
        <v>417</v>
      </c>
      <c r="I4" s="246" t="s">
        <v>566</v>
      </c>
      <c r="J4" t="s">
        <v>573</v>
      </c>
      <c r="L4" t="s">
        <v>617</v>
      </c>
      <c r="P4" s="246" t="s">
        <v>417</v>
      </c>
      <c r="Q4" t="s">
        <v>670</v>
      </c>
      <c r="R4" t="s">
        <v>417</v>
      </c>
      <c r="S4" t="s">
        <v>417</v>
      </c>
      <c r="T4" t="s">
        <v>672</v>
      </c>
      <c r="U4" t="s">
        <v>670</v>
      </c>
      <c r="W4" t="s">
        <v>261</v>
      </c>
      <c r="X4" t="s">
        <v>671</v>
      </c>
      <c r="Y4" t="s">
        <v>261</v>
      </c>
      <c r="Z4" t="s">
        <v>417</v>
      </c>
      <c r="AA4" t="s">
        <v>417</v>
      </c>
      <c r="AB4" t="s">
        <v>417</v>
      </c>
      <c r="AC4" t="s">
        <v>417</v>
      </c>
      <c r="AD4" t="s">
        <v>673</v>
      </c>
      <c r="AE4" t="s">
        <v>417</v>
      </c>
      <c r="AG4" t="s">
        <v>394</v>
      </c>
      <c r="AH4" t="s">
        <v>391</v>
      </c>
      <c r="AI4" t="s">
        <v>391</v>
      </c>
      <c r="AR4" s="126"/>
    </row>
    <row r="5" spans="1:45" x14ac:dyDescent="0.35">
      <c r="A5" t="str">
        <f t="shared" si="0"/>
        <v>Estrato2y3BarEliteCoctel 2</v>
      </c>
      <c r="B5" t="str">
        <f t="shared" si="1"/>
        <v>Estrato2y3BarElite</v>
      </c>
      <c r="C5" t="str">
        <f t="shared" si="2"/>
        <v>Estrato2y3BarEliteOld Parr 12</v>
      </c>
      <c r="D5" t="str">
        <f t="shared" si="3"/>
        <v>Estrato2y3BarEliteOld Parr 12Coctel 2</v>
      </c>
      <c r="E5" s="245" t="s">
        <v>571</v>
      </c>
      <c r="F5" s="245" t="s">
        <v>616</v>
      </c>
      <c r="G5" s="247" t="s">
        <v>499</v>
      </c>
      <c r="H5" t="s">
        <v>417</v>
      </c>
      <c r="I5" s="246" t="s">
        <v>567</v>
      </c>
      <c r="L5" t="s">
        <v>620</v>
      </c>
      <c r="P5" s="247" t="s">
        <v>671</v>
      </c>
      <c r="Q5" t="s">
        <v>417</v>
      </c>
      <c r="S5" t="s">
        <v>672</v>
      </c>
      <c r="T5" t="s">
        <v>673</v>
      </c>
      <c r="U5" t="s">
        <v>417</v>
      </c>
      <c r="W5" t="s">
        <v>671</v>
      </c>
      <c r="Y5" t="s">
        <v>671</v>
      </c>
      <c r="Z5" t="s">
        <v>387</v>
      </c>
      <c r="AA5" t="s">
        <v>672</v>
      </c>
      <c r="AB5" t="s">
        <v>425</v>
      </c>
      <c r="AC5" t="s">
        <v>672</v>
      </c>
      <c r="AD5" t="s">
        <v>674</v>
      </c>
      <c r="AE5" t="s">
        <v>672</v>
      </c>
      <c r="AG5" t="s">
        <v>396</v>
      </c>
      <c r="AH5" t="s">
        <v>437</v>
      </c>
      <c r="AI5" t="s">
        <v>437</v>
      </c>
      <c r="AR5" s="168"/>
    </row>
    <row r="6" spans="1:45" x14ac:dyDescent="0.35">
      <c r="A6" t="str">
        <f t="shared" si="0"/>
        <v>Estrato2y3BarEliteCoctel 1</v>
      </c>
      <c r="B6" t="str">
        <f t="shared" si="1"/>
        <v>Estrato2y3BarElite</v>
      </c>
      <c r="C6" t="str">
        <f t="shared" si="2"/>
        <v>Estrato2y3BarEliteOld Parr 12</v>
      </c>
      <c r="D6" t="str">
        <f t="shared" si="3"/>
        <v>Estrato2y3BarEliteOld Parr 12Coctel 1</v>
      </c>
      <c r="E6" s="245" t="s">
        <v>571</v>
      </c>
      <c r="F6" s="245" t="s">
        <v>616</v>
      </c>
      <c r="G6" s="247" t="s">
        <v>497</v>
      </c>
      <c r="H6" t="s">
        <v>417</v>
      </c>
      <c r="I6" s="246" t="s">
        <v>569</v>
      </c>
      <c r="L6" t="s">
        <v>622</v>
      </c>
      <c r="Q6" t="s">
        <v>672</v>
      </c>
      <c r="S6" t="s">
        <v>673</v>
      </c>
      <c r="T6" t="s">
        <v>674</v>
      </c>
      <c r="U6" t="s">
        <v>672</v>
      </c>
      <c r="Z6" t="s">
        <v>391</v>
      </c>
      <c r="AA6" t="s">
        <v>387</v>
      </c>
      <c r="AC6" t="s">
        <v>425</v>
      </c>
      <c r="AE6" t="s">
        <v>673</v>
      </c>
      <c r="AG6" t="s">
        <v>403</v>
      </c>
      <c r="AH6" t="s">
        <v>379</v>
      </c>
      <c r="AI6" t="s">
        <v>379</v>
      </c>
      <c r="AJ6" s="259"/>
      <c r="AK6" t="s">
        <v>859</v>
      </c>
      <c r="AL6">
        <v>1</v>
      </c>
      <c r="AM6">
        <v>2</v>
      </c>
      <c r="AN6">
        <v>3</v>
      </c>
      <c r="AO6">
        <v>4</v>
      </c>
      <c r="AR6" s="126" t="s">
        <v>561</v>
      </c>
      <c r="AS6" t="s">
        <v>883</v>
      </c>
    </row>
    <row r="7" spans="1:45" x14ac:dyDescent="0.35">
      <c r="A7" t="str">
        <f t="shared" si="0"/>
        <v>Estrato2y3BarEliteMezcla 1</v>
      </c>
      <c r="B7" t="str">
        <f t="shared" si="1"/>
        <v>Estrato2y3BarElite</v>
      </c>
      <c r="C7" t="str">
        <f t="shared" si="2"/>
        <v>Estrato2y3BarEliteJohnnie Walker Red o Black</v>
      </c>
      <c r="D7" t="str">
        <f t="shared" si="3"/>
        <v>Estrato2y3BarEliteJohnnie Walker Red o BlackMezcla 1</v>
      </c>
      <c r="E7" s="245" t="s">
        <v>571</v>
      </c>
      <c r="F7" s="245" t="s">
        <v>616</v>
      </c>
      <c r="G7" s="247" t="s">
        <v>498</v>
      </c>
      <c r="H7" t="s">
        <v>670</v>
      </c>
      <c r="I7" s="247" t="s">
        <v>564</v>
      </c>
      <c r="L7" t="s">
        <v>623</v>
      </c>
      <c r="Q7" t="s">
        <v>673</v>
      </c>
      <c r="S7" t="s">
        <v>674</v>
      </c>
      <c r="U7" t="s">
        <v>673</v>
      </c>
      <c r="Z7" t="s">
        <v>437</v>
      </c>
      <c r="AA7" t="s">
        <v>391</v>
      </c>
      <c r="AC7" t="s">
        <v>673</v>
      </c>
      <c r="AE7" t="s">
        <v>674</v>
      </c>
      <c r="AG7" t="s">
        <v>406</v>
      </c>
      <c r="AH7" t="s">
        <v>394</v>
      </c>
      <c r="AI7" t="s">
        <v>394</v>
      </c>
      <c r="AK7" t="s">
        <v>682</v>
      </c>
      <c r="AL7" t="s">
        <v>627</v>
      </c>
      <c r="AR7" s="126" t="s">
        <v>865</v>
      </c>
      <c r="AS7" t="s">
        <v>884</v>
      </c>
    </row>
    <row r="8" spans="1:45" x14ac:dyDescent="0.35">
      <c r="A8" t="str">
        <f t="shared" si="0"/>
        <v>Estrato2y3BarEliteMezcla 2</v>
      </c>
      <c r="B8" t="str">
        <f t="shared" si="1"/>
        <v>Estrato2y3BarElite</v>
      </c>
      <c r="C8" t="str">
        <f t="shared" si="2"/>
        <v>Estrato2y3BarEliteOld Parr 12</v>
      </c>
      <c r="D8" t="str">
        <f t="shared" si="3"/>
        <v>Estrato2y3BarEliteOld Parr 12Mezcla 2</v>
      </c>
      <c r="E8" s="245" t="s">
        <v>571</v>
      </c>
      <c r="F8" s="245" t="s">
        <v>616</v>
      </c>
      <c r="G8" s="247" t="s">
        <v>525</v>
      </c>
      <c r="H8" t="s">
        <v>417</v>
      </c>
      <c r="I8" s="246" t="s">
        <v>570</v>
      </c>
      <c r="L8" t="s">
        <v>624</v>
      </c>
      <c r="Q8" t="s">
        <v>674</v>
      </c>
      <c r="U8" t="s">
        <v>674</v>
      </c>
      <c r="Z8" t="s">
        <v>379</v>
      </c>
      <c r="AA8" t="s">
        <v>437</v>
      </c>
      <c r="AC8" t="s">
        <v>674</v>
      </c>
      <c r="AE8" t="s">
        <v>671</v>
      </c>
      <c r="AG8" t="s">
        <v>434</v>
      </c>
      <c r="AH8" t="s">
        <v>396</v>
      </c>
      <c r="AI8" t="s">
        <v>396</v>
      </c>
      <c r="AK8" t="s">
        <v>680</v>
      </c>
      <c r="AL8" t="s">
        <v>637</v>
      </c>
      <c r="AM8" t="s">
        <v>498</v>
      </c>
      <c r="AN8" t="s">
        <v>628</v>
      </c>
      <c r="AR8" t="s">
        <v>866</v>
      </c>
      <c r="AS8" t="s">
        <v>885</v>
      </c>
    </row>
    <row r="9" spans="1:45" x14ac:dyDescent="0.35">
      <c r="A9" t="str">
        <f t="shared" si="0"/>
        <v>Estrato2y3BarEliteMezcla 3</v>
      </c>
      <c r="B9" t="str">
        <f t="shared" si="1"/>
        <v>Estrato2y3BarElite</v>
      </c>
      <c r="C9" t="str">
        <f t="shared" si="2"/>
        <v>Estrato2y3BarEliteGordon's</v>
      </c>
      <c r="D9" t="str">
        <f t="shared" si="3"/>
        <v>Estrato2y3BarEliteGordon'sMezcla 3</v>
      </c>
      <c r="E9" s="245" t="s">
        <v>571</v>
      </c>
      <c r="F9" s="245" t="s">
        <v>616</v>
      </c>
      <c r="G9" s="247" t="s">
        <v>627</v>
      </c>
      <c r="H9" t="s">
        <v>671</v>
      </c>
      <c r="I9" s="247" t="s">
        <v>572</v>
      </c>
      <c r="L9" t="s">
        <v>625</v>
      </c>
      <c r="Q9" t="s">
        <v>671</v>
      </c>
      <c r="U9" t="s">
        <v>671</v>
      </c>
      <c r="Z9" t="s">
        <v>394</v>
      </c>
      <c r="AA9" t="s">
        <v>379</v>
      </c>
      <c r="AG9" t="s">
        <v>454</v>
      </c>
      <c r="AH9" t="s">
        <v>403</v>
      </c>
      <c r="AI9" t="s">
        <v>403</v>
      </c>
      <c r="AK9" t="s">
        <v>681</v>
      </c>
      <c r="AL9" t="s">
        <v>629</v>
      </c>
      <c r="AM9" t="s">
        <v>497</v>
      </c>
      <c r="AN9" t="s">
        <v>499</v>
      </c>
      <c r="AO9" t="s">
        <v>525</v>
      </c>
      <c r="AR9" t="s">
        <v>224</v>
      </c>
      <c r="AS9" t="s">
        <v>886</v>
      </c>
    </row>
    <row r="10" spans="1:45" x14ac:dyDescent="0.35">
      <c r="A10" t="str">
        <f t="shared" si="0"/>
        <v>Estrato2y3BarEliteMezcla 4</v>
      </c>
      <c r="B10" t="str">
        <f t="shared" si="1"/>
        <v>Estrato2y3BarElite</v>
      </c>
      <c r="C10" t="str">
        <f t="shared" si="2"/>
        <v>Estrato2y3BarEliteJohnnie Walker Red o Black</v>
      </c>
      <c r="D10" t="str">
        <f t="shared" si="3"/>
        <v>Estrato2y3BarEliteJohnnie Walker Red o BlackMezcla 4</v>
      </c>
      <c r="E10" s="245" t="s">
        <v>571</v>
      </c>
      <c r="F10" s="245" t="s">
        <v>616</v>
      </c>
      <c r="G10" s="247" t="s">
        <v>628</v>
      </c>
      <c r="H10" t="s">
        <v>670</v>
      </c>
      <c r="I10" s="247" t="s">
        <v>565</v>
      </c>
      <c r="Q10" s="245"/>
      <c r="R10" s="245"/>
      <c r="S10" s="246"/>
      <c r="Z10" t="s">
        <v>396</v>
      </c>
      <c r="AA10" t="s">
        <v>394</v>
      </c>
      <c r="AG10" t="s">
        <v>458</v>
      </c>
      <c r="AH10" t="s">
        <v>406</v>
      </c>
      <c r="AI10" t="s">
        <v>406</v>
      </c>
      <c r="AK10" t="s">
        <v>702</v>
      </c>
      <c r="AL10" t="s">
        <v>503</v>
      </c>
      <c r="AM10" t="s">
        <v>633</v>
      </c>
      <c r="AN10" t="s">
        <v>635</v>
      </c>
      <c r="AO10" t="s">
        <v>636</v>
      </c>
      <c r="AR10" t="s">
        <v>867</v>
      </c>
      <c r="AS10" t="s">
        <v>887</v>
      </c>
    </row>
    <row r="11" spans="1:45" x14ac:dyDescent="0.35">
      <c r="A11" t="str">
        <f t="shared" si="0"/>
        <v>Estrato2y3BarEstandár1/2 botella</v>
      </c>
      <c r="B11" t="str">
        <f t="shared" si="1"/>
        <v>Estrato2y3BarEstandár</v>
      </c>
      <c r="C11" t="str">
        <f t="shared" si="2"/>
        <v>Estrato2y3BarEstandárBlack &amp; White</v>
      </c>
      <c r="D11" t="str">
        <f t="shared" si="3"/>
        <v>Estrato2y3BarEstandárBlack &amp; White1/2 botella</v>
      </c>
      <c r="E11" s="245" t="s">
        <v>571</v>
      </c>
      <c r="F11" s="245" t="s">
        <v>618</v>
      </c>
      <c r="G11" s="247" t="s">
        <v>503</v>
      </c>
      <c r="H11" t="s">
        <v>290</v>
      </c>
      <c r="I11" s="246" t="s">
        <v>579</v>
      </c>
      <c r="Q11" s="245"/>
      <c r="R11" s="245"/>
      <c r="S11" s="246"/>
      <c r="Z11" t="s">
        <v>403</v>
      </c>
      <c r="AA11" t="s">
        <v>396</v>
      </c>
      <c r="AG11" t="s">
        <v>398</v>
      </c>
      <c r="AH11" t="s">
        <v>434</v>
      </c>
      <c r="AI11" t="s">
        <v>434</v>
      </c>
      <c r="AK11" t="s">
        <v>708</v>
      </c>
      <c r="AL11" t="s">
        <v>628</v>
      </c>
      <c r="AR11" t="s">
        <v>868</v>
      </c>
      <c r="AS11" t="s">
        <v>888</v>
      </c>
    </row>
    <row r="12" spans="1:45" x14ac:dyDescent="0.35">
      <c r="A12" t="str">
        <f t="shared" si="0"/>
        <v>Estrato2y3BarEstandárBotella 1</v>
      </c>
      <c r="B12" t="str">
        <f t="shared" si="1"/>
        <v>Estrato2y3BarEstandár</v>
      </c>
      <c r="C12" t="str">
        <f t="shared" si="2"/>
        <v>Estrato2y3BarEstandárJohnnie Walker Red o Black</v>
      </c>
      <c r="D12" t="str">
        <f t="shared" si="3"/>
        <v>Estrato2y3BarEstandárJohnnie Walker Red o BlackBotella 1</v>
      </c>
      <c r="E12" s="245" t="s">
        <v>571</v>
      </c>
      <c r="F12" s="245" t="s">
        <v>618</v>
      </c>
      <c r="G12" s="247" t="s">
        <v>637</v>
      </c>
      <c r="H12" t="s">
        <v>670</v>
      </c>
      <c r="I12" s="248" t="s">
        <v>563</v>
      </c>
      <c r="L12" t="s">
        <v>616</v>
      </c>
      <c r="Q12" s="245"/>
      <c r="R12" s="245"/>
      <c r="S12" s="246"/>
      <c r="Z12" t="s">
        <v>406</v>
      </c>
      <c r="AA12" t="s">
        <v>403</v>
      </c>
      <c r="AG12" t="s">
        <v>412</v>
      </c>
      <c r="AH12" t="s">
        <v>454</v>
      </c>
      <c r="AI12" t="s">
        <v>454</v>
      </c>
      <c r="AK12" t="s">
        <v>703</v>
      </c>
      <c r="AL12" t="s">
        <v>637</v>
      </c>
      <c r="AM12" t="s">
        <v>498</v>
      </c>
      <c r="AN12" t="s">
        <v>525</v>
      </c>
      <c r="AR12" s="126" t="s">
        <v>869</v>
      </c>
      <c r="AS12" t="s">
        <v>889</v>
      </c>
    </row>
    <row r="13" spans="1:45" x14ac:dyDescent="0.35">
      <c r="A13" t="str">
        <f t="shared" si="0"/>
        <v>Estrato2y3BarEstandárBotella 2</v>
      </c>
      <c r="B13" t="str">
        <f t="shared" si="1"/>
        <v>Estrato2y3BarEstandár</v>
      </c>
      <c r="C13" t="str">
        <f t="shared" si="2"/>
        <v>Estrato2y3BarEstandárOld Parr 12</v>
      </c>
      <c r="D13" t="str">
        <f t="shared" si="3"/>
        <v>Estrato2y3BarEstandárOld Parr 12Botella 2</v>
      </c>
      <c r="E13" s="245" t="s">
        <v>571</v>
      </c>
      <c r="F13" s="245" t="s">
        <v>618</v>
      </c>
      <c r="G13" s="247" t="s">
        <v>629</v>
      </c>
      <c r="H13" t="s">
        <v>417</v>
      </c>
      <c r="I13" s="246" t="s">
        <v>566</v>
      </c>
      <c r="L13" t="s">
        <v>618</v>
      </c>
      <c r="Q13" s="245"/>
      <c r="R13" s="245"/>
      <c r="S13" s="246"/>
      <c r="Z13" t="s">
        <v>434</v>
      </c>
      <c r="AA13" t="s">
        <v>406</v>
      </c>
      <c r="AG13" t="s">
        <v>677</v>
      </c>
      <c r="AH13" t="s">
        <v>458</v>
      </c>
      <c r="AI13" t="s">
        <v>458</v>
      </c>
      <c r="AK13" t="s">
        <v>704</v>
      </c>
      <c r="AL13" t="s">
        <v>629</v>
      </c>
      <c r="AM13" t="s">
        <v>497</v>
      </c>
      <c r="AN13" t="s">
        <v>634</v>
      </c>
      <c r="AO13" t="s">
        <v>627</v>
      </c>
      <c r="AR13" t="s">
        <v>870</v>
      </c>
      <c r="AS13" t="s">
        <v>890</v>
      </c>
    </row>
    <row r="14" spans="1:45" x14ac:dyDescent="0.35">
      <c r="A14" t="str">
        <f t="shared" si="0"/>
        <v>Estrato2y3BarEstandárBotella 3</v>
      </c>
      <c r="B14" t="str">
        <f t="shared" si="1"/>
        <v>Estrato2y3BarEstandár</v>
      </c>
      <c r="C14" t="str">
        <f t="shared" si="2"/>
        <v>Estrato2y3BarEstandárSmirnoff</v>
      </c>
      <c r="D14" t="str">
        <f t="shared" si="3"/>
        <v>Estrato2y3BarEstandárSmirnoffBotella 3</v>
      </c>
      <c r="E14" s="245" t="s">
        <v>571</v>
      </c>
      <c r="F14" s="245" t="s">
        <v>618</v>
      </c>
      <c r="G14" s="247" t="s">
        <v>631</v>
      </c>
      <c r="H14" t="s">
        <v>672</v>
      </c>
      <c r="I14" s="247" t="s">
        <v>574</v>
      </c>
      <c r="L14" t="s">
        <v>617</v>
      </c>
      <c r="Q14" s="245"/>
      <c r="R14" s="245"/>
      <c r="S14" s="246"/>
      <c r="Z14" t="s">
        <v>454</v>
      </c>
      <c r="AA14" t="s">
        <v>434</v>
      </c>
      <c r="AG14" t="s">
        <v>261</v>
      </c>
      <c r="AH14" t="s">
        <v>398</v>
      </c>
      <c r="AI14" t="s">
        <v>398</v>
      </c>
      <c r="AK14" t="s">
        <v>705</v>
      </c>
      <c r="AL14" t="s">
        <v>631</v>
      </c>
      <c r="AM14" t="s">
        <v>499</v>
      </c>
      <c r="AR14" s="126" t="s">
        <v>107</v>
      </c>
      <c r="AS14" t="s">
        <v>891</v>
      </c>
    </row>
    <row r="15" spans="1:45" x14ac:dyDescent="0.35">
      <c r="A15" t="str">
        <f t="shared" si="0"/>
        <v>Estrato2y3BarEstandárBotella 4</v>
      </c>
      <c r="B15" t="str">
        <f t="shared" si="1"/>
        <v>Estrato2y3BarEstandár</v>
      </c>
      <c r="C15" t="str">
        <f t="shared" si="2"/>
        <v>Estrato2y3BarEstandárSmirnoff X1</v>
      </c>
      <c r="D15" t="str">
        <f t="shared" si="3"/>
        <v>Estrato2y3BarEstandárSmirnoff X1Botella 4</v>
      </c>
      <c r="E15" s="245" t="s">
        <v>571</v>
      </c>
      <c r="F15" s="245" t="s">
        <v>618</v>
      </c>
      <c r="G15" s="247" t="s">
        <v>632</v>
      </c>
      <c r="H15" t="s">
        <v>673</v>
      </c>
      <c r="I15" s="246" t="s">
        <v>541</v>
      </c>
      <c r="L15" t="s">
        <v>619</v>
      </c>
      <c r="Q15" s="245"/>
      <c r="R15" s="245"/>
      <c r="S15" s="246"/>
      <c r="Z15" t="s">
        <v>458</v>
      </c>
      <c r="AA15" t="s">
        <v>454</v>
      </c>
      <c r="AG15" t="s">
        <v>436</v>
      </c>
      <c r="AH15" t="s">
        <v>412</v>
      </c>
      <c r="AI15" t="s">
        <v>412</v>
      </c>
      <c r="AK15" t="s">
        <v>707</v>
      </c>
      <c r="AL15" t="s">
        <v>471</v>
      </c>
      <c r="AR15" t="s">
        <v>871</v>
      </c>
      <c r="AS15" t="s">
        <v>892</v>
      </c>
    </row>
    <row r="16" spans="1:45" x14ac:dyDescent="0.35">
      <c r="A16" t="str">
        <f t="shared" si="0"/>
        <v>Estrato2y3BarEstandárBotella 5</v>
      </c>
      <c r="B16" t="str">
        <f t="shared" si="1"/>
        <v>Estrato2y3BarEstandár</v>
      </c>
      <c r="C16" t="str">
        <f t="shared" si="2"/>
        <v>Estrato2y3BarEstandárBlack &amp; White</v>
      </c>
      <c r="D16" t="str">
        <f t="shared" si="3"/>
        <v>Estrato2y3BarEstandárBlack &amp; WhiteBotella 5</v>
      </c>
      <c r="E16" s="245" t="s">
        <v>571</v>
      </c>
      <c r="F16" s="245" t="s">
        <v>618</v>
      </c>
      <c r="G16" s="247" t="s">
        <v>633</v>
      </c>
      <c r="H16" t="s">
        <v>290</v>
      </c>
      <c r="I16" s="246" t="s">
        <v>580</v>
      </c>
      <c r="L16" t="s">
        <v>620</v>
      </c>
      <c r="Q16" s="245"/>
      <c r="R16" s="245"/>
      <c r="S16" s="246"/>
      <c r="Z16" t="s">
        <v>436</v>
      </c>
      <c r="AA16" t="s">
        <v>458</v>
      </c>
      <c r="AG16" t="s">
        <v>675</v>
      </c>
      <c r="AH16" t="s">
        <v>677</v>
      </c>
      <c r="AI16" t="s">
        <v>677</v>
      </c>
      <c r="AK16" t="s">
        <v>706</v>
      </c>
      <c r="AL16" t="s">
        <v>910</v>
      </c>
      <c r="AM16" t="s">
        <v>632</v>
      </c>
      <c r="AN16" t="s">
        <v>546</v>
      </c>
      <c r="AR16" t="s">
        <v>872</v>
      </c>
      <c r="AS16" t="s">
        <v>893</v>
      </c>
    </row>
    <row r="17" spans="1:45" x14ac:dyDescent="0.35">
      <c r="A17" t="str">
        <f t="shared" si="0"/>
        <v>Estrato2y3BarEstandárCoctel 3</v>
      </c>
      <c r="B17" t="str">
        <f t="shared" si="1"/>
        <v>Estrato2y3BarEstandár</v>
      </c>
      <c r="C17" t="str">
        <f t="shared" si="2"/>
        <v>Estrato2y3BarEstandárOld Parr 12</v>
      </c>
      <c r="D17" t="str">
        <f t="shared" si="3"/>
        <v>Estrato2y3BarEstandárOld Parr 12Coctel 3</v>
      </c>
      <c r="E17" s="245" t="s">
        <v>571</v>
      </c>
      <c r="F17" s="245" t="s">
        <v>618</v>
      </c>
      <c r="G17" s="247" t="s">
        <v>634</v>
      </c>
      <c r="H17" t="s">
        <v>417</v>
      </c>
      <c r="I17" s="246" t="s">
        <v>567</v>
      </c>
      <c r="L17" t="s">
        <v>621</v>
      </c>
      <c r="Q17" s="245"/>
      <c r="R17" s="245"/>
      <c r="S17" s="246"/>
      <c r="Z17" t="s">
        <v>675</v>
      </c>
      <c r="AA17" t="s">
        <v>673</v>
      </c>
      <c r="AG17" t="s">
        <v>671</v>
      </c>
      <c r="AH17" t="s">
        <v>261</v>
      </c>
      <c r="AI17" t="s">
        <v>261</v>
      </c>
      <c r="AK17" t="s">
        <v>709</v>
      </c>
      <c r="AL17" t="s">
        <v>637</v>
      </c>
      <c r="AM17" t="s">
        <v>498</v>
      </c>
      <c r="AN17" t="s">
        <v>525</v>
      </c>
      <c r="AR17" t="s">
        <v>873</v>
      </c>
      <c r="AS17" t="s">
        <v>894</v>
      </c>
    </row>
    <row r="18" spans="1:45" x14ac:dyDescent="0.35">
      <c r="A18" t="str">
        <f t="shared" si="0"/>
        <v>Estrato2y3BarEstandárCoctel 2</v>
      </c>
      <c r="B18" t="str">
        <f t="shared" si="1"/>
        <v>Estrato2y3BarEstandár</v>
      </c>
      <c r="C18" t="str">
        <f t="shared" si="2"/>
        <v>Estrato2y3BarEstandárSmirnoff</v>
      </c>
      <c r="D18" t="str">
        <f t="shared" si="3"/>
        <v>Estrato2y3BarEstandárSmirnoffCoctel 2</v>
      </c>
      <c r="E18" s="245" t="s">
        <v>571</v>
      </c>
      <c r="F18" s="245" t="s">
        <v>618</v>
      </c>
      <c r="G18" s="247" t="s">
        <v>499</v>
      </c>
      <c r="H18" t="s">
        <v>672</v>
      </c>
      <c r="I18" s="246" t="s">
        <v>575</v>
      </c>
      <c r="L18" t="s">
        <v>622</v>
      </c>
      <c r="Q18" s="245"/>
      <c r="R18" s="245"/>
      <c r="S18" s="246"/>
      <c r="Z18" t="s">
        <v>671</v>
      </c>
      <c r="AA18" t="s">
        <v>436</v>
      </c>
      <c r="AG18" t="s">
        <v>445</v>
      </c>
      <c r="AH18" t="s">
        <v>436</v>
      </c>
      <c r="AI18" t="s">
        <v>436</v>
      </c>
      <c r="AK18" t="s">
        <v>710</v>
      </c>
      <c r="AL18" t="s">
        <v>630</v>
      </c>
      <c r="AM18" t="s">
        <v>497</v>
      </c>
      <c r="AN18" t="s">
        <v>499</v>
      </c>
      <c r="AO18" t="s">
        <v>627</v>
      </c>
      <c r="AR18" s="126" t="s">
        <v>874</v>
      </c>
      <c r="AS18" t="s">
        <v>895</v>
      </c>
    </row>
    <row r="19" spans="1:45" x14ac:dyDescent="0.35">
      <c r="A19" t="str">
        <f t="shared" si="0"/>
        <v>Estrato2y3BarEstandárCoctel 1</v>
      </c>
      <c r="B19" t="str">
        <f t="shared" si="1"/>
        <v>Estrato2y3BarEstandár</v>
      </c>
      <c r="C19" t="str">
        <f t="shared" si="2"/>
        <v>Estrato2y3BarEstandárOld Parr 12</v>
      </c>
      <c r="D19" t="str">
        <f t="shared" si="3"/>
        <v>Estrato2y3BarEstandárOld Parr 12Coctel 1</v>
      </c>
      <c r="E19" s="245" t="s">
        <v>571</v>
      </c>
      <c r="F19" s="245" t="s">
        <v>618</v>
      </c>
      <c r="G19" s="247" t="s">
        <v>497</v>
      </c>
      <c r="H19" t="s">
        <v>417</v>
      </c>
      <c r="I19" s="246" t="s">
        <v>569</v>
      </c>
      <c r="L19" t="s">
        <v>623</v>
      </c>
      <c r="Q19" s="245"/>
      <c r="R19" s="245"/>
      <c r="S19" s="246"/>
      <c r="Z19" t="s">
        <v>445</v>
      </c>
      <c r="AA19" t="s">
        <v>675</v>
      </c>
      <c r="AG19" t="s">
        <v>446</v>
      </c>
      <c r="AH19" t="s">
        <v>675</v>
      </c>
      <c r="AI19" t="s">
        <v>675</v>
      </c>
      <c r="AK19" t="s">
        <v>711</v>
      </c>
      <c r="AL19" t="s">
        <v>637</v>
      </c>
      <c r="AM19" t="s">
        <v>498</v>
      </c>
      <c r="AN19" t="s">
        <v>525</v>
      </c>
      <c r="AR19" t="s">
        <v>143</v>
      </c>
      <c r="AS19" t="s">
        <v>896</v>
      </c>
    </row>
    <row r="20" spans="1:45" x14ac:dyDescent="0.35">
      <c r="A20" t="str">
        <f t="shared" si="0"/>
        <v>Estrato2y3BarEstandárShot</v>
      </c>
      <c r="B20" t="str">
        <f t="shared" si="1"/>
        <v>Estrato2y3BarEstandár</v>
      </c>
      <c r="C20" t="str">
        <f t="shared" si="2"/>
        <v>Estrato2y3BarEstandárSmirnoff X1</v>
      </c>
      <c r="D20" t="str">
        <f t="shared" si="3"/>
        <v>Estrato2y3BarEstandárSmirnoff X1Shot</v>
      </c>
      <c r="E20" s="245" t="s">
        <v>571</v>
      </c>
      <c r="F20" s="245" t="s">
        <v>618</v>
      </c>
      <c r="G20" s="247" t="s">
        <v>910</v>
      </c>
      <c r="H20" t="s">
        <v>673</v>
      </c>
      <c r="I20" s="246" t="s">
        <v>576</v>
      </c>
      <c r="L20" t="s">
        <v>624</v>
      </c>
      <c r="Q20" s="245"/>
      <c r="R20" s="245"/>
      <c r="S20" s="246"/>
      <c r="Z20" t="s">
        <v>446</v>
      </c>
      <c r="AA20" t="s">
        <v>674</v>
      </c>
      <c r="AG20" t="s">
        <v>401</v>
      </c>
      <c r="AH20" t="s">
        <v>671</v>
      </c>
      <c r="AI20" t="s">
        <v>671</v>
      </c>
      <c r="AK20" t="s">
        <v>712</v>
      </c>
      <c r="AL20" t="s">
        <v>629</v>
      </c>
      <c r="AM20" t="s">
        <v>497</v>
      </c>
      <c r="AN20" t="s">
        <v>499</v>
      </c>
      <c r="AO20" t="s">
        <v>627</v>
      </c>
      <c r="AR20" t="s">
        <v>875</v>
      </c>
      <c r="AS20" t="s">
        <v>897</v>
      </c>
    </row>
    <row r="21" spans="1:45" x14ac:dyDescent="0.35">
      <c r="A21" t="str">
        <f t="shared" si="0"/>
        <v>Estrato2y3BarEstandárEn las rocas 2</v>
      </c>
      <c r="B21" t="str">
        <f t="shared" si="1"/>
        <v>Estrato2y3BarEstandár</v>
      </c>
      <c r="C21" t="str">
        <f t="shared" si="2"/>
        <v>Estrato2y3BarEstandárBlack &amp; White</v>
      </c>
      <c r="D21" t="str">
        <f t="shared" si="3"/>
        <v>Estrato2y3BarEstandárBlack &amp; WhiteEn las rocas 2</v>
      </c>
      <c r="E21" s="245" t="s">
        <v>571</v>
      </c>
      <c r="F21" s="245" t="s">
        <v>618</v>
      </c>
      <c r="G21" s="246" t="s">
        <v>635</v>
      </c>
      <c r="H21" t="s">
        <v>290</v>
      </c>
      <c r="I21" s="246" t="s">
        <v>94</v>
      </c>
      <c r="L21" t="s">
        <v>625</v>
      </c>
      <c r="Q21" s="245"/>
      <c r="R21" s="245"/>
      <c r="S21" s="246"/>
      <c r="Z21" t="s">
        <v>676</v>
      </c>
      <c r="AA21" t="s">
        <v>671</v>
      </c>
      <c r="AG21" t="s">
        <v>676</v>
      </c>
      <c r="AH21" t="s">
        <v>445</v>
      </c>
      <c r="AI21" t="s">
        <v>445</v>
      </c>
      <c r="AK21" t="s">
        <v>713</v>
      </c>
      <c r="AL21" t="s">
        <v>631</v>
      </c>
      <c r="AM21" t="s">
        <v>634</v>
      </c>
      <c r="AR21" t="s">
        <v>876</v>
      </c>
      <c r="AS21" t="s">
        <v>898</v>
      </c>
    </row>
    <row r="22" spans="1:45" x14ac:dyDescent="0.35">
      <c r="A22" t="str">
        <f t="shared" si="0"/>
        <v>Estrato2y3BarEstandárLata</v>
      </c>
      <c r="B22" t="str">
        <f t="shared" si="1"/>
        <v>Estrato2y3BarEstandár</v>
      </c>
      <c r="C22" t="str">
        <f t="shared" si="2"/>
        <v>Estrato2y3BarEstandárSmirnoff Lata</v>
      </c>
      <c r="D22" t="str">
        <f t="shared" si="3"/>
        <v>Estrato2y3BarEstandárSmirnoff LataLata</v>
      </c>
      <c r="E22" s="245" t="s">
        <v>571</v>
      </c>
      <c r="F22" s="245" t="s">
        <v>618</v>
      </c>
      <c r="G22" s="247" t="s">
        <v>471</v>
      </c>
      <c r="H22" t="s">
        <v>674</v>
      </c>
      <c r="I22" s="247" t="s">
        <v>539</v>
      </c>
      <c r="Q22" s="245"/>
      <c r="R22" s="245"/>
      <c r="S22" s="246"/>
      <c r="AA22" t="s">
        <v>445</v>
      </c>
      <c r="AH22" t="s">
        <v>446</v>
      </c>
      <c r="AI22" t="s">
        <v>446</v>
      </c>
      <c r="AK22" t="s">
        <v>701</v>
      </c>
      <c r="AL22" t="s">
        <v>471</v>
      </c>
      <c r="AR22" t="s">
        <v>877</v>
      </c>
      <c r="AS22" t="s">
        <v>899</v>
      </c>
    </row>
    <row r="23" spans="1:45" x14ac:dyDescent="0.35">
      <c r="A23" t="str">
        <f t="shared" si="0"/>
        <v>Estrato2y3BarEstandárMedia Botella</v>
      </c>
      <c r="B23" t="str">
        <f t="shared" si="1"/>
        <v>Estrato2y3BarEstandár</v>
      </c>
      <c r="C23" t="str">
        <f t="shared" si="2"/>
        <v>Estrato2y3BarEstandárSmirnoff X1</v>
      </c>
      <c r="D23" t="str">
        <f t="shared" si="3"/>
        <v>Estrato2y3BarEstandárSmirnoff X1Media Botella</v>
      </c>
      <c r="E23" s="245" t="s">
        <v>571</v>
      </c>
      <c r="F23" s="245" t="s">
        <v>618</v>
      </c>
      <c r="G23" s="247" t="s">
        <v>546</v>
      </c>
      <c r="H23" t="s">
        <v>673</v>
      </c>
      <c r="I23" s="246" t="s">
        <v>545</v>
      </c>
      <c r="Q23" s="245"/>
      <c r="R23" s="245"/>
      <c r="S23" s="246"/>
      <c r="AA23" t="s">
        <v>446</v>
      </c>
      <c r="AH23" t="s">
        <v>401</v>
      </c>
      <c r="AI23" t="s">
        <v>401</v>
      </c>
      <c r="AK23" t="s">
        <v>714</v>
      </c>
      <c r="AL23" t="s">
        <v>910</v>
      </c>
      <c r="AM23" t="s">
        <v>632</v>
      </c>
      <c r="AN23" t="s">
        <v>546</v>
      </c>
      <c r="AR23" s="126" t="s">
        <v>878</v>
      </c>
      <c r="AS23" t="s">
        <v>900</v>
      </c>
    </row>
    <row r="24" spans="1:45" x14ac:dyDescent="0.35">
      <c r="A24" t="str">
        <f t="shared" si="0"/>
        <v>Estrato2y3BarEstandárMezcla 1</v>
      </c>
      <c r="B24" t="str">
        <f t="shared" si="1"/>
        <v>Estrato2y3BarEstandár</v>
      </c>
      <c r="C24" t="str">
        <f t="shared" si="2"/>
        <v>Estrato2y3BarEstandárJohnnie Walker Red o Black</v>
      </c>
      <c r="D24" t="str">
        <f t="shared" si="3"/>
        <v>Estrato2y3BarEstandárJohnnie Walker Red o BlackMezcla 1</v>
      </c>
      <c r="E24" s="245" t="s">
        <v>571</v>
      </c>
      <c r="F24" s="245" t="s">
        <v>618</v>
      </c>
      <c r="G24" s="247" t="s">
        <v>498</v>
      </c>
      <c r="H24" t="s">
        <v>670</v>
      </c>
      <c r="I24" s="247" t="s">
        <v>564</v>
      </c>
      <c r="Q24" s="245"/>
      <c r="R24" s="245"/>
      <c r="S24" s="246"/>
      <c r="AA24" t="s">
        <v>676</v>
      </c>
      <c r="AH24" t="s">
        <v>676</v>
      </c>
      <c r="AI24" t="s">
        <v>676</v>
      </c>
      <c r="AK24" t="s">
        <v>715</v>
      </c>
      <c r="AL24" t="s">
        <v>503</v>
      </c>
      <c r="AM24" t="s">
        <v>631</v>
      </c>
      <c r="AN24" t="s">
        <v>635</v>
      </c>
      <c r="AO24" t="s">
        <v>498</v>
      </c>
      <c r="AR24" t="s">
        <v>879</v>
      </c>
      <c r="AS24" t="s">
        <v>901</v>
      </c>
    </row>
    <row r="25" spans="1:45" x14ac:dyDescent="0.35">
      <c r="A25" t="str">
        <f t="shared" si="0"/>
        <v>Estrato2y3BarEstandárMezcla 3</v>
      </c>
      <c r="B25" t="str">
        <f t="shared" si="1"/>
        <v>Estrato2y3BarEstandár</v>
      </c>
      <c r="C25" t="str">
        <f t="shared" si="2"/>
        <v>Estrato2y3BarEstandárOld Parr 12</v>
      </c>
      <c r="D25" t="str">
        <f t="shared" si="3"/>
        <v>Estrato2y3BarEstandárOld Parr 12Mezcla 3</v>
      </c>
      <c r="E25" s="245" t="s">
        <v>571</v>
      </c>
      <c r="F25" s="245" t="s">
        <v>618</v>
      </c>
      <c r="G25" s="247" t="s">
        <v>627</v>
      </c>
      <c r="H25" t="s">
        <v>417</v>
      </c>
      <c r="I25" s="246" t="s">
        <v>570</v>
      </c>
      <c r="Q25" s="245"/>
      <c r="R25" s="245"/>
      <c r="S25" s="246"/>
      <c r="AK25" t="s">
        <v>716</v>
      </c>
      <c r="AL25" t="s">
        <v>637</v>
      </c>
      <c r="AM25" t="s">
        <v>497</v>
      </c>
      <c r="AR25" t="s">
        <v>516</v>
      </c>
      <c r="AS25" t="s">
        <v>902</v>
      </c>
    </row>
    <row r="26" spans="1:45" x14ac:dyDescent="0.35">
      <c r="A26" t="str">
        <f t="shared" si="0"/>
        <v>Estrato2y3BarEstandárMezcla 4</v>
      </c>
      <c r="B26" t="str">
        <f t="shared" si="1"/>
        <v>Estrato2y3BarEstandár</v>
      </c>
      <c r="C26" t="str">
        <f t="shared" si="2"/>
        <v>Estrato2y3BarEstandárGordon's</v>
      </c>
      <c r="D26" t="str">
        <f t="shared" si="3"/>
        <v>Estrato2y3BarEstandárGordon'sMezcla 4</v>
      </c>
      <c r="E26" s="245" t="s">
        <v>571</v>
      </c>
      <c r="F26" s="245" t="s">
        <v>618</v>
      </c>
      <c r="G26" s="247" t="s">
        <v>628</v>
      </c>
      <c r="H26" t="s">
        <v>671</v>
      </c>
      <c r="I26" s="246" t="s">
        <v>572</v>
      </c>
      <c r="Q26" s="245"/>
      <c r="R26" s="245"/>
      <c r="S26" s="246"/>
      <c r="AK26" t="s">
        <v>718</v>
      </c>
      <c r="AL26" t="s">
        <v>471</v>
      </c>
      <c r="AR26" t="s">
        <v>880</v>
      </c>
      <c r="AS26" t="s">
        <v>903</v>
      </c>
    </row>
    <row r="27" spans="1:45" x14ac:dyDescent="0.35">
      <c r="A27" t="str">
        <f t="shared" si="0"/>
        <v>Estrato2y3BarEstandárMezcla 5</v>
      </c>
      <c r="B27" t="str">
        <f t="shared" si="1"/>
        <v>Estrato2y3BarEstandár</v>
      </c>
      <c r="C27" t="str">
        <f t="shared" si="2"/>
        <v>Estrato2y3BarEstandárBlack &amp; White</v>
      </c>
      <c r="D27" t="str">
        <f t="shared" si="3"/>
        <v>Estrato2y3BarEstandárBlack &amp; WhiteMezcla 5</v>
      </c>
      <c r="E27" s="245" t="s">
        <v>571</v>
      </c>
      <c r="F27" s="245" t="s">
        <v>618</v>
      </c>
      <c r="G27" s="246" t="s">
        <v>636</v>
      </c>
      <c r="H27" t="s">
        <v>290</v>
      </c>
      <c r="I27" s="246" t="s">
        <v>581</v>
      </c>
      <c r="Q27" s="245"/>
      <c r="R27" s="245"/>
      <c r="S27" s="246"/>
      <c r="AK27" t="s">
        <v>717</v>
      </c>
      <c r="AL27" t="s">
        <v>910</v>
      </c>
      <c r="AM27" t="s">
        <v>629</v>
      </c>
      <c r="AN27" t="s">
        <v>546</v>
      </c>
      <c r="AR27" t="s">
        <v>140</v>
      </c>
      <c r="AS27" t="s">
        <v>904</v>
      </c>
    </row>
    <row r="28" spans="1:45" x14ac:dyDescent="0.35">
      <c r="A28" t="str">
        <f t="shared" si="0"/>
        <v>Estrato2y3BarEstandárMezcla 2</v>
      </c>
      <c r="B28" t="str">
        <f t="shared" si="1"/>
        <v>Estrato2y3BarEstandár</v>
      </c>
      <c r="C28" t="str">
        <f t="shared" si="2"/>
        <v>Estrato2y3BarEstandárJohnnie Walker Red o Black</v>
      </c>
      <c r="D28" t="str">
        <f t="shared" si="3"/>
        <v>Estrato2y3BarEstandárJohnnie Walker Red o BlackMezcla 2</v>
      </c>
      <c r="E28" s="245" t="s">
        <v>571</v>
      </c>
      <c r="F28" s="245" t="s">
        <v>618</v>
      </c>
      <c r="G28" s="247" t="s">
        <v>525</v>
      </c>
      <c r="H28" t="s">
        <v>670</v>
      </c>
      <c r="I28" s="247" t="s">
        <v>565</v>
      </c>
      <c r="AK28" t="s">
        <v>719</v>
      </c>
      <c r="AL28" t="s">
        <v>503</v>
      </c>
      <c r="AM28" t="s">
        <v>633</v>
      </c>
      <c r="AN28" t="s">
        <v>635</v>
      </c>
      <c r="AO28" t="s">
        <v>636</v>
      </c>
      <c r="AR28" s="126" t="s">
        <v>881</v>
      </c>
      <c r="AS28" t="s">
        <v>905</v>
      </c>
    </row>
    <row r="29" spans="1:45" x14ac:dyDescent="0.35">
      <c r="A29" t="str">
        <f t="shared" si="0"/>
        <v>Estrato2y3DiscotecaEliteBotella 1</v>
      </c>
      <c r="B29" t="str">
        <f t="shared" si="1"/>
        <v>Estrato2y3DiscotecaElite</v>
      </c>
      <c r="C29" t="str">
        <f t="shared" si="2"/>
        <v>Estrato2y3DiscotecaEliteJohnnie Walker Red o Black</v>
      </c>
      <c r="D29" t="str">
        <f t="shared" si="3"/>
        <v>Estrato2y3DiscotecaEliteJohnnie Walker Red o BlackBotella 1</v>
      </c>
      <c r="E29" s="245" t="s">
        <v>571</v>
      </c>
      <c r="F29" s="245" t="s">
        <v>619</v>
      </c>
      <c r="G29" s="246" t="s">
        <v>637</v>
      </c>
      <c r="H29" t="s">
        <v>670</v>
      </c>
      <c r="I29" s="248" t="s">
        <v>563</v>
      </c>
      <c r="P29" s="245"/>
      <c r="Q29" s="245"/>
      <c r="R29" s="246"/>
      <c r="AK29" t="s">
        <v>725</v>
      </c>
      <c r="AL29" t="s">
        <v>628</v>
      </c>
      <c r="AR29" t="s">
        <v>882</v>
      </c>
      <c r="AS29" t="s">
        <v>906</v>
      </c>
    </row>
    <row r="30" spans="1:45" x14ac:dyDescent="0.35">
      <c r="A30" t="str">
        <f t="shared" si="0"/>
        <v>Estrato2y3DiscotecaEliteBotella2</v>
      </c>
      <c r="B30" t="str">
        <f t="shared" si="1"/>
        <v>Estrato2y3DiscotecaElite</v>
      </c>
      <c r="C30" t="str">
        <f t="shared" si="2"/>
        <v>Estrato2y3DiscotecaEliteOld Parr 12</v>
      </c>
      <c r="D30" t="str">
        <f t="shared" si="3"/>
        <v>Estrato2y3DiscotecaEliteOld Parr 12Botella2</v>
      </c>
      <c r="E30" s="245" t="s">
        <v>571</v>
      </c>
      <c r="F30" s="245" t="s">
        <v>619</v>
      </c>
      <c r="G30" s="246" t="s">
        <v>630</v>
      </c>
      <c r="H30" t="s">
        <v>417</v>
      </c>
      <c r="I30" s="246" t="s">
        <v>566</v>
      </c>
      <c r="P30" s="245"/>
      <c r="Q30" s="245"/>
      <c r="R30" s="246"/>
      <c r="AK30" t="s">
        <v>720</v>
      </c>
      <c r="AL30" t="s">
        <v>637</v>
      </c>
      <c r="AM30" t="s">
        <v>498</v>
      </c>
      <c r="AN30" t="s">
        <v>525</v>
      </c>
      <c r="AR30" s="126"/>
    </row>
    <row r="31" spans="1:45" x14ac:dyDescent="0.35">
      <c r="A31" t="str">
        <f t="shared" si="0"/>
        <v>Estrato2y3DiscotecaEliteCoctel 2</v>
      </c>
      <c r="B31" t="str">
        <f t="shared" si="1"/>
        <v>Estrato2y3DiscotecaElite</v>
      </c>
      <c r="C31" t="str">
        <f t="shared" si="2"/>
        <v>Estrato2y3DiscotecaEliteOld Parr 12</v>
      </c>
      <c r="D31" t="str">
        <f t="shared" si="3"/>
        <v>Estrato2y3DiscotecaEliteOld Parr 12Coctel 2</v>
      </c>
      <c r="E31" s="245" t="s">
        <v>571</v>
      </c>
      <c r="F31" s="245" t="s">
        <v>619</v>
      </c>
      <c r="G31" s="246" t="s">
        <v>499</v>
      </c>
      <c r="H31" t="s">
        <v>417</v>
      </c>
      <c r="I31" s="246" t="s">
        <v>567</v>
      </c>
      <c r="P31" s="245"/>
      <c r="Q31" s="245"/>
      <c r="R31" s="246"/>
      <c r="AK31" t="s">
        <v>721</v>
      </c>
      <c r="AL31" t="s">
        <v>629</v>
      </c>
      <c r="AM31" t="s">
        <v>497</v>
      </c>
      <c r="AN31" t="s">
        <v>499</v>
      </c>
      <c r="AO31" t="s">
        <v>627</v>
      </c>
    </row>
    <row r="32" spans="1:45" x14ac:dyDescent="0.35">
      <c r="A32" t="str">
        <f t="shared" si="0"/>
        <v>Estrato2y3DiscotecaEliteCoctel 1</v>
      </c>
      <c r="B32" t="str">
        <f t="shared" si="1"/>
        <v>Estrato2y3DiscotecaElite</v>
      </c>
      <c r="C32" t="str">
        <f t="shared" si="2"/>
        <v>Estrato2y3DiscotecaEliteOld Parr 12</v>
      </c>
      <c r="D32" t="str">
        <f t="shared" si="3"/>
        <v>Estrato2y3DiscotecaEliteOld Parr 12Coctel 1</v>
      </c>
      <c r="E32" s="245" t="s">
        <v>571</v>
      </c>
      <c r="F32" s="245" t="s">
        <v>619</v>
      </c>
      <c r="G32" s="246" t="s">
        <v>497</v>
      </c>
      <c r="H32" t="s">
        <v>417</v>
      </c>
      <c r="I32" s="246" t="s">
        <v>569</v>
      </c>
      <c r="P32" s="245"/>
      <c r="Q32" s="245"/>
      <c r="R32" s="246"/>
      <c r="AK32" t="s">
        <v>722</v>
      </c>
      <c r="AL32" t="s">
        <v>631</v>
      </c>
      <c r="AM32" t="s">
        <v>634</v>
      </c>
      <c r="AR32" s="126"/>
    </row>
    <row r="33" spans="1:44" x14ac:dyDescent="0.35">
      <c r="A33" t="str">
        <f t="shared" si="0"/>
        <v>Estrato2y3DiscotecaEliteMezcla 1</v>
      </c>
      <c r="B33" t="str">
        <f t="shared" si="1"/>
        <v>Estrato2y3DiscotecaElite</v>
      </c>
      <c r="C33" t="str">
        <f t="shared" si="2"/>
        <v>Estrato2y3DiscotecaEliteJohnnie Walker Red o Black</v>
      </c>
      <c r="D33" t="str">
        <f t="shared" si="3"/>
        <v>Estrato2y3DiscotecaEliteJohnnie Walker Red o BlackMezcla 1</v>
      </c>
      <c r="E33" s="245" t="s">
        <v>571</v>
      </c>
      <c r="F33" s="245" t="s">
        <v>619</v>
      </c>
      <c r="G33" s="246" t="s">
        <v>498</v>
      </c>
      <c r="H33" t="s">
        <v>670</v>
      </c>
      <c r="I33" s="247" t="s">
        <v>564</v>
      </c>
      <c r="P33" s="245"/>
      <c r="Q33" s="245"/>
      <c r="R33" s="246"/>
      <c r="AK33" t="s">
        <v>724</v>
      </c>
      <c r="AL33" t="s">
        <v>471</v>
      </c>
    </row>
    <row r="34" spans="1:44" x14ac:dyDescent="0.35">
      <c r="A34" t="str">
        <f t="shared" si="0"/>
        <v>Estrato2y3DiscotecaEliteMezcla 3</v>
      </c>
      <c r="B34" t="str">
        <f t="shared" si="1"/>
        <v>Estrato2y3DiscotecaElite</v>
      </c>
      <c r="C34" t="str">
        <f t="shared" si="2"/>
        <v>Estrato2y3DiscotecaEliteOld Parr 12</v>
      </c>
      <c r="D34" t="str">
        <f t="shared" si="3"/>
        <v>Estrato2y3DiscotecaEliteOld Parr 12Mezcla 3</v>
      </c>
      <c r="E34" s="245" t="s">
        <v>571</v>
      </c>
      <c r="F34" s="245" t="s">
        <v>619</v>
      </c>
      <c r="G34" s="246" t="s">
        <v>627</v>
      </c>
      <c r="H34" t="s">
        <v>417</v>
      </c>
      <c r="I34" s="246" t="s">
        <v>570</v>
      </c>
      <c r="P34" s="245"/>
      <c r="Q34" s="245"/>
      <c r="R34" s="246"/>
      <c r="AK34" t="s">
        <v>723</v>
      </c>
      <c r="AL34" t="s">
        <v>910</v>
      </c>
      <c r="AM34" t="s">
        <v>632</v>
      </c>
      <c r="AN34" t="s">
        <v>546</v>
      </c>
    </row>
    <row r="35" spans="1:44" x14ac:dyDescent="0.35">
      <c r="A35" t="str">
        <f t="shared" si="0"/>
        <v>Estrato2y3DiscotecaEliteMezcla 2</v>
      </c>
      <c r="B35" t="str">
        <f t="shared" si="1"/>
        <v>Estrato2y3DiscotecaElite</v>
      </c>
      <c r="C35" t="str">
        <f t="shared" si="2"/>
        <v>Estrato2y3DiscotecaEliteJohnnie Walker Red o Black</v>
      </c>
      <c r="D35" t="str">
        <f t="shared" si="3"/>
        <v>Estrato2y3DiscotecaEliteJohnnie Walker Red o BlackMezcla 2</v>
      </c>
      <c r="E35" s="245" t="s">
        <v>571</v>
      </c>
      <c r="F35" s="245" t="s">
        <v>619</v>
      </c>
      <c r="G35" s="246" t="s">
        <v>525</v>
      </c>
      <c r="H35" t="s">
        <v>670</v>
      </c>
      <c r="I35" s="247" t="s">
        <v>565</v>
      </c>
      <c r="P35" s="245"/>
      <c r="Q35" s="245"/>
      <c r="R35" s="246"/>
      <c r="AK35" t="s">
        <v>726</v>
      </c>
      <c r="AL35" t="s">
        <v>500</v>
      </c>
      <c r="AM35" t="s">
        <v>498</v>
      </c>
    </row>
    <row r="36" spans="1:44" x14ac:dyDescent="0.35">
      <c r="A36" t="str">
        <f t="shared" si="0"/>
        <v>Estrato2y3DiscotecaEstándarBotella 1</v>
      </c>
      <c r="B36" t="str">
        <f t="shared" si="1"/>
        <v>Estrato2y3DiscotecaEstándar</v>
      </c>
      <c r="C36" t="str">
        <f t="shared" si="2"/>
        <v>Estrato2y3DiscotecaEstándarJohnnie Walker Red o Black</v>
      </c>
      <c r="D36" t="str">
        <f t="shared" si="3"/>
        <v>Estrato2y3DiscotecaEstándarJohnnie Walker Red o BlackBotella 1</v>
      </c>
      <c r="E36" s="245" t="s">
        <v>571</v>
      </c>
      <c r="F36" s="245" t="s">
        <v>620</v>
      </c>
      <c r="G36" s="246" t="s">
        <v>637</v>
      </c>
      <c r="H36" t="s">
        <v>670</v>
      </c>
      <c r="I36" s="248" t="s">
        <v>563</v>
      </c>
      <c r="P36" s="245"/>
      <c r="Q36" s="245"/>
      <c r="R36" s="246"/>
      <c r="AK36" t="s">
        <v>728</v>
      </c>
      <c r="AL36" t="s">
        <v>638</v>
      </c>
      <c r="AM36" t="s">
        <v>498</v>
      </c>
      <c r="AR36" s="126"/>
    </row>
    <row r="37" spans="1:44" x14ac:dyDescent="0.35">
      <c r="A37" t="str">
        <f t="shared" si="0"/>
        <v>Estrato2y3DiscotecaEstándarBotella 2</v>
      </c>
      <c r="B37" t="str">
        <f t="shared" si="1"/>
        <v>Estrato2y3DiscotecaEstándar</v>
      </c>
      <c r="C37" t="str">
        <f t="shared" si="2"/>
        <v>Estrato2y3DiscotecaEstándarOld Parr 12</v>
      </c>
      <c r="D37" t="str">
        <f t="shared" si="3"/>
        <v>Estrato2y3DiscotecaEstándarOld Parr 12Botella 2</v>
      </c>
      <c r="E37" s="245" t="s">
        <v>571</v>
      </c>
      <c r="F37" s="245" t="s">
        <v>620</v>
      </c>
      <c r="G37" s="246" t="s">
        <v>629</v>
      </c>
      <c r="H37" t="s">
        <v>417</v>
      </c>
      <c r="I37" s="246" t="s">
        <v>566</v>
      </c>
      <c r="P37" s="245"/>
      <c r="Q37" s="245"/>
      <c r="R37" s="246"/>
      <c r="AK37" t="s">
        <v>727</v>
      </c>
      <c r="AL37" t="s">
        <v>503</v>
      </c>
      <c r="AM37" t="s">
        <v>502</v>
      </c>
      <c r="AN37" t="s">
        <v>635</v>
      </c>
      <c r="AO37" t="s">
        <v>627</v>
      </c>
    </row>
    <row r="38" spans="1:44" x14ac:dyDescent="0.35">
      <c r="A38" t="str">
        <f t="shared" si="0"/>
        <v>Estrato2y3DiscotecaEstándarBotella 3</v>
      </c>
      <c r="B38" t="str">
        <f t="shared" si="1"/>
        <v>Estrato2y3DiscotecaEstándar</v>
      </c>
      <c r="C38" t="str">
        <f t="shared" si="2"/>
        <v>Estrato2y3DiscotecaEstándarSmirnoff</v>
      </c>
      <c r="D38" t="str">
        <f t="shared" si="3"/>
        <v>Estrato2y3DiscotecaEstándarSmirnoffBotella 3</v>
      </c>
      <c r="E38" s="245" t="s">
        <v>571</v>
      </c>
      <c r="F38" s="245" t="s">
        <v>620</v>
      </c>
      <c r="G38" s="246" t="s">
        <v>631</v>
      </c>
      <c r="H38" t="s">
        <v>672</v>
      </c>
      <c r="I38" s="246" t="s">
        <v>574</v>
      </c>
      <c r="P38" s="245"/>
      <c r="Q38" s="245"/>
      <c r="R38" s="246"/>
      <c r="AK38" t="s">
        <v>729</v>
      </c>
      <c r="AL38" t="s">
        <v>525</v>
      </c>
    </row>
    <row r="39" spans="1:44" x14ac:dyDescent="0.35">
      <c r="A39" t="str">
        <f t="shared" si="0"/>
        <v>Estrato2y3DiscotecaEstándarBotella 4</v>
      </c>
      <c r="B39" t="str">
        <f t="shared" si="1"/>
        <v>Estrato2y3DiscotecaEstándar</v>
      </c>
      <c r="C39" t="str">
        <f t="shared" si="2"/>
        <v>Estrato2y3DiscotecaEstándarSmirnoff X1</v>
      </c>
      <c r="D39" t="str">
        <f t="shared" si="3"/>
        <v>Estrato2y3DiscotecaEstándarSmirnoff X1Botella 4</v>
      </c>
      <c r="E39" s="245" t="s">
        <v>571</v>
      </c>
      <c r="F39" s="245" t="s">
        <v>620</v>
      </c>
      <c r="G39" s="246" t="s">
        <v>632</v>
      </c>
      <c r="H39" t="s">
        <v>673</v>
      </c>
      <c r="I39" s="246" t="s">
        <v>541</v>
      </c>
      <c r="P39" s="245"/>
      <c r="Q39" s="245"/>
      <c r="R39" s="246"/>
      <c r="AK39" t="s">
        <v>730</v>
      </c>
      <c r="AL39" t="s">
        <v>500</v>
      </c>
      <c r="AM39" t="s">
        <v>525</v>
      </c>
    </row>
    <row r="40" spans="1:44" x14ac:dyDescent="0.35">
      <c r="A40" t="str">
        <f t="shared" si="0"/>
        <v>Estrato2y3DiscotecaEstándarCoctel 2</v>
      </c>
      <c r="B40" t="str">
        <f t="shared" si="1"/>
        <v>Estrato2y3DiscotecaEstándar</v>
      </c>
      <c r="C40" t="str">
        <f t="shared" si="2"/>
        <v>Estrato2y3DiscotecaEstándarOld Parr 12</v>
      </c>
      <c r="D40" t="str">
        <f t="shared" si="3"/>
        <v>Estrato2y3DiscotecaEstándarOld Parr 12Coctel 2</v>
      </c>
      <c r="E40" s="245" t="s">
        <v>571</v>
      </c>
      <c r="F40" s="245" t="s">
        <v>620</v>
      </c>
      <c r="G40" s="246" t="s">
        <v>499</v>
      </c>
      <c r="H40" t="s">
        <v>417</v>
      </c>
      <c r="I40" s="246" t="s">
        <v>567</v>
      </c>
      <c r="P40" s="245"/>
      <c r="Q40" s="245"/>
      <c r="R40" s="246"/>
      <c r="AK40" t="s">
        <v>731</v>
      </c>
      <c r="AL40" t="s">
        <v>498</v>
      </c>
    </row>
    <row r="41" spans="1:44" x14ac:dyDescent="0.35">
      <c r="A41" t="str">
        <f t="shared" si="0"/>
        <v>Estrato2y3DiscotecaEstándarCoctel 3</v>
      </c>
      <c r="B41" t="str">
        <f t="shared" si="1"/>
        <v>Estrato2y3DiscotecaEstándar</v>
      </c>
      <c r="C41" t="str">
        <f t="shared" si="2"/>
        <v>Estrato2y3DiscotecaEstándarSmirnoff</v>
      </c>
      <c r="D41" t="str">
        <f t="shared" si="3"/>
        <v>Estrato2y3DiscotecaEstándarSmirnoffCoctel 3</v>
      </c>
      <c r="E41" s="245" t="s">
        <v>571</v>
      </c>
      <c r="F41" s="245" t="s">
        <v>620</v>
      </c>
      <c r="G41" s="246" t="s">
        <v>634</v>
      </c>
      <c r="H41" t="s">
        <v>672</v>
      </c>
      <c r="I41" s="246" t="s">
        <v>575</v>
      </c>
      <c r="P41" s="245"/>
      <c r="Q41" s="245"/>
      <c r="R41" s="246"/>
      <c r="AK41" t="s">
        <v>733</v>
      </c>
      <c r="AL41" t="s">
        <v>638</v>
      </c>
      <c r="AM41" t="s">
        <v>525</v>
      </c>
      <c r="AR41" s="126"/>
    </row>
    <row r="42" spans="1:44" x14ac:dyDescent="0.35">
      <c r="A42" t="str">
        <f t="shared" si="0"/>
        <v>Estrato2y3DiscotecaEstándarCoctel 1</v>
      </c>
      <c r="B42" t="str">
        <f t="shared" si="1"/>
        <v>Estrato2y3DiscotecaEstándar</v>
      </c>
      <c r="C42" t="str">
        <f t="shared" si="2"/>
        <v>Estrato2y3DiscotecaEstándarOld Parr 12</v>
      </c>
      <c r="D42" t="str">
        <f t="shared" si="3"/>
        <v>Estrato2y3DiscotecaEstándarOld Parr 12Coctel 1</v>
      </c>
      <c r="E42" s="245" t="s">
        <v>571</v>
      </c>
      <c r="F42" s="245" t="s">
        <v>620</v>
      </c>
      <c r="G42" s="246" t="s">
        <v>497</v>
      </c>
      <c r="H42" t="s">
        <v>417</v>
      </c>
      <c r="I42" s="246" t="s">
        <v>569</v>
      </c>
      <c r="P42" s="245"/>
      <c r="Q42" s="245"/>
      <c r="R42" s="246"/>
      <c r="AK42" t="s">
        <v>732</v>
      </c>
      <c r="AL42" t="s">
        <v>503</v>
      </c>
      <c r="AM42" t="s">
        <v>502</v>
      </c>
      <c r="AN42" t="s">
        <v>635</v>
      </c>
      <c r="AO42" t="s">
        <v>627</v>
      </c>
    </row>
    <row r="43" spans="1:44" x14ac:dyDescent="0.35">
      <c r="A43" t="str">
        <f t="shared" si="0"/>
        <v>Estrato2y3DiscotecaEstándarShot</v>
      </c>
      <c r="B43" t="str">
        <f t="shared" si="1"/>
        <v>Estrato2y3DiscotecaEstándar</v>
      </c>
      <c r="C43" t="str">
        <f t="shared" si="2"/>
        <v>Estrato2y3DiscotecaEstándarSmirnoff X1</v>
      </c>
      <c r="D43" t="str">
        <f t="shared" si="3"/>
        <v>Estrato2y3DiscotecaEstándarSmirnoff X1Shot</v>
      </c>
      <c r="E43" s="245" t="s">
        <v>571</v>
      </c>
      <c r="F43" s="245" t="s">
        <v>620</v>
      </c>
      <c r="G43" s="247" t="s">
        <v>910</v>
      </c>
      <c r="H43" t="s">
        <v>673</v>
      </c>
      <c r="I43" s="246" t="s">
        <v>576</v>
      </c>
      <c r="P43" s="245"/>
      <c r="Q43" s="245"/>
      <c r="R43" s="246"/>
      <c r="AK43" t="s">
        <v>734</v>
      </c>
      <c r="AL43" t="s">
        <v>498</v>
      </c>
    </row>
    <row r="44" spans="1:44" x14ac:dyDescent="0.35">
      <c r="A44" t="str">
        <f t="shared" si="0"/>
        <v>Estrato2y3DiscotecaEstándarLata</v>
      </c>
      <c r="B44" t="str">
        <f t="shared" si="1"/>
        <v>Estrato2y3DiscotecaEstándar</v>
      </c>
      <c r="C44" t="str">
        <f t="shared" si="2"/>
        <v>Estrato2y3DiscotecaEstándarSmirnoff Lata</v>
      </c>
      <c r="D44" t="str">
        <f t="shared" si="3"/>
        <v>Estrato2y3DiscotecaEstándarSmirnoff LataLata</v>
      </c>
      <c r="E44" s="245" t="s">
        <v>571</v>
      </c>
      <c r="F44" s="245" t="s">
        <v>620</v>
      </c>
      <c r="G44" s="246" t="s">
        <v>471</v>
      </c>
      <c r="H44" t="s">
        <v>674</v>
      </c>
      <c r="I44" s="247" t="s">
        <v>539</v>
      </c>
      <c r="P44" s="245"/>
      <c r="Q44" s="245"/>
      <c r="R44" s="246"/>
      <c r="AK44" t="s">
        <v>745</v>
      </c>
      <c r="AL44" t="s">
        <v>645</v>
      </c>
      <c r="AM44" t="s">
        <v>635</v>
      </c>
      <c r="AN44" t="s">
        <v>653</v>
      </c>
    </row>
    <row r="45" spans="1:44" x14ac:dyDescent="0.35">
      <c r="A45" t="str">
        <f t="shared" si="0"/>
        <v>Estrato2y3DiscotecaEstándarMedia Botella</v>
      </c>
      <c r="B45" t="str">
        <f t="shared" si="1"/>
        <v>Estrato2y3DiscotecaEstándar</v>
      </c>
      <c r="C45" t="str">
        <f t="shared" si="2"/>
        <v>Estrato2y3DiscotecaEstándarSmirnoff X1</v>
      </c>
      <c r="D45" t="str">
        <f t="shared" si="3"/>
        <v>Estrato2y3DiscotecaEstándarSmirnoff X1Media Botella</v>
      </c>
      <c r="E45" s="245" t="s">
        <v>571</v>
      </c>
      <c r="F45" s="245" t="s">
        <v>620</v>
      </c>
      <c r="G45" s="246" t="s">
        <v>546</v>
      </c>
      <c r="H45" t="s">
        <v>673</v>
      </c>
      <c r="I45" s="246" t="s">
        <v>545</v>
      </c>
      <c r="P45" s="245"/>
      <c r="Q45" s="245"/>
      <c r="R45" s="246"/>
      <c r="AK45" t="s">
        <v>739</v>
      </c>
      <c r="AL45" t="s">
        <v>639</v>
      </c>
      <c r="AM45" t="s">
        <v>638</v>
      </c>
      <c r="AR45" s="126"/>
    </row>
    <row r="46" spans="1:44" x14ac:dyDescent="0.35">
      <c r="A46" t="str">
        <f t="shared" si="0"/>
        <v>Estrato2y3DiscotecaEstándarMezcla 1</v>
      </c>
      <c r="B46" t="str">
        <f t="shared" si="1"/>
        <v>Estrato2y3DiscotecaEstándar</v>
      </c>
      <c r="C46" t="str">
        <f t="shared" si="2"/>
        <v>Estrato2y3DiscotecaEstándarJohnnie Walker Red o Black</v>
      </c>
      <c r="D46" t="str">
        <f t="shared" si="3"/>
        <v>Estrato2y3DiscotecaEstándarJohnnie Walker Red o BlackMezcla 1</v>
      </c>
      <c r="E46" s="245" t="s">
        <v>571</v>
      </c>
      <c r="F46" s="245" t="s">
        <v>620</v>
      </c>
      <c r="G46" s="246" t="s">
        <v>498</v>
      </c>
      <c r="H46" t="s">
        <v>670</v>
      </c>
      <c r="I46" s="247" t="s">
        <v>564</v>
      </c>
      <c r="P46" s="245"/>
      <c r="Q46" s="245"/>
      <c r="R46" s="246"/>
      <c r="AK46" t="s">
        <v>748</v>
      </c>
      <c r="AL46" t="s">
        <v>650</v>
      </c>
      <c r="AM46" t="s">
        <v>658</v>
      </c>
    </row>
    <row r="47" spans="1:44" x14ac:dyDescent="0.35">
      <c r="A47" t="str">
        <f t="shared" si="0"/>
        <v>Estrato2y3DiscotecaEstándarMezcla 3</v>
      </c>
      <c r="B47" t="str">
        <f t="shared" si="1"/>
        <v>Estrato2y3DiscotecaEstándar</v>
      </c>
      <c r="C47" t="str">
        <f t="shared" si="2"/>
        <v>Estrato2y3DiscotecaEstándarOld Parr 12</v>
      </c>
      <c r="D47" t="str">
        <f t="shared" si="3"/>
        <v>Estrato2y3DiscotecaEstándarOld Parr 12Mezcla 3</v>
      </c>
      <c r="E47" s="245" t="s">
        <v>571</v>
      </c>
      <c r="F47" s="245" t="s">
        <v>620</v>
      </c>
      <c r="G47" s="246" t="s">
        <v>627</v>
      </c>
      <c r="H47" t="s">
        <v>417</v>
      </c>
      <c r="I47" s="246" t="s">
        <v>570</v>
      </c>
      <c r="P47" s="245"/>
      <c r="Q47" s="245"/>
      <c r="R47" s="246"/>
      <c r="AK47" t="s">
        <v>740</v>
      </c>
      <c r="AL47" t="s">
        <v>640</v>
      </c>
    </row>
    <row r="48" spans="1:44" x14ac:dyDescent="0.35">
      <c r="A48" t="str">
        <f t="shared" si="0"/>
        <v>Estrato2y3DiscotecaEstándarMezcla 2</v>
      </c>
      <c r="B48" t="str">
        <f t="shared" si="1"/>
        <v>Estrato2y3DiscotecaEstándar</v>
      </c>
      <c r="C48" t="str">
        <f t="shared" si="2"/>
        <v>Estrato2y3DiscotecaEstándarJohnnie Walker Red o Black</v>
      </c>
      <c r="D48" t="str">
        <f t="shared" si="3"/>
        <v>Estrato2y3DiscotecaEstándarJohnnie Walker Red o BlackMezcla 2</v>
      </c>
      <c r="E48" s="245" t="s">
        <v>571</v>
      </c>
      <c r="F48" s="245" t="s">
        <v>620</v>
      </c>
      <c r="G48" s="246" t="s">
        <v>525</v>
      </c>
      <c r="H48" t="s">
        <v>670</v>
      </c>
      <c r="I48" s="247" t="s">
        <v>565</v>
      </c>
      <c r="P48" s="245"/>
      <c r="Q48" s="245"/>
      <c r="R48" s="246"/>
      <c r="AK48" t="s">
        <v>737</v>
      </c>
      <c r="AL48" t="s">
        <v>499</v>
      </c>
    </row>
    <row r="49" spans="1:44" x14ac:dyDescent="0.35">
      <c r="A49" t="str">
        <f t="shared" si="0"/>
        <v>Estrato2y3Juegostípicos1/2 botella</v>
      </c>
      <c r="B49" t="str">
        <f t="shared" si="1"/>
        <v>Estrato2y3Juegostípicos</v>
      </c>
      <c r="C49" t="str">
        <f t="shared" si="2"/>
        <v>Estrato2y3JuegostípicosBlack &amp; White</v>
      </c>
      <c r="D49" t="str">
        <f t="shared" si="3"/>
        <v>Estrato2y3JuegostípicosBlack &amp; White1/2 botella</v>
      </c>
      <c r="E49" s="245" t="s">
        <v>571</v>
      </c>
      <c r="F49" s="245" t="s">
        <v>624</v>
      </c>
      <c r="G49" s="246" t="s">
        <v>503</v>
      </c>
      <c r="H49" t="s">
        <v>290</v>
      </c>
      <c r="I49" s="246" t="s">
        <v>579</v>
      </c>
      <c r="P49" s="245"/>
      <c r="Q49" s="245"/>
      <c r="R49" s="246"/>
      <c r="AK49" t="s">
        <v>750</v>
      </c>
      <c r="AL49" t="s">
        <v>627</v>
      </c>
    </row>
    <row r="50" spans="1:44" x14ac:dyDescent="0.35">
      <c r="A50" t="str">
        <f t="shared" si="0"/>
        <v>Estrato2y3JuegostípicosBotella 1</v>
      </c>
      <c r="B50" t="str">
        <f t="shared" si="1"/>
        <v>Estrato2y3Juegostípicos</v>
      </c>
      <c r="C50" t="str">
        <f t="shared" si="2"/>
        <v>Estrato2y3JuegostípicosSmirnoff</v>
      </c>
      <c r="D50" t="str">
        <f t="shared" si="3"/>
        <v>Estrato2y3JuegostípicosSmirnoffBotella 1</v>
      </c>
      <c r="E50" s="245" t="s">
        <v>571</v>
      </c>
      <c r="F50" s="245" t="s">
        <v>624</v>
      </c>
      <c r="G50" s="246" t="s">
        <v>637</v>
      </c>
      <c r="H50" t="s">
        <v>672</v>
      </c>
      <c r="I50" s="246" t="s">
        <v>574</v>
      </c>
      <c r="P50" s="245"/>
      <c r="Q50" s="245"/>
      <c r="R50" s="246"/>
      <c r="AK50" t="s">
        <v>751</v>
      </c>
      <c r="AL50" t="s">
        <v>654</v>
      </c>
      <c r="AR50" s="126"/>
    </row>
    <row r="51" spans="1:44" x14ac:dyDescent="0.35">
      <c r="A51" t="str">
        <f t="shared" si="0"/>
        <v>Estrato2y3JuegostípicosBotella 2</v>
      </c>
      <c r="B51" t="str">
        <f t="shared" si="1"/>
        <v>Estrato2y3Juegostípicos</v>
      </c>
      <c r="C51" t="str">
        <f t="shared" si="2"/>
        <v>Estrato2y3JuegostípicosSmirnoff X1</v>
      </c>
      <c r="D51" t="str">
        <f t="shared" si="3"/>
        <v>Estrato2y3JuegostípicosSmirnoff X1Botella 2</v>
      </c>
      <c r="E51" s="245" t="s">
        <v>571</v>
      </c>
      <c r="F51" s="245" t="s">
        <v>624</v>
      </c>
      <c r="G51" s="246" t="s">
        <v>629</v>
      </c>
      <c r="H51" t="s">
        <v>673</v>
      </c>
      <c r="I51" s="246" t="s">
        <v>541</v>
      </c>
      <c r="P51" s="245"/>
      <c r="Q51" s="245"/>
      <c r="R51" s="246"/>
      <c r="AK51" t="s">
        <v>752</v>
      </c>
      <c r="AL51" t="s">
        <v>655</v>
      </c>
    </row>
    <row r="52" spans="1:44" x14ac:dyDescent="0.35">
      <c r="A52" t="str">
        <f t="shared" si="0"/>
        <v>Estrato2y3JuegostípicosBotella 3</v>
      </c>
      <c r="B52" t="str">
        <f t="shared" si="1"/>
        <v>Estrato2y3Juegostípicos</v>
      </c>
      <c r="C52" t="str">
        <f t="shared" si="2"/>
        <v>Estrato2y3JuegostípicosBlack &amp; White</v>
      </c>
      <c r="D52" t="str">
        <f t="shared" si="3"/>
        <v>Estrato2y3JuegostípicosBlack &amp; WhiteBotella 3</v>
      </c>
      <c r="E52" s="245" t="s">
        <v>571</v>
      </c>
      <c r="F52" s="245" t="s">
        <v>624</v>
      </c>
      <c r="G52" s="246" t="s">
        <v>631</v>
      </c>
      <c r="H52" t="s">
        <v>290</v>
      </c>
      <c r="I52" s="246" t="s">
        <v>580</v>
      </c>
      <c r="P52" s="245"/>
      <c r="Q52" s="245"/>
      <c r="R52" s="246"/>
      <c r="AK52" t="s">
        <v>747</v>
      </c>
      <c r="AL52" t="s">
        <v>647</v>
      </c>
      <c r="AM52" t="s">
        <v>657</v>
      </c>
    </row>
    <row r="53" spans="1:44" x14ac:dyDescent="0.35">
      <c r="A53" t="str">
        <f t="shared" si="0"/>
        <v>Estrato2y3JuegostípicosCoctel 1</v>
      </c>
      <c r="B53" t="str">
        <f t="shared" si="1"/>
        <v>Estrato2y3Juegostípicos</v>
      </c>
      <c r="C53" t="str">
        <f t="shared" si="2"/>
        <v>Estrato2y3JuegostípicosSmirnoff</v>
      </c>
      <c r="D53" t="str">
        <f t="shared" si="3"/>
        <v>Estrato2y3JuegostípicosSmirnoffCoctel 1</v>
      </c>
      <c r="E53" s="245" t="s">
        <v>571</v>
      </c>
      <c r="F53" s="245" t="s">
        <v>624</v>
      </c>
      <c r="G53" s="246" t="s">
        <v>497</v>
      </c>
      <c r="H53" t="s">
        <v>672</v>
      </c>
      <c r="I53" s="246" t="s">
        <v>575</v>
      </c>
      <c r="P53" s="245"/>
      <c r="Q53" s="245"/>
      <c r="R53" s="246"/>
      <c r="AK53" t="s">
        <v>746</v>
      </c>
      <c r="AL53" t="s">
        <v>646</v>
      </c>
      <c r="AM53" t="s">
        <v>656</v>
      </c>
      <c r="AN53" t="s">
        <v>660</v>
      </c>
    </row>
    <row r="54" spans="1:44" x14ac:dyDescent="0.35">
      <c r="A54" t="str">
        <f t="shared" si="0"/>
        <v>Estrato2y3JuegostípicosShot</v>
      </c>
      <c r="B54" t="str">
        <f t="shared" si="1"/>
        <v>Estrato2y3Juegostípicos</v>
      </c>
      <c r="C54" t="str">
        <f t="shared" si="2"/>
        <v>Estrato2y3JuegostípicosSmirnoff X1</v>
      </c>
      <c r="D54" t="str">
        <f t="shared" si="3"/>
        <v>Estrato2y3JuegostípicosSmirnoff X1Shot</v>
      </c>
      <c r="E54" s="245" t="s">
        <v>571</v>
      </c>
      <c r="F54" s="245" t="s">
        <v>624</v>
      </c>
      <c r="G54" s="247" t="s">
        <v>910</v>
      </c>
      <c r="H54" t="s">
        <v>673</v>
      </c>
      <c r="I54" s="246" t="s">
        <v>576</v>
      </c>
      <c r="P54" s="245"/>
      <c r="Q54" s="245"/>
      <c r="R54" s="246"/>
      <c r="AK54" t="s">
        <v>749</v>
      </c>
      <c r="AL54" t="s">
        <v>651</v>
      </c>
    </row>
    <row r="55" spans="1:44" x14ac:dyDescent="0.35">
      <c r="A55" t="str">
        <f t="shared" si="0"/>
        <v>Estrato2y3JuegostípicosEn las rocas 2</v>
      </c>
      <c r="B55" t="str">
        <f t="shared" si="1"/>
        <v>Estrato2y3Juegostípicos</v>
      </c>
      <c r="C55" t="str">
        <f t="shared" si="2"/>
        <v>Estrato2y3JuegostípicosBlack &amp; White</v>
      </c>
      <c r="D55" t="str">
        <f t="shared" si="3"/>
        <v>Estrato2y3JuegostípicosBlack &amp; WhiteEn las rocas 2</v>
      </c>
      <c r="E55" s="245" t="s">
        <v>571</v>
      </c>
      <c r="F55" s="245" t="s">
        <v>624</v>
      </c>
      <c r="G55" s="246" t="s">
        <v>635</v>
      </c>
      <c r="H55" t="s">
        <v>290</v>
      </c>
      <c r="I55" s="246" t="s">
        <v>94</v>
      </c>
      <c r="P55" s="245"/>
      <c r="Q55" s="245"/>
      <c r="R55" s="246"/>
      <c r="AK55" t="s">
        <v>735</v>
      </c>
      <c r="AL55" t="s">
        <v>637</v>
      </c>
      <c r="AM55" t="s">
        <v>498</v>
      </c>
      <c r="AN55" t="s">
        <v>659</v>
      </c>
      <c r="AR55" s="126"/>
    </row>
    <row r="56" spans="1:44" x14ac:dyDescent="0.35">
      <c r="A56" t="str">
        <f t="shared" si="0"/>
        <v>Estrato2y3JuegostípicosLata</v>
      </c>
      <c r="B56" t="str">
        <f t="shared" si="1"/>
        <v>Estrato2y3Juegostípicos</v>
      </c>
      <c r="C56" t="str">
        <f t="shared" si="2"/>
        <v>Estrato2y3JuegostípicosSmirnoff Lata</v>
      </c>
      <c r="D56" t="str">
        <f t="shared" si="3"/>
        <v>Estrato2y3JuegostípicosSmirnoff LataLata</v>
      </c>
      <c r="E56" s="245" t="s">
        <v>571</v>
      </c>
      <c r="F56" s="245" t="s">
        <v>624</v>
      </c>
      <c r="G56" s="246" t="s">
        <v>471</v>
      </c>
      <c r="H56" t="s">
        <v>674</v>
      </c>
      <c r="I56" s="247" t="s">
        <v>539</v>
      </c>
      <c r="P56" s="245"/>
      <c r="Q56" s="245"/>
      <c r="R56" s="246"/>
      <c r="AK56" t="s">
        <v>743</v>
      </c>
      <c r="AL56" t="s">
        <v>643</v>
      </c>
    </row>
    <row r="57" spans="1:44" x14ac:dyDescent="0.35">
      <c r="A57" t="str">
        <f t="shared" si="0"/>
        <v>Estrato2y3JuegostípicosMedia Botella</v>
      </c>
      <c r="B57" t="str">
        <f t="shared" si="1"/>
        <v>Estrato2y3Juegostípicos</v>
      </c>
      <c r="C57" t="str">
        <f t="shared" si="2"/>
        <v>Estrato2y3JuegostípicosSmirnoff X1</v>
      </c>
      <c r="D57" t="str">
        <f t="shared" si="3"/>
        <v>Estrato2y3JuegostípicosSmirnoff X1Media Botella</v>
      </c>
      <c r="E57" s="245" t="s">
        <v>571</v>
      </c>
      <c r="F57" s="245" t="s">
        <v>624</v>
      </c>
      <c r="G57" s="246" t="s">
        <v>546</v>
      </c>
      <c r="H57" t="s">
        <v>673</v>
      </c>
      <c r="I57" s="246" t="s">
        <v>545</v>
      </c>
      <c r="P57" s="245"/>
      <c r="Q57" s="245"/>
      <c r="R57" s="246"/>
      <c r="AK57" t="s">
        <v>736</v>
      </c>
      <c r="AL57" t="s">
        <v>629</v>
      </c>
      <c r="AM57" t="s">
        <v>497</v>
      </c>
      <c r="AN57" t="s">
        <v>648</v>
      </c>
      <c r="AO57" t="s">
        <v>525</v>
      </c>
      <c r="AR57" s="126"/>
    </row>
    <row r="58" spans="1:44" x14ac:dyDescent="0.35">
      <c r="A58" t="str">
        <f t="shared" si="0"/>
        <v>Estrato2y3JuegostípicosMezcla 1</v>
      </c>
      <c r="B58" t="str">
        <f t="shared" si="1"/>
        <v>Estrato2y3Juegostípicos</v>
      </c>
      <c r="C58" t="str">
        <f t="shared" si="2"/>
        <v>Estrato2y3JuegostípicosBlack &amp; White</v>
      </c>
      <c r="D58" t="str">
        <f t="shared" si="3"/>
        <v>Estrato2y3JuegostípicosBlack &amp; WhiteMezcla 1</v>
      </c>
      <c r="E58" s="245" t="s">
        <v>571</v>
      </c>
      <c r="F58" s="245" t="s">
        <v>624</v>
      </c>
      <c r="G58" s="246" t="s">
        <v>498</v>
      </c>
      <c r="H58" t="s">
        <v>290</v>
      </c>
      <c r="I58" s="246" t="s">
        <v>581</v>
      </c>
      <c r="P58" s="245"/>
      <c r="Q58" s="245"/>
      <c r="R58" s="246"/>
      <c r="AK58" t="s">
        <v>744</v>
      </c>
      <c r="AL58" t="s">
        <v>649</v>
      </c>
      <c r="AM58" t="s">
        <v>644</v>
      </c>
      <c r="AN58" t="s">
        <v>661</v>
      </c>
    </row>
    <row r="59" spans="1:44" x14ac:dyDescent="0.35">
      <c r="A59" t="str">
        <f t="shared" si="0"/>
        <v>Estrato2y3Licobares1/2 botella</v>
      </c>
      <c r="B59" t="str">
        <f t="shared" si="1"/>
        <v>Estrato2y3Licobares</v>
      </c>
      <c r="C59" t="str">
        <f t="shared" si="2"/>
        <v>Estrato2y3LicobaresBlack &amp; White</v>
      </c>
      <c r="D59" t="str">
        <f t="shared" si="3"/>
        <v>Estrato2y3LicobaresBlack &amp; White1/2 botella</v>
      </c>
      <c r="E59" s="245" t="s">
        <v>571</v>
      </c>
      <c r="F59" s="245" t="s">
        <v>617</v>
      </c>
      <c r="G59" s="246" t="s">
        <v>503</v>
      </c>
      <c r="H59" t="s">
        <v>290</v>
      </c>
      <c r="I59" s="246" t="s">
        <v>579</v>
      </c>
      <c r="P59" s="245"/>
      <c r="Q59" s="245"/>
      <c r="R59" s="246"/>
      <c r="AK59" t="s">
        <v>753</v>
      </c>
      <c r="AL59" t="s">
        <v>662</v>
      </c>
      <c r="AR59" s="126"/>
    </row>
    <row r="60" spans="1:44" x14ac:dyDescent="0.35">
      <c r="A60" t="str">
        <f t="shared" si="0"/>
        <v>Estrato2y3LicobaresBotella 1</v>
      </c>
      <c r="B60" t="str">
        <f t="shared" si="1"/>
        <v>Estrato2y3Licobares</v>
      </c>
      <c r="C60" t="str">
        <f t="shared" si="2"/>
        <v>Estrato2y3LicobaresJohnnie Walker Red o Black</v>
      </c>
      <c r="D60" t="str">
        <f t="shared" si="3"/>
        <v>Estrato2y3LicobaresJohnnie Walker Red o BlackBotella 1</v>
      </c>
      <c r="E60" s="245" t="s">
        <v>571</v>
      </c>
      <c r="F60" s="245" t="s">
        <v>617</v>
      </c>
      <c r="G60" s="246" t="s">
        <v>637</v>
      </c>
      <c r="H60" t="s">
        <v>670</v>
      </c>
      <c r="I60" s="248" t="s">
        <v>563</v>
      </c>
      <c r="P60" s="245"/>
      <c r="Q60" s="245"/>
      <c r="R60" s="246"/>
      <c r="AK60" t="s">
        <v>742</v>
      </c>
      <c r="AL60" t="s">
        <v>642</v>
      </c>
      <c r="AM60" t="s">
        <v>652</v>
      </c>
    </row>
    <row r="61" spans="1:44" x14ac:dyDescent="0.35">
      <c r="A61" t="str">
        <f t="shared" si="0"/>
        <v>Estrato2y3LicobaresBotella 2</v>
      </c>
      <c r="B61" t="str">
        <f t="shared" si="1"/>
        <v>Estrato2y3Licobares</v>
      </c>
      <c r="C61" t="str">
        <f t="shared" si="2"/>
        <v>Estrato2y3LicobaresOld Parr 12</v>
      </c>
      <c r="D61" t="str">
        <f t="shared" si="3"/>
        <v>Estrato2y3LicobaresOld Parr 12Botella 2</v>
      </c>
      <c r="E61" s="245" t="s">
        <v>571</v>
      </c>
      <c r="F61" s="245" t="s">
        <v>617</v>
      </c>
      <c r="G61" s="246" t="s">
        <v>629</v>
      </c>
      <c r="H61" t="s">
        <v>417</v>
      </c>
      <c r="I61" s="246" t="s">
        <v>566</v>
      </c>
      <c r="P61" s="245"/>
      <c r="Q61" s="245"/>
      <c r="R61" s="246"/>
      <c r="AK61" t="s">
        <v>741</v>
      </c>
      <c r="AL61" t="s">
        <v>641</v>
      </c>
      <c r="AM61" t="s">
        <v>636</v>
      </c>
    </row>
    <row r="62" spans="1:44" x14ac:dyDescent="0.35">
      <c r="A62" t="str">
        <f t="shared" si="0"/>
        <v>Estrato2y3LicobaresBotella 3</v>
      </c>
      <c r="B62" t="str">
        <f t="shared" si="1"/>
        <v>Estrato2y3Licobares</v>
      </c>
      <c r="C62" t="str">
        <f t="shared" si="2"/>
        <v>Estrato2y3LicobaresSmirnoff</v>
      </c>
      <c r="D62" t="str">
        <f t="shared" si="3"/>
        <v>Estrato2y3LicobaresSmirnoffBotella 3</v>
      </c>
      <c r="E62" s="245" t="s">
        <v>571</v>
      </c>
      <c r="F62" s="245" t="s">
        <v>617</v>
      </c>
      <c r="G62" s="246" t="s">
        <v>631</v>
      </c>
      <c r="H62" t="s">
        <v>672</v>
      </c>
      <c r="I62" s="246" t="s">
        <v>574</v>
      </c>
      <c r="P62" s="245"/>
      <c r="Q62" s="245"/>
      <c r="R62" s="246"/>
      <c r="AK62" t="s">
        <v>738</v>
      </c>
      <c r="AL62" t="s">
        <v>634</v>
      </c>
      <c r="AM62" t="s">
        <v>628</v>
      </c>
    </row>
    <row r="63" spans="1:44" x14ac:dyDescent="0.35">
      <c r="A63" t="str">
        <f t="shared" si="0"/>
        <v>Estrato2y3LicobaresBotella 4</v>
      </c>
      <c r="B63" t="str">
        <f t="shared" si="1"/>
        <v>Estrato2y3Licobares</v>
      </c>
      <c r="C63" t="str">
        <f t="shared" si="2"/>
        <v>Estrato2y3LicobaresSmirnoff X1</v>
      </c>
      <c r="D63" t="str">
        <f t="shared" si="3"/>
        <v>Estrato2y3LicobaresSmirnoff X1Botella 4</v>
      </c>
      <c r="E63" s="245" t="s">
        <v>571</v>
      </c>
      <c r="F63" s="245" t="s">
        <v>617</v>
      </c>
      <c r="G63" s="246" t="s">
        <v>632</v>
      </c>
      <c r="H63" t="s">
        <v>673</v>
      </c>
      <c r="I63" s="246" t="s">
        <v>541</v>
      </c>
      <c r="P63" s="245"/>
      <c r="Q63" s="245"/>
      <c r="R63" s="246"/>
      <c r="AK63" t="s">
        <v>765</v>
      </c>
      <c r="AL63" t="s">
        <v>646</v>
      </c>
      <c r="AM63" t="s">
        <v>650</v>
      </c>
      <c r="AN63" t="s">
        <v>653</v>
      </c>
    </row>
    <row r="64" spans="1:44" x14ac:dyDescent="0.35">
      <c r="A64" t="str">
        <f t="shared" si="0"/>
        <v>Estrato2y3LicobaresBotella 5</v>
      </c>
      <c r="B64" t="str">
        <f t="shared" si="1"/>
        <v>Estrato2y3Licobares</v>
      </c>
      <c r="C64" t="str">
        <f t="shared" si="2"/>
        <v>Estrato2y3LicobaresBlack &amp; White</v>
      </c>
      <c r="D64" t="str">
        <f t="shared" si="3"/>
        <v>Estrato2y3LicobaresBlack &amp; WhiteBotella 5</v>
      </c>
      <c r="E64" s="245" t="s">
        <v>571</v>
      </c>
      <c r="F64" s="245" t="s">
        <v>617</v>
      </c>
      <c r="G64" s="246" t="s">
        <v>633</v>
      </c>
      <c r="H64" t="s">
        <v>290</v>
      </c>
      <c r="I64" s="246" t="s">
        <v>580</v>
      </c>
      <c r="J64" t="s">
        <v>683</v>
      </c>
      <c r="P64" s="245"/>
      <c r="Q64" s="245"/>
      <c r="R64" s="246"/>
      <c r="AK64" t="s">
        <v>759</v>
      </c>
      <c r="AL64" t="s">
        <v>640</v>
      </c>
      <c r="AM64" t="s">
        <v>635</v>
      </c>
      <c r="AR64" s="126"/>
    </row>
    <row r="65" spans="1:44" x14ac:dyDescent="0.35">
      <c r="A65" t="str">
        <f t="shared" si="0"/>
        <v>Estrato2y3LicobaresCoctel 2</v>
      </c>
      <c r="B65" t="str">
        <f t="shared" si="1"/>
        <v>Estrato2y3Licobares</v>
      </c>
      <c r="C65" t="str">
        <f t="shared" si="2"/>
        <v>Estrato2y3LicobaresOld Parr 12</v>
      </c>
      <c r="D65" t="str">
        <f t="shared" si="3"/>
        <v>Estrato2y3LicobaresOld Parr 12Coctel 2</v>
      </c>
      <c r="E65" s="245" t="s">
        <v>571</v>
      </c>
      <c r="F65" s="245" t="s">
        <v>617</v>
      </c>
      <c r="G65" s="246" t="s">
        <v>499</v>
      </c>
      <c r="H65" t="s">
        <v>417</v>
      </c>
      <c r="I65" s="246" t="s">
        <v>567</v>
      </c>
      <c r="J65" t="s">
        <v>684</v>
      </c>
      <c r="P65" s="245"/>
      <c r="Q65" s="245"/>
      <c r="R65" s="246"/>
      <c r="AK65" t="s">
        <v>769</v>
      </c>
      <c r="AL65" t="s">
        <v>651</v>
      </c>
      <c r="AM65" t="s">
        <v>658</v>
      </c>
    </row>
    <row r="66" spans="1:44" x14ac:dyDescent="0.35">
      <c r="A66" t="str">
        <f t="shared" si="0"/>
        <v>Estrato2y3LicobaresCoctel 3</v>
      </c>
      <c r="B66" t="str">
        <f t="shared" si="1"/>
        <v>Estrato2y3Licobares</v>
      </c>
      <c r="C66" t="str">
        <f t="shared" si="2"/>
        <v>Estrato2y3LicobaresSmirnoff</v>
      </c>
      <c r="D66" t="str">
        <f t="shared" si="3"/>
        <v>Estrato2y3LicobaresSmirnoffCoctel 3</v>
      </c>
      <c r="E66" s="245" t="s">
        <v>571</v>
      </c>
      <c r="F66" s="245" t="s">
        <v>617</v>
      </c>
      <c r="G66" s="246" t="s">
        <v>634</v>
      </c>
      <c r="H66" t="s">
        <v>672</v>
      </c>
      <c r="I66" s="246" t="s">
        <v>575</v>
      </c>
      <c r="J66" t="s">
        <v>685</v>
      </c>
      <c r="P66" s="245"/>
      <c r="Q66" s="245"/>
      <c r="R66" s="246"/>
      <c r="AK66" t="s">
        <v>760</v>
      </c>
      <c r="AL66" t="s">
        <v>641</v>
      </c>
    </row>
    <row r="67" spans="1:44" x14ac:dyDescent="0.35">
      <c r="A67" t="str">
        <f t="shared" si="0"/>
        <v>Estrato2y3LicobaresCoctel 1</v>
      </c>
      <c r="B67" t="str">
        <f t="shared" si="1"/>
        <v>Estrato2y3Licobares</v>
      </c>
      <c r="C67" t="str">
        <f t="shared" si="2"/>
        <v>Estrato2y3LicobaresOld Parr 12</v>
      </c>
      <c r="D67" t="str">
        <f t="shared" si="3"/>
        <v>Estrato2y3LicobaresOld Parr 12Coctel 1</v>
      </c>
      <c r="E67" s="245" t="s">
        <v>571</v>
      </c>
      <c r="F67" s="245" t="s">
        <v>617</v>
      </c>
      <c r="G67" s="246" t="s">
        <v>497</v>
      </c>
      <c r="H67" t="s">
        <v>417</v>
      </c>
      <c r="I67" s="246" t="s">
        <v>569</v>
      </c>
      <c r="J67" t="s">
        <v>686</v>
      </c>
      <c r="P67" s="245"/>
      <c r="Q67" s="245"/>
      <c r="R67" s="246"/>
      <c r="AK67" t="s">
        <v>757</v>
      </c>
      <c r="AL67" t="s">
        <v>634</v>
      </c>
    </row>
    <row r="68" spans="1:44" x14ac:dyDescent="0.35">
      <c r="A68" t="str">
        <f t="shared" ref="A68:A131" si="4">E68&amp;F68&amp;G68</f>
        <v>Estrato2y3LicobaresShot</v>
      </c>
      <c r="B68" t="str">
        <f t="shared" ref="B68:B131" si="5">E68&amp;F68</f>
        <v>Estrato2y3Licobares</v>
      </c>
      <c r="C68" t="str">
        <f t="shared" ref="C68:C131" si="6">E68&amp;F68&amp;H68</f>
        <v>Estrato2y3LicobaresSmirnoff X1</v>
      </c>
      <c r="D68" t="str">
        <f t="shared" ref="D68:D131" si="7">E68&amp;F68&amp;H68&amp;G68</f>
        <v>Estrato2y3LicobaresSmirnoff X1Shot</v>
      </c>
      <c r="E68" s="245" t="s">
        <v>571</v>
      </c>
      <c r="F68" s="245" t="s">
        <v>617</v>
      </c>
      <c r="G68" s="247" t="s">
        <v>910</v>
      </c>
      <c r="H68" t="s">
        <v>673</v>
      </c>
      <c r="I68" s="246" t="s">
        <v>576</v>
      </c>
      <c r="J68" t="s">
        <v>687</v>
      </c>
      <c r="P68" s="245"/>
      <c r="Q68" s="245"/>
      <c r="R68" s="246"/>
      <c r="AK68" t="s">
        <v>772</v>
      </c>
      <c r="AL68" t="s">
        <v>627</v>
      </c>
    </row>
    <row r="69" spans="1:44" x14ac:dyDescent="0.35">
      <c r="A69" t="str">
        <f t="shared" si="4"/>
        <v>Estrato2y3LicobaresEn las rocas 2</v>
      </c>
      <c r="B69" t="str">
        <f t="shared" si="5"/>
        <v>Estrato2y3Licobares</v>
      </c>
      <c r="C69" t="str">
        <f t="shared" si="6"/>
        <v>Estrato2y3LicobaresBlack &amp; White</v>
      </c>
      <c r="D69" t="str">
        <f t="shared" si="7"/>
        <v>Estrato2y3LicobaresBlack &amp; WhiteEn las rocas 2</v>
      </c>
      <c r="E69" s="245" t="s">
        <v>571</v>
      </c>
      <c r="F69" s="245" t="s">
        <v>617</v>
      </c>
      <c r="G69" s="246" t="s">
        <v>635</v>
      </c>
      <c r="H69" t="s">
        <v>290</v>
      </c>
      <c r="I69" s="246" t="s">
        <v>94</v>
      </c>
      <c r="J69" t="s">
        <v>688</v>
      </c>
      <c r="P69" s="245"/>
      <c r="Q69" s="245"/>
      <c r="R69" s="246"/>
      <c r="AK69" t="s">
        <v>773</v>
      </c>
      <c r="AL69" t="s">
        <v>654</v>
      </c>
      <c r="AR69" s="126"/>
    </row>
    <row r="70" spans="1:44" x14ac:dyDescent="0.35">
      <c r="A70" t="str">
        <f t="shared" si="4"/>
        <v>Estrato2y3LicobaresLata</v>
      </c>
      <c r="B70" t="str">
        <f t="shared" si="5"/>
        <v>Estrato2y3Licobares</v>
      </c>
      <c r="C70" t="str">
        <f t="shared" si="6"/>
        <v>Estrato2y3LicobaresSmirnoff Lata</v>
      </c>
      <c r="D70" t="str">
        <f t="shared" si="7"/>
        <v>Estrato2y3LicobaresSmirnoff LataLata</v>
      </c>
      <c r="E70" s="245" t="s">
        <v>571</v>
      </c>
      <c r="F70" s="245" t="s">
        <v>617</v>
      </c>
      <c r="G70" s="246" t="s">
        <v>471</v>
      </c>
      <c r="H70" t="s">
        <v>674</v>
      </c>
      <c r="I70" s="247" t="s">
        <v>539</v>
      </c>
      <c r="J70" t="s">
        <v>689</v>
      </c>
      <c r="P70" s="245"/>
      <c r="Q70" s="245"/>
      <c r="R70" s="246"/>
      <c r="AK70" t="s">
        <v>774</v>
      </c>
      <c r="AL70" t="s">
        <v>655</v>
      </c>
    </row>
    <row r="71" spans="1:44" x14ac:dyDescent="0.35">
      <c r="A71" t="str">
        <f t="shared" si="4"/>
        <v>Estrato2y3LicobaresMedia Botella</v>
      </c>
      <c r="B71" t="str">
        <f t="shared" si="5"/>
        <v>Estrato2y3Licobares</v>
      </c>
      <c r="C71" t="str">
        <f t="shared" si="6"/>
        <v>Estrato2y3LicobaresSmirnoff X1</v>
      </c>
      <c r="D71" t="str">
        <f t="shared" si="7"/>
        <v>Estrato2y3LicobaresSmirnoff X1Media Botella</v>
      </c>
      <c r="E71" s="245" t="s">
        <v>571</v>
      </c>
      <c r="F71" s="245" t="s">
        <v>617</v>
      </c>
      <c r="G71" s="246" t="s">
        <v>546</v>
      </c>
      <c r="H71" t="s">
        <v>673</v>
      </c>
      <c r="I71" s="246" t="s">
        <v>545</v>
      </c>
      <c r="J71" t="s">
        <v>690</v>
      </c>
      <c r="P71" s="245"/>
      <c r="Q71" s="245"/>
      <c r="R71" s="246"/>
      <c r="AK71" t="s">
        <v>767</v>
      </c>
      <c r="AL71" t="s">
        <v>648</v>
      </c>
      <c r="AM71" t="s">
        <v>657</v>
      </c>
      <c r="AR71" s="126"/>
    </row>
    <row r="72" spans="1:44" x14ac:dyDescent="0.35">
      <c r="A72" t="str">
        <f t="shared" si="4"/>
        <v>Estrato2y3LicobaresMezcla 1</v>
      </c>
      <c r="B72" t="str">
        <f t="shared" si="5"/>
        <v>Estrato2y3Licobares</v>
      </c>
      <c r="C72" t="str">
        <f t="shared" si="6"/>
        <v>Estrato2y3LicobaresJohnnie Walker Red o Black</v>
      </c>
      <c r="D72" t="str">
        <f t="shared" si="7"/>
        <v>Estrato2y3LicobaresJohnnie Walker Red o BlackMezcla 1</v>
      </c>
      <c r="E72" s="245" t="s">
        <v>571</v>
      </c>
      <c r="F72" s="245" t="s">
        <v>617</v>
      </c>
      <c r="G72" s="246" t="s">
        <v>498</v>
      </c>
      <c r="H72" t="s">
        <v>670</v>
      </c>
      <c r="I72" s="247" t="s">
        <v>564</v>
      </c>
      <c r="J72" t="s">
        <v>691</v>
      </c>
      <c r="P72" s="245"/>
      <c r="Q72" s="245"/>
      <c r="R72" s="246"/>
      <c r="AK72" t="s">
        <v>766</v>
      </c>
      <c r="AL72" t="s">
        <v>647</v>
      </c>
      <c r="AM72" t="s">
        <v>656</v>
      </c>
      <c r="AN72" t="s">
        <v>660</v>
      </c>
    </row>
    <row r="73" spans="1:44" x14ac:dyDescent="0.35">
      <c r="A73" t="str">
        <f t="shared" si="4"/>
        <v>Estrato2y3LicobaresMezcla 3</v>
      </c>
      <c r="B73" t="str">
        <f t="shared" si="5"/>
        <v>Estrato2y3Licobares</v>
      </c>
      <c r="C73" t="str">
        <f t="shared" si="6"/>
        <v>Estrato2y3LicobaresOld Parr 12</v>
      </c>
      <c r="D73" t="str">
        <f t="shared" si="7"/>
        <v>Estrato2y3LicobaresOld Parr 12Mezcla 3</v>
      </c>
      <c r="E73" s="245" t="s">
        <v>571</v>
      </c>
      <c r="F73" s="245" t="s">
        <v>617</v>
      </c>
      <c r="G73" s="246" t="s">
        <v>627</v>
      </c>
      <c r="H73" t="s">
        <v>417</v>
      </c>
      <c r="I73" s="246" t="s">
        <v>570</v>
      </c>
      <c r="J73" t="s">
        <v>692</v>
      </c>
      <c r="P73" s="245"/>
      <c r="Q73" s="245"/>
      <c r="R73" s="246"/>
      <c r="AK73" t="s">
        <v>770</v>
      </c>
      <c r="AL73" t="s">
        <v>664</v>
      </c>
      <c r="AR73" s="126"/>
    </row>
    <row r="74" spans="1:44" x14ac:dyDescent="0.35">
      <c r="A74" t="str">
        <f t="shared" si="4"/>
        <v>Estrato2y3LicobaresMezcla 4</v>
      </c>
      <c r="B74" t="str">
        <f t="shared" si="5"/>
        <v>Estrato2y3Licobares</v>
      </c>
      <c r="C74" t="str">
        <f t="shared" si="6"/>
        <v>Estrato2y3LicobaresGordon's</v>
      </c>
      <c r="D74" t="str">
        <f t="shared" si="7"/>
        <v>Estrato2y3LicobaresGordon'sMezcla 4</v>
      </c>
      <c r="E74" s="245" t="s">
        <v>571</v>
      </c>
      <c r="F74" s="245" t="s">
        <v>617</v>
      </c>
      <c r="G74" s="246" t="s">
        <v>628</v>
      </c>
      <c r="H74" t="s">
        <v>671</v>
      </c>
      <c r="I74" s="246" t="s">
        <v>572</v>
      </c>
      <c r="J74" t="s">
        <v>693</v>
      </c>
      <c r="P74" s="245"/>
      <c r="Q74" s="245"/>
      <c r="R74" s="246"/>
      <c r="AK74" t="s">
        <v>754</v>
      </c>
      <c r="AL74" t="s">
        <v>637</v>
      </c>
      <c r="AM74" t="s">
        <v>498</v>
      </c>
      <c r="AN74" t="s">
        <v>659</v>
      </c>
    </row>
    <row r="75" spans="1:44" x14ac:dyDescent="0.35">
      <c r="A75" t="str">
        <f t="shared" si="4"/>
        <v>Estrato2y3LicobaresMezcla 5</v>
      </c>
      <c r="B75" t="str">
        <f t="shared" si="5"/>
        <v>Estrato2y3Licobares</v>
      </c>
      <c r="C75" t="str">
        <f t="shared" si="6"/>
        <v>Estrato2y3LicobaresBlack &amp; White</v>
      </c>
      <c r="D75" t="str">
        <f t="shared" si="7"/>
        <v>Estrato2y3LicobaresBlack &amp; WhiteMezcla 5</v>
      </c>
      <c r="E75" s="245" t="s">
        <v>571</v>
      </c>
      <c r="F75" s="245" t="s">
        <v>617</v>
      </c>
      <c r="G75" s="246" t="s">
        <v>636</v>
      </c>
      <c r="H75" t="s">
        <v>290</v>
      </c>
      <c r="I75" s="246" t="s">
        <v>581</v>
      </c>
      <c r="J75" t="s">
        <v>694</v>
      </c>
      <c r="P75" s="245"/>
      <c r="Q75" s="245"/>
      <c r="R75" s="246"/>
      <c r="AK75" t="s">
        <v>763</v>
      </c>
      <c r="AL75" t="s">
        <v>644</v>
      </c>
    </row>
    <row r="76" spans="1:44" x14ac:dyDescent="0.35">
      <c r="A76" t="str">
        <f t="shared" si="4"/>
        <v>Estrato2y3LicobaresMezcla 2</v>
      </c>
      <c r="B76" t="str">
        <f t="shared" si="5"/>
        <v>Estrato2y3Licobares</v>
      </c>
      <c r="C76" t="str">
        <f t="shared" si="6"/>
        <v>Estrato2y3LicobaresJohnnie Walker Red o Black</v>
      </c>
      <c r="D76" t="str">
        <f t="shared" si="7"/>
        <v>Estrato2y3LicobaresJohnnie Walker Red o BlackMezcla 2</v>
      </c>
      <c r="E76" s="245" t="s">
        <v>571</v>
      </c>
      <c r="F76" s="245" t="s">
        <v>617</v>
      </c>
      <c r="G76" s="246" t="s">
        <v>525</v>
      </c>
      <c r="H76" t="s">
        <v>670</v>
      </c>
      <c r="I76" s="247" t="s">
        <v>565</v>
      </c>
      <c r="J76" t="s">
        <v>695</v>
      </c>
      <c r="P76" s="245"/>
      <c r="Q76" s="245"/>
      <c r="R76" s="246"/>
      <c r="AK76" t="s">
        <v>755</v>
      </c>
      <c r="AL76" t="s">
        <v>629</v>
      </c>
      <c r="AM76" t="s">
        <v>497</v>
      </c>
      <c r="AN76" t="s">
        <v>649</v>
      </c>
      <c r="AO76" t="s">
        <v>525</v>
      </c>
    </row>
    <row r="77" spans="1:44" x14ac:dyDescent="0.35">
      <c r="A77" t="str">
        <f t="shared" si="4"/>
        <v>Estrato2y3ReposteríaycaféEn las rocas</v>
      </c>
      <c r="B77" t="str">
        <f t="shared" si="5"/>
        <v>Estrato2y3Reposteríaycafé</v>
      </c>
      <c r="C77" t="str">
        <f t="shared" si="6"/>
        <v>Estrato2y3ReposteríaycaféBaileys</v>
      </c>
      <c r="D77" t="str">
        <f t="shared" si="7"/>
        <v>Estrato2y3ReposteríaycaféBaileysEn las rocas</v>
      </c>
      <c r="E77" s="245" t="s">
        <v>571</v>
      </c>
      <c r="F77" s="245" t="s">
        <v>625</v>
      </c>
      <c r="G77" s="246" t="s">
        <v>500</v>
      </c>
      <c r="H77" t="s">
        <v>261</v>
      </c>
      <c r="I77" s="247" t="s">
        <v>577</v>
      </c>
      <c r="J77" t="s">
        <v>696</v>
      </c>
      <c r="P77" s="245"/>
      <c r="Q77" s="245"/>
      <c r="R77" s="246"/>
      <c r="AK77" t="s">
        <v>764</v>
      </c>
      <c r="AL77" t="s">
        <v>645</v>
      </c>
      <c r="AM77" t="s">
        <v>663</v>
      </c>
      <c r="AN77" t="s">
        <v>661</v>
      </c>
    </row>
    <row r="78" spans="1:44" x14ac:dyDescent="0.35">
      <c r="A78" t="str">
        <f t="shared" si="4"/>
        <v>Estrato2y3ReposteríaycaféMezcla 1</v>
      </c>
      <c r="B78" t="str">
        <f t="shared" si="5"/>
        <v>Estrato2y3Reposteríaycafé</v>
      </c>
      <c r="C78" t="str">
        <f t="shared" si="6"/>
        <v>Estrato2y3ReposteríaycaféBaileys</v>
      </c>
      <c r="D78" t="str">
        <f t="shared" si="7"/>
        <v>Estrato2y3ReposteríaycaféBaileysMezcla 1</v>
      </c>
      <c r="E78" s="245" t="s">
        <v>571</v>
      </c>
      <c r="F78" s="245" t="s">
        <v>625</v>
      </c>
      <c r="G78" s="246" t="s">
        <v>498</v>
      </c>
      <c r="H78" t="s">
        <v>261</v>
      </c>
      <c r="I78" s="246" t="s">
        <v>578</v>
      </c>
      <c r="J78" t="s">
        <v>697</v>
      </c>
      <c r="P78" s="245"/>
      <c r="Q78" s="245"/>
      <c r="R78" s="246"/>
      <c r="AK78" t="s">
        <v>775</v>
      </c>
      <c r="AL78" t="s">
        <v>662</v>
      </c>
      <c r="AR78" s="126"/>
    </row>
    <row r="79" spans="1:44" x14ac:dyDescent="0.35">
      <c r="A79" t="str">
        <f t="shared" si="4"/>
        <v>Estrato2y3RestauranteCasual1/2 botella</v>
      </c>
      <c r="B79" t="str">
        <f t="shared" si="5"/>
        <v>Estrato2y3RestauranteCasual</v>
      </c>
      <c r="C79" t="str">
        <f t="shared" si="6"/>
        <v>Estrato2y3RestauranteCasualBlack &amp; White</v>
      </c>
      <c r="D79" t="str">
        <f t="shared" si="7"/>
        <v>Estrato2y3RestauranteCasualBlack &amp; White1/2 botella</v>
      </c>
      <c r="E79" s="245" t="s">
        <v>571</v>
      </c>
      <c r="F79" s="245" t="s">
        <v>623</v>
      </c>
      <c r="G79" s="246" t="s">
        <v>503</v>
      </c>
      <c r="H79" t="s">
        <v>290</v>
      </c>
      <c r="I79" s="246" t="s">
        <v>579</v>
      </c>
      <c r="J79" t="s">
        <v>698</v>
      </c>
      <c r="P79" s="245"/>
      <c r="Q79" s="245"/>
      <c r="R79" s="246"/>
      <c r="AK79" t="s">
        <v>756</v>
      </c>
      <c r="AL79" t="s">
        <v>631</v>
      </c>
      <c r="AM79" t="s">
        <v>499</v>
      </c>
    </row>
    <row r="80" spans="1:44" x14ac:dyDescent="0.35">
      <c r="A80" t="str">
        <f t="shared" si="4"/>
        <v>Estrato2y3RestauranteCasualBotella</v>
      </c>
      <c r="B80" t="str">
        <f t="shared" si="5"/>
        <v>Estrato2y3RestauranteCasual</v>
      </c>
      <c r="C80" t="str">
        <f t="shared" si="6"/>
        <v>Estrato2y3RestauranteCasualBlack &amp; White</v>
      </c>
      <c r="D80" t="str">
        <f t="shared" si="7"/>
        <v>Estrato2y3RestauranteCasualBlack &amp; WhiteBotella</v>
      </c>
      <c r="E80" s="245" t="s">
        <v>571</v>
      </c>
      <c r="F80" s="245" t="s">
        <v>623</v>
      </c>
      <c r="G80" s="246" t="s">
        <v>502</v>
      </c>
      <c r="H80" t="s">
        <v>290</v>
      </c>
      <c r="I80" s="246" t="s">
        <v>580</v>
      </c>
      <c r="J80" t="s">
        <v>699</v>
      </c>
      <c r="P80" s="245"/>
      <c r="Q80" s="245"/>
      <c r="R80" s="246"/>
      <c r="AK80" t="s">
        <v>771</v>
      </c>
      <c r="AL80" t="s">
        <v>471</v>
      </c>
      <c r="AR80" s="126"/>
    </row>
    <row r="81" spans="1:44" x14ac:dyDescent="0.35">
      <c r="A81" t="str">
        <f t="shared" si="4"/>
        <v>Estrato2y3RestauranteCasualEn las rocas 1</v>
      </c>
      <c r="B81" t="str">
        <f t="shared" si="5"/>
        <v>Estrato2y3RestauranteCasual</v>
      </c>
      <c r="C81" t="str">
        <f t="shared" si="6"/>
        <v>Estrato2y3RestauranteCasualBaileys</v>
      </c>
      <c r="D81" t="str">
        <f t="shared" si="7"/>
        <v>Estrato2y3RestauranteCasualBaileysEn las rocas 1</v>
      </c>
      <c r="E81" s="245" t="s">
        <v>571</v>
      </c>
      <c r="F81" s="245" t="s">
        <v>623</v>
      </c>
      <c r="G81" s="246" t="s">
        <v>638</v>
      </c>
      <c r="H81" t="s">
        <v>261</v>
      </c>
      <c r="I81" s="247" t="s">
        <v>577</v>
      </c>
      <c r="J81" t="s">
        <v>700</v>
      </c>
      <c r="P81" s="245"/>
      <c r="Q81" s="245"/>
      <c r="R81" s="246"/>
      <c r="AK81" t="s">
        <v>768</v>
      </c>
      <c r="AL81" t="s">
        <v>910</v>
      </c>
      <c r="AM81" t="s">
        <v>632</v>
      </c>
      <c r="AN81" t="s">
        <v>546</v>
      </c>
    </row>
    <row r="82" spans="1:44" x14ac:dyDescent="0.35">
      <c r="A82" t="str">
        <f t="shared" si="4"/>
        <v>Estrato2y3RestauranteCasualEn las rocas 2</v>
      </c>
      <c r="B82" t="str">
        <f t="shared" si="5"/>
        <v>Estrato2y3RestauranteCasual</v>
      </c>
      <c r="C82" t="str">
        <f t="shared" si="6"/>
        <v>Estrato2y3RestauranteCasualBlack &amp; White</v>
      </c>
      <c r="D82" t="str">
        <f t="shared" si="7"/>
        <v>Estrato2y3RestauranteCasualBlack &amp; WhiteEn las rocas 2</v>
      </c>
      <c r="E82" s="245" t="s">
        <v>571</v>
      </c>
      <c r="F82" s="245" t="s">
        <v>623</v>
      </c>
      <c r="G82" s="246" t="s">
        <v>635</v>
      </c>
      <c r="H82" t="s">
        <v>290</v>
      </c>
      <c r="I82" s="246" t="s">
        <v>94</v>
      </c>
      <c r="P82" s="245"/>
      <c r="Q82" s="245"/>
      <c r="AK82" t="s">
        <v>762</v>
      </c>
      <c r="AL82" t="s">
        <v>643</v>
      </c>
      <c r="AM82" t="s">
        <v>652</v>
      </c>
    </row>
    <row r="83" spans="1:44" x14ac:dyDescent="0.35">
      <c r="A83" t="str">
        <f t="shared" si="4"/>
        <v>Estrato2y3RestauranteCasualMezcla 2</v>
      </c>
      <c r="B83" t="str">
        <f t="shared" si="5"/>
        <v>Estrato2y3RestauranteCasual</v>
      </c>
      <c r="C83" t="str">
        <f t="shared" si="6"/>
        <v>Estrato2y3RestauranteCasualGordon's</v>
      </c>
      <c r="D83" t="str">
        <f t="shared" si="7"/>
        <v>Estrato2y3RestauranteCasualGordon'sMezcla 2</v>
      </c>
      <c r="E83" s="245" t="s">
        <v>571</v>
      </c>
      <c r="F83" s="245" t="s">
        <v>623</v>
      </c>
      <c r="G83" s="246" t="s">
        <v>525</v>
      </c>
      <c r="H83" t="s">
        <v>671</v>
      </c>
      <c r="I83" s="246" t="s">
        <v>572</v>
      </c>
      <c r="P83" s="245"/>
      <c r="Q83" s="245"/>
      <c r="AK83" t="s">
        <v>761</v>
      </c>
      <c r="AL83" t="s">
        <v>642</v>
      </c>
      <c r="AM83" t="s">
        <v>636</v>
      </c>
    </row>
    <row r="84" spans="1:44" x14ac:dyDescent="0.35">
      <c r="A84" t="str">
        <f t="shared" si="4"/>
        <v>Estrato2y3RestauranteCasualMezcla 1</v>
      </c>
      <c r="B84" t="str">
        <f t="shared" si="5"/>
        <v>Estrato2y3RestauranteCasual</v>
      </c>
      <c r="C84" t="str">
        <f t="shared" si="6"/>
        <v>Estrato2y3RestauranteCasualBaileys</v>
      </c>
      <c r="D84" t="str">
        <f t="shared" si="7"/>
        <v>Estrato2y3RestauranteCasualBaileysMezcla 1</v>
      </c>
      <c r="E84" s="245" t="s">
        <v>571</v>
      </c>
      <c r="F84" s="245" t="s">
        <v>623</v>
      </c>
      <c r="G84" s="246" t="s">
        <v>498</v>
      </c>
      <c r="H84" t="s">
        <v>261</v>
      </c>
      <c r="I84" s="246" t="s">
        <v>578</v>
      </c>
      <c r="P84" s="245"/>
      <c r="Q84" s="245"/>
      <c r="R84" s="246"/>
      <c r="AK84" t="s">
        <v>758</v>
      </c>
      <c r="AL84" t="s">
        <v>639</v>
      </c>
      <c r="AM84" t="s">
        <v>628</v>
      </c>
      <c r="AR84" s="126"/>
    </row>
    <row r="85" spans="1:44" x14ac:dyDescent="0.35">
      <c r="A85" t="str">
        <f t="shared" si="4"/>
        <v>Estrato2y3RestauranteCasualMezcla 3</v>
      </c>
      <c r="B85" t="str">
        <f t="shared" si="5"/>
        <v>Estrato2y3RestauranteCasual</v>
      </c>
      <c r="C85" t="str">
        <f t="shared" si="6"/>
        <v>Estrato2y3RestauranteCasualBlack &amp; White</v>
      </c>
      <c r="D85" t="str">
        <f t="shared" si="7"/>
        <v>Estrato2y3RestauranteCasualBlack &amp; WhiteMezcla 3</v>
      </c>
      <c r="E85" s="245" t="s">
        <v>571</v>
      </c>
      <c r="F85" s="245" t="s">
        <v>623</v>
      </c>
      <c r="G85" s="246" t="s">
        <v>627</v>
      </c>
      <c r="H85" t="s">
        <v>290</v>
      </c>
      <c r="I85" s="246" t="s">
        <v>581</v>
      </c>
      <c r="P85" s="245"/>
      <c r="Q85" s="245"/>
      <c r="R85" s="246"/>
      <c r="AK85" t="s">
        <v>776</v>
      </c>
      <c r="AL85" t="s">
        <v>637</v>
      </c>
      <c r="AM85" t="s">
        <v>498</v>
      </c>
      <c r="AN85" t="s">
        <v>525</v>
      </c>
    </row>
    <row r="86" spans="1:44" x14ac:dyDescent="0.35">
      <c r="A86" t="str">
        <f t="shared" si="4"/>
        <v>Estrato2y3RestauranteÉliteEn las rocas</v>
      </c>
      <c r="B86" t="str">
        <f t="shared" si="5"/>
        <v>Estrato2y3RestauranteÉlite</v>
      </c>
      <c r="C86" t="str">
        <f t="shared" si="6"/>
        <v>Estrato2y3RestauranteÉliteBaileys</v>
      </c>
      <c r="D86" t="str">
        <f t="shared" si="7"/>
        <v>Estrato2y3RestauranteÉliteBaileysEn las rocas</v>
      </c>
      <c r="E86" s="245" t="s">
        <v>571</v>
      </c>
      <c r="F86" s="245" t="s">
        <v>621</v>
      </c>
      <c r="G86" s="246" t="s">
        <v>500</v>
      </c>
      <c r="H86" t="s">
        <v>261</v>
      </c>
      <c r="I86" s="247" t="s">
        <v>577</v>
      </c>
      <c r="P86" s="245"/>
      <c r="Q86" s="245"/>
      <c r="R86" s="246"/>
      <c r="AK86" t="s">
        <v>777</v>
      </c>
      <c r="AL86" t="s">
        <v>629</v>
      </c>
      <c r="AM86" t="s">
        <v>497</v>
      </c>
      <c r="AN86" t="s">
        <v>499</v>
      </c>
      <c r="AO86" t="s">
        <v>627</v>
      </c>
    </row>
    <row r="87" spans="1:44" x14ac:dyDescent="0.35">
      <c r="A87" t="str">
        <f t="shared" si="4"/>
        <v>Estrato2y3RestauranteÉliteMezcla 1</v>
      </c>
      <c r="B87" t="str">
        <f t="shared" si="5"/>
        <v>Estrato2y3RestauranteÉlite</v>
      </c>
      <c r="C87" t="str">
        <f t="shared" si="6"/>
        <v>Estrato2y3RestauranteÉliteGordon's</v>
      </c>
      <c r="D87" t="str">
        <f t="shared" si="7"/>
        <v>Estrato2y3RestauranteÉliteGordon'sMezcla 1</v>
      </c>
      <c r="E87" s="245" t="s">
        <v>571</v>
      </c>
      <c r="F87" s="245" t="s">
        <v>621</v>
      </c>
      <c r="G87" s="246" t="s">
        <v>498</v>
      </c>
      <c r="H87" t="s">
        <v>671</v>
      </c>
      <c r="I87" s="246" t="s">
        <v>572</v>
      </c>
      <c r="P87" s="245"/>
      <c r="Q87" s="245"/>
      <c r="R87" s="246"/>
      <c r="AK87" t="s">
        <v>778</v>
      </c>
      <c r="AL87" t="s">
        <v>631</v>
      </c>
      <c r="AM87" t="s">
        <v>500</v>
      </c>
    </row>
    <row r="88" spans="1:44" x14ac:dyDescent="0.35">
      <c r="A88" t="str">
        <f t="shared" si="4"/>
        <v>Estrato2y3RestauranteÉliteMezcla 2</v>
      </c>
      <c r="B88" t="str">
        <f t="shared" si="5"/>
        <v>Estrato2y3RestauranteÉlite</v>
      </c>
      <c r="C88" t="str">
        <f t="shared" si="6"/>
        <v>Estrato2y3RestauranteÉliteBaileys</v>
      </c>
      <c r="D88" t="str">
        <f t="shared" si="7"/>
        <v>Estrato2y3RestauranteÉliteBaileysMezcla 2</v>
      </c>
      <c r="E88" s="245" t="s">
        <v>571</v>
      </c>
      <c r="F88" s="245" t="s">
        <v>621</v>
      </c>
      <c r="G88" s="246" t="s">
        <v>525</v>
      </c>
      <c r="H88" t="s">
        <v>261</v>
      </c>
      <c r="I88" s="246" t="s">
        <v>578</v>
      </c>
      <c r="P88" s="245"/>
      <c r="Q88" s="245"/>
      <c r="R88" s="246"/>
      <c r="AK88" t="s">
        <v>779</v>
      </c>
      <c r="AL88" t="s">
        <v>637</v>
      </c>
      <c r="AM88" t="s">
        <v>498</v>
      </c>
      <c r="AN88" t="s">
        <v>525</v>
      </c>
    </row>
    <row r="89" spans="1:44" x14ac:dyDescent="0.35">
      <c r="A89" t="str">
        <f t="shared" si="4"/>
        <v>Estrato2y3RestauranteFormal1/2 botella</v>
      </c>
      <c r="B89" t="str">
        <f t="shared" si="5"/>
        <v>Estrato2y3RestauranteFormal</v>
      </c>
      <c r="C89" t="str">
        <f t="shared" si="6"/>
        <v>Estrato2y3RestauranteFormalBlack &amp; White</v>
      </c>
      <c r="D89" t="str">
        <f t="shared" si="7"/>
        <v>Estrato2y3RestauranteFormalBlack &amp; White1/2 botella</v>
      </c>
      <c r="E89" s="245" t="s">
        <v>571</v>
      </c>
      <c r="F89" s="245" t="s">
        <v>622</v>
      </c>
      <c r="G89" s="246" t="s">
        <v>503</v>
      </c>
      <c r="H89" t="s">
        <v>290</v>
      </c>
      <c r="I89" s="246" t="s">
        <v>579</v>
      </c>
      <c r="P89" s="245"/>
      <c r="Q89" s="245"/>
      <c r="R89" s="246"/>
      <c r="AK89" t="s">
        <v>780</v>
      </c>
      <c r="AL89" t="s">
        <v>629</v>
      </c>
      <c r="AM89" t="s">
        <v>497</v>
      </c>
      <c r="AN89" t="s">
        <v>499</v>
      </c>
      <c r="AO89" t="s">
        <v>627</v>
      </c>
      <c r="AR89" s="126"/>
    </row>
    <row r="90" spans="1:44" x14ac:dyDescent="0.35">
      <c r="A90" t="str">
        <f t="shared" si="4"/>
        <v>Estrato2y3RestauranteFormalBotella</v>
      </c>
      <c r="B90" t="str">
        <f t="shared" si="5"/>
        <v>Estrato2y3RestauranteFormal</v>
      </c>
      <c r="C90" t="str">
        <f t="shared" si="6"/>
        <v>Estrato2y3RestauranteFormalBlack &amp; White</v>
      </c>
      <c r="D90" t="str">
        <f t="shared" si="7"/>
        <v>Estrato2y3RestauranteFormalBlack &amp; WhiteBotella</v>
      </c>
      <c r="E90" s="245" t="s">
        <v>571</v>
      </c>
      <c r="F90" s="245" t="s">
        <v>622</v>
      </c>
      <c r="G90" s="246" t="s">
        <v>502</v>
      </c>
      <c r="H90" t="s">
        <v>290</v>
      </c>
      <c r="I90" s="246" t="s">
        <v>580</v>
      </c>
      <c r="P90" s="245"/>
      <c r="Q90" s="245"/>
      <c r="R90" s="246"/>
      <c r="AK90" t="s">
        <v>782</v>
      </c>
      <c r="AL90" t="s">
        <v>633</v>
      </c>
      <c r="AM90" t="s">
        <v>635</v>
      </c>
    </row>
    <row r="91" spans="1:44" x14ac:dyDescent="0.35">
      <c r="A91" t="str">
        <f t="shared" si="4"/>
        <v>Estrato2y3RestauranteFormalEn las rocas 1</v>
      </c>
      <c r="B91" t="str">
        <f t="shared" si="5"/>
        <v>Estrato2y3RestauranteFormal</v>
      </c>
      <c r="C91" t="str">
        <f t="shared" si="6"/>
        <v>Estrato2y3RestauranteFormalBaileys</v>
      </c>
      <c r="D91" t="str">
        <f t="shared" si="7"/>
        <v>Estrato2y3RestauranteFormalBaileysEn las rocas 1</v>
      </c>
      <c r="E91" s="245" t="s">
        <v>571</v>
      </c>
      <c r="F91" s="245" t="s">
        <v>622</v>
      </c>
      <c r="G91" s="246" t="s">
        <v>638</v>
      </c>
      <c r="H91" t="s">
        <v>261</v>
      </c>
      <c r="I91" s="247" t="s">
        <v>577</v>
      </c>
      <c r="P91" s="245"/>
      <c r="Q91" s="245"/>
      <c r="R91" s="246"/>
      <c r="AK91" t="s">
        <v>781</v>
      </c>
      <c r="AL91" t="s">
        <v>631</v>
      </c>
      <c r="AM91" t="s">
        <v>634</v>
      </c>
    </row>
    <row r="92" spans="1:44" x14ac:dyDescent="0.35">
      <c r="A92" t="str">
        <f t="shared" si="4"/>
        <v>Estrato2y3RestauranteFormalEn las rocas 2</v>
      </c>
      <c r="B92" t="str">
        <f t="shared" si="5"/>
        <v>Estrato2y3RestauranteFormal</v>
      </c>
      <c r="C92" t="str">
        <f t="shared" si="6"/>
        <v>Estrato2y3RestauranteFormalBlack &amp; White</v>
      </c>
      <c r="D92" t="str">
        <f t="shared" si="7"/>
        <v>Estrato2y3RestauranteFormalBlack &amp; WhiteEn las rocas 2</v>
      </c>
      <c r="E92" s="245" t="s">
        <v>571</v>
      </c>
      <c r="F92" s="245" t="s">
        <v>622</v>
      </c>
      <c r="G92" s="246" t="s">
        <v>635</v>
      </c>
      <c r="H92" t="s">
        <v>290</v>
      </c>
      <c r="I92" s="246" t="s">
        <v>94</v>
      </c>
      <c r="P92" s="245"/>
      <c r="Q92" s="245"/>
      <c r="R92" s="246"/>
      <c r="AK92" t="s">
        <v>784</v>
      </c>
      <c r="AL92" t="s">
        <v>471</v>
      </c>
    </row>
    <row r="93" spans="1:44" x14ac:dyDescent="0.35">
      <c r="A93" t="str">
        <f t="shared" si="4"/>
        <v>Estrato2y3RestauranteFormalMezcla 1</v>
      </c>
      <c r="B93" t="str">
        <f t="shared" si="5"/>
        <v>Estrato2y3RestauranteFormal</v>
      </c>
      <c r="C93" t="str">
        <f t="shared" si="6"/>
        <v>Estrato2y3RestauranteFormalGordon's</v>
      </c>
      <c r="D93" t="str">
        <f t="shared" si="7"/>
        <v>Estrato2y3RestauranteFormalGordon'sMezcla 1</v>
      </c>
      <c r="E93" s="245" t="s">
        <v>571</v>
      </c>
      <c r="F93" s="245" t="s">
        <v>622</v>
      </c>
      <c r="G93" s="246" t="s">
        <v>498</v>
      </c>
      <c r="H93" t="s">
        <v>671</v>
      </c>
      <c r="I93" s="246" t="s">
        <v>572</v>
      </c>
      <c r="P93" s="245"/>
      <c r="Q93" s="245"/>
      <c r="R93" s="246"/>
      <c r="AK93" t="s">
        <v>783</v>
      </c>
      <c r="AL93" t="s">
        <v>910</v>
      </c>
      <c r="AM93" t="s">
        <v>632</v>
      </c>
      <c r="AN93" t="s">
        <v>546</v>
      </c>
    </row>
    <row r="94" spans="1:44" x14ac:dyDescent="0.35">
      <c r="A94" t="str">
        <f t="shared" si="4"/>
        <v>Estrato2y3RestauranteFormalMezcla 2</v>
      </c>
      <c r="B94" t="str">
        <f t="shared" si="5"/>
        <v>Estrato2y3RestauranteFormal</v>
      </c>
      <c r="C94" t="str">
        <f t="shared" si="6"/>
        <v>Estrato2y3RestauranteFormalBaileys</v>
      </c>
      <c r="D94" t="str">
        <f t="shared" si="7"/>
        <v>Estrato2y3RestauranteFormalBaileysMezcla 2</v>
      </c>
      <c r="E94" s="245" t="s">
        <v>571</v>
      </c>
      <c r="F94" s="245" t="s">
        <v>622</v>
      </c>
      <c r="G94" s="246" t="s">
        <v>525</v>
      </c>
      <c r="H94" t="s">
        <v>261</v>
      </c>
      <c r="I94" s="246" t="s">
        <v>578</v>
      </c>
      <c r="P94" s="245"/>
      <c r="Q94" s="245"/>
      <c r="R94" s="246"/>
      <c r="AK94" t="s">
        <v>785</v>
      </c>
      <c r="AL94" t="s">
        <v>637</v>
      </c>
      <c r="AM94" t="s">
        <v>497</v>
      </c>
      <c r="AR94" s="126"/>
    </row>
    <row r="95" spans="1:44" x14ac:dyDescent="0.35">
      <c r="A95" t="str">
        <f t="shared" si="4"/>
        <v>Estrato2y3RestauranteFormalMezcla 3</v>
      </c>
      <c r="B95" t="str">
        <f t="shared" si="5"/>
        <v>Estrato2y3RestauranteFormal</v>
      </c>
      <c r="C95" t="str">
        <f t="shared" si="6"/>
        <v>Estrato2y3RestauranteFormalBlack &amp; White</v>
      </c>
      <c r="D95" t="str">
        <f t="shared" si="7"/>
        <v>Estrato2y3RestauranteFormalBlack &amp; WhiteMezcla 3</v>
      </c>
      <c r="E95" s="245" t="s">
        <v>571</v>
      </c>
      <c r="F95" s="245" t="s">
        <v>622</v>
      </c>
      <c r="G95" s="246" t="s">
        <v>627</v>
      </c>
      <c r="H95" t="s">
        <v>290</v>
      </c>
      <c r="I95" s="246" t="s">
        <v>581</v>
      </c>
      <c r="P95" s="245"/>
      <c r="Q95" s="245"/>
      <c r="R95" s="246"/>
      <c r="AK95" t="s">
        <v>787</v>
      </c>
      <c r="AL95" t="s">
        <v>471</v>
      </c>
    </row>
    <row r="96" spans="1:44" x14ac:dyDescent="0.35">
      <c r="A96" t="str">
        <f t="shared" si="4"/>
        <v>Estrato4al6BarEliteBotella 1</v>
      </c>
      <c r="B96" t="str">
        <f t="shared" si="5"/>
        <v>Estrato4al6BarElite</v>
      </c>
      <c r="C96" t="str">
        <f t="shared" si="6"/>
        <v>Estrato4al6BarEliteJohnnie Walker Red o Black</v>
      </c>
      <c r="D96" t="str">
        <f t="shared" si="7"/>
        <v>Estrato4al6BarEliteJohnnie Walker Red o BlackBotella 1</v>
      </c>
      <c r="E96" s="245" t="s">
        <v>573</v>
      </c>
      <c r="F96" s="245" t="s">
        <v>616</v>
      </c>
      <c r="G96" s="246" t="s">
        <v>637</v>
      </c>
      <c r="H96" t="s">
        <v>670</v>
      </c>
      <c r="I96" s="248" t="s">
        <v>563</v>
      </c>
      <c r="P96" s="245"/>
      <c r="Q96" s="245"/>
      <c r="R96" s="246"/>
      <c r="AK96" t="s">
        <v>786</v>
      </c>
      <c r="AL96" t="s">
        <v>910</v>
      </c>
      <c r="AM96" t="s">
        <v>629</v>
      </c>
      <c r="AN96" t="s">
        <v>546</v>
      </c>
      <c r="AR96" s="126"/>
    </row>
    <row r="97" spans="1:44" x14ac:dyDescent="0.35">
      <c r="A97" t="str">
        <f t="shared" si="4"/>
        <v>Estrato4al6BarEliteBotella 2</v>
      </c>
      <c r="B97" t="str">
        <f t="shared" si="5"/>
        <v>Estrato4al6BarElite</v>
      </c>
      <c r="C97" t="str">
        <f t="shared" si="6"/>
        <v>Estrato4al6BarEliteOld Parr 12</v>
      </c>
      <c r="D97" t="str">
        <f t="shared" si="7"/>
        <v>Estrato4al6BarEliteOld Parr 12Botella 2</v>
      </c>
      <c r="E97" s="245" t="s">
        <v>573</v>
      </c>
      <c r="F97" s="245" t="s">
        <v>616</v>
      </c>
      <c r="G97" s="246" t="s">
        <v>629</v>
      </c>
      <c r="H97" t="s">
        <v>417</v>
      </c>
      <c r="I97" s="246" t="s">
        <v>566</v>
      </c>
      <c r="P97" s="245"/>
      <c r="Q97" s="245"/>
      <c r="R97" s="246"/>
      <c r="AK97" t="s">
        <v>793</v>
      </c>
      <c r="AL97" t="s">
        <v>627</v>
      </c>
    </row>
    <row r="98" spans="1:44" x14ac:dyDescent="0.35">
      <c r="A98" t="str">
        <f t="shared" si="4"/>
        <v>Estrato4al6BarEliteCoctel 13</v>
      </c>
      <c r="B98" t="str">
        <f t="shared" si="5"/>
        <v>Estrato4al6BarElite</v>
      </c>
      <c r="C98" t="str">
        <f t="shared" si="6"/>
        <v>Estrato4al6BarEliteOld Parr 12</v>
      </c>
      <c r="D98" t="str">
        <f t="shared" si="7"/>
        <v>Estrato4al6BarEliteOld Parr 12Coctel 13</v>
      </c>
      <c r="E98" s="245" t="s">
        <v>573</v>
      </c>
      <c r="F98" s="245" t="s">
        <v>616</v>
      </c>
      <c r="G98" s="246" t="s">
        <v>648</v>
      </c>
      <c r="H98" t="s">
        <v>417</v>
      </c>
      <c r="I98" s="246" t="s">
        <v>567</v>
      </c>
      <c r="P98" s="245"/>
      <c r="Q98" s="245"/>
      <c r="R98" s="246"/>
      <c r="AK98" t="s">
        <v>788</v>
      </c>
      <c r="AL98" t="s">
        <v>637</v>
      </c>
      <c r="AM98" t="s">
        <v>498</v>
      </c>
      <c r="AN98" t="s">
        <v>525</v>
      </c>
      <c r="AR98" s="126"/>
    </row>
    <row r="99" spans="1:44" x14ac:dyDescent="0.35">
      <c r="A99" t="str">
        <f t="shared" si="4"/>
        <v>Estrato4al6BarEliteCoctel 2</v>
      </c>
      <c r="B99" t="str">
        <f t="shared" si="5"/>
        <v>Estrato4al6BarElite</v>
      </c>
      <c r="C99" t="str">
        <f t="shared" si="6"/>
        <v>Estrato4al6BarEliteDon Julio Reposado</v>
      </c>
      <c r="D99" t="str">
        <f t="shared" si="7"/>
        <v>Estrato4al6BarEliteDon Julio ReposadoCoctel 2</v>
      </c>
      <c r="E99" s="245" t="s">
        <v>573</v>
      </c>
      <c r="F99" s="245" t="s">
        <v>616</v>
      </c>
      <c r="G99" s="246" t="s">
        <v>499</v>
      </c>
      <c r="H99" t="s">
        <v>387</v>
      </c>
      <c r="I99" s="246" t="s">
        <v>582</v>
      </c>
      <c r="P99" s="245"/>
      <c r="Q99" s="245"/>
      <c r="R99" s="246"/>
      <c r="AK99" t="s">
        <v>789</v>
      </c>
      <c r="AL99" t="s">
        <v>629</v>
      </c>
      <c r="AM99" t="s">
        <v>497</v>
      </c>
      <c r="AN99" t="s">
        <v>499</v>
      </c>
      <c r="AO99" t="s">
        <v>525</v>
      </c>
    </row>
    <row r="100" spans="1:44" x14ac:dyDescent="0.35">
      <c r="A100" t="str">
        <f t="shared" si="4"/>
        <v>Estrato4al6BarEliteCoctel 3</v>
      </c>
      <c r="B100" t="str">
        <f t="shared" si="5"/>
        <v>Estrato4al6BarElite</v>
      </c>
      <c r="C100" t="str">
        <f t="shared" si="6"/>
        <v>Estrato4al6BarEliteTanqueray Ten</v>
      </c>
      <c r="D100" t="str">
        <f t="shared" si="7"/>
        <v>Estrato4al6BarEliteTanqueray TenCoctel 3</v>
      </c>
      <c r="E100" s="245" t="s">
        <v>573</v>
      </c>
      <c r="F100" s="245" t="s">
        <v>616</v>
      </c>
      <c r="G100" s="246" t="s">
        <v>634</v>
      </c>
      <c r="H100" t="s">
        <v>391</v>
      </c>
      <c r="I100" s="246" t="s">
        <v>583</v>
      </c>
      <c r="P100" s="245"/>
      <c r="Q100" s="245"/>
      <c r="R100" s="246"/>
      <c r="AK100" t="s">
        <v>790</v>
      </c>
      <c r="AL100" t="s">
        <v>631</v>
      </c>
      <c r="AM100" t="s">
        <v>634</v>
      </c>
    </row>
    <row r="101" spans="1:44" x14ac:dyDescent="0.35">
      <c r="A101" t="str">
        <f t="shared" si="4"/>
        <v>Estrato4al6BarEliteCoctel 4</v>
      </c>
      <c r="B101" t="str">
        <f t="shared" si="5"/>
        <v>Estrato4al6BarElite</v>
      </c>
      <c r="C101" t="str">
        <f t="shared" si="6"/>
        <v>Estrato4al6BarEliteBuchanan's 18</v>
      </c>
      <c r="D101" t="str">
        <f t="shared" si="7"/>
        <v>Estrato4al6BarEliteBuchanan's 18Coctel 4</v>
      </c>
      <c r="E101" s="245" t="s">
        <v>573</v>
      </c>
      <c r="F101" s="245" t="s">
        <v>616</v>
      </c>
      <c r="G101" s="246" t="s">
        <v>639</v>
      </c>
      <c r="H101" t="s">
        <v>437</v>
      </c>
      <c r="I101" s="246" t="s">
        <v>585</v>
      </c>
      <c r="P101" s="245"/>
      <c r="Q101" s="245"/>
      <c r="R101" s="246"/>
      <c r="AK101" t="s">
        <v>792</v>
      </c>
      <c r="AL101" t="s">
        <v>471</v>
      </c>
      <c r="AR101" s="126"/>
    </row>
    <row r="102" spans="1:44" x14ac:dyDescent="0.35">
      <c r="A102" t="str">
        <f t="shared" si="4"/>
        <v>Estrato4al6BarEliteCoctel 5</v>
      </c>
      <c r="B102" t="str">
        <f t="shared" si="5"/>
        <v>Estrato4al6BarElite</v>
      </c>
      <c r="C102" t="str">
        <f t="shared" si="6"/>
        <v>Estrato4al6BarEliteDon Julio Blanco</v>
      </c>
      <c r="D102" t="str">
        <f t="shared" si="7"/>
        <v>Estrato4al6BarEliteDon Julio BlancoCoctel 5</v>
      </c>
      <c r="E102" s="245" t="s">
        <v>573</v>
      </c>
      <c r="F102" s="245" t="s">
        <v>616</v>
      </c>
      <c r="G102" s="246" t="s">
        <v>640</v>
      </c>
      <c r="H102" t="s">
        <v>379</v>
      </c>
      <c r="I102" s="246" t="s">
        <v>586</v>
      </c>
      <c r="P102" s="245"/>
      <c r="Q102" s="245"/>
      <c r="R102" s="246"/>
      <c r="AK102" t="s">
        <v>791</v>
      </c>
      <c r="AL102" t="s">
        <v>910</v>
      </c>
      <c r="AM102" t="s">
        <v>632</v>
      </c>
      <c r="AN102" t="s">
        <v>546</v>
      </c>
    </row>
    <row r="103" spans="1:44" x14ac:dyDescent="0.35">
      <c r="A103" t="str">
        <f t="shared" si="4"/>
        <v>Estrato4al6BarEliteCoctel 6</v>
      </c>
      <c r="B103" t="str">
        <f t="shared" si="5"/>
        <v>Estrato4al6BarElite</v>
      </c>
      <c r="C103" t="str">
        <f t="shared" si="6"/>
        <v>Estrato4al6BarEliteTanqueray Rangpur</v>
      </c>
      <c r="D103" t="str">
        <f t="shared" si="7"/>
        <v>Estrato4al6BarEliteTanqueray RangpurCoctel 6</v>
      </c>
      <c r="E103" s="245" t="s">
        <v>573</v>
      </c>
      <c r="F103" s="245" t="s">
        <v>616</v>
      </c>
      <c r="G103" s="246" t="s">
        <v>641</v>
      </c>
      <c r="H103" t="s">
        <v>394</v>
      </c>
      <c r="I103" t="s">
        <v>587</v>
      </c>
      <c r="P103" s="245"/>
      <c r="Q103" s="245"/>
      <c r="R103" s="246"/>
      <c r="AK103" t="s">
        <v>794</v>
      </c>
      <c r="AL103" t="s">
        <v>500</v>
      </c>
      <c r="AM103" t="s">
        <v>498</v>
      </c>
    </row>
    <row r="104" spans="1:44" x14ac:dyDescent="0.35">
      <c r="A104" t="str">
        <f t="shared" si="4"/>
        <v>Estrato4al6BarEliteCoctel 7</v>
      </c>
      <c r="B104" t="str">
        <f t="shared" si="5"/>
        <v>Estrato4al6BarElite</v>
      </c>
      <c r="C104" t="str">
        <f t="shared" si="6"/>
        <v>Estrato4al6BarEliteTanqueray London Dry</v>
      </c>
      <c r="D104" t="str">
        <f t="shared" si="7"/>
        <v>Estrato4al6BarEliteTanqueray London DryCoctel 7</v>
      </c>
      <c r="E104" s="245" t="s">
        <v>573</v>
      </c>
      <c r="F104" s="245" t="s">
        <v>616</v>
      </c>
      <c r="G104" s="246" t="s">
        <v>642</v>
      </c>
      <c r="H104" t="s">
        <v>396</v>
      </c>
      <c r="I104" t="s">
        <v>588</v>
      </c>
      <c r="P104" s="245"/>
      <c r="Q104" s="245"/>
      <c r="R104" s="246"/>
      <c r="AK104" t="s">
        <v>806</v>
      </c>
      <c r="AL104" t="s">
        <v>638</v>
      </c>
      <c r="AM104" t="s">
        <v>525</v>
      </c>
      <c r="AR104" s="126"/>
    </row>
    <row r="105" spans="1:44" x14ac:dyDescent="0.35">
      <c r="A105" t="str">
        <f t="shared" si="4"/>
        <v>Estrato4al6BarEliteCoctel 8</v>
      </c>
      <c r="B105" t="str">
        <f t="shared" si="5"/>
        <v>Estrato4al6BarElite</v>
      </c>
      <c r="C105" t="str">
        <f t="shared" si="6"/>
        <v>Estrato4al6BarEliteKetel One</v>
      </c>
      <c r="D105" t="str">
        <f t="shared" si="7"/>
        <v>Estrato4al6BarEliteKetel OneCoctel 8</v>
      </c>
      <c r="E105" s="245" t="s">
        <v>573</v>
      </c>
      <c r="F105" s="245" t="s">
        <v>616</v>
      </c>
      <c r="G105" s="246" t="s">
        <v>643</v>
      </c>
      <c r="H105" t="s">
        <v>403</v>
      </c>
      <c r="I105" t="s">
        <v>589</v>
      </c>
      <c r="P105" s="245"/>
      <c r="Q105" s="245"/>
      <c r="R105" s="246"/>
      <c r="AK105" t="s">
        <v>800</v>
      </c>
      <c r="AL105" t="s">
        <v>641</v>
      </c>
      <c r="AM105" t="s">
        <v>635</v>
      </c>
      <c r="AN105" t="s">
        <v>636</v>
      </c>
    </row>
    <row r="106" spans="1:44" x14ac:dyDescent="0.35">
      <c r="A106" t="str">
        <f t="shared" si="4"/>
        <v>Estrato4al6BarEliteCoctel 9</v>
      </c>
      <c r="B106" t="str">
        <f t="shared" si="5"/>
        <v>Estrato4al6BarElite</v>
      </c>
      <c r="C106" t="str">
        <f t="shared" si="6"/>
        <v>Estrato4al6BarEliteSingleton 12</v>
      </c>
      <c r="D106" t="str">
        <f t="shared" si="7"/>
        <v>Estrato4al6BarEliteSingleton 12Coctel 9</v>
      </c>
      <c r="E106" s="245" t="s">
        <v>573</v>
      </c>
      <c r="F106" s="245" t="s">
        <v>616</v>
      </c>
      <c r="G106" s="246" t="s">
        <v>644</v>
      </c>
      <c r="H106" t="s">
        <v>406</v>
      </c>
      <c r="I106" t="s">
        <v>590</v>
      </c>
      <c r="P106" s="245"/>
      <c r="Q106" s="245"/>
      <c r="R106" s="246"/>
      <c r="AK106" t="s">
        <v>807</v>
      </c>
      <c r="AL106" t="s">
        <v>650</v>
      </c>
      <c r="AM106" t="s">
        <v>658</v>
      </c>
    </row>
    <row r="107" spans="1:44" x14ac:dyDescent="0.35">
      <c r="A107" t="str">
        <f t="shared" si="4"/>
        <v>Estrato4al6BarEliteCoctel 10</v>
      </c>
      <c r="B107" t="str">
        <f t="shared" si="5"/>
        <v>Estrato4al6BarElite</v>
      </c>
      <c r="C107" t="str">
        <f t="shared" si="6"/>
        <v>Estrato4al6BarEliteBuchanan's 12</v>
      </c>
      <c r="D107" t="str">
        <f t="shared" si="7"/>
        <v>Estrato4al6BarEliteBuchanan's 12Coctel 10</v>
      </c>
      <c r="E107" s="245" t="s">
        <v>573</v>
      </c>
      <c r="F107" s="245" t="s">
        <v>616</v>
      </c>
      <c r="G107" s="246" t="s">
        <v>645</v>
      </c>
      <c r="H107" t="s">
        <v>434</v>
      </c>
      <c r="I107" t="s">
        <v>863</v>
      </c>
      <c r="P107" s="245"/>
      <c r="Q107" s="245"/>
      <c r="R107" s="246"/>
      <c r="AK107" t="s">
        <v>803</v>
      </c>
      <c r="AL107" t="s">
        <v>644</v>
      </c>
      <c r="AM107" t="s">
        <v>656</v>
      </c>
    </row>
    <row r="108" spans="1:44" x14ac:dyDescent="0.35">
      <c r="A108" t="str">
        <f t="shared" si="4"/>
        <v>Estrato4al6BarEliteCoctel 11</v>
      </c>
      <c r="B108" t="str">
        <f t="shared" si="5"/>
        <v>Estrato4al6BarElite</v>
      </c>
      <c r="C108" t="str">
        <f t="shared" si="6"/>
        <v>Estrato4al6BarEliteJohnnie Walker Black Label</v>
      </c>
      <c r="D108" t="str">
        <f t="shared" si="7"/>
        <v>Estrato4al6BarEliteJohnnie Walker Black LabelCoctel 11</v>
      </c>
      <c r="E108" s="245" t="s">
        <v>573</v>
      </c>
      <c r="F108" s="245" t="s">
        <v>616</v>
      </c>
      <c r="G108" s="246" t="s">
        <v>646</v>
      </c>
      <c r="H108" t="s">
        <v>454</v>
      </c>
      <c r="I108" t="s">
        <v>591</v>
      </c>
      <c r="P108" s="245"/>
      <c r="Q108" s="245"/>
      <c r="R108" s="246"/>
      <c r="AK108" t="s">
        <v>812</v>
      </c>
      <c r="AL108" t="s">
        <v>657</v>
      </c>
    </row>
    <row r="109" spans="1:44" x14ac:dyDescent="0.35">
      <c r="A109" t="str">
        <f t="shared" si="4"/>
        <v>Estrato4al6BarEliteCoctel 12</v>
      </c>
      <c r="B109" t="str">
        <f t="shared" si="5"/>
        <v>Estrato4al6BarElite</v>
      </c>
      <c r="C109" t="str">
        <f t="shared" si="6"/>
        <v>Estrato4al6BarEliteHaig Club</v>
      </c>
      <c r="D109" t="str">
        <f t="shared" si="7"/>
        <v>Estrato4al6BarEliteHaig ClubCoctel 12</v>
      </c>
      <c r="E109" s="245" t="s">
        <v>573</v>
      </c>
      <c r="F109" s="245" t="s">
        <v>616</v>
      </c>
      <c r="G109" s="246" t="s">
        <v>647</v>
      </c>
      <c r="H109" t="s">
        <v>458</v>
      </c>
      <c r="I109" t="s">
        <v>592</v>
      </c>
      <c r="P109" s="245"/>
      <c r="Q109" s="245"/>
      <c r="R109" s="246"/>
      <c r="AK109" t="s">
        <v>795</v>
      </c>
      <c r="AL109" t="s">
        <v>497</v>
      </c>
      <c r="AR109" s="126"/>
    </row>
    <row r="110" spans="1:44" x14ac:dyDescent="0.35">
      <c r="A110" t="str">
        <f t="shared" si="4"/>
        <v>Estrato4al6BarEliteCoctel 1</v>
      </c>
      <c r="B110" t="str">
        <f t="shared" si="5"/>
        <v>Estrato4al6BarElite</v>
      </c>
      <c r="C110" t="str">
        <f t="shared" si="6"/>
        <v>Estrato4al6BarEliteOld Parr 12</v>
      </c>
      <c r="D110" t="str">
        <f t="shared" si="7"/>
        <v>Estrato4al6BarEliteOld Parr 12Coctel 1</v>
      </c>
      <c r="E110" s="245" t="s">
        <v>573</v>
      </c>
      <c r="F110" s="245" t="s">
        <v>616</v>
      </c>
      <c r="G110" s="246" t="s">
        <v>497</v>
      </c>
      <c r="H110" t="s">
        <v>417</v>
      </c>
      <c r="I110" s="246" t="s">
        <v>569</v>
      </c>
      <c r="P110" s="245"/>
      <c r="Q110" s="245"/>
      <c r="R110" s="246"/>
      <c r="AK110" t="s">
        <v>809</v>
      </c>
      <c r="AL110" t="s">
        <v>498</v>
      </c>
    </row>
    <row r="111" spans="1:44" x14ac:dyDescent="0.35">
      <c r="A111" t="str">
        <f t="shared" si="4"/>
        <v>Estrato4al6BarEliteCoctel 14</v>
      </c>
      <c r="B111" t="str">
        <f t="shared" si="5"/>
        <v>Estrato4al6BarElite</v>
      </c>
      <c r="C111" t="str">
        <f t="shared" si="6"/>
        <v>Estrato4al6BarEliteSingleton 12</v>
      </c>
      <c r="D111" t="str">
        <f t="shared" si="7"/>
        <v>Estrato4al6BarEliteSingleton 12Coctel 14</v>
      </c>
      <c r="E111" s="245" t="s">
        <v>573</v>
      </c>
      <c r="F111" s="245" t="s">
        <v>616</v>
      </c>
      <c r="G111" s="246" t="s">
        <v>649</v>
      </c>
      <c r="H111" t="s">
        <v>406</v>
      </c>
      <c r="I111" t="s">
        <v>593</v>
      </c>
      <c r="P111" s="245"/>
      <c r="Q111" s="245"/>
      <c r="R111" s="246"/>
      <c r="AK111" t="s">
        <v>810</v>
      </c>
      <c r="AL111" t="s">
        <v>652</v>
      </c>
      <c r="AR111" s="126"/>
    </row>
    <row r="112" spans="1:44" x14ac:dyDescent="0.35">
      <c r="A112" t="str">
        <f t="shared" si="4"/>
        <v>Estrato4al6BarEliteEn las rocas 1</v>
      </c>
      <c r="B112" t="str">
        <f t="shared" si="5"/>
        <v>Estrato4al6BarElite</v>
      </c>
      <c r="C112" t="str">
        <f t="shared" si="6"/>
        <v>Estrato4al6BarEliteBuchanan's 18</v>
      </c>
      <c r="D112" t="str">
        <f t="shared" si="7"/>
        <v>Estrato4al6BarEliteBuchanan's 18En las rocas 1</v>
      </c>
      <c r="E112" s="245" t="s">
        <v>573</v>
      </c>
      <c r="F112" s="245" t="s">
        <v>616</v>
      </c>
      <c r="G112" s="246" t="s">
        <v>638</v>
      </c>
      <c r="H112" t="s">
        <v>437</v>
      </c>
      <c r="I112" s="246" t="s">
        <v>515</v>
      </c>
      <c r="P112" s="245"/>
      <c r="Q112" s="245"/>
      <c r="R112" s="246"/>
      <c r="AK112" t="s">
        <v>811</v>
      </c>
      <c r="AL112" t="s">
        <v>653</v>
      </c>
    </row>
    <row r="113" spans="1:44" x14ac:dyDescent="0.35">
      <c r="A113" t="str">
        <f t="shared" si="4"/>
        <v>Estrato4al6BarEliteEn las rocas 2</v>
      </c>
      <c r="B113" t="str">
        <f t="shared" si="5"/>
        <v>Estrato4al6BarElite</v>
      </c>
      <c r="C113" t="str">
        <f t="shared" si="6"/>
        <v>Estrato4al6BarEliteBuchanan's 12</v>
      </c>
      <c r="D113" t="str">
        <f t="shared" si="7"/>
        <v>Estrato4al6BarEliteBuchanan's 12En las rocas 2</v>
      </c>
      <c r="E113" s="245" t="s">
        <v>573</v>
      </c>
      <c r="F113" s="245" t="s">
        <v>616</v>
      </c>
      <c r="G113" s="246" t="s">
        <v>635</v>
      </c>
      <c r="H113" t="s">
        <v>434</v>
      </c>
      <c r="I113" t="s">
        <v>507</v>
      </c>
      <c r="P113" s="245"/>
      <c r="Q113" s="245"/>
      <c r="R113" s="246"/>
      <c r="AK113" t="s">
        <v>802</v>
      </c>
      <c r="AL113" t="s">
        <v>643</v>
      </c>
      <c r="AM113" t="s">
        <v>655</v>
      </c>
    </row>
    <row r="114" spans="1:44" x14ac:dyDescent="0.35">
      <c r="A114" t="str">
        <f t="shared" si="4"/>
        <v>Estrato4al6BarEliteEn las rocas 3</v>
      </c>
      <c r="B114" t="str">
        <f t="shared" si="5"/>
        <v>Estrato4al6BarElite</v>
      </c>
      <c r="C114" t="str">
        <f t="shared" si="6"/>
        <v>Estrato4al6BarEliteBuchanan's Master</v>
      </c>
      <c r="D114" t="str">
        <f t="shared" si="7"/>
        <v>Estrato4al6BarEliteBuchanan's MasterEn las rocas 3</v>
      </c>
      <c r="E114" s="245" t="s">
        <v>573</v>
      </c>
      <c r="F114" s="245" t="s">
        <v>616</v>
      </c>
      <c r="G114" s="246" t="s">
        <v>650</v>
      </c>
      <c r="H114" t="s">
        <v>436</v>
      </c>
      <c r="I114" t="s">
        <v>594</v>
      </c>
      <c r="P114" s="245"/>
      <c r="Q114" s="245"/>
      <c r="R114" s="246"/>
      <c r="AK114" t="s">
        <v>801</v>
      </c>
      <c r="AL114" t="s">
        <v>642</v>
      </c>
      <c r="AM114" t="s">
        <v>659</v>
      </c>
      <c r="AN114" t="s">
        <v>654</v>
      </c>
      <c r="AR114" s="126"/>
    </row>
    <row r="115" spans="1:44" x14ac:dyDescent="0.35">
      <c r="A115" t="str">
        <f t="shared" si="4"/>
        <v>Estrato4al6BarEliteEn las rocas 4</v>
      </c>
      <c r="B115" t="str">
        <f t="shared" si="5"/>
        <v>Estrato4al6BarElite</v>
      </c>
      <c r="C115" t="str">
        <f t="shared" si="6"/>
        <v>Estrato4al6BarEliteJohnnie Walker Double Black</v>
      </c>
      <c r="D115" t="str">
        <f t="shared" si="7"/>
        <v>Estrato4al6BarEliteJohnnie Walker Double BlackEn las rocas 4</v>
      </c>
      <c r="E115" s="245" t="s">
        <v>573</v>
      </c>
      <c r="F115" s="245" t="s">
        <v>616</v>
      </c>
      <c r="G115" s="246" t="s">
        <v>651</v>
      </c>
      <c r="H115" t="s">
        <v>675</v>
      </c>
      <c r="I115" t="s">
        <v>595</v>
      </c>
      <c r="P115" s="245"/>
      <c r="Q115" s="245"/>
      <c r="R115" s="246"/>
      <c r="AK115" t="s">
        <v>808</v>
      </c>
      <c r="AL115" t="s">
        <v>651</v>
      </c>
    </row>
    <row r="116" spans="1:44" x14ac:dyDescent="0.35">
      <c r="A116" t="str">
        <f t="shared" si="4"/>
        <v>Estrato4al6BarEliteMezcla 1</v>
      </c>
      <c r="B116" t="str">
        <f t="shared" si="5"/>
        <v>Estrato4al6BarElite</v>
      </c>
      <c r="C116" t="str">
        <f t="shared" si="6"/>
        <v>Estrato4al6BarEliteJohnnie Walker Red o Black</v>
      </c>
      <c r="D116" t="str">
        <f t="shared" si="7"/>
        <v>Estrato4al6BarEliteJohnnie Walker Red o BlackMezcla 1</v>
      </c>
      <c r="E116" s="245" t="s">
        <v>573</v>
      </c>
      <c r="F116" s="245" t="s">
        <v>616</v>
      </c>
      <c r="G116" s="246" t="s">
        <v>498</v>
      </c>
      <c r="H116" t="s">
        <v>670</v>
      </c>
      <c r="I116" s="247" t="s">
        <v>564</v>
      </c>
      <c r="P116" s="245"/>
      <c r="Q116" s="245"/>
      <c r="R116" s="246"/>
      <c r="AK116" t="s">
        <v>798</v>
      </c>
      <c r="AL116" t="s">
        <v>639</v>
      </c>
      <c r="AR116" s="126"/>
    </row>
    <row r="117" spans="1:44" x14ac:dyDescent="0.35">
      <c r="A117" t="str">
        <f t="shared" si="4"/>
        <v>Estrato4al6BarEliteMezcla 2</v>
      </c>
      <c r="B117" t="str">
        <f t="shared" si="5"/>
        <v>Estrato4al6BarElite</v>
      </c>
      <c r="C117" t="str">
        <f t="shared" si="6"/>
        <v>Estrato4al6BarEliteOld Parr 12</v>
      </c>
      <c r="D117" t="str">
        <f t="shared" si="7"/>
        <v>Estrato4al6BarEliteOld Parr 12Mezcla 2</v>
      </c>
      <c r="E117" s="245" t="s">
        <v>573</v>
      </c>
      <c r="F117" s="245" t="s">
        <v>616</v>
      </c>
      <c r="G117" s="246" t="s">
        <v>525</v>
      </c>
      <c r="H117" t="s">
        <v>417</v>
      </c>
      <c r="I117" s="246" t="s">
        <v>570</v>
      </c>
      <c r="P117" s="245"/>
      <c r="Q117" s="245"/>
      <c r="R117" s="246"/>
      <c r="AK117" t="s">
        <v>799</v>
      </c>
      <c r="AL117" t="s">
        <v>647</v>
      </c>
      <c r="AM117" t="s">
        <v>640</v>
      </c>
      <c r="AN117" t="s">
        <v>661</v>
      </c>
    </row>
    <row r="118" spans="1:44" x14ac:dyDescent="0.35">
      <c r="A118" t="str">
        <f t="shared" si="4"/>
        <v>Estrato4al6BarEliteMezcla 3</v>
      </c>
      <c r="B118" t="str">
        <f t="shared" si="5"/>
        <v>Estrato4al6BarElite</v>
      </c>
      <c r="C118" t="str">
        <f t="shared" si="6"/>
        <v>Estrato4al6BarEliteGordon's</v>
      </c>
      <c r="D118" t="str">
        <f t="shared" si="7"/>
        <v>Estrato4al6BarEliteGordon'sMezcla 3</v>
      </c>
      <c r="E118" s="245" t="s">
        <v>573</v>
      </c>
      <c r="F118" s="245" t="s">
        <v>616</v>
      </c>
      <c r="G118" s="246" t="s">
        <v>627</v>
      </c>
      <c r="H118" t="s">
        <v>671</v>
      </c>
      <c r="I118" s="246" t="s">
        <v>572</v>
      </c>
      <c r="P118" s="245"/>
      <c r="Q118" s="245"/>
      <c r="R118" s="246"/>
      <c r="AK118" t="s">
        <v>813</v>
      </c>
      <c r="AL118" t="s">
        <v>662</v>
      </c>
    </row>
    <row r="119" spans="1:44" x14ac:dyDescent="0.35">
      <c r="A119" t="str">
        <f t="shared" si="4"/>
        <v>Estrato4al6BarEliteMezcla 4</v>
      </c>
      <c r="B119" t="str">
        <f t="shared" si="5"/>
        <v>Estrato4al6BarElite</v>
      </c>
      <c r="C119" t="str">
        <f t="shared" si="6"/>
        <v>Estrato4al6BarEliteTanqueray Ten</v>
      </c>
      <c r="D119" t="str">
        <f t="shared" si="7"/>
        <v>Estrato4al6BarEliteTanqueray TenMezcla 4</v>
      </c>
      <c r="E119" s="245" t="s">
        <v>573</v>
      </c>
      <c r="F119" s="245" t="s">
        <v>616</v>
      </c>
      <c r="G119" s="246" t="s">
        <v>628</v>
      </c>
      <c r="H119" t="s">
        <v>391</v>
      </c>
      <c r="I119" s="246" t="s">
        <v>584</v>
      </c>
      <c r="P119" s="245"/>
      <c r="Q119" s="245"/>
      <c r="R119" s="246"/>
      <c r="AK119" t="s">
        <v>797</v>
      </c>
      <c r="AL119" t="s">
        <v>634</v>
      </c>
      <c r="AM119" t="s">
        <v>628</v>
      </c>
      <c r="AR119" s="126"/>
    </row>
    <row r="120" spans="1:44" x14ac:dyDescent="0.35">
      <c r="A120" t="str">
        <f t="shared" si="4"/>
        <v>Estrato4al6BarEliteMezcla 5</v>
      </c>
      <c r="B120" t="str">
        <f t="shared" si="5"/>
        <v>Estrato4al6BarElite</v>
      </c>
      <c r="C120" t="str">
        <f t="shared" si="6"/>
        <v>Estrato4al6BarEliteTanqueray Rangpur</v>
      </c>
      <c r="D120" t="str">
        <f t="shared" si="7"/>
        <v>Estrato4al6BarEliteTanqueray RangpurMezcla 5</v>
      </c>
      <c r="E120" s="245" t="s">
        <v>573</v>
      </c>
      <c r="F120" s="245" t="s">
        <v>616</v>
      </c>
      <c r="G120" s="246" t="s">
        <v>636</v>
      </c>
      <c r="H120" t="s">
        <v>394</v>
      </c>
      <c r="I120" t="s">
        <v>596</v>
      </c>
      <c r="P120" s="245"/>
      <c r="Q120" s="245"/>
      <c r="R120" s="246"/>
      <c r="AK120" t="s">
        <v>796</v>
      </c>
      <c r="AL120" t="s">
        <v>499</v>
      </c>
      <c r="AM120" t="s">
        <v>627</v>
      </c>
    </row>
    <row r="121" spans="1:44" x14ac:dyDescent="0.35">
      <c r="A121" t="str">
        <f t="shared" si="4"/>
        <v>Estrato4al6BarEliteMezcla 6</v>
      </c>
      <c r="B121" t="str">
        <f t="shared" si="5"/>
        <v>Estrato4al6BarElite</v>
      </c>
      <c r="C121" t="str">
        <f t="shared" si="6"/>
        <v>Estrato4al6BarEliteTanqueray London Dry</v>
      </c>
      <c r="D121" t="str">
        <f t="shared" si="7"/>
        <v>Estrato4al6BarEliteTanqueray London DryMezcla 6</v>
      </c>
      <c r="E121" s="245" t="s">
        <v>573</v>
      </c>
      <c r="F121" s="245" t="s">
        <v>616</v>
      </c>
      <c r="G121" s="246" t="s">
        <v>652</v>
      </c>
      <c r="H121" t="s">
        <v>396</v>
      </c>
      <c r="I121" t="s">
        <v>597</v>
      </c>
      <c r="P121" s="245"/>
      <c r="Q121" s="245"/>
      <c r="R121" s="246"/>
      <c r="AK121" t="s">
        <v>804</v>
      </c>
      <c r="AL121" t="s">
        <v>645</v>
      </c>
      <c r="AM121" t="s">
        <v>648</v>
      </c>
      <c r="AN121" t="s">
        <v>664</v>
      </c>
    </row>
    <row r="122" spans="1:44" x14ac:dyDescent="0.35">
      <c r="A122" t="str">
        <f t="shared" si="4"/>
        <v>Estrato4al6BarEliteMezcla 7</v>
      </c>
      <c r="B122" t="str">
        <f t="shared" si="5"/>
        <v>Estrato4al6BarElite</v>
      </c>
      <c r="C122" t="str">
        <f t="shared" si="6"/>
        <v>Estrato4al6BarEliteBuchanan's 12</v>
      </c>
      <c r="D122" t="str">
        <f t="shared" si="7"/>
        <v>Estrato4al6BarEliteBuchanan's 12Mezcla 7</v>
      </c>
      <c r="E122" s="245" t="s">
        <v>573</v>
      </c>
      <c r="F122" s="245" t="s">
        <v>616</v>
      </c>
      <c r="G122" s="246" t="s">
        <v>653</v>
      </c>
      <c r="H122" t="s">
        <v>434</v>
      </c>
      <c r="I122" t="s">
        <v>598</v>
      </c>
      <c r="P122" s="245"/>
      <c r="Q122" s="245"/>
      <c r="R122" s="246"/>
      <c r="AK122" t="s">
        <v>805</v>
      </c>
      <c r="AL122" t="s">
        <v>646</v>
      </c>
    </row>
    <row r="123" spans="1:44" x14ac:dyDescent="0.35">
      <c r="A123" t="str">
        <f t="shared" si="4"/>
        <v>Estrato4al6BarEliteMezcla 8</v>
      </c>
      <c r="B123" t="str">
        <f t="shared" si="5"/>
        <v>Estrato4al6BarElite</v>
      </c>
      <c r="C123" t="str">
        <f t="shared" si="6"/>
        <v>Estrato4al6BarEliteGordon's Cucumber</v>
      </c>
      <c r="D123" t="str">
        <f t="shared" si="7"/>
        <v>Estrato4al6BarEliteGordon's CucumberMezcla 8</v>
      </c>
      <c r="E123" s="245" t="s">
        <v>573</v>
      </c>
      <c r="F123" s="245" t="s">
        <v>616</v>
      </c>
      <c r="G123" s="246" t="s">
        <v>654</v>
      </c>
      <c r="H123" t="s">
        <v>445</v>
      </c>
      <c r="I123" t="s">
        <v>599</v>
      </c>
      <c r="P123" s="245"/>
      <c r="Q123" s="245"/>
      <c r="R123" s="246"/>
      <c r="AK123" t="s">
        <v>828</v>
      </c>
      <c r="AL123" t="s">
        <v>638</v>
      </c>
      <c r="AM123" t="s">
        <v>525</v>
      </c>
    </row>
    <row r="124" spans="1:44" x14ac:dyDescent="0.35">
      <c r="A124" t="str">
        <f t="shared" si="4"/>
        <v>Estrato4al6BarEliteMezcla 9</v>
      </c>
      <c r="B124" t="str">
        <f t="shared" si="5"/>
        <v>Estrato4al6BarElite</v>
      </c>
      <c r="C124" t="str">
        <f t="shared" si="6"/>
        <v>Estrato4al6BarEliteGordon's Pink</v>
      </c>
      <c r="D124" t="str">
        <f t="shared" si="7"/>
        <v>Estrato4al6BarEliteGordon's PinkMezcla 9</v>
      </c>
      <c r="E124" s="245" t="s">
        <v>573</v>
      </c>
      <c r="F124" s="245" t="s">
        <v>616</v>
      </c>
      <c r="G124" s="246" t="s">
        <v>655</v>
      </c>
      <c r="H124" t="s">
        <v>446</v>
      </c>
      <c r="I124" t="s">
        <v>600</v>
      </c>
      <c r="P124" s="245"/>
      <c r="Q124" s="245"/>
      <c r="AK124" t="s">
        <v>822</v>
      </c>
      <c r="AL124" t="s">
        <v>644</v>
      </c>
      <c r="AM124" t="s">
        <v>650</v>
      </c>
      <c r="AN124" t="s">
        <v>652</v>
      </c>
      <c r="AR124" s="126"/>
    </row>
    <row r="125" spans="1:44" x14ac:dyDescent="0.35">
      <c r="A125" t="str">
        <f t="shared" si="4"/>
        <v>Estrato4al6BarEliteMezcla 10</v>
      </c>
      <c r="B125" t="str">
        <f t="shared" si="5"/>
        <v>Estrato4al6BarElite</v>
      </c>
      <c r="C125" t="str">
        <f t="shared" si="6"/>
        <v>Estrato4al6BarEliteJohnnie Walker Black Label</v>
      </c>
      <c r="D125" t="str">
        <f t="shared" si="7"/>
        <v>Estrato4al6BarEliteJohnnie Walker Black LabelMezcla 10</v>
      </c>
      <c r="E125" s="245" t="s">
        <v>573</v>
      </c>
      <c r="F125" s="245" t="s">
        <v>616</v>
      </c>
      <c r="G125" s="246" t="s">
        <v>656</v>
      </c>
      <c r="H125" t="s">
        <v>454</v>
      </c>
      <c r="I125" t="s">
        <v>601</v>
      </c>
      <c r="P125" s="245"/>
      <c r="Q125" s="245"/>
      <c r="AK125" t="s">
        <v>816</v>
      </c>
      <c r="AL125" t="s">
        <v>634</v>
      </c>
      <c r="AM125" t="s">
        <v>635</v>
      </c>
    </row>
    <row r="126" spans="1:44" x14ac:dyDescent="0.35">
      <c r="A126" t="str">
        <f t="shared" si="4"/>
        <v>Estrato4al6BarEliteMezcla 11</v>
      </c>
      <c r="B126" t="str">
        <f t="shared" si="5"/>
        <v>Estrato4al6BarElite</v>
      </c>
      <c r="C126" t="str">
        <f t="shared" si="6"/>
        <v>Estrato4al6BarEliteHaig Club</v>
      </c>
      <c r="D126" t="str">
        <f t="shared" si="7"/>
        <v>Estrato4al6BarEliteHaig ClubMezcla 11</v>
      </c>
      <c r="E126" s="245" t="s">
        <v>573</v>
      </c>
      <c r="F126" s="245" t="s">
        <v>616</v>
      </c>
      <c r="G126" s="246" t="s">
        <v>657</v>
      </c>
      <c r="H126" t="s">
        <v>458</v>
      </c>
      <c r="I126" t="s">
        <v>602</v>
      </c>
      <c r="P126" s="245"/>
      <c r="Q126" s="245"/>
      <c r="R126" s="246"/>
      <c r="AK126" t="s">
        <v>829</v>
      </c>
      <c r="AL126" t="s">
        <v>651</v>
      </c>
      <c r="AM126" t="s">
        <v>659</v>
      </c>
      <c r="AR126" s="126"/>
    </row>
    <row r="127" spans="1:44" x14ac:dyDescent="0.35">
      <c r="A127" t="str">
        <f t="shared" si="4"/>
        <v>Estrato4al6BarEliteMezcla 12</v>
      </c>
      <c r="B127" t="str">
        <f t="shared" si="5"/>
        <v>Estrato4al6BarElite</v>
      </c>
      <c r="C127" t="str">
        <f t="shared" si="6"/>
        <v>Estrato4al6BarEliteBuchanan's Master</v>
      </c>
      <c r="D127" t="str">
        <f t="shared" si="7"/>
        <v>Estrato4al6BarEliteBuchanan's MasterMezcla 12</v>
      </c>
      <c r="E127" s="245" t="s">
        <v>573</v>
      </c>
      <c r="F127" s="245" t="s">
        <v>616</v>
      </c>
      <c r="G127" s="246" t="s">
        <v>658</v>
      </c>
      <c r="H127" t="s">
        <v>436</v>
      </c>
      <c r="I127" t="s">
        <v>603</v>
      </c>
      <c r="P127" s="245"/>
      <c r="Q127" s="245"/>
      <c r="R127" s="246"/>
      <c r="AK127" t="s">
        <v>825</v>
      </c>
      <c r="AL127" t="s">
        <v>647</v>
      </c>
      <c r="AM127" t="s">
        <v>657</v>
      </c>
    </row>
    <row r="128" spans="1:44" x14ac:dyDescent="0.35">
      <c r="A128" t="str">
        <f t="shared" si="4"/>
        <v>Estrato4al6BarEliteMezcla 13</v>
      </c>
      <c r="B128" t="str">
        <f t="shared" si="5"/>
        <v>Estrato4al6BarElite</v>
      </c>
      <c r="C128" t="str">
        <f t="shared" si="6"/>
        <v>Estrato4al6BarEliteJohnnie Walker Red o Black</v>
      </c>
      <c r="D128" t="str">
        <f t="shared" si="7"/>
        <v>Estrato4al6BarEliteJohnnie Walker Red o BlackMezcla 13</v>
      </c>
      <c r="E128" s="245" t="s">
        <v>573</v>
      </c>
      <c r="F128" s="245" t="s">
        <v>616</v>
      </c>
      <c r="G128" s="246" t="s">
        <v>659</v>
      </c>
      <c r="H128" t="s">
        <v>670</v>
      </c>
      <c r="I128" s="247" t="s">
        <v>565</v>
      </c>
      <c r="AK128" t="s">
        <v>834</v>
      </c>
      <c r="AL128" t="s">
        <v>658</v>
      </c>
    </row>
    <row r="129" spans="1:44" x14ac:dyDescent="0.35">
      <c r="A129" t="str">
        <f t="shared" si="4"/>
        <v>Estrato4al6BarEliteMezcla 14</v>
      </c>
      <c r="B129" t="str">
        <f t="shared" si="5"/>
        <v>Estrato4al6BarElite</v>
      </c>
      <c r="C129" t="str">
        <f t="shared" si="6"/>
        <v>Estrato4al6BarEliteJohnnie Walker Black Label</v>
      </c>
      <c r="D129" t="str">
        <f t="shared" si="7"/>
        <v>Estrato4al6BarEliteJohnnie Walker Black LabelMezcla 14</v>
      </c>
      <c r="E129" s="245" t="s">
        <v>573</v>
      </c>
      <c r="F129" s="245" t="s">
        <v>616</v>
      </c>
      <c r="G129" s="246" t="s">
        <v>660</v>
      </c>
      <c r="H129" t="s">
        <v>454</v>
      </c>
      <c r="I129" t="s">
        <v>604</v>
      </c>
      <c r="P129" s="245"/>
      <c r="Q129" s="245"/>
      <c r="R129" s="246"/>
      <c r="AK129" t="s">
        <v>817</v>
      </c>
      <c r="AL129" t="s">
        <v>639</v>
      </c>
    </row>
    <row r="130" spans="1:44" x14ac:dyDescent="0.35">
      <c r="A130" t="str">
        <f t="shared" si="4"/>
        <v>Estrato4al6BarEliteOn the rocks 1</v>
      </c>
      <c r="B130" t="str">
        <f t="shared" si="5"/>
        <v>Estrato4al6BarElite</v>
      </c>
      <c r="C130" t="str">
        <f t="shared" si="6"/>
        <v>Estrato4al6BarEliteSingleton 12</v>
      </c>
      <c r="D130" t="str">
        <f t="shared" si="7"/>
        <v>Estrato4al6BarEliteSingleton 12On the rocks 1</v>
      </c>
      <c r="E130" s="245" t="s">
        <v>573</v>
      </c>
      <c r="F130" s="245" t="s">
        <v>616</v>
      </c>
      <c r="G130" t="s">
        <v>661</v>
      </c>
      <c r="H130" t="s">
        <v>406</v>
      </c>
      <c r="I130" t="s">
        <v>605</v>
      </c>
      <c r="P130" s="245"/>
      <c r="Q130" s="245"/>
      <c r="R130" s="246"/>
      <c r="AK130" t="s">
        <v>814</v>
      </c>
      <c r="AL130" t="s">
        <v>497</v>
      </c>
      <c r="AR130" s="126"/>
    </row>
    <row r="131" spans="1:44" x14ac:dyDescent="0.35">
      <c r="A131" t="str">
        <f t="shared" si="4"/>
        <v>Estrato4al6BarEliteOn the rocks 2</v>
      </c>
      <c r="B131" t="str">
        <f t="shared" si="5"/>
        <v>Estrato4al6BarElite</v>
      </c>
      <c r="C131" t="str">
        <f t="shared" si="6"/>
        <v>Estrato4al6BarEliteSingleton Tailfire</v>
      </c>
      <c r="D131" t="str">
        <f t="shared" si="7"/>
        <v>Estrato4al6BarEliteSingleton TailfireOn the rocks 2</v>
      </c>
      <c r="E131" s="245" t="s">
        <v>573</v>
      </c>
      <c r="F131" s="245" t="s">
        <v>616</v>
      </c>
      <c r="G131" t="s">
        <v>662</v>
      </c>
      <c r="H131" t="s">
        <v>676</v>
      </c>
      <c r="I131" t="s">
        <v>606</v>
      </c>
      <c r="R131" s="246"/>
      <c r="AK131" t="s">
        <v>831</v>
      </c>
      <c r="AL131" t="s">
        <v>498</v>
      </c>
    </row>
    <row r="132" spans="1:44" x14ac:dyDescent="0.35">
      <c r="A132" t="str">
        <f t="shared" ref="A132:A195" si="8">E132&amp;F132&amp;G132</f>
        <v>Estrato4al6BarEstandárBotella 1</v>
      </c>
      <c r="B132" t="str">
        <f t="shared" ref="B132:B195" si="9">E132&amp;F132</f>
        <v>Estrato4al6BarEstandár</v>
      </c>
      <c r="C132" t="str">
        <f t="shared" ref="C132:C195" si="10">E132&amp;F132&amp;H132</f>
        <v>Estrato4al6BarEstandárJohnnie Walker Red o Black</v>
      </c>
      <c r="D132" t="str">
        <f t="shared" ref="D132:D195" si="11">E132&amp;F132&amp;H132&amp;G132</f>
        <v>Estrato4al6BarEstandárJohnnie Walker Red o BlackBotella 1</v>
      </c>
      <c r="E132" s="245" t="s">
        <v>573</v>
      </c>
      <c r="F132" s="245" t="s">
        <v>618</v>
      </c>
      <c r="G132" s="246" t="s">
        <v>637</v>
      </c>
      <c r="H132" t="s">
        <v>670</v>
      </c>
      <c r="I132" s="248" t="s">
        <v>563</v>
      </c>
      <c r="P132" s="245"/>
      <c r="Q132" s="245"/>
      <c r="R132" s="246"/>
      <c r="AK132" t="s">
        <v>832</v>
      </c>
      <c r="AL132" t="s">
        <v>653</v>
      </c>
    </row>
    <row r="133" spans="1:44" x14ac:dyDescent="0.35">
      <c r="A133" t="str">
        <f t="shared" si="8"/>
        <v>Estrato4al6BarEstandárBotella 2</v>
      </c>
      <c r="B133" t="str">
        <f t="shared" si="9"/>
        <v>Estrato4al6BarEstandár</v>
      </c>
      <c r="C133" t="str">
        <f t="shared" si="10"/>
        <v>Estrato4al6BarEstandárOld Parr 12</v>
      </c>
      <c r="D133" t="str">
        <f t="shared" si="11"/>
        <v>Estrato4al6BarEstandárOld Parr 12Botella 2</v>
      </c>
      <c r="E133" s="245" t="s">
        <v>573</v>
      </c>
      <c r="F133" s="245" t="s">
        <v>618</v>
      </c>
      <c r="G133" s="246" t="s">
        <v>629</v>
      </c>
      <c r="H133" t="s">
        <v>417</v>
      </c>
      <c r="I133" s="246" t="s">
        <v>566</v>
      </c>
      <c r="P133" s="245"/>
      <c r="Q133" s="245"/>
      <c r="R133" s="246"/>
      <c r="AK133" t="s">
        <v>833</v>
      </c>
      <c r="AL133" t="s">
        <v>654</v>
      </c>
      <c r="AR133" s="126"/>
    </row>
    <row r="134" spans="1:44" x14ac:dyDescent="0.35">
      <c r="A134" t="str">
        <f t="shared" si="8"/>
        <v>Estrato4al6BarEstandárBotella 3</v>
      </c>
      <c r="B134" t="str">
        <f t="shared" si="9"/>
        <v>Estrato4al6BarEstandár</v>
      </c>
      <c r="C134" t="str">
        <f t="shared" si="10"/>
        <v>Estrato4al6BarEstandárSmirnoff</v>
      </c>
      <c r="D134" t="str">
        <f t="shared" si="11"/>
        <v>Estrato4al6BarEstandárSmirnoffBotella 3</v>
      </c>
      <c r="E134" s="245" t="s">
        <v>573</v>
      </c>
      <c r="F134" s="245" t="s">
        <v>618</v>
      </c>
      <c r="G134" s="246" t="s">
        <v>631</v>
      </c>
      <c r="H134" t="s">
        <v>672</v>
      </c>
      <c r="I134" s="246" t="s">
        <v>574</v>
      </c>
      <c r="P134" s="245"/>
      <c r="Q134" s="245"/>
      <c r="R134" s="246"/>
      <c r="AK134" t="s">
        <v>824</v>
      </c>
      <c r="AL134" t="s">
        <v>646</v>
      </c>
      <c r="AM134" t="s">
        <v>656</v>
      </c>
    </row>
    <row r="135" spans="1:44" x14ac:dyDescent="0.35">
      <c r="A135" t="str">
        <f t="shared" si="8"/>
        <v>Estrato4al6BarEstandárBotella 4</v>
      </c>
      <c r="B135" t="str">
        <f t="shared" si="9"/>
        <v>Estrato4al6BarEstandár</v>
      </c>
      <c r="C135" t="str">
        <f t="shared" si="10"/>
        <v>Estrato4al6BarEstandárSmirnoff X1</v>
      </c>
      <c r="D135" t="str">
        <f t="shared" si="11"/>
        <v>Estrato4al6BarEstandárSmirnoff X1Botella 4</v>
      </c>
      <c r="E135" s="245" t="s">
        <v>573</v>
      </c>
      <c r="F135" s="245" t="s">
        <v>618</v>
      </c>
      <c r="G135" s="246" t="s">
        <v>632</v>
      </c>
      <c r="H135" t="s">
        <v>673</v>
      </c>
      <c r="I135" s="246" t="s">
        <v>541</v>
      </c>
      <c r="P135" s="245"/>
      <c r="Q135" s="245"/>
      <c r="R135" s="246"/>
      <c r="AK135" t="s">
        <v>823</v>
      </c>
      <c r="AL135" t="s">
        <v>645</v>
      </c>
      <c r="AM135" t="s">
        <v>660</v>
      </c>
      <c r="AN135" t="s">
        <v>655</v>
      </c>
    </row>
    <row r="136" spans="1:44" x14ac:dyDescent="0.35">
      <c r="A136" t="str">
        <f t="shared" si="8"/>
        <v>Estrato4al6BarEstandárCoctel 14</v>
      </c>
      <c r="B136" t="str">
        <f t="shared" si="9"/>
        <v>Estrato4al6BarEstandár</v>
      </c>
      <c r="C136" t="str">
        <f t="shared" si="10"/>
        <v>Estrato4al6BarEstandárOld Parr 12</v>
      </c>
      <c r="D136" t="str">
        <f t="shared" si="11"/>
        <v>Estrato4al6BarEstandárOld Parr 12Coctel 14</v>
      </c>
      <c r="E136" s="245" t="s">
        <v>573</v>
      </c>
      <c r="F136" s="245" t="s">
        <v>618</v>
      </c>
      <c r="G136" s="246" t="s">
        <v>649</v>
      </c>
      <c r="H136" t="s">
        <v>417</v>
      </c>
      <c r="I136" s="246" t="s">
        <v>567</v>
      </c>
      <c r="P136" s="245"/>
      <c r="Q136" s="245"/>
      <c r="R136" s="246"/>
      <c r="AK136" t="s">
        <v>830</v>
      </c>
      <c r="AL136" t="s">
        <v>664</v>
      </c>
      <c r="AR136" s="126"/>
    </row>
    <row r="137" spans="1:44" x14ac:dyDescent="0.35">
      <c r="A137" t="str">
        <f t="shared" si="8"/>
        <v>Estrato4al6BarEstandárCoctel 2</v>
      </c>
      <c r="B137" t="str">
        <f t="shared" si="9"/>
        <v>Estrato4al6BarEstandár</v>
      </c>
      <c r="C137" t="str">
        <f t="shared" si="10"/>
        <v>Estrato4al6BarEstandárSmirnoff</v>
      </c>
      <c r="D137" t="str">
        <f t="shared" si="11"/>
        <v>Estrato4al6BarEstandárSmirnoffCoctel 2</v>
      </c>
      <c r="E137" s="245" t="s">
        <v>573</v>
      </c>
      <c r="F137" s="245" t="s">
        <v>618</v>
      </c>
      <c r="G137" s="246" t="s">
        <v>499</v>
      </c>
      <c r="H137" t="s">
        <v>672</v>
      </c>
      <c r="I137" s="246" t="s">
        <v>575</v>
      </c>
      <c r="P137" s="245"/>
      <c r="Q137" s="245"/>
      <c r="R137" s="246"/>
      <c r="AK137" t="s">
        <v>820</v>
      </c>
      <c r="AL137" t="s">
        <v>642</v>
      </c>
    </row>
    <row r="138" spans="1:44" x14ac:dyDescent="0.35">
      <c r="A138" t="str">
        <f t="shared" si="8"/>
        <v>Estrato4al6BarEstandárCoctel 3</v>
      </c>
      <c r="B138" t="str">
        <f t="shared" si="9"/>
        <v>Estrato4al6BarEstandár</v>
      </c>
      <c r="C138" t="str">
        <f t="shared" si="10"/>
        <v>Estrato4al6BarEstandárDon Julio Reposado</v>
      </c>
      <c r="D138" t="str">
        <f t="shared" si="11"/>
        <v>Estrato4al6BarEstandárDon Julio ReposadoCoctel 3</v>
      </c>
      <c r="E138" s="245" t="s">
        <v>573</v>
      </c>
      <c r="F138" s="245" t="s">
        <v>618</v>
      </c>
      <c r="G138" s="246" t="s">
        <v>634</v>
      </c>
      <c r="H138" t="s">
        <v>387</v>
      </c>
      <c r="I138" s="246" t="s">
        <v>582</v>
      </c>
      <c r="P138" s="245"/>
      <c r="Q138" s="245"/>
      <c r="R138" s="246"/>
      <c r="AK138" t="s">
        <v>821</v>
      </c>
      <c r="AL138" t="s">
        <v>663</v>
      </c>
      <c r="AM138" t="s">
        <v>643</v>
      </c>
      <c r="AN138" t="s">
        <v>661</v>
      </c>
      <c r="AR138" s="126"/>
    </row>
    <row r="139" spans="1:44" x14ac:dyDescent="0.35">
      <c r="A139" t="str">
        <f t="shared" si="8"/>
        <v>Estrato4al6BarEstandárCoctel 4</v>
      </c>
      <c r="B139" t="str">
        <f t="shared" si="9"/>
        <v>Estrato4al6BarEstandár</v>
      </c>
      <c r="C139" t="str">
        <f t="shared" si="10"/>
        <v>Estrato4al6BarEstandárTanqueray Ten</v>
      </c>
      <c r="D139" t="str">
        <f t="shared" si="11"/>
        <v>Estrato4al6BarEstandárTanqueray TenCoctel 4</v>
      </c>
      <c r="E139" s="245" t="s">
        <v>573</v>
      </c>
      <c r="F139" s="245" t="s">
        <v>618</v>
      </c>
      <c r="G139" s="246" t="s">
        <v>639</v>
      </c>
      <c r="H139" t="s">
        <v>391</v>
      </c>
      <c r="I139" s="246" t="s">
        <v>583</v>
      </c>
      <c r="R139" s="246"/>
      <c r="AK139" t="s">
        <v>835</v>
      </c>
      <c r="AL139" t="s">
        <v>662</v>
      </c>
    </row>
    <row r="140" spans="1:44" x14ac:dyDescent="0.35">
      <c r="A140" t="str">
        <f t="shared" si="8"/>
        <v>Estrato4al6BarEstandárCoctel 5</v>
      </c>
      <c r="B140" t="str">
        <f t="shared" si="9"/>
        <v>Estrato4al6BarEstandár</v>
      </c>
      <c r="C140" t="str">
        <f t="shared" si="10"/>
        <v>Estrato4al6BarEstandárBuchanan's 18</v>
      </c>
      <c r="D140" t="str">
        <f t="shared" si="11"/>
        <v>Estrato4al6BarEstandárBuchanan's 18Coctel 5</v>
      </c>
      <c r="E140" s="245" t="s">
        <v>573</v>
      </c>
      <c r="F140" s="245" t="s">
        <v>618</v>
      </c>
      <c r="G140" s="246" t="s">
        <v>640</v>
      </c>
      <c r="H140" t="s">
        <v>437</v>
      </c>
      <c r="I140" s="246" t="s">
        <v>585</v>
      </c>
      <c r="P140" s="245"/>
      <c r="Q140" s="245"/>
      <c r="R140" s="246"/>
      <c r="AK140" t="s">
        <v>819</v>
      </c>
      <c r="AL140" t="s">
        <v>641</v>
      </c>
      <c r="AM140" t="s">
        <v>636</v>
      </c>
      <c r="AR140" s="126"/>
    </row>
    <row r="141" spans="1:44" x14ac:dyDescent="0.35">
      <c r="A141" t="str">
        <f t="shared" si="8"/>
        <v>Estrato4al6BarEstandárCoctel 6</v>
      </c>
      <c r="B141" t="str">
        <f t="shared" si="9"/>
        <v>Estrato4al6BarEstandár</v>
      </c>
      <c r="C141" t="str">
        <f t="shared" si="10"/>
        <v>Estrato4al6BarEstandárDon Julio Blanco</v>
      </c>
      <c r="D141" t="str">
        <f t="shared" si="11"/>
        <v>Estrato4al6BarEstandárDon Julio BlancoCoctel 6</v>
      </c>
      <c r="E141" s="245" t="s">
        <v>573</v>
      </c>
      <c r="F141" s="245" t="s">
        <v>618</v>
      </c>
      <c r="G141" s="246" t="s">
        <v>641</v>
      </c>
      <c r="H141" t="s">
        <v>379</v>
      </c>
      <c r="I141" s="246" t="s">
        <v>586</v>
      </c>
      <c r="P141" s="245"/>
      <c r="Q141" s="245"/>
      <c r="R141" s="246"/>
      <c r="AK141" t="s">
        <v>818</v>
      </c>
      <c r="AL141" t="s">
        <v>640</v>
      </c>
      <c r="AM141" t="s">
        <v>628</v>
      </c>
    </row>
    <row r="142" spans="1:44" x14ac:dyDescent="0.35">
      <c r="A142" t="str">
        <f t="shared" si="8"/>
        <v>Estrato4al6BarEstandárCoctel 7</v>
      </c>
      <c r="B142" t="str">
        <f t="shared" si="9"/>
        <v>Estrato4al6BarEstandár</v>
      </c>
      <c r="C142" t="str">
        <f t="shared" si="10"/>
        <v>Estrato4al6BarEstandárTanqueray Rangpur</v>
      </c>
      <c r="D142" t="str">
        <f t="shared" si="11"/>
        <v>Estrato4al6BarEstandárTanqueray RangpurCoctel 7</v>
      </c>
      <c r="E142" s="245" t="s">
        <v>573</v>
      </c>
      <c r="F142" s="245" t="s">
        <v>618</v>
      </c>
      <c r="G142" s="246" t="s">
        <v>642</v>
      </c>
      <c r="H142" t="s">
        <v>394</v>
      </c>
      <c r="I142" t="s">
        <v>587</v>
      </c>
      <c r="P142" s="245"/>
      <c r="Q142" s="245"/>
      <c r="R142" s="246"/>
      <c r="AK142" t="s">
        <v>815</v>
      </c>
      <c r="AL142" t="s">
        <v>499</v>
      </c>
      <c r="AM142" t="s">
        <v>627</v>
      </c>
      <c r="AR142" s="126"/>
    </row>
    <row r="143" spans="1:44" x14ac:dyDescent="0.35">
      <c r="A143" t="str">
        <f t="shared" si="8"/>
        <v>Estrato4al6BarEstandárCoctel 8</v>
      </c>
      <c r="B143" t="str">
        <f t="shared" si="9"/>
        <v>Estrato4al6BarEstandár</v>
      </c>
      <c r="C143" t="str">
        <f t="shared" si="10"/>
        <v>Estrato4al6BarEstandárTanqueray London Dry</v>
      </c>
      <c r="D143" t="str">
        <f t="shared" si="11"/>
        <v>Estrato4al6BarEstandárTanqueray London DryCoctel 8</v>
      </c>
      <c r="E143" s="245" t="s">
        <v>573</v>
      </c>
      <c r="F143" s="245" t="s">
        <v>618</v>
      </c>
      <c r="G143" s="246" t="s">
        <v>643</v>
      </c>
      <c r="H143" t="s">
        <v>396</v>
      </c>
      <c r="I143" t="s">
        <v>588</v>
      </c>
      <c r="P143" s="245"/>
      <c r="Q143" s="245"/>
      <c r="R143" s="246"/>
      <c r="AK143" t="s">
        <v>826</v>
      </c>
      <c r="AL143" t="s">
        <v>648</v>
      </c>
      <c r="AM143" t="s">
        <v>665</v>
      </c>
      <c r="AN143" t="s">
        <v>666</v>
      </c>
    </row>
    <row r="144" spans="1:44" x14ac:dyDescent="0.35">
      <c r="A144" t="str">
        <f t="shared" si="8"/>
        <v>Estrato4al6BarEstandárCoctel 9</v>
      </c>
      <c r="B144" t="str">
        <f t="shared" si="9"/>
        <v>Estrato4al6BarEstandár</v>
      </c>
      <c r="C144" t="str">
        <f t="shared" si="10"/>
        <v>Estrato4al6BarEstandárKetel One</v>
      </c>
      <c r="D144" t="str">
        <f t="shared" si="11"/>
        <v>Estrato4al6BarEstandárKetel OneCoctel 9</v>
      </c>
      <c r="E144" s="245" t="s">
        <v>573</v>
      </c>
      <c r="F144" s="245" t="s">
        <v>618</v>
      </c>
      <c r="G144" s="246" t="s">
        <v>644</v>
      </c>
      <c r="H144" t="s">
        <v>403</v>
      </c>
      <c r="I144" t="s">
        <v>589</v>
      </c>
      <c r="R144" s="246"/>
      <c r="AK144" t="s">
        <v>827</v>
      </c>
      <c r="AL144" t="s">
        <v>649</v>
      </c>
      <c r="AR144" s="126"/>
    </row>
    <row r="145" spans="1:44" x14ac:dyDescent="0.35">
      <c r="A145" t="str">
        <f t="shared" si="8"/>
        <v>Estrato4al6BarEstandárCoctel 10</v>
      </c>
      <c r="B145" t="str">
        <f t="shared" si="9"/>
        <v>Estrato4al6BarEstandár</v>
      </c>
      <c r="C145" t="str">
        <f t="shared" si="10"/>
        <v>Estrato4al6BarEstandárSingleton 12</v>
      </c>
      <c r="D145" t="str">
        <f t="shared" si="11"/>
        <v>Estrato4al6BarEstandárSingleton 12Coctel 10</v>
      </c>
      <c r="E145" s="245" t="s">
        <v>573</v>
      </c>
      <c r="F145" s="245" t="s">
        <v>618</v>
      </c>
      <c r="G145" s="246" t="s">
        <v>645</v>
      </c>
      <c r="H145" t="s">
        <v>406</v>
      </c>
      <c r="I145" t="s">
        <v>590</v>
      </c>
      <c r="P145" s="245"/>
      <c r="Q145" s="245"/>
      <c r="R145" s="246"/>
      <c r="AK145" t="s">
        <v>850</v>
      </c>
      <c r="AL145" t="s">
        <v>638</v>
      </c>
      <c r="AM145" t="s">
        <v>525</v>
      </c>
    </row>
    <row r="146" spans="1:44" x14ac:dyDescent="0.35">
      <c r="A146" t="str">
        <f t="shared" si="8"/>
        <v>Estrato4al6BarEstandárCoctel 11</v>
      </c>
      <c r="B146" t="str">
        <f t="shared" si="9"/>
        <v>Estrato4al6BarEstandár</v>
      </c>
      <c r="C146" t="str">
        <f t="shared" si="10"/>
        <v>Estrato4al6BarEstandárBuchanan's 12</v>
      </c>
      <c r="D146" t="str">
        <f t="shared" si="11"/>
        <v>Estrato4al6BarEstandárBuchanan's 12Coctel 11</v>
      </c>
      <c r="E146" s="245" t="s">
        <v>573</v>
      </c>
      <c r="F146" s="245" t="s">
        <v>618</v>
      </c>
      <c r="G146" s="246" t="s">
        <v>646</v>
      </c>
      <c r="H146" t="s">
        <v>434</v>
      </c>
      <c r="I146" t="s">
        <v>863</v>
      </c>
      <c r="P146" s="245"/>
      <c r="Q146" s="245"/>
      <c r="R146" s="246"/>
      <c r="AK146" t="s">
        <v>844</v>
      </c>
      <c r="AL146" t="s">
        <v>644</v>
      </c>
      <c r="AM146" t="s">
        <v>650</v>
      </c>
      <c r="AN146" t="s">
        <v>652</v>
      </c>
      <c r="AR146" s="126"/>
    </row>
    <row r="147" spans="1:44" x14ac:dyDescent="0.35">
      <c r="A147" t="str">
        <f t="shared" si="8"/>
        <v>Estrato4al6BarEstandárCoctel 12</v>
      </c>
      <c r="B147" t="str">
        <f t="shared" si="9"/>
        <v>Estrato4al6BarEstandár</v>
      </c>
      <c r="C147" t="str">
        <f t="shared" si="10"/>
        <v>Estrato4al6BarEstandárJohnnie Walker Black Label</v>
      </c>
      <c r="D147" t="str">
        <f t="shared" si="11"/>
        <v>Estrato4al6BarEstandárJohnnie Walker Black LabelCoctel 12</v>
      </c>
      <c r="E147" s="245" t="s">
        <v>573</v>
      </c>
      <c r="F147" s="245" t="s">
        <v>618</v>
      </c>
      <c r="G147" s="246" t="s">
        <v>647</v>
      </c>
      <c r="H147" t="s">
        <v>454</v>
      </c>
      <c r="I147" t="s">
        <v>591</v>
      </c>
      <c r="P147" s="245"/>
      <c r="Q147" s="245"/>
      <c r="R147" s="246"/>
      <c r="AK147" t="s">
        <v>838</v>
      </c>
      <c r="AL147" t="s">
        <v>634</v>
      </c>
      <c r="AM147" t="s">
        <v>635</v>
      </c>
    </row>
    <row r="148" spans="1:44" x14ac:dyDescent="0.35">
      <c r="A148" t="str">
        <f t="shared" si="8"/>
        <v>Estrato4al6BarEstandárCoctel 13</v>
      </c>
      <c r="B148" t="str">
        <f t="shared" si="9"/>
        <v>Estrato4al6BarEstandár</v>
      </c>
      <c r="C148" t="str">
        <f t="shared" si="10"/>
        <v>Estrato4al6BarEstandárHaig Club</v>
      </c>
      <c r="D148" t="str">
        <f t="shared" si="11"/>
        <v>Estrato4al6BarEstandárHaig ClubCoctel 13</v>
      </c>
      <c r="E148" s="245" t="s">
        <v>573</v>
      </c>
      <c r="F148" s="245" t="s">
        <v>618</v>
      </c>
      <c r="G148" s="246" t="s">
        <v>648</v>
      </c>
      <c r="H148" t="s">
        <v>458</v>
      </c>
      <c r="I148" t="s">
        <v>592</v>
      </c>
      <c r="P148" s="245"/>
      <c r="Q148" s="245"/>
      <c r="R148" s="246"/>
      <c r="AK148" t="s">
        <v>851</v>
      </c>
      <c r="AL148" t="s">
        <v>651</v>
      </c>
      <c r="AM148" t="s">
        <v>659</v>
      </c>
    </row>
    <row r="149" spans="1:44" x14ac:dyDescent="0.35">
      <c r="A149" t="str">
        <f t="shared" si="8"/>
        <v>Estrato4al6BarEstandárCoctel 1</v>
      </c>
      <c r="B149" t="str">
        <f t="shared" si="9"/>
        <v>Estrato4al6BarEstandár</v>
      </c>
      <c r="C149" t="str">
        <f t="shared" si="10"/>
        <v>Estrato4al6BarEstandárOld Parr 12</v>
      </c>
      <c r="D149" t="str">
        <f t="shared" si="11"/>
        <v>Estrato4al6BarEstandárOld Parr 12Coctel 1</v>
      </c>
      <c r="E149" s="245" t="s">
        <v>573</v>
      </c>
      <c r="F149" s="245" t="s">
        <v>618</v>
      </c>
      <c r="G149" s="246" t="s">
        <v>497</v>
      </c>
      <c r="H149" t="s">
        <v>417</v>
      </c>
      <c r="I149" s="246" t="s">
        <v>569</v>
      </c>
      <c r="P149" s="245"/>
      <c r="Q149" s="245"/>
      <c r="R149" s="246"/>
      <c r="AK149" t="s">
        <v>847</v>
      </c>
      <c r="AL149" t="s">
        <v>647</v>
      </c>
      <c r="AM149" t="s">
        <v>657</v>
      </c>
      <c r="AR149" s="126"/>
    </row>
    <row r="150" spans="1:44" x14ac:dyDescent="0.35">
      <c r="A150" t="str">
        <f t="shared" si="8"/>
        <v>Estrato4al6BarEstandárCoctel 15</v>
      </c>
      <c r="B150" t="str">
        <f t="shared" si="9"/>
        <v>Estrato4al6BarEstandár</v>
      </c>
      <c r="C150" t="str">
        <f t="shared" si="10"/>
        <v>Estrato4al6BarEstandárSingleton 12</v>
      </c>
      <c r="D150" t="str">
        <f t="shared" si="11"/>
        <v>Estrato4al6BarEstandárSingleton 12Coctel 15</v>
      </c>
      <c r="E150" s="245" t="s">
        <v>573</v>
      </c>
      <c r="F150" s="245" t="s">
        <v>618</v>
      </c>
      <c r="G150" s="246" t="s">
        <v>663</v>
      </c>
      <c r="H150" t="s">
        <v>406</v>
      </c>
      <c r="I150" t="s">
        <v>593</v>
      </c>
      <c r="P150" s="245"/>
      <c r="Q150" s="245"/>
      <c r="R150" s="246"/>
      <c r="AK150" t="s">
        <v>856</v>
      </c>
      <c r="AL150" t="s">
        <v>658</v>
      </c>
    </row>
    <row r="151" spans="1:44" x14ac:dyDescent="0.35">
      <c r="A151" t="str">
        <f t="shared" si="8"/>
        <v>Estrato4al6BarEstandárShot</v>
      </c>
      <c r="B151" t="str">
        <f t="shared" si="9"/>
        <v>Estrato4al6BarEstandár</v>
      </c>
      <c r="C151" t="str">
        <f t="shared" si="10"/>
        <v>Estrato4al6BarEstandárSmirnoff X1</v>
      </c>
      <c r="D151" t="str">
        <f t="shared" si="11"/>
        <v>Estrato4al6BarEstandárSmirnoff X1Shot</v>
      </c>
      <c r="E151" s="245" t="s">
        <v>573</v>
      </c>
      <c r="F151" s="245" t="s">
        <v>618</v>
      </c>
      <c r="G151" s="247" t="s">
        <v>910</v>
      </c>
      <c r="H151" t="s">
        <v>673</v>
      </c>
      <c r="I151" s="246" t="s">
        <v>576</v>
      </c>
      <c r="P151" s="245"/>
      <c r="Q151" s="245"/>
      <c r="R151" s="246"/>
      <c r="AK151" t="s">
        <v>839</v>
      </c>
      <c r="AL151" t="s">
        <v>639</v>
      </c>
    </row>
    <row r="152" spans="1:44" x14ac:dyDescent="0.35">
      <c r="A152" t="str">
        <f t="shared" si="8"/>
        <v>Estrato4al6BarEstandárEn las rocas 2</v>
      </c>
      <c r="B152" t="str">
        <f t="shared" si="9"/>
        <v>Estrato4al6BarEstandár</v>
      </c>
      <c r="C152" t="str">
        <f t="shared" si="10"/>
        <v>Estrato4al6BarEstandárBuchanan's 18</v>
      </c>
      <c r="D152" t="str">
        <f t="shared" si="11"/>
        <v>Estrato4al6BarEstandárBuchanan's 18En las rocas 2</v>
      </c>
      <c r="E152" s="245" t="s">
        <v>573</v>
      </c>
      <c r="F152" s="245" t="s">
        <v>618</v>
      </c>
      <c r="G152" s="246" t="s">
        <v>635</v>
      </c>
      <c r="H152" t="s">
        <v>437</v>
      </c>
      <c r="I152" s="246" t="s">
        <v>515</v>
      </c>
      <c r="P152" s="245"/>
      <c r="Q152" s="245"/>
      <c r="R152" s="246"/>
      <c r="AK152" t="s">
        <v>836</v>
      </c>
      <c r="AL152" t="s">
        <v>497</v>
      </c>
    </row>
    <row r="153" spans="1:44" x14ac:dyDescent="0.35">
      <c r="A153" t="str">
        <f t="shared" si="8"/>
        <v>Estrato4al6BarEstandárEn las rocas 3</v>
      </c>
      <c r="B153" t="str">
        <f t="shared" si="9"/>
        <v>Estrato4al6BarEstandár</v>
      </c>
      <c r="C153" t="str">
        <f t="shared" si="10"/>
        <v>Estrato4al6BarEstandárBuchanan's 12</v>
      </c>
      <c r="D153" t="str">
        <f t="shared" si="11"/>
        <v>Estrato4al6BarEstandárBuchanan's 12En las rocas 3</v>
      </c>
      <c r="E153" s="245" t="s">
        <v>573</v>
      </c>
      <c r="F153" s="245" t="s">
        <v>618</v>
      </c>
      <c r="G153" s="246" t="s">
        <v>650</v>
      </c>
      <c r="H153" t="s">
        <v>434</v>
      </c>
      <c r="I153" t="s">
        <v>507</v>
      </c>
      <c r="P153" s="245"/>
      <c r="Q153" s="245"/>
      <c r="R153" s="246"/>
      <c r="AK153" t="s">
        <v>853</v>
      </c>
      <c r="AL153" t="s">
        <v>498</v>
      </c>
      <c r="AR153" s="126"/>
    </row>
    <row r="154" spans="1:44" x14ac:dyDescent="0.35">
      <c r="A154" t="str">
        <f t="shared" si="8"/>
        <v>Estrato4al6BarEstandárEn las rocas 4</v>
      </c>
      <c r="B154" t="str">
        <f t="shared" si="9"/>
        <v>Estrato4al6BarEstandár</v>
      </c>
      <c r="C154" t="str">
        <f t="shared" si="10"/>
        <v>Estrato4al6BarEstandárBuchanan's Master</v>
      </c>
      <c r="D154" t="str">
        <f t="shared" si="11"/>
        <v>Estrato4al6BarEstandárBuchanan's MasterEn las rocas 4</v>
      </c>
      <c r="E154" s="245" t="s">
        <v>573</v>
      </c>
      <c r="F154" s="245" t="s">
        <v>618</v>
      </c>
      <c r="G154" s="246" t="s">
        <v>651</v>
      </c>
      <c r="H154" t="s">
        <v>436</v>
      </c>
      <c r="I154" t="s">
        <v>594</v>
      </c>
      <c r="P154" s="245"/>
      <c r="Q154" s="245"/>
      <c r="R154" s="246"/>
      <c r="AK154" t="s">
        <v>854</v>
      </c>
      <c r="AL154" t="s">
        <v>653</v>
      </c>
    </row>
    <row r="155" spans="1:44" x14ac:dyDescent="0.35">
      <c r="A155" t="str">
        <f t="shared" si="8"/>
        <v>Estrato4al6BarEstandárEn las rocas 5</v>
      </c>
      <c r="B155" t="str">
        <f t="shared" si="9"/>
        <v>Estrato4al6BarEstandár</v>
      </c>
      <c r="C155" t="str">
        <f t="shared" si="10"/>
        <v>Estrato4al6BarEstandárJohnnie Walker Double Black</v>
      </c>
      <c r="D155" t="str">
        <f t="shared" si="11"/>
        <v>Estrato4al6BarEstandárJohnnie Walker Double BlackEn las rocas 5</v>
      </c>
      <c r="E155" s="245" t="s">
        <v>573</v>
      </c>
      <c r="F155" s="245" t="s">
        <v>618</v>
      </c>
      <c r="G155" s="246" t="s">
        <v>664</v>
      </c>
      <c r="H155" t="s">
        <v>675</v>
      </c>
      <c r="I155" t="s">
        <v>595</v>
      </c>
      <c r="P155" s="245"/>
      <c r="Q155" s="245"/>
      <c r="R155" s="246"/>
      <c r="AK155" t="s">
        <v>855</v>
      </c>
      <c r="AL155" t="s">
        <v>654</v>
      </c>
      <c r="AR155" s="126"/>
    </row>
    <row r="156" spans="1:44" x14ac:dyDescent="0.35">
      <c r="A156" t="str">
        <f t="shared" si="8"/>
        <v>Estrato4al6BarEstandárLata</v>
      </c>
      <c r="B156" t="str">
        <f t="shared" si="9"/>
        <v>Estrato4al6BarEstandár</v>
      </c>
      <c r="C156" t="str">
        <f t="shared" si="10"/>
        <v>Estrato4al6BarEstandárSmirnoff Lata</v>
      </c>
      <c r="D156" t="str">
        <f t="shared" si="11"/>
        <v>Estrato4al6BarEstandárSmirnoff LataLata</v>
      </c>
      <c r="E156" s="245" t="s">
        <v>573</v>
      </c>
      <c r="F156" s="245" t="s">
        <v>618</v>
      </c>
      <c r="G156" s="246" t="s">
        <v>471</v>
      </c>
      <c r="H156" t="s">
        <v>674</v>
      </c>
      <c r="I156" s="247" t="s">
        <v>539</v>
      </c>
      <c r="AK156" t="s">
        <v>846</v>
      </c>
      <c r="AL156" t="s">
        <v>646</v>
      </c>
      <c r="AM156" t="s">
        <v>656</v>
      </c>
    </row>
    <row r="157" spans="1:44" x14ac:dyDescent="0.35">
      <c r="A157" t="str">
        <f t="shared" si="8"/>
        <v>Estrato4al6BarEstandárMedia Botella</v>
      </c>
      <c r="B157" t="str">
        <f t="shared" si="9"/>
        <v>Estrato4al6BarEstandár</v>
      </c>
      <c r="C157" t="str">
        <f t="shared" si="10"/>
        <v>Estrato4al6BarEstandárSmirnoff X1</v>
      </c>
      <c r="D157" t="str">
        <f t="shared" si="11"/>
        <v>Estrato4al6BarEstandárSmirnoff X1Media Botella</v>
      </c>
      <c r="E157" s="245" t="s">
        <v>573</v>
      </c>
      <c r="F157" s="245" t="s">
        <v>618</v>
      </c>
      <c r="G157" s="246" t="s">
        <v>546</v>
      </c>
      <c r="H157" t="s">
        <v>673</v>
      </c>
      <c r="I157" s="246" t="s">
        <v>545</v>
      </c>
      <c r="AK157" t="s">
        <v>845</v>
      </c>
      <c r="AL157" t="s">
        <v>645</v>
      </c>
      <c r="AM157" t="s">
        <v>660</v>
      </c>
      <c r="AN157" t="s">
        <v>655</v>
      </c>
    </row>
    <row r="158" spans="1:44" x14ac:dyDescent="0.35">
      <c r="A158" t="str">
        <f t="shared" si="8"/>
        <v>Estrato4al6BarEstandárMezcla 1</v>
      </c>
      <c r="B158" t="str">
        <f t="shared" si="9"/>
        <v>Estrato4al6BarEstandár</v>
      </c>
      <c r="C158" t="str">
        <f t="shared" si="10"/>
        <v>Estrato4al6BarEstandárJohnnie Walker Red o Black</v>
      </c>
      <c r="D158" t="str">
        <f t="shared" si="11"/>
        <v>Estrato4al6BarEstandárJohnnie Walker Red o BlackMezcla 1</v>
      </c>
      <c r="E158" s="245" t="s">
        <v>573</v>
      </c>
      <c r="F158" s="245" t="s">
        <v>618</v>
      </c>
      <c r="G158" s="246" t="s">
        <v>498</v>
      </c>
      <c r="H158" t="s">
        <v>670</v>
      </c>
      <c r="I158" s="247" t="s">
        <v>564</v>
      </c>
      <c r="AK158" t="s">
        <v>852</v>
      </c>
      <c r="AL158" t="s">
        <v>664</v>
      </c>
    </row>
    <row r="159" spans="1:44" x14ac:dyDescent="0.35">
      <c r="A159" t="str">
        <f t="shared" si="8"/>
        <v>Estrato4al6BarEstandárMezcla 2</v>
      </c>
      <c r="B159" t="str">
        <f t="shared" si="9"/>
        <v>Estrato4al6BarEstandár</v>
      </c>
      <c r="C159" t="str">
        <f t="shared" si="10"/>
        <v>Estrato4al6BarEstandárOld Parr 12</v>
      </c>
      <c r="D159" t="str">
        <f t="shared" si="11"/>
        <v>Estrato4al6BarEstandárOld Parr 12Mezcla 2</v>
      </c>
      <c r="E159" s="245" t="s">
        <v>573</v>
      </c>
      <c r="F159" s="245" t="s">
        <v>618</v>
      </c>
      <c r="G159" s="246" t="s">
        <v>525</v>
      </c>
      <c r="H159" t="s">
        <v>417</v>
      </c>
      <c r="I159" s="246" t="s">
        <v>570</v>
      </c>
      <c r="AK159" t="s">
        <v>842</v>
      </c>
      <c r="AL159" t="s">
        <v>642</v>
      </c>
      <c r="AR159" s="126"/>
    </row>
    <row r="160" spans="1:44" x14ac:dyDescent="0.35">
      <c r="A160" t="str">
        <f t="shared" si="8"/>
        <v>Estrato4al6BarEstandárMezcla 3</v>
      </c>
      <c r="B160" t="str">
        <f t="shared" si="9"/>
        <v>Estrato4al6BarEstandár</v>
      </c>
      <c r="C160" t="str">
        <f t="shared" si="10"/>
        <v>Estrato4al6BarEstandárGordon's</v>
      </c>
      <c r="D160" t="str">
        <f t="shared" si="11"/>
        <v>Estrato4al6BarEstandárGordon'sMezcla 3</v>
      </c>
      <c r="E160" s="245" t="s">
        <v>573</v>
      </c>
      <c r="F160" s="245" t="s">
        <v>618</v>
      </c>
      <c r="G160" s="246" t="s">
        <v>627</v>
      </c>
      <c r="H160" t="s">
        <v>671</v>
      </c>
      <c r="I160" s="246" t="s">
        <v>572</v>
      </c>
      <c r="AK160" t="s">
        <v>843</v>
      </c>
      <c r="AL160" t="s">
        <v>663</v>
      </c>
      <c r="AM160" t="s">
        <v>643</v>
      </c>
      <c r="AN160" t="s">
        <v>661</v>
      </c>
    </row>
    <row r="161" spans="1:44" x14ac:dyDescent="0.35">
      <c r="A161" t="str">
        <f t="shared" si="8"/>
        <v>Estrato4al6BarEstandárMezcla 4</v>
      </c>
      <c r="B161" t="str">
        <f t="shared" si="9"/>
        <v>Estrato4al6BarEstandár</v>
      </c>
      <c r="C161" t="str">
        <f t="shared" si="10"/>
        <v>Estrato4al6BarEstandárTanqueray Ten</v>
      </c>
      <c r="D161" t="str">
        <f t="shared" si="11"/>
        <v>Estrato4al6BarEstandárTanqueray TenMezcla 4</v>
      </c>
      <c r="E161" s="245" t="s">
        <v>573</v>
      </c>
      <c r="F161" s="245" t="s">
        <v>618</v>
      </c>
      <c r="G161" s="246" t="s">
        <v>628</v>
      </c>
      <c r="H161" t="s">
        <v>391</v>
      </c>
      <c r="I161" s="246" t="s">
        <v>584</v>
      </c>
      <c r="AK161" t="s">
        <v>857</v>
      </c>
      <c r="AL161" t="s">
        <v>662</v>
      </c>
      <c r="AR161" s="126"/>
    </row>
    <row r="162" spans="1:44" x14ac:dyDescent="0.35">
      <c r="A162" t="str">
        <f t="shared" si="8"/>
        <v>Estrato4al6BarEstandárMezcla 5</v>
      </c>
      <c r="B162" t="str">
        <f t="shared" si="9"/>
        <v>Estrato4al6BarEstandár</v>
      </c>
      <c r="C162" t="str">
        <f t="shared" si="10"/>
        <v>Estrato4al6BarEstandárTanqueray Rangpur</v>
      </c>
      <c r="D162" t="str">
        <f t="shared" si="11"/>
        <v>Estrato4al6BarEstandárTanqueray RangpurMezcla 5</v>
      </c>
      <c r="E162" s="245" t="s">
        <v>573</v>
      </c>
      <c r="F162" s="245" t="s">
        <v>618</v>
      </c>
      <c r="G162" s="246" t="s">
        <v>636</v>
      </c>
      <c r="H162" t="s">
        <v>394</v>
      </c>
      <c r="I162" t="s">
        <v>596</v>
      </c>
      <c r="AK162" t="s">
        <v>841</v>
      </c>
      <c r="AL162" t="s">
        <v>641</v>
      </c>
      <c r="AM162" t="s">
        <v>636</v>
      </c>
    </row>
    <row r="163" spans="1:44" x14ac:dyDescent="0.35">
      <c r="A163" t="str">
        <f t="shared" si="8"/>
        <v>Estrato4al6BarEstandárMezcla 6</v>
      </c>
      <c r="B163" t="str">
        <f t="shared" si="9"/>
        <v>Estrato4al6BarEstandár</v>
      </c>
      <c r="C163" t="str">
        <f t="shared" si="10"/>
        <v>Estrato4al6BarEstandárTanqueray London Dry</v>
      </c>
      <c r="D163" t="str">
        <f t="shared" si="11"/>
        <v>Estrato4al6BarEstandárTanqueray London DryMezcla 6</v>
      </c>
      <c r="E163" s="245" t="s">
        <v>573</v>
      </c>
      <c r="F163" s="245" t="s">
        <v>618</v>
      </c>
      <c r="G163" s="246" t="s">
        <v>652</v>
      </c>
      <c r="H163" t="s">
        <v>396</v>
      </c>
      <c r="I163" t="s">
        <v>597</v>
      </c>
      <c r="AK163" t="s">
        <v>840</v>
      </c>
      <c r="AL163" t="s">
        <v>640</v>
      </c>
      <c r="AM163" t="s">
        <v>628</v>
      </c>
    </row>
    <row r="164" spans="1:44" x14ac:dyDescent="0.35">
      <c r="A164" t="str">
        <f t="shared" si="8"/>
        <v>Estrato4al6BarEstandárMezcla 7</v>
      </c>
      <c r="B164" t="str">
        <f t="shared" si="9"/>
        <v>Estrato4al6BarEstandár</v>
      </c>
      <c r="C164" t="str">
        <f t="shared" si="10"/>
        <v>Estrato4al6BarEstandárBuchanan's 12</v>
      </c>
      <c r="D164" t="str">
        <f t="shared" si="11"/>
        <v>Estrato4al6BarEstandárBuchanan's 12Mezcla 7</v>
      </c>
      <c r="E164" s="245" t="s">
        <v>573</v>
      </c>
      <c r="F164" s="245" t="s">
        <v>618</v>
      </c>
      <c r="G164" s="246" t="s">
        <v>653</v>
      </c>
      <c r="H164" t="s">
        <v>434</v>
      </c>
      <c r="I164" t="s">
        <v>598</v>
      </c>
      <c r="AK164" t="s">
        <v>837</v>
      </c>
      <c r="AL164" t="s">
        <v>499</v>
      </c>
      <c r="AM164" t="s">
        <v>627</v>
      </c>
    </row>
    <row r="165" spans="1:44" x14ac:dyDescent="0.35">
      <c r="A165" t="str">
        <f t="shared" si="8"/>
        <v>Estrato4al6BarEstandárMezcla 8</v>
      </c>
      <c r="B165" t="str">
        <f t="shared" si="9"/>
        <v>Estrato4al6BarEstandár</v>
      </c>
      <c r="C165" t="str">
        <f t="shared" si="10"/>
        <v>Estrato4al6BarEstandárGordon's Cucumber</v>
      </c>
      <c r="D165" t="str">
        <f t="shared" si="11"/>
        <v>Estrato4al6BarEstandárGordon's CucumberMezcla 8</v>
      </c>
      <c r="E165" s="245" t="s">
        <v>573</v>
      </c>
      <c r="F165" s="245" t="s">
        <v>618</v>
      </c>
      <c r="G165" s="246" t="s">
        <v>654</v>
      </c>
      <c r="H165" t="s">
        <v>445</v>
      </c>
      <c r="I165" t="s">
        <v>599</v>
      </c>
      <c r="AK165" t="s">
        <v>848</v>
      </c>
      <c r="AL165" t="s">
        <v>648</v>
      </c>
      <c r="AM165" t="s">
        <v>665</v>
      </c>
      <c r="AN165" t="s">
        <v>666</v>
      </c>
    </row>
    <row r="166" spans="1:44" x14ac:dyDescent="0.35">
      <c r="A166" t="str">
        <f t="shared" si="8"/>
        <v>Estrato4al6BarEstandárMezcla 9</v>
      </c>
      <c r="B166" t="str">
        <f t="shared" si="9"/>
        <v>Estrato4al6BarEstandár</v>
      </c>
      <c r="C166" t="str">
        <f t="shared" si="10"/>
        <v>Estrato4al6BarEstandárGordon's Pink</v>
      </c>
      <c r="D166" t="str">
        <f t="shared" si="11"/>
        <v>Estrato4al6BarEstandárGordon's PinkMezcla 9</v>
      </c>
      <c r="E166" s="245" t="s">
        <v>573</v>
      </c>
      <c r="F166" s="245" t="s">
        <v>618</v>
      </c>
      <c r="G166" s="246" t="s">
        <v>655</v>
      </c>
      <c r="H166" t="s">
        <v>446</v>
      </c>
      <c r="I166" t="s">
        <v>600</v>
      </c>
      <c r="AK166" t="s">
        <v>849</v>
      </c>
      <c r="AL166" t="s">
        <v>649</v>
      </c>
      <c r="AR166" s="126"/>
    </row>
    <row r="167" spans="1:44" x14ac:dyDescent="0.35">
      <c r="A167" t="str">
        <f t="shared" si="8"/>
        <v>Estrato4al6BarEstandárMezcla 10</v>
      </c>
      <c r="B167" t="str">
        <f t="shared" si="9"/>
        <v>Estrato4al6BarEstandár</v>
      </c>
      <c r="C167" t="str">
        <f t="shared" si="10"/>
        <v>Estrato4al6BarEstandárJohnnie Walker Black Label</v>
      </c>
      <c r="D167" t="str">
        <f t="shared" si="11"/>
        <v>Estrato4al6BarEstandárJohnnie Walker Black LabelMezcla 10</v>
      </c>
      <c r="E167" s="245" t="s">
        <v>573</v>
      </c>
      <c r="F167" s="245" t="s">
        <v>618</v>
      </c>
      <c r="G167" s="246" t="s">
        <v>656</v>
      </c>
      <c r="H167" t="s">
        <v>454</v>
      </c>
      <c r="I167" t="s">
        <v>601</v>
      </c>
      <c r="AK167" t="s">
        <v>841</v>
      </c>
      <c r="AL167" t="s">
        <v>641</v>
      </c>
      <c r="AM167" t="s">
        <v>636</v>
      </c>
    </row>
    <row r="168" spans="1:44" x14ac:dyDescent="0.35">
      <c r="A168" t="str">
        <f t="shared" si="8"/>
        <v>Estrato4al6BarEstandárMezcla 11</v>
      </c>
      <c r="B168" t="str">
        <f t="shared" si="9"/>
        <v>Estrato4al6BarEstandár</v>
      </c>
      <c r="C168" t="str">
        <f t="shared" si="10"/>
        <v>Estrato4al6BarEstandárHaig Club</v>
      </c>
      <c r="D168" t="str">
        <f t="shared" si="11"/>
        <v>Estrato4al6BarEstandárHaig ClubMezcla 11</v>
      </c>
      <c r="E168" s="245" t="s">
        <v>573</v>
      </c>
      <c r="F168" s="245" t="s">
        <v>618</v>
      </c>
      <c r="G168" s="246" t="s">
        <v>657</v>
      </c>
      <c r="H168" t="s">
        <v>458</v>
      </c>
      <c r="I168" t="s">
        <v>602</v>
      </c>
      <c r="AK168" t="s">
        <v>840</v>
      </c>
      <c r="AL168" t="s">
        <v>640</v>
      </c>
      <c r="AM168" t="s">
        <v>628</v>
      </c>
    </row>
    <row r="169" spans="1:44" x14ac:dyDescent="0.35">
      <c r="A169" t="str">
        <f t="shared" si="8"/>
        <v>Estrato4al6BarEstandárMezcla 12</v>
      </c>
      <c r="B169" t="str">
        <f t="shared" si="9"/>
        <v>Estrato4al6BarEstandár</v>
      </c>
      <c r="C169" t="str">
        <f t="shared" si="10"/>
        <v>Estrato4al6BarEstandárBuchanan's Master</v>
      </c>
      <c r="D169" t="str">
        <f t="shared" si="11"/>
        <v>Estrato4al6BarEstandárBuchanan's MasterMezcla 12</v>
      </c>
      <c r="E169" s="245" t="s">
        <v>573</v>
      </c>
      <c r="F169" s="245" t="s">
        <v>618</v>
      </c>
      <c r="G169" s="246" t="s">
        <v>658</v>
      </c>
      <c r="H169" t="s">
        <v>436</v>
      </c>
      <c r="I169" t="s">
        <v>603</v>
      </c>
      <c r="AK169" t="s">
        <v>837</v>
      </c>
      <c r="AL169" t="s">
        <v>499</v>
      </c>
      <c r="AM169" t="s">
        <v>627</v>
      </c>
    </row>
    <row r="170" spans="1:44" x14ac:dyDescent="0.35">
      <c r="A170" t="str">
        <f t="shared" si="8"/>
        <v>Estrato4al6BarEstandárMezcla 13</v>
      </c>
      <c r="B170" t="str">
        <f t="shared" si="9"/>
        <v>Estrato4al6BarEstandár</v>
      </c>
      <c r="C170" t="str">
        <f t="shared" si="10"/>
        <v>Estrato4al6BarEstandárJohnnie Walker Red o Black</v>
      </c>
      <c r="D170" t="str">
        <f t="shared" si="11"/>
        <v>Estrato4al6BarEstandárJohnnie Walker Red o BlackMezcla 13</v>
      </c>
      <c r="E170" s="245" t="s">
        <v>573</v>
      </c>
      <c r="F170" s="245" t="s">
        <v>618</v>
      </c>
      <c r="G170" s="246" t="s">
        <v>659</v>
      </c>
      <c r="H170" t="s">
        <v>670</v>
      </c>
      <c r="I170" s="247" t="s">
        <v>565</v>
      </c>
      <c r="AK170" t="s">
        <v>848</v>
      </c>
      <c r="AL170" t="s">
        <v>648</v>
      </c>
      <c r="AM170" t="s">
        <v>665</v>
      </c>
      <c r="AN170" t="s">
        <v>666</v>
      </c>
      <c r="AR170" s="126"/>
    </row>
    <row r="171" spans="1:44" x14ac:dyDescent="0.35">
      <c r="A171" t="str">
        <f t="shared" si="8"/>
        <v>Estrato4al6BarEstandárMezcla 14</v>
      </c>
      <c r="B171" t="str">
        <f t="shared" si="9"/>
        <v>Estrato4al6BarEstandár</v>
      </c>
      <c r="C171" t="str">
        <f t="shared" si="10"/>
        <v>Estrato4al6BarEstandárJohnnie Walker Black Label</v>
      </c>
      <c r="D171" t="str">
        <f t="shared" si="11"/>
        <v>Estrato4al6BarEstandárJohnnie Walker Black LabelMezcla 14</v>
      </c>
      <c r="E171" s="245" t="s">
        <v>573</v>
      </c>
      <c r="F171" s="245" t="s">
        <v>618</v>
      </c>
      <c r="G171" s="246" t="s">
        <v>660</v>
      </c>
      <c r="H171" t="s">
        <v>454</v>
      </c>
      <c r="I171" t="s">
        <v>604</v>
      </c>
      <c r="AK171" t="s">
        <v>849</v>
      </c>
      <c r="AL171" t="s">
        <v>649</v>
      </c>
    </row>
    <row r="172" spans="1:44" x14ac:dyDescent="0.35">
      <c r="A172" t="str">
        <f t="shared" si="8"/>
        <v>Estrato4al6BarEstandárOn the rocks 1</v>
      </c>
      <c r="B172" t="str">
        <f t="shared" si="9"/>
        <v>Estrato4al6BarEstandár</v>
      </c>
      <c r="C172" t="str">
        <f t="shared" si="10"/>
        <v>Estrato4al6BarEstandárSingleton 12</v>
      </c>
      <c r="D172" t="str">
        <f t="shared" si="11"/>
        <v>Estrato4al6BarEstandárSingleton 12On the rocks 1</v>
      </c>
      <c r="E172" s="245" t="s">
        <v>573</v>
      </c>
      <c r="F172" s="245" t="s">
        <v>618</v>
      </c>
      <c r="G172" t="s">
        <v>661</v>
      </c>
      <c r="H172" t="s">
        <v>406</v>
      </c>
      <c r="I172" t="s">
        <v>605</v>
      </c>
      <c r="AR172" s="126"/>
    </row>
    <row r="173" spans="1:44" x14ac:dyDescent="0.35">
      <c r="A173" t="str">
        <f t="shared" si="8"/>
        <v>Estrato4al6BarEstandárOn the rocks 2</v>
      </c>
      <c r="B173" t="str">
        <f t="shared" si="9"/>
        <v>Estrato4al6BarEstandár</v>
      </c>
      <c r="C173" t="str">
        <f t="shared" si="10"/>
        <v>Estrato4al6BarEstandárSingleton Tailfire</v>
      </c>
      <c r="D173" t="str">
        <f t="shared" si="11"/>
        <v>Estrato4al6BarEstandárSingleton TailfireOn the rocks 2</v>
      </c>
      <c r="E173" s="245" t="s">
        <v>573</v>
      </c>
      <c r="F173" s="245" t="s">
        <v>618</v>
      </c>
      <c r="G173" t="s">
        <v>662</v>
      </c>
      <c r="H173" t="s">
        <v>676</v>
      </c>
      <c r="I173" t="s">
        <v>606</v>
      </c>
    </row>
    <row r="174" spans="1:44" x14ac:dyDescent="0.35">
      <c r="A174" t="str">
        <f t="shared" si="8"/>
        <v>Estrato4al6DiscotecaEliteBotella 1</v>
      </c>
      <c r="B174" t="str">
        <f t="shared" si="9"/>
        <v>Estrato4al6DiscotecaElite</v>
      </c>
      <c r="C174" t="str">
        <f t="shared" si="10"/>
        <v>Estrato4al6DiscotecaEliteJohnnie Walker Red o Black</v>
      </c>
      <c r="D174" t="str">
        <f t="shared" si="11"/>
        <v>Estrato4al6DiscotecaEliteJohnnie Walker Red o BlackBotella 1</v>
      </c>
      <c r="E174" s="245" t="s">
        <v>573</v>
      </c>
      <c r="F174" s="245" t="s">
        <v>619</v>
      </c>
      <c r="G174" s="246" t="s">
        <v>637</v>
      </c>
      <c r="H174" t="s">
        <v>670</v>
      </c>
      <c r="I174" s="248" t="s">
        <v>563</v>
      </c>
    </row>
    <row r="175" spans="1:44" x14ac:dyDescent="0.35">
      <c r="A175" t="str">
        <f t="shared" si="8"/>
        <v>Estrato4al6DiscotecaEliteBotella 2</v>
      </c>
      <c r="B175" t="str">
        <f t="shared" si="9"/>
        <v>Estrato4al6DiscotecaElite</v>
      </c>
      <c r="C175" t="str">
        <f t="shared" si="10"/>
        <v>Estrato4al6DiscotecaEliteOld Parr 12</v>
      </c>
      <c r="D175" t="str">
        <f t="shared" si="11"/>
        <v>Estrato4al6DiscotecaEliteOld Parr 12Botella 2</v>
      </c>
      <c r="E175" s="245" t="s">
        <v>573</v>
      </c>
      <c r="F175" s="245" t="s">
        <v>619</v>
      </c>
      <c r="G175" s="246" t="s">
        <v>629</v>
      </c>
      <c r="H175" t="s">
        <v>417</v>
      </c>
      <c r="I175" s="246" t="s">
        <v>566</v>
      </c>
      <c r="AR175" s="126"/>
    </row>
    <row r="176" spans="1:44" x14ac:dyDescent="0.35">
      <c r="A176" t="str">
        <f t="shared" si="8"/>
        <v>Estrato4al6DiscotecaEliteBotella 3</v>
      </c>
      <c r="B176" t="str">
        <f t="shared" si="9"/>
        <v>Estrato4al6DiscotecaElite</v>
      </c>
      <c r="C176" t="str">
        <f t="shared" si="10"/>
        <v>Estrato4al6DiscotecaEliteOld Parr 18</v>
      </c>
      <c r="D176" t="str">
        <f t="shared" si="11"/>
        <v>Estrato4al6DiscotecaEliteOld Parr 18Botella 3</v>
      </c>
      <c r="E176" t="s">
        <v>573</v>
      </c>
      <c r="F176" t="s">
        <v>619</v>
      </c>
      <c r="G176" t="s">
        <v>631</v>
      </c>
      <c r="H176" t="s">
        <v>425</v>
      </c>
      <c r="I176" t="s">
        <v>607</v>
      </c>
    </row>
    <row r="177" spans="1:44" x14ac:dyDescent="0.35">
      <c r="A177" t="str">
        <f t="shared" si="8"/>
        <v>Estrato4al6DiscotecaEliteCoctel 2</v>
      </c>
      <c r="B177" t="str">
        <f t="shared" si="9"/>
        <v>Estrato4al6DiscotecaElite</v>
      </c>
      <c r="C177" t="str">
        <f t="shared" si="10"/>
        <v>Estrato4al6DiscotecaEliteOld Parr 12</v>
      </c>
      <c r="D177" t="str">
        <f t="shared" si="11"/>
        <v>Estrato4al6DiscotecaEliteOld Parr 12Coctel 2</v>
      </c>
      <c r="E177" s="245" t="s">
        <v>573</v>
      </c>
      <c r="F177" s="245" t="s">
        <v>619</v>
      </c>
      <c r="G177" s="246" t="s">
        <v>499</v>
      </c>
      <c r="H177" t="s">
        <v>417</v>
      </c>
      <c r="I177" s="246" t="s">
        <v>567</v>
      </c>
    </row>
    <row r="178" spans="1:44" x14ac:dyDescent="0.35">
      <c r="A178" t="str">
        <f t="shared" si="8"/>
        <v>Estrato4al6DiscotecaEliteCoctel 1</v>
      </c>
      <c r="B178" t="str">
        <f t="shared" si="9"/>
        <v>Estrato4al6DiscotecaElite</v>
      </c>
      <c r="C178" t="str">
        <f t="shared" si="10"/>
        <v>Estrato4al6DiscotecaEliteOld Parr 12</v>
      </c>
      <c r="D178" t="str">
        <f t="shared" si="11"/>
        <v>Estrato4al6DiscotecaEliteOld Parr 12Coctel 1</v>
      </c>
      <c r="E178" s="245" t="s">
        <v>573</v>
      </c>
      <c r="F178" s="245" t="s">
        <v>619</v>
      </c>
      <c r="G178" s="246" t="s">
        <v>497</v>
      </c>
      <c r="H178" t="s">
        <v>417</v>
      </c>
      <c r="I178" s="246" t="s">
        <v>569</v>
      </c>
      <c r="AR178" s="126"/>
    </row>
    <row r="179" spans="1:44" x14ac:dyDescent="0.35">
      <c r="A179" t="str">
        <f t="shared" si="8"/>
        <v>Estrato4al6DiscotecaEliteEn las rocas</v>
      </c>
      <c r="B179" t="str">
        <f t="shared" si="9"/>
        <v>Estrato4al6DiscotecaElite</v>
      </c>
      <c r="C179" t="str">
        <f t="shared" si="10"/>
        <v>Estrato4al6DiscotecaEliteOld Parr 18</v>
      </c>
      <c r="D179" t="str">
        <f t="shared" si="11"/>
        <v>Estrato4al6DiscotecaEliteOld Parr 18En las rocas</v>
      </c>
      <c r="E179" t="s">
        <v>573</v>
      </c>
      <c r="F179" t="s">
        <v>619</v>
      </c>
      <c r="G179" s="246" t="s">
        <v>500</v>
      </c>
      <c r="H179" t="s">
        <v>425</v>
      </c>
      <c r="I179" s="246" t="s">
        <v>161</v>
      </c>
    </row>
    <row r="180" spans="1:44" x14ac:dyDescent="0.35">
      <c r="A180" t="str">
        <f t="shared" si="8"/>
        <v>Estrato4al6DiscotecaEliteMezcla 1</v>
      </c>
      <c r="B180" t="str">
        <f t="shared" si="9"/>
        <v>Estrato4al6DiscotecaElite</v>
      </c>
      <c r="C180" t="str">
        <f t="shared" si="10"/>
        <v>Estrato4al6DiscotecaEliteJohnnie Walker Red o Black</v>
      </c>
      <c r="D180" t="str">
        <f t="shared" si="11"/>
        <v>Estrato4al6DiscotecaEliteJohnnie Walker Red o BlackMezcla 1</v>
      </c>
      <c r="E180" s="245" t="s">
        <v>573</v>
      </c>
      <c r="F180" s="245" t="s">
        <v>619</v>
      </c>
      <c r="G180" s="246" t="s">
        <v>498</v>
      </c>
      <c r="H180" t="s">
        <v>670</v>
      </c>
      <c r="I180" s="247" t="s">
        <v>564</v>
      </c>
    </row>
    <row r="181" spans="1:44" x14ac:dyDescent="0.35">
      <c r="A181" t="str">
        <f t="shared" si="8"/>
        <v>Estrato4al6DiscotecaEliteMezcla 3</v>
      </c>
      <c r="B181" t="str">
        <f t="shared" si="9"/>
        <v>Estrato4al6DiscotecaElite</v>
      </c>
      <c r="C181" t="str">
        <f t="shared" si="10"/>
        <v>Estrato4al6DiscotecaEliteOld Parr 12</v>
      </c>
      <c r="D181" t="str">
        <f t="shared" si="11"/>
        <v>Estrato4al6DiscotecaEliteOld Parr 12Mezcla 3</v>
      </c>
      <c r="E181" s="245" t="s">
        <v>573</v>
      </c>
      <c r="F181" s="245" t="s">
        <v>619</v>
      </c>
      <c r="G181" s="246" t="s">
        <v>627</v>
      </c>
      <c r="H181" t="s">
        <v>417</v>
      </c>
      <c r="I181" s="246" t="s">
        <v>570</v>
      </c>
      <c r="AR181" s="126"/>
    </row>
    <row r="182" spans="1:44" x14ac:dyDescent="0.35">
      <c r="A182" t="str">
        <f t="shared" si="8"/>
        <v>Estrato4al6DiscotecaEliteMezcla 2</v>
      </c>
      <c r="B182" t="str">
        <f t="shared" si="9"/>
        <v>Estrato4al6DiscotecaElite</v>
      </c>
      <c r="C182" t="str">
        <f t="shared" si="10"/>
        <v>Estrato4al6DiscotecaEliteJohnnie Walker Red o Black</v>
      </c>
      <c r="D182" t="str">
        <f t="shared" si="11"/>
        <v>Estrato4al6DiscotecaEliteJohnnie Walker Red o BlackMezcla 2</v>
      </c>
      <c r="E182" s="245" t="s">
        <v>573</v>
      </c>
      <c r="F182" s="245" t="s">
        <v>619</v>
      </c>
      <c r="G182" s="246" t="s">
        <v>525</v>
      </c>
      <c r="H182" t="s">
        <v>670</v>
      </c>
      <c r="I182" s="247" t="s">
        <v>565</v>
      </c>
    </row>
    <row r="183" spans="1:44" x14ac:dyDescent="0.35">
      <c r="A183" t="str">
        <f t="shared" si="8"/>
        <v>Estrato4al6DiscotecaEstándarBotella 1</v>
      </c>
      <c r="B183" t="str">
        <f t="shared" si="9"/>
        <v>Estrato4al6DiscotecaEstándar</v>
      </c>
      <c r="C183" t="str">
        <f t="shared" si="10"/>
        <v>Estrato4al6DiscotecaEstándarJohnnie Walker Red o Black</v>
      </c>
      <c r="D183" t="str">
        <f t="shared" si="11"/>
        <v>Estrato4al6DiscotecaEstándarJohnnie Walker Red o BlackBotella 1</v>
      </c>
      <c r="E183" s="245" t="s">
        <v>573</v>
      </c>
      <c r="F183" s="245" t="s">
        <v>620</v>
      </c>
      <c r="G183" s="246" t="s">
        <v>637</v>
      </c>
      <c r="H183" t="s">
        <v>670</v>
      </c>
      <c r="I183" s="248" t="s">
        <v>563</v>
      </c>
    </row>
    <row r="184" spans="1:44" x14ac:dyDescent="0.35">
      <c r="A184" t="str">
        <f t="shared" si="8"/>
        <v>Estrato4al6DiscotecaEstándarBotella 2</v>
      </c>
      <c r="B184" t="str">
        <f t="shared" si="9"/>
        <v>Estrato4al6DiscotecaEstándar</v>
      </c>
      <c r="C184" t="str">
        <f t="shared" si="10"/>
        <v>Estrato4al6DiscotecaEstándarOld Parr 12</v>
      </c>
      <c r="D184" t="str">
        <f t="shared" si="11"/>
        <v>Estrato4al6DiscotecaEstándarOld Parr 12Botella 2</v>
      </c>
      <c r="E184" s="245" t="s">
        <v>573</v>
      </c>
      <c r="F184" s="245" t="s">
        <v>620</v>
      </c>
      <c r="G184" s="246" t="s">
        <v>629</v>
      </c>
      <c r="H184" t="s">
        <v>417</v>
      </c>
      <c r="I184" s="246" t="s">
        <v>566</v>
      </c>
    </row>
    <row r="185" spans="1:44" x14ac:dyDescent="0.35">
      <c r="A185" t="str">
        <f t="shared" si="8"/>
        <v>Estrato4al6DiscotecaEstándarBotella 3</v>
      </c>
      <c r="B185" t="str">
        <f t="shared" si="9"/>
        <v>Estrato4al6DiscotecaEstándar</v>
      </c>
      <c r="C185" t="str">
        <f t="shared" si="10"/>
        <v>Estrato4al6DiscotecaEstándarSmirnoff</v>
      </c>
      <c r="D185" t="str">
        <f t="shared" si="11"/>
        <v>Estrato4al6DiscotecaEstándarSmirnoffBotella 3</v>
      </c>
      <c r="E185" s="245" t="s">
        <v>573</v>
      </c>
      <c r="F185" s="245" t="s">
        <v>620</v>
      </c>
      <c r="G185" s="246" t="s">
        <v>631</v>
      </c>
      <c r="H185" t="s">
        <v>672</v>
      </c>
      <c r="I185" s="246" t="s">
        <v>574</v>
      </c>
      <c r="AR185" s="126"/>
    </row>
    <row r="186" spans="1:44" x14ac:dyDescent="0.35">
      <c r="A186" t="str">
        <f t="shared" si="8"/>
        <v>Estrato4al6DiscotecaEstándarBotella 4</v>
      </c>
      <c r="B186" t="str">
        <f t="shared" si="9"/>
        <v>Estrato4al6DiscotecaEstándar</v>
      </c>
      <c r="C186" t="str">
        <f t="shared" si="10"/>
        <v>Estrato4al6DiscotecaEstándarSmirnoff X1</v>
      </c>
      <c r="D186" t="str">
        <f t="shared" si="11"/>
        <v>Estrato4al6DiscotecaEstándarSmirnoff X1Botella 4</v>
      </c>
      <c r="E186" s="245" t="s">
        <v>573</v>
      </c>
      <c r="F186" s="245" t="s">
        <v>620</v>
      </c>
      <c r="G186" s="246" t="s">
        <v>632</v>
      </c>
      <c r="H186" t="s">
        <v>673</v>
      </c>
      <c r="I186" s="246" t="s">
        <v>541</v>
      </c>
    </row>
    <row r="187" spans="1:44" x14ac:dyDescent="0.35">
      <c r="A187" t="str">
        <f t="shared" si="8"/>
        <v>Estrato4al6DiscotecaEstándarBotella 5</v>
      </c>
      <c r="B187" t="str">
        <f t="shared" si="9"/>
        <v>Estrato4al6DiscotecaEstándar</v>
      </c>
      <c r="C187" t="str">
        <f t="shared" si="10"/>
        <v>Estrato4al6DiscotecaEstándarOld Parr 18</v>
      </c>
      <c r="D187" t="str">
        <f t="shared" si="11"/>
        <v>Estrato4al6DiscotecaEstándarOld Parr 18Botella 5</v>
      </c>
      <c r="E187" t="s">
        <v>573</v>
      </c>
      <c r="F187" t="s">
        <v>620</v>
      </c>
      <c r="G187" s="246" t="s">
        <v>633</v>
      </c>
      <c r="H187" t="s">
        <v>425</v>
      </c>
      <c r="I187" t="s">
        <v>607</v>
      </c>
    </row>
    <row r="188" spans="1:44" x14ac:dyDescent="0.35">
      <c r="A188" t="str">
        <f t="shared" si="8"/>
        <v>Estrato4al6DiscotecaEstándarCoctel 2</v>
      </c>
      <c r="B188" t="str">
        <f t="shared" si="9"/>
        <v>Estrato4al6DiscotecaEstándar</v>
      </c>
      <c r="C188" t="str">
        <f t="shared" si="10"/>
        <v>Estrato4al6DiscotecaEstándarOld Parr 12</v>
      </c>
      <c r="D188" t="str">
        <f t="shared" si="11"/>
        <v>Estrato4al6DiscotecaEstándarOld Parr 12Coctel 2</v>
      </c>
      <c r="E188" s="245" t="s">
        <v>573</v>
      </c>
      <c r="F188" s="245" t="s">
        <v>620</v>
      </c>
      <c r="G188" s="246" t="s">
        <v>499</v>
      </c>
      <c r="H188" t="s">
        <v>417</v>
      </c>
      <c r="I188" s="246" t="s">
        <v>567</v>
      </c>
      <c r="AR188" s="126"/>
    </row>
    <row r="189" spans="1:44" x14ac:dyDescent="0.35">
      <c r="A189" t="str">
        <f t="shared" si="8"/>
        <v>Estrato4al6DiscotecaEstándarCoctel 3</v>
      </c>
      <c r="B189" t="str">
        <f t="shared" si="9"/>
        <v>Estrato4al6DiscotecaEstándar</v>
      </c>
      <c r="C189" t="str">
        <f t="shared" si="10"/>
        <v>Estrato4al6DiscotecaEstándarSmirnoff</v>
      </c>
      <c r="D189" t="str">
        <f t="shared" si="11"/>
        <v>Estrato4al6DiscotecaEstándarSmirnoffCoctel 3</v>
      </c>
      <c r="E189" s="245" t="s">
        <v>573</v>
      </c>
      <c r="F189" s="245" t="s">
        <v>620</v>
      </c>
      <c r="G189" s="246" t="s">
        <v>634</v>
      </c>
      <c r="H189" t="s">
        <v>672</v>
      </c>
      <c r="I189" s="246" t="s">
        <v>575</v>
      </c>
    </row>
    <row r="190" spans="1:44" x14ac:dyDescent="0.35">
      <c r="A190" t="str">
        <f t="shared" si="8"/>
        <v>Estrato4al6DiscotecaEstándarCoctel 1</v>
      </c>
      <c r="B190" t="str">
        <f t="shared" si="9"/>
        <v>Estrato4al6DiscotecaEstándar</v>
      </c>
      <c r="C190" t="str">
        <f t="shared" si="10"/>
        <v>Estrato4al6DiscotecaEstándarOld Parr 12</v>
      </c>
      <c r="D190" t="str">
        <f t="shared" si="11"/>
        <v>Estrato4al6DiscotecaEstándarOld Parr 12Coctel 1</v>
      </c>
      <c r="E190" s="245" t="s">
        <v>573</v>
      </c>
      <c r="F190" s="245" t="s">
        <v>620</v>
      </c>
      <c r="G190" s="246" t="s">
        <v>497</v>
      </c>
      <c r="H190" t="s">
        <v>417</v>
      </c>
      <c r="I190" s="246" t="s">
        <v>569</v>
      </c>
    </row>
    <row r="191" spans="1:44" x14ac:dyDescent="0.35">
      <c r="A191" t="str">
        <f t="shared" si="8"/>
        <v>Estrato4al6DiscotecaEstándarShot</v>
      </c>
      <c r="B191" t="str">
        <f t="shared" si="9"/>
        <v>Estrato4al6DiscotecaEstándar</v>
      </c>
      <c r="C191" t="str">
        <f t="shared" si="10"/>
        <v>Estrato4al6DiscotecaEstándarSmirnoff X1</v>
      </c>
      <c r="D191" t="str">
        <f t="shared" si="11"/>
        <v>Estrato4al6DiscotecaEstándarSmirnoff X1Shot</v>
      </c>
      <c r="E191" s="245" t="s">
        <v>573</v>
      </c>
      <c r="F191" s="245" t="s">
        <v>620</v>
      </c>
      <c r="G191" s="247" t="s">
        <v>910</v>
      </c>
      <c r="H191" t="s">
        <v>673</v>
      </c>
      <c r="I191" s="246" t="s">
        <v>576</v>
      </c>
      <c r="AR191" s="126"/>
    </row>
    <row r="192" spans="1:44" x14ac:dyDescent="0.35">
      <c r="A192" t="str">
        <f t="shared" si="8"/>
        <v>Estrato4al6DiscotecaEstándarEn las rocas 2</v>
      </c>
      <c r="B192" t="str">
        <f t="shared" si="9"/>
        <v>Estrato4al6DiscotecaEstándar</v>
      </c>
      <c r="C192" t="str">
        <f t="shared" si="10"/>
        <v>Estrato4al6DiscotecaEstándarOld Parr 18</v>
      </c>
      <c r="D192" t="str">
        <f t="shared" si="11"/>
        <v>Estrato4al6DiscotecaEstándarOld Parr 18En las rocas 2</v>
      </c>
      <c r="E192" t="s">
        <v>573</v>
      </c>
      <c r="F192" t="s">
        <v>620</v>
      </c>
      <c r="G192" s="246" t="s">
        <v>635</v>
      </c>
      <c r="H192" t="s">
        <v>425</v>
      </c>
      <c r="I192" s="246" t="s">
        <v>161</v>
      </c>
    </row>
    <row r="193" spans="1:44" x14ac:dyDescent="0.35">
      <c r="A193" t="str">
        <f t="shared" si="8"/>
        <v>Estrato4al6DiscotecaEstándarLata</v>
      </c>
      <c r="B193" t="str">
        <f t="shared" si="9"/>
        <v>Estrato4al6DiscotecaEstándar</v>
      </c>
      <c r="C193" t="str">
        <f t="shared" si="10"/>
        <v>Estrato4al6DiscotecaEstándarSmirnoff Lata</v>
      </c>
      <c r="D193" t="str">
        <f t="shared" si="11"/>
        <v>Estrato4al6DiscotecaEstándarSmirnoff LataLata</v>
      </c>
      <c r="E193" s="245" t="s">
        <v>573</v>
      </c>
      <c r="F193" s="245" t="s">
        <v>620</v>
      </c>
      <c r="G193" s="246" t="s">
        <v>471</v>
      </c>
      <c r="H193" t="s">
        <v>674</v>
      </c>
      <c r="I193" s="247" t="s">
        <v>539</v>
      </c>
      <c r="AR193" s="126"/>
    </row>
    <row r="194" spans="1:44" x14ac:dyDescent="0.35">
      <c r="A194" t="str">
        <f t="shared" si="8"/>
        <v>Estrato4al6DiscotecaEstándarMedia Botella</v>
      </c>
      <c r="B194" t="str">
        <f t="shared" si="9"/>
        <v>Estrato4al6DiscotecaEstándar</v>
      </c>
      <c r="C194" t="str">
        <f t="shared" si="10"/>
        <v>Estrato4al6DiscotecaEstándarSmirnoff X1</v>
      </c>
      <c r="D194" t="str">
        <f t="shared" si="11"/>
        <v>Estrato4al6DiscotecaEstándarSmirnoff X1Media Botella</v>
      </c>
      <c r="E194" s="245" t="s">
        <v>573</v>
      </c>
      <c r="F194" s="245" t="s">
        <v>620</v>
      </c>
      <c r="G194" s="246" t="s">
        <v>546</v>
      </c>
      <c r="H194" t="s">
        <v>673</v>
      </c>
      <c r="I194" s="246" t="s">
        <v>545</v>
      </c>
    </row>
    <row r="195" spans="1:44" x14ac:dyDescent="0.35">
      <c r="A195" t="str">
        <f t="shared" si="8"/>
        <v>Estrato4al6DiscotecaEstándarMezcla 1</v>
      </c>
      <c r="B195" t="str">
        <f t="shared" si="9"/>
        <v>Estrato4al6DiscotecaEstándar</v>
      </c>
      <c r="C195" t="str">
        <f t="shared" si="10"/>
        <v>Estrato4al6DiscotecaEstándarJohnnie Walker Red o Black</v>
      </c>
      <c r="D195" t="str">
        <f t="shared" si="11"/>
        <v>Estrato4al6DiscotecaEstándarJohnnie Walker Red o BlackMezcla 1</v>
      </c>
      <c r="E195" s="245" t="s">
        <v>573</v>
      </c>
      <c r="F195" s="245" t="s">
        <v>620</v>
      </c>
      <c r="G195" s="246" t="s">
        <v>498</v>
      </c>
      <c r="H195" t="s">
        <v>670</v>
      </c>
      <c r="I195" s="247" t="s">
        <v>564</v>
      </c>
      <c r="AR195" s="126"/>
    </row>
    <row r="196" spans="1:44" x14ac:dyDescent="0.35">
      <c r="A196" t="str">
        <f t="shared" ref="A196:A259" si="12">E196&amp;F196&amp;G196</f>
        <v>Estrato4al6DiscotecaEstándarMezcla 3</v>
      </c>
      <c r="B196" t="str">
        <f t="shared" ref="B196:B259" si="13">E196&amp;F196</f>
        <v>Estrato4al6DiscotecaEstándar</v>
      </c>
      <c r="C196" t="str">
        <f t="shared" ref="C196:C259" si="14">E196&amp;F196&amp;H196</f>
        <v>Estrato4al6DiscotecaEstándarOld Parr 12</v>
      </c>
      <c r="D196" t="str">
        <f t="shared" ref="D196:D259" si="15">E196&amp;F196&amp;H196&amp;G196</f>
        <v>Estrato4al6DiscotecaEstándarOld Parr 12Mezcla 3</v>
      </c>
      <c r="E196" s="245" t="s">
        <v>573</v>
      </c>
      <c r="F196" s="245" t="s">
        <v>620</v>
      </c>
      <c r="G196" s="246" t="s">
        <v>627</v>
      </c>
      <c r="H196" t="s">
        <v>417</v>
      </c>
      <c r="I196" s="246" t="s">
        <v>570</v>
      </c>
    </row>
    <row r="197" spans="1:44" x14ac:dyDescent="0.35">
      <c r="A197" t="str">
        <f t="shared" si="12"/>
        <v>Estrato4al6DiscotecaEstándarMezcla 2</v>
      </c>
      <c r="B197" t="str">
        <f t="shared" si="13"/>
        <v>Estrato4al6DiscotecaEstándar</v>
      </c>
      <c r="C197" t="str">
        <f t="shared" si="14"/>
        <v>Estrato4al6DiscotecaEstándarJohnnie Walker Red o Black</v>
      </c>
      <c r="D197" t="str">
        <f t="shared" si="15"/>
        <v>Estrato4al6DiscotecaEstándarJohnnie Walker Red o BlackMezcla 2</v>
      </c>
      <c r="E197" s="245" t="s">
        <v>573</v>
      </c>
      <c r="F197" s="245" t="s">
        <v>620</v>
      </c>
      <c r="G197" s="246" t="s">
        <v>525</v>
      </c>
      <c r="H197" t="s">
        <v>670</v>
      </c>
      <c r="I197" s="247" t="s">
        <v>565</v>
      </c>
      <c r="AR197" s="126"/>
    </row>
    <row r="198" spans="1:44" x14ac:dyDescent="0.35">
      <c r="A198" t="str">
        <f t="shared" si="12"/>
        <v>Estrato4al6JuegostípicosBotella 1</v>
      </c>
      <c r="B198" t="str">
        <f t="shared" si="13"/>
        <v>Estrato4al6Juegostípicos</v>
      </c>
      <c r="C198" t="str">
        <f t="shared" si="14"/>
        <v>Estrato4al6JuegostípicosSmirnoff</v>
      </c>
      <c r="D198" t="str">
        <f t="shared" si="15"/>
        <v>Estrato4al6JuegostípicosSmirnoffBotella 1</v>
      </c>
      <c r="E198" s="245" t="s">
        <v>573</v>
      </c>
      <c r="F198" s="245" t="s">
        <v>624</v>
      </c>
      <c r="G198" s="246" t="s">
        <v>637</v>
      </c>
      <c r="H198" t="s">
        <v>672</v>
      </c>
      <c r="I198" s="246" t="s">
        <v>574</v>
      </c>
    </row>
    <row r="199" spans="1:44" x14ac:dyDescent="0.35">
      <c r="A199" t="str">
        <f t="shared" si="12"/>
        <v>Estrato4al6JuegostípicosBotella 2</v>
      </c>
      <c r="B199" t="str">
        <f t="shared" si="13"/>
        <v>Estrato4al6Juegostípicos</v>
      </c>
      <c r="C199" t="str">
        <f t="shared" si="14"/>
        <v>Estrato4al6JuegostípicosSmirnoff X1</v>
      </c>
      <c r="D199" t="str">
        <f t="shared" si="15"/>
        <v>Estrato4al6JuegostípicosSmirnoff X1Botella 2</v>
      </c>
      <c r="E199" s="245" t="s">
        <v>573</v>
      </c>
      <c r="F199" s="245" t="s">
        <v>624</v>
      </c>
      <c r="G199" s="246" t="s">
        <v>629</v>
      </c>
      <c r="H199" t="s">
        <v>673</v>
      </c>
      <c r="I199" s="246" t="s">
        <v>541</v>
      </c>
      <c r="AR199" s="126"/>
    </row>
    <row r="200" spans="1:44" x14ac:dyDescent="0.35">
      <c r="A200" t="str">
        <f t="shared" si="12"/>
        <v>Estrato4al6JuegostípicosCoctel 1</v>
      </c>
      <c r="B200" t="str">
        <f t="shared" si="13"/>
        <v>Estrato4al6Juegostípicos</v>
      </c>
      <c r="C200" t="str">
        <f t="shared" si="14"/>
        <v>Estrato4al6JuegostípicosSmirnoff</v>
      </c>
      <c r="D200" t="str">
        <f t="shared" si="15"/>
        <v>Estrato4al6JuegostípicosSmirnoffCoctel 1</v>
      </c>
      <c r="E200" s="245" t="s">
        <v>573</v>
      </c>
      <c r="F200" s="245" t="s">
        <v>624</v>
      </c>
      <c r="G200" s="246" t="s">
        <v>497</v>
      </c>
      <c r="H200" t="s">
        <v>672</v>
      </c>
      <c r="I200" s="246" t="s">
        <v>575</v>
      </c>
    </row>
    <row r="201" spans="1:44" x14ac:dyDescent="0.35">
      <c r="A201" t="str">
        <f t="shared" si="12"/>
        <v>Estrato4al6JuegostípicosShot</v>
      </c>
      <c r="B201" t="str">
        <f t="shared" si="13"/>
        <v>Estrato4al6Juegostípicos</v>
      </c>
      <c r="C201" t="str">
        <f t="shared" si="14"/>
        <v>Estrato4al6JuegostípicosSmirnoff X1</v>
      </c>
      <c r="D201" t="str">
        <f t="shared" si="15"/>
        <v>Estrato4al6JuegostípicosSmirnoff X1Shot</v>
      </c>
      <c r="E201" s="245" t="s">
        <v>573</v>
      </c>
      <c r="F201" s="245" t="s">
        <v>624</v>
      </c>
      <c r="G201" s="247" t="s">
        <v>910</v>
      </c>
      <c r="H201" t="s">
        <v>673</v>
      </c>
      <c r="I201" s="246" t="s">
        <v>576</v>
      </c>
      <c r="AR201" s="126"/>
    </row>
    <row r="202" spans="1:44" x14ac:dyDescent="0.35">
      <c r="A202" t="str">
        <f t="shared" si="12"/>
        <v>Estrato4al6JuegostípicosLata</v>
      </c>
      <c r="B202" t="str">
        <f t="shared" si="13"/>
        <v>Estrato4al6Juegostípicos</v>
      </c>
      <c r="C202" t="str">
        <f t="shared" si="14"/>
        <v>Estrato4al6JuegostípicosSmirnoff Lata</v>
      </c>
      <c r="D202" t="str">
        <f t="shared" si="15"/>
        <v>Estrato4al6JuegostípicosSmirnoff LataLata</v>
      </c>
      <c r="E202" s="245" t="s">
        <v>573</v>
      </c>
      <c r="F202" s="245" t="s">
        <v>624</v>
      </c>
      <c r="G202" s="246" t="s">
        <v>471</v>
      </c>
      <c r="H202" t="s">
        <v>674</v>
      </c>
      <c r="I202" s="247" t="s">
        <v>539</v>
      </c>
    </row>
    <row r="203" spans="1:44" x14ac:dyDescent="0.35">
      <c r="A203" t="str">
        <f t="shared" si="12"/>
        <v>Estrato4al6JuegostípicosMedia Botella</v>
      </c>
      <c r="B203" t="str">
        <f t="shared" si="13"/>
        <v>Estrato4al6Juegostípicos</v>
      </c>
      <c r="C203" t="str">
        <f t="shared" si="14"/>
        <v>Estrato4al6JuegostípicosSmirnoff X1</v>
      </c>
      <c r="D203" t="str">
        <f t="shared" si="15"/>
        <v>Estrato4al6JuegostípicosSmirnoff X1Media Botella</v>
      </c>
      <c r="E203" s="245" t="s">
        <v>573</v>
      </c>
      <c r="F203" s="245" t="s">
        <v>624</v>
      </c>
      <c r="G203" s="246" t="s">
        <v>546</v>
      </c>
      <c r="H203" t="s">
        <v>673</v>
      </c>
      <c r="I203" s="246" t="s">
        <v>545</v>
      </c>
    </row>
    <row r="204" spans="1:44" x14ac:dyDescent="0.35">
      <c r="A204" t="str">
        <f t="shared" si="12"/>
        <v>Estrato4al6LicobaresBotella 1</v>
      </c>
      <c r="B204" t="str">
        <f t="shared" si="13"/>
        <v>Estrato4al6Licobares</v>
      </c>
      <c r="C204" t="str">
        <f t="shared" si="14"/>
        <v>Estrato4al6LicobaresJohnnie Walker Red o Black</v>
      </c>
      <c r="D204" t="str">
        <f t="shared" si="15"/>
        <v>Estrato4al6LicobaresJohnnie Walker Red o BlackBotella 1</v>
      </c>
      <c r="E204" s="245" t="s">
        <v>573</v>
      </c>
      <c r="F204" s="245" t="s">
        <v>617</v>
      </c>
      <c r="G204" s="246" t="s">
        <v>637</v>
      </c>
      <c r="H204" t="s">
        <v>670</v>
      </c>
      <c r="I204" s="248" t="s">
        <v>563</v>
      </c>
      <c r="AR204" s="126"/>
    </row>
    <row r="205" spans="1:44" x14ac:dyDescent="0.35">
      <c r="A205" t="str">
        <f t="shared" si="12"/>
        <v>Estrato4al6LicobaresBotella 2</v>
      </c>
      <c r="B205" t="str">
        <f t="shared" si="13"/>
        <v>Estrato4al6Licobares</v>
      </c>
      <c r="C205" t="str">
        <f t="shared" si="14"/>
        <v>Estrato4al6LicobaresOld Parr 12</v>
      </c>
      <c r="D205" t="str">
        <f t="shared" si="15"/>
        <v>Estrato4al6LicobaresOld Parr 12Botella 2</v>
      </c>
      <c r="E205" s="245" t="s">
        <v>573</v>
      </c>
      <c r="F205" s="245" t="s">
        <v>617</v>
      </c>
      <c r="G205" s="246" t="s">
        <v>629</v>
      </c>
      <c r="H205" t="s">
        <v>417</v>
      </c>
      <c r="I205" s="246" t="s">
        <v>566</v>
      </c>
    </row>
    <row r="206" spans="1:44" x14ac:dyDescent="0.35">
      <c r="A206" t="str">
        <f t="shared" si="12"/>
        <v>Estrato4al6LicobaresBotella 3</v>
      </c>
      <c r="B206" t="str">
        <f t="shared" si="13"/>
        <v>Estrato4al6Licobares</v>
      </c>
      <c r="C206" t="str">
        <f t="shared" si="14"/>
        <v>Estrato4al6LicobaresSmirnoff</v>
      </c>
      <c r="D206" t="str">
        <f t="shared" si="15"/>
        <v>Estrato4al6LicobaresSmirnoffBotella 3</v>
      </c>
      <c r="E206" s="245" t="s">
        <v>573</v>
      </c>
      <c r="F206" s="245" t="s">
        <v>617</v>
      </c>
      <c r="G206" s="246" t="s">
        <v>631</v>
      </c>
      <c r="H206" t="s">
        <v>672</v>
      </c>
      <c r="I206" s="246" t="s">
        <v>574</v>
      </c>
    </row>
    <row r="207" spans="1:44" x14ac:dyDescent="0.35">
      <c r="A207" t="str">
        <f t="shared" si="12"/>
        <v>Estrato4al6LicobaresBotella 4</v>
      </c>
      <c r="B207" t="str">
        <f t="shared" si="13"/>
        <v>Estrato4al6Licobares</v>
      </c>
      <c r="C207" t="str">
        <f t="shared" si="14"/>
        <v>Estrato4al6LicobaresSmirnoff X1</v>
      </c>
      <c r="D207" t="str">
        <f t="shared" si="15"/>
        <v>Estrato4al6LicobaresSmirnoff X1Botella 4</v>
      </c>
      <c r="E207" s="245" t="s">
        <v>573</v>
      </c>
      <c r="F207" s="245" t="s">
        <v>617</v>
      </c>
      <c r="G207" s="246" t="s">
        <v>632</v>
      </c>
      <c r="H207" t="s">
        <v>673</v>
      </c>
      <c r="I207" s="246" t="s">
        <v>541</v>
      </c>
    </row>
    <row r="208" spans="1:44" x14ac:dyDescent="0.35">
      <c r="A208" t="str">
        <f t="shared" si="12"/>
        <v>Estrato4al6LicobaresCoctel 2</v>
      </c>
      <c r="B208" t="str">
        <f t="shared" si="13"/>
        <v>Estrato4al6Licobares</v>
      </c>
      <c r="C208" t="str">
        <f t="shared" si="14"/>
        <v>Estrato4al6LicobaresOld Parr 12</v>
      </c>
      <c r="D208" t="str">
        <f t="shared" si="15"/>
        <v>Estrato4al6LicobaresOld Parr 12Coctel 2</v>
      </c>
      <c r="E208" s="245" t="s">
        <v>573</v>
      </c>
      <c r="F208" s="245" t="s">
        <v>617</v>
      </c>
      <c r="G208" s="246" t="s">
        <v>499</v>
      </c>
      <c r="H208" t="s">
        <v>417</v>
      </c>
      <c r="I208" s="246" t="s">
        <v>567</v>
      </c>
      <c r="AR208" s="126"/>
    </row>
    <row r="209" spans="1:44" x14ac:dyDescent="0.35">
      <c r="A209" t="str">
        <f t="shared" si="12"/>
        <v>Estrato4al6LicobaresCoctel 3</v>
      </c>
      <c r="B209" t="str">
        <f t="shared" si="13"/>
        <v>Estrato4al6Licobares</v>
      </c>
      <c r="C209" t="str">
        <f t="shared" si="14"/>
        <v>Estrato4al6LicobaresSmirnoff</v>
      </c>
      <c r="D209" t="str">
        <f t="shared" si="15"/>
        <v>Estrato4al6LicobaresSmirnoffCoctel 3</v>
      </c>
      <c r="E209" s="245" t="s">
        <v>573</v>
      </c>
      <c r="F209" s="245" t="s">
        <v>617</v>
      </c>
      <c r="G209" s="246" t="s">
        <v>634</v>
      </c>
      <c r="H209" t="s">
        <v>672</v>
      </c>
      <c r="I209" s="246" t="s">
        <v>575</v>
      </c>
    </row>
    <row r="210" spans="1:44" x14ac:dyDescent="0.35">
      <c r="A210" t="str">
        <f t="shared" si="12"/>
        <v>Estrato4al6LicobaresCoctel 1</v>
      </c>
      <c r="B210" t="str">
        <f t="shared" si="13"/>
        <v>Estrato4al6Licobares</v>
      </c>
      <c r="C210" t="str">
        <f t="shared" si="14"/>
        <v>Estrato4al6LicobaresOld Parr 12</v>
      </c>
      <c r="D210" t="str">
        <f t="shared" si="15"/>
        <v>Estrato4al6LicobaresOld Parr 12Coctel 1</v>
      </c>
      <c r="E210" s="245" t="s">
        <v>573</v>
      </c>
      <c r="F210" s="245" t="s">
        <v>617</v>
      </c>
      <c r="G210" s="246" t="s">
        <v>497</v>
      </c>
      <c r="H210" t="s">
        <v>417</v>
      </c>
      <c r="I210" s="246" t="s">
        <v>569</v>
      </c>
      <c r="AR210" s="126"/>
    </row>
    <row r="211" spans="1:44" x14ac:dyDescent="0.35">
      <c r="A211" t="str">
        <f t="shared" si="12"/>
        <v>Estrato4al6LicobaresShot</v>
      </c>
      <c r="B211" t="str">
        <f t="shared" si="13"/>
        <v>Estrato4al6Licobares</v>
      </c>
      <c r="C211" t="str">
        <f t="shared" si="14"/>
        <v>Estrato4al6LicobaresSmirnoff X1</v>
      </c>
      <c r="D211" t="str">
        <f t="shared" si="15"/>
        <v>Estrato4al6LicobaresSmirnoff X1Shot</v>
      </c>
      <c r="E211" s="245" t="s">
        <v>573</v>
      </c>
      <c r="F211" s="245" t="s">
        <v>617</v>
      </c>
      <c r="G211" s="247" t="s">
        <v>910</v>
      </c>
      <c r="H211" t="s">
        <v>673</v>
      </c>
      <c r="I211" s="246" t="s">
        <v>576</v>
      </c>
    </row>
    <row r="212" spans="1:44" x14ac:dyDescent="0.35">
      <c r="A212" t="str">
        <f t="shared" si="12"/>
        <v>Estrato4al6LicobaresLata</v>
      </c>
      <c r="B212" t="str">
        <f t="shared" si="13"/>
        <v>Estrato4al6Licobares</v>
      </c>
      <c r="C212" t="str">
        <f t="shared" si="14"/>
        <v>Estrato4al6LicobaresSmirnoff Lata</v>
      </c>
      <c r="D212" t="str">
        <f t="shared" si="15"/>
        <v>Estrato4al6LicobaresSmirnoff LataLata</v>
      </c>
      <c r="E212" s="245" t="s">
        <v>573</v>
      </c>
      <c r="F212" s="245" t="s">
        <v>617</v>
      </c>
      <c r="G212" s="246" t="s">
        <v>471</v>
      </c>
      <c r="H212" t="s">
        <v>674</v>
      </c>
      <c r="I212" s="247" t="s">
        <v>539</v>
      </c>
    </row>
    <row r="213" spans="1:44" x14ac:dyDescent="0.35">
      <c r="A213" t="str">
        <f t="shared" si="12"/>
        <v>Estrato4al6LicobaresMedia Botella</v>
      </c>
      <c r="B213" t="str">
        <f t="shared" si="13"/>
        <v>Estrato4al6Licobares</v>
      </c>
      <c r="C213" t="str">
        <f t="shared" si="14"/>
        <v>Estrato4al6LicobaresSmirnoff X1</v>
      </c>
      <c r="D213" t="str">
        <f t="shared" si="15"/>
        <v>Estrato4al6LicobaresSmirnoff X1Media Botella</v>
      </c>
      <c r="E213" s="245" t="s">
        <v>573</v>
      </c>
      <c r="F213" s="245" t="s">
        <v>617</v>
      </c>
      <c r="G213" s="246" t="s">
        <v>546</v>
      </c>
      <c r="H213" t="s">
        <v>673</v>
      </c>
      <c r="I213" s="246" t="s">
        <v>545</v>
      </c>
    </row>
    <row r="214" spans="1:44" x14ac:dyDescent="0.35">
      <c r="A214" t="str">
        <f t="shared" si="12"/>
        <v>Estrato4al6LicobaresMezcla 1</v>
      </c>
      <c r="B214" t="str">
        <f t="shared" si="13"/>
        <v>Estrato4al6Licobares</v>
      </c>
      <c r="C214" t="str">
        <f t="shared" si="14"/>
        <v>Estrato4al6LicobaresJohnnie Walker Red o Black</v>
      </c>
      <c r="D214" t="str">
        <f t="shared" si="15"/>
        <v>Estrato4al6LicobaresJohnnie Walker Red o BlackMezcla 1</v>
      </c>
      <c r="E214" s="245" t="s">
        <v>573</v>
      </c>
      <c r="F214" s="245" t="s">
        <v>617</v>
      </c>
      <c r="G214" s="246" t="s">
        <v>498</v>
      </c>
      <c r="H214" t="s">
        <v>670</v>
      </c>
      <c r="I214" s="247" t="s">
        <v>564</v>
      </c>
      <c r="AR214" s="126"/>
    </row>
    <row r="215" spans="1:44" x14ac:dyDescent="0.35">
      <c r="A215" t="str">
        <f t="shared" si="12"/>
        <v>Estrato4al6LicobaresMezcla 2</v>
      </c>
      <c r="B215" t="str">
        <f t="shared" si="13"/>
        <v>Estrato4al6Licobares</v>
      </c>
      <c r="C215" t="str">
        <f t="shared" si="14"/>
        <v>Estrato4al6LicobaresOld Parr 12</v>
      </c>
      <c r="D215" t="str">
        <f t="shared" si="15"/>
        <v>Estrato4al6LicobaresOld Parr 12Mezcla 2</v>
      </c>
      <c r="E215" s="245" t="s">
        <v>573</v>
      </c>
      <c r="F215" s="245" t="s">
        <v>617</v>
      </c>
      <c r="G215" s="246" t="s">
        <v>525</v>
      </c>
      <c r="H215" t="s">
        <v>417</v>
      </c>
      <c r="I215" s="246" t="s">
        <v>570</v>
      </c>
    </row>
    <row r="216" spans="1:44" x14ac:dyDescent="0.35">
      <c r="A216" t="str">
        <f t="shared" si="12"/>
        <v>Estrato4al6LicobaresMezcla 3</v>
      </c>
      <c r="B216" t="str">
        <f t="shared" si="13"/>
        <v>Estrato4al6Licobares</v>
      </c>
      <c r="C216" t="str">
        <f t="shared" si="14"/>
        <v>Estrato4al6LicobaresGordon's</v>
      </c>
      <c r="D216" t="str">
        <f t="shared" si="15"/>
        <v>Estrato4al6LicobaresGordon'sMezcla 3</v>
      </c>
      <c r="E216" s="245" t="s">
        <v>573</v>
      </c>
      <c r="F216" s="245" t="s">
        <v>617</v>
      </c>
      <c r="G216" s="246" t="s">
        <v>627</v>
      </c>
      <c r="H216" t="s">
        <v>671</v>
      </c>
      <c r="I216" s="246" t="s">
        <v>572</v>
      </c>
      <c r="AR216" s="126"/>
    </row>
    <row r="217" spans="1:44" x14ac:dyDescent="0.35">
      <c r="A217" t="str">
        <f t="shared" si="12"/>
        <v>Estrato4al6LicobaresMezcla 2</v>
      </c>
      <c r="B217" t="str">
        <f t="shared" si="13"/>
        <v>Estrato4al6Licobares</v>
      </c>
      <c r="C217" t="str">
        <f t="shared" si="14"/>
        <v>Estrato4al6LicobaresJohnnie Walker Red o Black</v>
      </c>
      <c r="D217" t="str">
        <f t="shared" si="15"/>
        <v>Estrato4al6LicobaresJohnnie Walker Red o BlackMezcla 2</v>
      </c>
      <c r="E217" s="245" t="s">
        <v>573</v>
      </c>
      <c r="F217" s="245" t="s">
        <v>617</v>
      </c>
      <c r="G217" s="246" t="s">
        <v>525</v>
      </c>
      <c r="H217" t="s">
        <v>670</v>
      </c>
      <c r="I217" s="247" t="s">
        <v>565</v>
      </c>
    </row>
    <row r="218" spans="1:44" x14ac:dyDescent="0.35">
      <c r="A218" t="str">
        <f t="shared" si="12"/>
        <v>Estrato4al6ReposteríaycaféEn las rocas</v>
      </c>
      <c r="B218" t="str">
        <f t="shared" si="13"/>
        <v>Estrato4al6Reposteríaycafé</v>
      </c>
      <c r="C218" t="str">
        <f t="shared" si="14"/>
        <v>Estrato4al6ReposteríaycaféBaileys</v>
      </c>
      <c r="D218" t="str">
        <f t="shared" si="15"/>
        <v>Estrato4al6ReposteríaycaféBaileysEn las rocas</v>
      </c>
      <c r="E218" s="245" t="s">
        <v>573</v>
      </c>
      <c r="F218" s="245" t="s">
        <v>625</v>
      </c>
      <c r="G218" s="246" t="s">
        <v>500</v>
      </c>
      <c r="H218" t="s">
        <v>261</v>
      </c>
      <c r="I218" s="247" t="s">
        <v>577</v>
      </c>
    </row>
    <row r="219" spans="1:44" x14ac:dyDescent="0.35">
      <c r="A219" t="str">
        <f t="shared" si="12"/>
        <v>Estrato4al6ReposteríaycaféMezcla 1</v>
      </c>
      <c r="B219" t="str">
        <f t="shared" si="13"/>
        <v>Estrato4al6Reposteríaycafé</v>
      </c>
      <c r="C219" t="str">
        <f t="shared" si="14"/>
        <v>Estrato4al6ReposteríaycaféBaileys</v>
      </c>
      <c r="D219" t="str">
        <f t="shared" si="15"/>
        <v>Estrato4al6ReposteríaycaféBaileysMezcla 1</v>
      </c>
      <c r="E219" s="245" t="s">
        <v>573</v>
      </c>
      <c r="F219" s="245" t="s">
        <v>625</v>
      </c>
      <c r="G219" s="246" t="s">
        <v>498</v>
      </c>
      <c r="H219" t="s">
        <v>261</v>
      </c>
      <c r="I219" s="246" t="s">
        <v>578</v>
      </c>
    </row>
    <row r="220" spans="1:44" x14ac:dyDescent="0.35">
      <c r="A220" t="str">
        <f t="shared" si="12"/>
        <v>Estrato4al6RestauranteCasualCoctel 1</v>
      </c>
      <c r="B220" t="str">
        <f t="shared" si="13"/>
        <v>Estrato4al6RestauranteCasual</v>
      </c>
      <c r="C220" t="str">
        <f t="shared" si="14"/>
        <v>Estrato4al6RestauranteCasualDon Julio Blanco</v>
      </c>
      <c r="D220" t="str">
        <f t="shared" si="15"/>
        <v>Estrato4al6RestauranteCasualDon Julio BlancoCoctel 1</v>
      </c>
      <c r="E220" t="s">
        <v>573</v>
      </c>
      <c r="F220" t="s">
        <v>623</v>
      </c>
      <c r="G220" t="s">
        <v>497</v>
      </c>
      <c r="H220" t="s">
        <v>379</v>
      </c>
      <c r="I220" t="s">
        <v>586</v>
      </c>
    </row>
    <row r="221" spans="1:44" x14ac:dyDescent="0.35">
      <c r="A221" t="str">
        <f t="shared" si="12"/>
        <v>Estrato4al6RestauranteCasualCoctel 2</v>
      </c>
      <c r="B221" t="str">
        <f t="shared" si="13"/>
        <v>Estrato4al6RestauranteCasual</v>
      </c>
      <c r="C221" t="str">
        <f t="shared" si="14"/>
        <v>Estrato4al6RestauranteCasualTanqueray Rangpur</v>
      </c>
      <c r="D221" t="str">
        <f t="shared" si="15"/>
        <v>Estrato4al6RestauranteCasualTanqueray RangpurCoctel 2</v>
      </c>
      <c r="E221" t="s">
        <v>573</v>
      </c>
      <c r="F221" t="s">
        <v>623</v>
      </c>
      <c r="G221" t="s">
        <v>499</v>
      </c>
      <c r="H221" t="s">
        <v>394</v>
      </c>
      <c r="I221" t="s">
        <v>587</v>
      </c>
      <c r="AR221" s="126"/>
    </row>
    <row r="222" spans="1:44" x14ac:dyDescent="0.35">
      <c r="A222" t="str">
        <f t="shared" si="12"/>
        <v>Estrato4al6RestauranteCasualCoctel 3</v>
      </c>
      <c r="B222" t="str">
        <f t="shared" si="13"/>
        <v>Estrato4al6RestauranteCasual</v>
      </c>
      <c r="C222" t="str">
        <f t="shared" si="14"/>
        <v>Estrato4al6RestauranteCasualTanqueray London Dry</v>
      </c>
      <c r="D222" t="str">
        <f t="shared" si="15"/>
        <v>Estrato4al6RestauranteCasualTanqueray London DryCoctel 3</v>
      </c>
      <c r="E222" t="s">
        <v>573</v>
      </c>
      <c r="F222" t="s">
        <v>623</v>
      </c>
      <c r="G222" t="s">
        <v>634</v>
      </c>
      <c r="H222" t="s">
        <v>396</v>
      </c>
      <c r="I222" t="s">
        <v>588</v>
      </c>
    </row>
    <row r="223" spans="1:44" x14ac:dyDescent="0.35">
      <c r="A223" t="str">
        <f t="shared" si="12"/>
        <v>Estrato4al6RestauranteCasualCoctel 4</v>
      </c>
      <c r="B223" t="str">
        <f t="shared" si="13"/>
        <v>Estrato4al6RestauranteCasual</v>
      </c>
      <c r="C223" t="str">
        <f t="shared" si="14"/>
        <v>Estrato4al6RestauranteCasualKetel One</v>
      </c>
      <c r="D223" t="str">
        <f t="shared" si="15"/>
        <v>Estrato4al6RestauranteCasualKetel OneCoctel 4</v>
      </c>
      <c r="E223" t="s">
        <v>573</v>
      </c>
      <c r="F223" t="s">
        <v>623</v>
      </c>
      <c r="G223" t="s">
        <v>639</v>
      </c>
      <c r="H223" t="s">
        <v>403</v>
      </c>
      <c r="I223" t="s">
        <v>589</v>
      </c>
    </row>
    <row r="224" spans="1:44" x14ac:dyDescent="0.35">
      <c r="A224" t="str">
        <f t="shared" si="12"/>
        <v>Estrato4al6RestauranteCasualCoctel 5</v>
      </c>
      <c r="B224" t="str">
        <f t="shared" si="13"/>
        <v>Estrato4al6RestauranteCasual</v>
      </c>
      <c r="C224" t="str">
        <f t="shared" si="14"/>
        <v>Estrato4al6RestauranteCasualSingleton 12</v>
      </c>
      <c r="D224" t="str">
        <f t="shared" si="15"/>
        <v>Estrato4al6RestauranteCasualSingleton 12Coctel 5</v>
      </c>
      <c r="E224" t="s">
        <v>573</v>
      </c>
      <c r="F224" t="s">
        <v>623</v>
      </c>
      <c r="G224" t="s">
        <v>640</v>
      </c>
      <c r="H224" t="s">
        <v>406</v>
      </c>
      <c r="I224" t="s">
        <v>590</v>
      </c>
    </row>
    <row r="225" spans="1:44" x14ac:dyDescent="0.35">
      <c r="A225" t="str">
        <f t="shared" si="12"/>
        <v>Estrato4al6RestauranteCasualCoctel 6</v>
      </c>
      <c r="B225" t="str">
        <f t="shared" si="13"/>
        <v>Estrato4al6RestauranteCasual</v>
      </c>
      <c r="C225" t="str">
        <f t="shared" si="14"/>
        <v>Estrato4al6RestauranteCasualBuchanan's 12</v>
      </c>
      <c r="D225" t="str">
        <f t="shared" si="15"/>
        <v>Estrato4al6RestauranteCasualBuchanan's 12Coctel 6</v>
      </c>
      <c r="E225" t="s">
        <v>573</v>
      </c>
      <c r="F225" t="s">
        <v>623</v>
      </c>
      <c r="G225" t="s">
        <v>641</v>
      </c>
      <c r="H225" t="s">
        <v>434</v>
      </c>
      <c r="I225" t="s">
        <v>863</v>
      </c>
      <c r="AR225" s="126"/>
    </row>
    <row r="226" spans="1:44" x14ac:dyDescent="0.35">
      <c r="A226" t="str">
        <f t="shared" si="12"/>
        <v>Estrato4al6RestauranteCasualCoctel 7</v>
      </c>
      <c r="B226" t="str">
        <f t="shared" si="13"/>
        <v>Estrato4al6RestauranteCasual</v>
      </c>
      <c r="C226" t="str">
        <f t="shared" si="14"/>
        <v>Estrato4al6RestauranteCasualJohnnie Walker Black Label</v>
      </c>
      <c r="D226" t="str">
        <f t="shared" si="15"/>
        <v>Estrato4al6RestauranteCasualJohnnie Walker Black LabelCoctel 7</v>
      </c>
      <c r="E226" t="s">
        <v>573</v>
      </c>
      <c r="F226" t="s">
        <v>623</v>
      </c>
      <c r="G226" t="s">
        <v>642</v>
      </c>
      <c r="H226" t="s">
        <v>454</v>
      </c>
      <c r="I226" t="s">
        <v>591</v>
      </c>
    </row>
    <row r="227" spans="1:44" x14ac:dyDescent="0.35">
      <c r="A227" t="str">
        <f t="shared" si="12"/>
        <v>Estrato4al6RestauranteCasualCoctel 8</v>
      </c>
      <c r="B227" t="str">
        <f t="shared" si="13"/>
        <v>Estrato4al6RestauranteCasual</v>
      </c>
      <c r="C227" t="str">
        <f t="shared" si="14"/>
        <v>Estrato4al6RestauranteCasualHaig Club</v>
      </c>
      <c r="D227" t="str">
        <f t="shared" si="15"/>
        <v>Estrato4al6RestauranteCasualHaig ClubCoctel 8</v>
      </c>
      <c r="E227" t="s">
        <v>573</v>
      </c>
      <c r="F227" t="s">
        <v>623</v>
      </c>
      <c r="G227" t="s">
        <v>643</v>
      </c>
      <c r="H227" t="s">
        <v>458</v>
      </c>
      <c r="I227" t="s">
        <v>592</v>
      </c>
      <c r="AR227" s="126"/>
    </row>
    <row r="228" spans="1:44" x14ac:dyDescent="0.35">
      <c r="A228" t="str">
        <f t="shared" si="12"/>
        <v>Estrato4al6RestauranteCasualCoctel 9</v>
      </c>
      <c r="B228" t="str">
        <f t="shared" si="13"/>
        <v>Estrato4al6RestauranteCasual</v>
      </c>
      <c r="C228" t="str">
        <f t="shared" si="14"/>
        <v>Estrato4al6RestauranteCasualBulleit Bourbon</v>
      </c>
      <c r="D228" t="str">
        <f t="shared" si="15"/>
        <v>Estrato4al6RestauranteCasualBulleit BourbonCoctel 9</v>
      </c>
      <c r="E228" t="s">
        <v>573</v>
      </c>
      <c r="F228" t="s">
        <v>623</v>
      </c>
      <c r="G228" t="s">
        <v>644</v>
      </c>
      <c r="H228" t="s">
        <v>398</v>
      </c>
      <c r="I228" t="s">
        <v>608</v>
      </c>
    </row>
    <row r="229" spans="1:44" x14ac:dyDescent="0.35">
      <c r="A229" t="str">
        <f t="shared" si="12"/>
        <v>Estrato4al6RestauranteCasualCoctel 10</v>
      </c>
      <c r="B229" t="str">
        <f t="shared" si="13"/>
        <v>Estrato4al6RestauranteCasual</v>
      </c>
      <c r="C229" t="str">
        <f t="shared" si="14"/>
        <v>Estrato4al6RestauranteCasualZacapa 23</v>
      </c>
      <c r="D229" t="str">
        <f t="shared" si="15"/>
        <v>Estrato4al6RestauranteCasualZacapa 23Coctel 10</v>
      </c>
      <c r="E229" t="s">
        <v>573</v>
      </c>
      <c r="F229" t="s">
        <v>623</v>
      </c>
      <c r="G229" t="s">
        <v>645</v>
      </c>
      <c r="H229" t="s">
        <v>412</v>
      </c>
      <c r="I229" t="s">
        <v>609</v>
      </c>
    </row>
    <row r="230" spans="1:44" x14ac:dyDescent="0.35">
      <c r="A230" t="str">
        <f t="shared" si="12"/>
        <v>Estrato4al6RestauranteCasualCoctel 11</v>
      </c>
      <c r="B230" t="str">
        <f t="shared" si="13"/>
        <v>Estrato4al6RestauranteCasual</v>
      </c>
      <c r="C230" t="str">
        <f t="shared" si="14"/>
        <v xml:space="preserve">Estrato4al6RestauranteCasualZacapa Ámbar </v>
      </c>
      <c r="D230" t="str">
        <f t="shared" si="15"/>
        <v>Estrato4al6RestauranteCasualZacapa Ámbar Coctel 11</v>
      </c>
      <c r="E230" t="s">
        <v>573</v>
      </c>
      <c r="F230" t="s">
        <v>623</v>
      </c>
      <c r="G230" t="s">
        <v>646</v>
      </c>
      <c r="H230" t="s">
        <v>677</v>
      </c>
      <c r="I230" t="s">
        <v>610</v>
      </c>
    </row>
    <row r="231" spans="1:44" x14ac:dyDescent="0.35">
      <c r="A231" t="str">
        <f t="shared" si="12"/>
        <v>Estrato4al6RestauranteCasualCoctel 12</v>
      </c>
      <c r="B231" t="str">
        <f t="shared" si="13"/>
        <v>Estrato4al6RestauranteCasual</v>
      </c>
      <c r="C231" t="str">
        <f t="shared" si="14"/>
        <v>Estrato4al6RestauranteCasualSingleton 12</v>
      </c>
      <c r="D231" t="str">
        <f t="shared" si="15"/>
        <v>Estrato4al6RestauranteCasualSingleton 12Coctel 12</v>
      </c>
      <c r="E231" t="s">
        <v>573</v>
      </c>
      <c r="F231" t="s">
        <v>623</v>
      </c>
      <c r="G231" t="s">
        <v>647</v>
      </c>
      <c r="H231" t="s">
        <v>406</v>
      </c>
      <c r="I231" t="s">
        <v>593</v>
      </c>
    </row>
    <row r="232" spans="1:44" x14ac:dyDescent="0.35">
      <c r="A232" t="str">
        <f t="shared" si="12"/>
        <v>Estrato4al6RestauranteCasualCoctel 13</v>
      </c>
      <c r="B232" t="str">
        <f t="shared" si="13"/>
        <v>Estrato4al6RestauranteCasual</v>
      </c>
      <c r="C232" t="str">
        <f t="shared" si="14"/>
        <v>Estrato4al6RestauranteCasualZacapa 23</v>
      </c>
      <c r="D232" t="str">
        <f t="shared" si="15"/>
        <v>Estrato4al6RestauranteCasualZacapa 23Coctel 13</v>
      </c>
      <c r="E232" t="s">
        <v>573</v>
      </c>
      <c r="F232" t="s">
        <v>623</v>
      </c>
      <c r="G232" t="s">
        <v>648</v>
      </c>
      <c r="H232" t="s">
        <v>412</v>
      </c>
      <c r="I232" t="s">
        <v>611</v>
      </c>
      <c r="AR232" s="126"/>
    </row>
    <row r="233" spans="1:44" x14ac:dyDescent="0.35">
      <c r="A233" t="str">
        <f t="shared" si="12"/>
        <v>Estrato4al6RestauranteCasualEn las rocas 1</v>
      </c>
      <c r="B233" t="str">
        <f t="shared" si="13"/>
        <v>Estrato4al6RestauranteCasual</v>
      </c>
      <c r="C233" t="str">
        <f t="shared" si="14"/>
        <v>Estrato4al6RestauranteCasualBaileys</v>
      </c>
      <c r="D233" t="str">
        <f t="shared" si="15"/>
        <v>Estrato4al6RestauranteCasualBaileysEn las rocas 1</v>
      </c>
      <c r="E233" s="245" t="s">
        <v>573</v>
      </c>
      <c r="F233" s="245" t="s">
        <v>623</v>
      </c>
      <c r="G233" s="246" t="s">
        <v>638</v>
      </c>
      <c r="H233" t="s">
        <v>261</v>
      </c>
      <c r="I233" s="247" t="s">
        <v>577</v>
      </c>
    </row>
    <row r="234" spans="1:44" x14ac:dyDescent="0.35">
      <c r="A234" t="str">
        <f t="shared" si="12"/>
        <v>Estrato4al6RestauranteCasualEn las rocas 2</v>
      </c>
      <c r="B234" t="str">
        <f t="shared" si="13"/>
        <v>Estrato4al6RestauranteCasual</v>
      </c>
      <c r="C234" t="str">
        <f t="shared" si="14"/>
        <v>Estrato4al6RestauranteCasualBuchanan's 12</v>
      </c>
      <c r="D234" t="str">
        <f t="shared" si="15"/>
        <v>Estrato4al6RestauranteCasualBuchanan's 12En las rocas 2</v>
      </c>
      <c r="E234" t="s">
        <v>573</v>
      </c>
      <c r="F234" t="s">
        <v>623</v>
      </c>
      <c r="G234" t="s">
        <v>635</v>
      </c>
      <c r="H234" t="s">
        <v>434</v>
      </c>
      <c r="I234" t="s">
        <v>507</v>
      </c>
      <c r="AR234" s="126"/>
    </row>
    <row r="235" spans="1:44" x14ac:dyDescent="0.35">
      <c r="A235" t="str">
        <f t="shared" si="12"/>
        <v>Estrato4al6RestauranteCasualEn las rocas 3</v>
      </c>
      <c r="B235" t="str">
        <f t="shared" si="13"/>
        <v>Estrato4al6RestauranteCasual</v>
      </c>
      <c r="C235" t="str">
        <f t="shared" si="14"/>
        <v>Estrato4al6RestauranteCasualBuchanan's Master</v>
      </c>
      <c r="D235" t="str">
        <f t="shared" si="15"/>
        <v>Estrato4al6RestauranteCasualBuchanan's MasterEn las rocas 3</v>
      </c>
      <c r="E235" t="s">
        <v>573</v>
      </c>
      <c r="F235" t="s">
        <v>623</v>
      </c>
      <c r="G235" s="246" t="s">
        <v>650</v>
      </c>
      <c r="H235" t="s">
        <v>436</v>
      </c>
      <c r="I235" t="s">
        <v>594</v>
      </c>
    </row>
    <row r="236" spans="1:44" x14ac:dyDescent="0.35">
      <c r="A236" t="str">
        <f t="shared" si="12"/>
        <v>Estrato4al6RestauranteCasualEn las rocas 4</v>
      </c>
      <c r="B236" t="str">
        <f t="shared" si="13"/>
        <v>Estrato4al6RestauranteCasual</v>
      </c>
      <c r="C236" t="str">
        <f t="shared" si="14"/>
        <v>Estrato4al6RestauranteCasualJohnnie Walker Double Black</v>
      </c>
      <c r="D236" t="str">
        <f t="shared" si="15"/>
        <v>Estrato4al6RestauranteCasualJohnnie Walker Double BlackEn las rocas 4</v>
      </c>
      <c r="E236" t="s">
        <v>573</v>
      </c>
      <c r="F236" t="s">
        <v>623</v>
      </c>
      <c r="G236" t="s">
        <v>651</v>
      </c>
      <c r="H236" t="s">
        <v>675</v>
      </c>
      <c r="I236" t="s">
        <v>595</v>
      </c>
      <c r="AR236" s="126"/>
    </row>
    <row r="237" spans="1:44" x14ac:dyDescent="0.35">
      <c r="A237" t="str">
        <f t="shared" si="12"/>
        <v>Estrato4al6RestauranteCasualEn las rocas 5</v>
      </c>
      <c r="B237" t="str">
        <f t="shared" si="13"/>
        <v>Estrato4al6RestauranteCasual</v>
      </c>
      <c r="C237" t="str">
        <f t="shared" si="14"/>
        <v>Estrato4al6RestauranteCasualZacapa 23</v>
      </c>
      <c r="D237" t="str">
        <f t="shared" si="15"/>
        <v>Estrato4al6RestauranteCasualZacapa 23En las rocas 5</v>
      </c>
      <c r="E237" t="s">
        <v>573</v>
      </c>
      <c r="F237" t="s">
        <v>623</v>
      </c>
      <c r="G237" s="246" t="s">
        <v>664</v>
      </c>
      <c r="H237" t="s">
        <v>412</v>
      </c>
      <c r="I237" t="s">
        <v>196</v>
      </c>
    </row>
    <row r="238" spans="1:44" x14ac:dyDescent="0.35">
      <c r="A238" t="str">
        <f t="shared" si="12"/>
        <v>Estrato4al6RestauranteCasualMezcla 1</v>
      </c>
      <c r="B238" t="str">
        <f t="shared" si="13"/>
        <v>Estrato4al6RestauranteCasual</v>
      </c>
      <c r="C238" t="str">
        <f t="shared" si="14"/>
        <v>Estrato4al6RestauranteCasualGordon's</v>
      </c>
      <c r="D238" t="str">
        <f t="shared" si="15"/>
        <v>Estrato4al6RestauranteCasualGordon'sMezcla 1</v>
      </c>
      <c r="E238" s="245" t="s">
        <v>573</v>
      </c>
      <c r="F238" s="245" t="s">
        <v>623</v>
      </c>
      <c r="G238" s="246" t="s">
        <v>498</v>
      </c>
      <c r="H238" t="s">
        <v>671</v>
      </c>
      <c r="I238" s="246" t="s">
        <v>572</v>
      </c>
    </row>
    <row r="239" spans="1:44" x14ac:dyDescent="0.35">
      <c r="A239" t="str">
        <f t="shared" si="12"/>
        <v>Estrato4al6RestauranteCasualMezcla 2</v>
      </c>
      <c r="B239" t="str">
        <f t="shared" si="13"/>
        <v>Estrato4al6RestauranteCasual</v>
      </c>
      <c r="C239" t="str">
        <f t="shared" si="14"/>
        <v>Estrato4al6RestauranteCasualBaileys</v>
      </c>
      <c r="D239" t="str">
        <f t="shared" si="15"/>
        <v>Estrato4al6RestauranteCasualBaileysMezcla 2</v>
      </c>
      <c r="E239" s="245" t="s">
        <v>573</v>
      </c>
      <c r="F239" s="245" t="s">
        <v>623</v>
      </c>
      <c r="G239" s="246" t="s">
        <v>525</v>
      </c>
      <c r="H239" t="s">
        <v>261</v>
      </c>
      <c r="I239" s="246" t="s">
        <v>578</v>
      </c>
      <c r="AR239" s="126"/>
    </row>
    <row r="240" spans="1:44" x14ac:dyDescent="0.35">
      <c r="A240" t="str">
        <f t="shared" si="12"/>
        <v>Estrato4al6RestauranteCasualMezcla 3</v>
      </c>
      <c r="B240" t="str">
        <f t="shared" si="13"/>
        <v>Estrato4al6RestauranteCasual</v>
      </c>
      <c r="C240" t="str">
        <f t="shared" si="14"/>
        <v>Estrato4al6RestauranteCasualTanqueray Rangpur</v>
      </c>
      <c r="D240" t="str">
        <f t="shared" si="15"/>
        <v>Estrato4al6RestauranteCasualTanqueray RangpurMezcla 3</v>
      </c>
      <c r="E240" t="s">
        <v>573</v>
      </c>
      <c r="F240" t="s">
        <v>623</v>
      </c>
      <c r="G240" s="246" t="s">
        <v>627</v>
      </c>
      <c r="H240" t="s">
        <v>394</v>
      </c>
      <c r="I240" t="s">
        <v>596</v>
      </c>
    </row>
    <row r="241" spans="1:44" x14ac:dyDescent="0.35">
      <c r="A241" t="str">
        <f t="shared" si="12"/>
        <v>Estrato4al6RestauranteCasualMezcla 4</v>
      </c>
      <c r="B241" t="str">
        <f t="shared" si="13"/>
        <v>Estrato4al6RestauranteCasual</v>
      </c>
      <c r="C241" t="str">
        <f t="shared" si="14"/>
        <v>Estrato4al6RestauranteCasualTanqueray London Dry</v>
      </c>
      <c r="D241" t="str">
        <f t="shared" si="15"/>
        <v>Estrato4al6RestauranteCasualTanqueray London DryMezcla 4</v>
      </c>
      <c r="E241" t="s">
        <v>573</v>
      </c>
      <c r="F241" t="s">
        <v>623</v>
      </c>
      <c r="G241" s="246" t="s">
        <v>628</v>
      </c>
      <c r="H241" t="s">
        <v>396</v>
      </c>
      <c r="I241" t="s">
        <v>597</v>
      </c>
    </row>
    <row r="242" spans="1:44" x14ac:dyDescent="0.35">
      <c r="A242" t="str">
        <f t="shared" si="12"/>
        <v>Estrato4al6RestauranteCasualMezcla 5</v>
      </c>
      <c r="B242" t="str">
        <f t="shared" si="13"/>
        <v>Estrato4al6RestauranteCasual</v>
      </c>
      <c r="C242" t="str">
        <f t="shared" si="14"/>
        <v>Estrato4al6RestauranteCasualBuchanan's 12</v>
      </c>
      <c r="D242" t="str">
        <f t="shared" si="15"/>
        <v>Estrato4al6RestauranteCasualBuchanan's 12Mezcla 5</v>
      </c>
      <c r="E242" t="s">
        <v>573</v>
      </c>
      <c r="F242" t="s">
        <v>623</v>
      </c>
      <c r="G242" s="246" t="s">
        <v>636</v>
      </c>
      <c r="H242" t="s">
        <v>434</v>
      </c>
      <c r="I242" t="s">
        <v>598</v>
      </c>
      <c r="AR242" s="126"/>
    </row>
    <row r="243" spans="1:44" x14ac:dyDescent="0.35">
      <c r="A243" t="str">
        <f t="shared" si="12"/>
        <v>Estrato4al6RestauranteCasualMezcla 6</v>
      </c>
      <c r="B243" t="str">
        <f t="shared" si="13"/>
        <v>Estrato4al6RestauranteCasual</v>
      </c>
      <c r="C243" t="str">
        <f t="shared" si="14"/>
        <v>Estrato4al6RestauranteCasualGordon's Cucumber</v>
      </c>
      <c r="D243" t="str">
        <f t="shared" si="15"/>
        <v>Estrato4al6RestauranteCasualGordon's CucumberMezcla 6</v>
      </c>
      <c r="E243" t="s">
        <v>573</v>
      </c>
      <c r="F243" t="s">
        <v>623</v>
      </c>
      <c r="G243" s="246" t="s">
        <v>652</v>
      </c>
      <c r="H243" t="s">
        <v>445</v>
      </c>
      <c r="I243" t="s">
        <v>599</v>
      </c>
    </row>
    <row r="244" spans="1:44" x14ac:dyDescent="0.35">
      <c r="A244" t="str">
        <f t="shared" si="12"/>
        <v>Estrato4al6RestauranteCasualMezcla 7</v>
      </c>
      <c r="B244" t="str">
        <f t="shared" si="13"/>
        <v>Estrato4al6RestauranteCasual</v>
      </c>
      <c r="C244" t="str">
        <f t="shared" si="14"/>
        <v>Estrato4al6RestauranteCasualGordon's Pink</v>
      </c>
      <c r="D244" t="str">
        <f t="shared" si="15"/>
        <v>Estrato4al6RestauranteCasualGordon's PinkMezcla 7</v>
      </c>
      <c r="E244" t="s">
        <v>573</v>
      </c>
      <c r="F244" t="s">
        <v>623</v>
      </c>
      <c r="G244" s="246" t="s">
        <v>653</v>
      </c>
      <c r="H244" t="s">
        <v>446</v>
      </c>
      <c r="I244" t="s">
        <v>600</v>
      </c>
    </row>
    <row r="245" spans="1:44" x14ac:dyDescent="0.35">
      <c r="A245" t="str">
        <f t="shared" si="12"/>
        <v>Estrato4al6RestauranteCasualMezcla 8</v>
      </c>
      <c r="B245" t="str">
        <f t="shared" si="13"/>
        <v>Estrato4al6RestauranteCasual</v>
      </c>
      <c r="C245" t="str">
        <f t="shared" si="14"/>
        <v>Estrato4al6RestauranteCasualJohnnie Walker Black Label</v>
      </c>
      <c r="D245" t="str">
        <f t="shared" si="15"/>
        <v>Estrato4al6RestauranteCasualJohnnie Walker Black LabelMezcla 8</v>
      </c>
      <c r="E245" t="s">
        <v>573</v>
      </c>
      <c r="F245" t="s">
        <v>623</v>
      </c>
      <c r="G245" s="246" t="s">
        <v>654</v>
      </c>
      <c r="H245" t="s">
        <v>454</v>
      </c>
      <c r="I245" t="s">
        <v>601</v>
      </c>
      <c r="AR245" s="126"/>
    </row>
    <row r="246" spans="1:44" x14ac:dyDescent="0.35">
      <c r="A246" t="str">
        <f t="shared" si="12"/>
        <v>Estrato4al6RestauranteCasualMezcla 9</v>
      </c>
      <c r="B246" t="str">
        <f t="shared" si="13"/>
        <v>Estrato4al6RestauranteCasual</v>
      </c>
      <c r="C246" t="str">
        <f t="shared" si="14"/>
        <v>Estrato4al6RestauranteCasualHaig Club</v>
      </c>
      <c r="D246" t="str">
        <f t="shared" si="15"/>
        <v>Estrato4al6RestauranteCasualHaig ClubMezcla 9</v>
      </c>
      <c r="E246" t="s">
        <v>573</v>
      </c>
      <c r="F246" t="s">
        <v>623</v>
      </c>
      <c r="G246" s="246" t="s">
        <v>655</v>
      </c>
      <c r="H246" t="s">
        <v>458</v>
      </c>
      <c r="I246" t="s">
        <v>602</v>
      </c>
    </row>
    <row r="247" spans="1:44" x14ac:dyDescent="0.35">
      <c r="A247" t="str">
        <f t="shared" si="12"/>
        <v>Estrato4al6RestauranteCasualMezcla 10</v>
      </c>
      <c r="B247" t="str">
        <f t="shared" si="13"/>
        <v>Estrato4al6RestauranteCasual</v>
      </c>
      <c r="C247" t="str">
        <f t="shared" si="14"/>
        <v>Estrato4al6RestauranteCasualBulleit Bourbon</v>
      </c>
      <c r="D247" t="str">
        <f t="shared" si="15"/>
        <v>Estrato4al6RestauranteCasualBulleit BourbonMezcla 10</v>
      </c>
      <c r="E247" t="s">
        <v>573</v>
      </c>
      <c r="F247" t="s">
        <v>623</v>
      </c>
      <c r="G247" s="246" t="s">
        <v>656</v>
      </c>
      <c r="H247" t="s">
        <v>398</v>
      </c>
      <c r="I247" t="s">
        <v>612</v>
      </c>
    </row>
    <row r="248" spans="1:44" x14ac:dyDescent="0.35">
      <c r="A248" t="str">
        <f t="shared" si="12"/>
        <v>Estrato4al6RestauranteCasualMezcla 11</v>
      </c>
      <c r="B248" t="str">
        <f t="shared" si="13"/>
        <v>Estrato4al6RestauranteCasual</v>
      </c>
      <c r="C248" t="str">
        <f t="shared" si="14"/>
        <v>Estrato4al6RestauranteCasualBulleit Rye</v>
      </c>
      <c r="D248" t="str">
        <f t="shared" si="15"/>
        <v>Estrato4al6RestauranteCasualBulleit RyeMezcla 11</v>
      </c>
      <c r="E248" t="s">
        <v>573</v>
      </c>
      <c r="F248" t="s">
        <v>623</v>
      </c>
      <c r="G248" s="246" t="s">
        <v>657</v>
      </c>
      <c r="H248" t="s">
        <v>401</v>
      </c>
      <c r="I248" t="s">
        <v>613</v>
      </c>
    </row>
    <row r="249" spans="1:44" x14ac:dyDescent="0.35">
      <c r="A249" t="str">
        <f t="shared" si="12"/>
        <v>Estrato4al6RestauranteCasualMezcla 12</v>
      </c>
      <c r="B249" t="str">
        <f t="shared" si="13"/>
        <v>Estrato4al6RestauranteCasual</v>
      </c>
      <c r="C249" t="str">
        <f t="shared" si="14"/>
        <v>Estrato4al6RestauranteCasualBuchanan's Master</v>
      </c>
      <c r="D249" t="str">
        <f t="shared" si="15"/>
        <v>Estrato4al6RestauranteCasualBuchanan's MasterMezcla 12</v>
      </c>
      <c r="E249" t="s">
        <v>573</v>
      </c>
      <c r="F249" t="s">
        <v>623</v>
      </c>
      <c r="G249" s="246" t="s">
        <v>658</v>
      </c>
      <c r="H249" t="s">
        <v>436</v>
      </c>
      <c r="I249" t="s">
        <v>603</v>
      </c>
      <c r="AR249" s="126"/>
    </row>
    <row r="250" spans="1:44" x14ac:dyDescent="0.35">
      <c r="A250" t="str">
        <f t="shared" si="12"/>
        <v>Estrato4al6RestauranteCasualMezcla 13</v>
      </c>
      <c r="B250" t="str">
        <f t="shared" si="13"/>
        <v>Estrato4al6RestauranteCasual</v>
      </c>
      <c r="C250" t="str">
        <f t="shared" si="14"/>
        <v>Estrato4al6RestauranteCasualJohnnie Walker Black Label</v>
      </c>
      <c r="D250" t="str">
        <f t="shared" si="15"/>
        <v>Estrato4al6RestauranteCasualJohnnie Walker Black LabelMezcla 13</v>
      </c>
      <c r="E250" t="s">
        <v>573</v>
      </c>
      <c r="F250" t="s">
        <v>623</v>
      </c>
      <c r="G250" s="246" t="s">
        <v>659</v>
      </c>
      <c r="H250" t="s">
        <v>454</v>
      </c>
      <c r="I250" t="s">
        <v>604</v>
      </c>
    </row>
    <row r="251" spans="1:44" x14ac:dyDescent="0.35">
      <c r="A251" t="str">
        <f t="shared" si="12"/>
        <v>Estrato4al6RestauranteCasualOn the rocks 1</v>
      </c>
      <c r="B251" t="str">
        <f t="shared" si="13"/>
        <v>Estrato4al6RestauranteCasual</v>
      </c>
      <c r="C251" t="str">
        <f t="shared" si="14"/>
        <v>Estrato4al6RestauranteCasualSingleton 12</v>
      </c>
      <c r="D251" t="str">
        <f t="shared" si="15"/>
        <v>Estrato4al6RestauranteCasualSingleton 12On the rocks 1</v>
      </c>
      <c r="E251" t="s">
        <v>573</v>
      </c>
      <c r="F251" t="s">
        <v>623</v>
      </c>
      <c r="G251" t="s">
        <v>661</v>
      </c>
      <c r="H251" t="s">
        <v>406</v>
      </c>
      <c r="I251" t="s">
        <v>605</v>
      </c>
    </row>
    <row r="252" spans="1:44" x14ac:dyDescent="0.35">
      <c r="A252" t="str">
        <f t="shared" si="12"/>
        <v>Estrato4al6RestauranteCasualOn the rocks 2</v>
      </c>
      <c r="B252" t="str">
        <f t="shared" si="13"/>
        <v>Estrato4al6RestauranteCasual</v>
      </c>
      <c r="C252" t="str">
        <f t="shared" si="14"/>
        <v>Estrato4al6RestauranteCasualSingleton Tailfire</v>
      </c>
      <c r="D252" t="str">
        <f t="shared" si="15"/>
        <v>Estrato4al6RestauranteCasualSingleton TailfireOn the rocks 2</v>
      </c>
      <c r="E252" t="s">
        <v>573</v>
      </c>
      <c r="F252" t="s">
        <v>623</v>
      </c>
      <c r="G252" t="s">
        <v>662</v>
      </c>
      <c r="H252" t="s">
        <v>676</v>
      </c>
      <c r="I252" t="s">
        <v>606</v>
      </c>
    </row>
    <row r="253" spans="1:44" x14ac:dyDescent="0.35">
      <c r="A253" t="str">
        <f t="shared" si="12"/>
        <v>Estrato4al6RestauranteÉliteCoctel 1</v>
      </c>
      <c r="B253" t="str">
        <f t="shared" si="13"/>
        <v>Estrato4al6RestauranteÉlite</v>
      </c>
      <c r="C253" t="str">
        <f t="shared" si="14"/>
        <v>Estrato4al6RestauranteÉliteDon Julio Reposado</v>
      </c>
      <c r="D253" t="str">
        <f t="shared" si="15"/>
        <v>Estrato4al6RestauranteÉliteDon Julio ReposadoCoctel 1</v>
      </c>
      <c r="E253" s="245" t="s">
        <v>573</v>
      </c>
      <c r="F253" s="245" t="s">
        <v>621</v>
      </c>
      <c r="G253" s="246" t="s">
        <v>497</v>
      </c>
      <c r="H253" t="s">
        <v>387</v>
      </c>
      <c r="I253" s="246" t="s">
        <v>582</v>
      </c>
    </row>
    <row r="254" spans="1:44" x14ac:dyDescent="0.35">
      <c r="A254" t="str">
        <f t="shared" si="12"/>
        <v>Estrato4al6RestauranteÉliteCoctel 2</v>
      </c>
      <c r="B254" t="str">
        <f t="shared" si="13"/>
        <v>Estrato4al6RestauranteÉlite</v>
      </c>
      <c r="C254" t="str">
        <f t="shared" si="14"/>
        <v>Estrato4al6RestauranteÉliteTanqueray Ten</v>
      </c>
      <c r="D254" t="str">
        <f t="shared" si="15"/>
        <v>Estrato4al6RestauranteÉliteTanqueray TenCoctel 2</v>
      </c>
      <c r="E254" s="245" t="s">
        <v>573</v>
      </c>
      <c r="F254" s="245" t="s">
        <v>621</v>
      </c>
      <c r="G254" s="246" t="s">
        <v>499</v>
      </c>
      <c r="H254" t="s">
        <v>391</v>
      </c>
      <c r="I254" s="246" t="s">
        <v>583</v>
      </c>
      <c r="AR254" s="126"/>
    </row>
    <row r="255" spans="1:44" x14ac:dyDescent="0.35">
      <c r="A255" t="str">
        <f t="shared" si="12"/>
        <v>Estrato4al6RestauranteÉliteCoctel 3</v>
      </c>
      <c r="B255" t="str">
        <f t="shared" si="13"/>
        <v>Estrato4al6RestauranteÉlite</v>
      </c>
      <c r="C255" t="str">
        <f t="shared" si="14"/>
        <v>Estrato4al6RestauranteÉliteBuchanan's 18</v>
      </c>
      <c r="D255" t="str">
        <f t="shared" si="15"/>
        <v>Estrato4al6RestauranteÉliteBuchanan's 18Coctel 3</v>
      </c>
      <c r="E255" s="245" t="s">
        <v>573</v>
      </c>
      <c r="F255" s="245" t="s">
        <v>621</v>
      </c>
      <c r="G255" s="246" t="s">
        <v>634</v>
      </c>
      <c r="H255" t="s">
        <v>437</v>
      </c>
      <c r="I255" s="246" t="s">
        <v>585</v>
      </c>
    </row>
    <row r="256" spans="1:44" x14ac:dyDescent="0.35">
      <c r="A256" t="str">
        <f t="shared" si="12"/>
        <v>Estrato4al6RestauranteÉliteCoctel 4</v>
      </c>
      <c r="B256" t="str">
        <f t="shared" si="13"/>
        <v>Estrato4al6RestauranteÉlite</v>
      </c>
      <c r="C256" t="str">
        <f t="shared" si="14"/>
        <v>Estrato4al6RestauranteÉliteDon Julio Blanco</v>
      </c>
      <c r="D256" t="str">
        <f t="shared" si="15"/>
        <v>Estrato4al6RestauranteÉliteDon Julio BlancoCoctel 4</v>
      </c>
      <c r="E256" s="245" t="s">
        <v>573</v>
      </c>
      <c r="F256" s="245" t="s">
        <v>621</v>
      </c>
      <c r="G256" s="246" t="s">
        <v>639</v>
      </c>
      <c r="H256" t="s">
        <v>379</v>
      </c>
      <c r="I256" s="246" t="s">
        <v>586</v>
      </c>
    </row>
    <row r="257" spans="1:44" x14ac:dyDescent="0.35">
      <c r="A257" t="str">
        <f t="shared" si="12"/>
        <v>Estrato4al6RestauranteÉliteCoctel 5</v>
      </c>
      <c r="B257" t="str">
        <f t="shared" si="13"/>
        <v>Estrato4al6RestauranteÉlite</v>
      </c>
      <c r="C257" t="str">
        <f t="shared" si="14"/>
        <v>Estrato4al6RestauranteÉliteTanqueray Rangpur</v>
      </c>
      <c r="D257" t="str">
        <f t="shared" si="15"/>
        <v>Estrato4al6RestauranteÉliteTanqueray RangpurCoctel 5</v>
      </c>
      <c r="E257" s="245" t="s">
        <v>573</v>
      </c>
      <c r="F257" s="245" t="s">
        <v>621</v>
      </c>
      <c r="G257" s="246" t="s">
        <v>640</v>
      </c>
      <c r="H257" t="s">
        <v>394</v>
      </c>
      <c r="I257" t="s">
        <v>587</v>
      </c>
      <c r="AR257" s="126"/>
    </row>
    <row r="258" spans="1:44" x14ac:dyDescent="0.35">
      <c r="A258" t="str">
        <f t="shared" si="12"/>
        <v>Estrato4al6RestauranteÉliteCoctel 6</v>
      </c>
      <c r="B258" t="str">
        <f t="shared" si="13"/>
        <v>Estrato4al6RestauranteÉlite</v>
      </c>
      <c r="C258" t="str">
        <f t="shared" si="14"/>
        <v>Estrato4al6RestauranteÉliteTanqueray London Dry</v>
      </c>
      <c r="D258" t="str">
        <f t="shared" si="15"/>
        <v>Estrato4al6RestauranteÉliteTanqueray London DryCoctel 6</v>
      </c>
      <c r="E258" s="245" t="s">
        <v>573</v>
      </c>
      <c r="F258" s="245" t="s">
        <v>621</v>
      </c>
      <c r="G258" s="246" t="s">
        <v>641</v>
      </c>
      <c r="H258" t="s">
        <v>396</v>
      </c>
      <c r="I258" t="s">
        <v>588</v>
      </c>
    </row>
    <row r="259" spans="1:44" x14ac:dyDescent="0.35">
      <c r="A259" t="str">
        <f t="shared" si="12"/>
        <v>Estrato4al6RestauranteÉliteCoctel 7</v>
      </c>
      <c r="B259" t="str">
        <f t="shared" si="13"/>
        <v>Estrato4al6RestauranteÉlite</v>
      </c>
      <c r="C259" t="str">
        <f t="shared" si="14"/>
        <v>Estrato4al6RestauranteÉliteKetel One</v>
      </c>
      <c r="D259" t="str">
        <f t="shared" si="15"/>
        <v>Estrato4al6RestauranteÉliteKetel OneCoctel 7</v>
      </c>
      <c r="E259" s="245" t="s">
        <v>573</v>
      </c>
      <c r="F259" s="245" t="s">
        <v>621</v>
      </c>
      <c r="G259" s="246" t="s">
        <v>642</v>
      </c>
      <c r="H259" t="s">
        <v>403</v>
      </c>
      <c r="I259" t="s">
        <v>589</v>
      </c>
    </row>
    <row r="260" spans="1:44" x14ac:dyDescent="0.35">
      <c r="A260" t="str">
        <f t="shared" ref="A260:A323" si="16">E260&amp;F260&amp;G260</f>
        <v>Estrato4al6RestauranteÉliteCoctel 8</v>
      </c>
      <c r="B260" t="str">
        <f t="shared" ref="B260:B323" si="17">E260&amp;F260</f>
        <v>Estrato4al6RestauranteÉlite</v>
      </c>
      <c r="C260" t="str">
        <f t="shared" ref="C260:C323" si="18">E260&amp;F260&amp;H260</f>
        <v>Estrato4al6RestauranteÉliteSingleton 12</v>
      </c>
      <c r="D260" t="str">
        <f t="shared" ref="D260:D323" si="19">E260&amp;F260&amp;H260&amp;G260</f>
        <v>Estrato4al6RestauranteÉliteSingleton 12Coctel 8</v>
      </c>
      <c r="E260" s="245" t="s">
        <v>573</v>
      </c>
      <c r="F260" s="245" t="s">
        <v>621</v>
      </c>
      <c r="G260" s="246" t="s">
        <v>643</v>
      </c>
      <c r="H260" t="s">
        <v>406</v>
      </c>
      <c r="I260" t="s">
        <v>590</v>
      </c>
    </row>
    <row r="261" spans="1:44" x14ac:dyDescent="0.35">
      <c r="A261" t="str">
        <f t="shared" si="16"/>
        <v>Estrato4al6RestauranteÉliteCoctel 9</v>
      </c>
      <c r="B261" t="str">
        <f t="shared" si="17"/>
        <v>Estrato4al6RestauranteÉlite</v>
      </c>
      <c r="C261" t="str">
        <f t="shared" si="18"/>
        <v>Estrato4al6RestauranteÉliteBuchanan's 12</v>
      </c>
      <c r="D261" t="str">
        <f t="shared" si="19"/>
        <v>Estrato4al6RestauranteÉliteBuchanan's 12Coctel 9</v>
      </c>
      <c r="E261" s="245" t="s">
        <v>573</v>
      </c>
      <c r="F261" s="245" t="s">
        <v>621</v>
      </c>
      <c r="G261" s="246" t="s">
        <v>644</v>
      </c>
      <c r="H261" t="s">
        <v>434</v>
      </c>
      <c r="I261" t="s">
        <v>863</v>
      </c>
      <c r="AR261" s="126"/>
    </row>
    <row r="262" spans="1:44" x14ac:dyDescent="0.35">
      <c r="A262" t="str">
        <f t="shared" si="16"/>
        <v>Estrato4al6RestauranteÉliteCoctel 10</v>
      </c>
      <c r="B262" t="str">
        <f t="shared" si="17"/>
        <v>Estrato4al6RestauranteÉlite</v>
      </c>
      <c r="C262" t="str">
        <f t="shared" si="18"/>
        <v>Estrato4al6RestauranteÉliteJohnnie Walker Black Label</v>
      </c>
      <c r="D262" t="str">
        <f t="shared" si="19"/>
        <v>Estrato4al6RestauranteÉliteJohnnie Walker Black LabelCoctel 10</v>
      </c>
      <c r="E262" s="245" t="s">
        <v>573</v>
      </c>
      <c r="F262" s="245" t="s">
        <v>621</v>
      </c>
      <c r="G262" s="246" t="s">
        <v>645</v>
      </c>
      <c r="H262" t="s">
        <v>454</v>
      </c>
      <c r="I262" t="s">
        <v>591</v>
      </c>
    </row>
    <row r="263" spans="1:44" x14ac:dyDescent="0.35">
      <c r="A263" t="str">
        <f t="shared" si="16"/>
        <v>Estrato4al6RestauranteÉliteCoctel 11</v>
      </c>
      <c r="B263" t="str">
        <f t="shared" si="17"/>
        <v>Estrato4al6RestauranteÉlite</v>
      </c>
      <c r="C263" t="str">
        <f t="shared" si="18"/>
        <v>Estrato4al6RestauranteÉliteHaig Club</v>
      </c>
      <c r="D263" t="str">
        <f t="shared" si="19"/>
        <v>Estrato4al6RestauranteÉliteHaig ClubCoctel 11</v>
      </c>
      <c r="E263" s="245" t="s">
        <v>573</v>
      </c>
      <c r="F263" s="245" t="s">
        <v>621</v>
      </c>
      <c r="G263" s="246" t="s">
        <v>646</v>
      </c>
      <c r="H263" t="s">
        <v>458</v>
      </c>
      <c r="I263" t="s">
        <v>592</v>
      </c>
    </row>
    <row r="264" spans="1:44" x14ac:dyDescent="0.35">
      <c r="A264" t="str">
        <f t="shared" si="16"/>
        <v>Estrato4al6RestauranteÉliteCoctel 12</v>
      </c>
      <c r="B264" t="str">
        <f t="shared" si="17"/>
        <v>Estrato4al6RestauranteÉlite</v>
      </c>
      <c r="C264" t="str">
        <f t="shared" si="18"/>
        <v>Estrato4al6RestauranteÉliteBulleit Bourbon</v>
      </c>
      <c r="D264" t="str">
        <f t="shared" si="19"/>
        <v>Estrato4al6RestauranteÉliteBulleit BourbonCoctel 12</v>
      </c>
      <c r="E264" s="245" t="s">
        <v>573</v>
      </c>
      <c r="F264" s="245" t="s">
        <v>621</v>
      </c>
      <c r="G264" s="246" t="s">
        <v>647</v>
      </c>
      <c r="H264" t="s">
        <v>398</v>
      </c>
      <c r="I264" t="s">
        <v>608</v>
      </c>
    </row>
    <row r="265" spans="1:44" x14ac:dyDescent="0.35">
      <c r="A265" t="str">
        <f t="shared" si="16"/>
        <v>Estrato4al6RestauranteÉliteCoctel 13</v>
      </c>
      <c r="B265" t="str">
        <f t="shared" si="17"/>
        <v>Estrato4al6RestauranteÉlite</v>
      </c>
      <c r="C265" t="str">
        <f t="shared" si="18"/>
        <v>Estrato4al6RestauranteÉliteZacapa 23</v>
      </c>
      <c r="D265" t="str">
        <f t="shared" si="19"/>
        <v>Estrato4al6RestauranteÉliteZacapa 23Coctel 13</v>
      </c>
      <c r="E265" s="245" t="s">
        <v>573</v>
      </c>
      <c r="F265" s="245" t="s">
        <v>621</v>
      </c>
      <c r="G265" s="246" t="s">
        <v>648</v>
      </c>
      <c r="H265" t="s">
        <v>412</v>
      </c>
      <c r="I265" t="s">
        <v>609</v>
      </c>
    </row>
    <row r="266" spans="1:44" x14ac:dyDescent="0.35">
      <c r="A266" t="str">
        <f t="shared" si="16"/>
        <v>Estrato4al6RestauranteÉliteCoctel 14</v>
      </c>
      <c r="B266" t="str">
        <f t="shared" si="17"/>
        <v>Estrato4al6RestauranteÉlite</v>
      </c>
      <c r="C266" t="str">
        <f t="shared" si="18"/>
        <v xml:space="preserve">Estrato4al6RestauranteÉliteZacapa Ámbar </v>
      </c>
      <c r="D266" t="str">
        <f t="shared" si="19"/>
        <v>Estrato4al6RestauranteÉliteZacapa Ámbar Coctel 14</v>
      </c>
      <c r="E266" s="245" t="s">
        <v>573</v>
      </c>
      <c r="F266" s="245" t="s">
        <v>621</v>
      </c>
      <c r="G266" s="246" t="s">
        <v>649</v>
      </c>
      <c r="H266" t="s">
        <v>677</v>
      </c>
      <c r="I266" t="s">
        <v>610</v>
      </c>
      <c r="AR266" s="126"/>
    </row>
    <row r="267" spans="1:44" x14ac:dyDescent="0.35">
      <c r="A267" t="str">
        <f t="shared" si="16"/>
        <v>Estrato4al6RestauranteÉliteCoctel 15</v>
      </c>
      <c r="B267" t="str">
        <f t="shared" si="17"/>
        <v>Estrato4al6RestauranteÉlite</v>
      </c>
      <c r="C267" t="str">
        <f t="shared" si="18"/>
        <v>Estrato4al6RestauranteÉliteSingleton 12</v>
      </c>
      <c r="D267" t="str">
        <f t="shared" si="19"/>
        <v>Estrato4al6RestauranteÉliteSingleton 12Coctel 15</v>
      </c>
      <c r="E267" s="245" t="s">
        <v>573</v>
      </c>
      <c r="F267" s="245" t="s">
        <v>621</v>
      </c>
      <c r="G267" s="246" t="s">
        <v>663</v>
      </c>
      <c r="H267" t="s">
        <v>406</v>
      </c>
      <c r="I267" t="s">
        <v>593</v>
      </c>
    </row>
    <row r="268" spans="1:44" x14ac:dyDescent="0.35">
      <c r="A268" t="str">
        <f t="shared" si="16"/>
        <v>Estrato4al6RestauranteÉliteCoctel 16</v>
      </c>
      <c r="B268" t="str">
        <f t="shared" si="17"/>
        <v>Estrato4al6RestauranteÉlite</v>
      </c>
      <c r="C268" t="str">
        <f t="shared" si="18"/>
        <v>Estrato4al6RestauranteÉliteZacapa 23</v>
      </c>
      <c r="D268" t="str">
        <f t="shared" si="19"/>
        <v>Estrato4al6RestauranteÉliteZacapa 23Coctel 16</v>
      </c>
      <c r="E268" s="245" t="s">
        <v>573</v>
      </c>
      <c r="F268" s="245" t="s">
        <v>621</v>
      </c>
      <c r="G268" s="246" t="s">
        <v>665</v>
      </c>
      <c r="H268" t="s">
        <v>412</v>
      </c>
      <c r="I268" t="s">
        <v>611</v>
      </c>
    </row>
    <row r="269" spans="1:44" x14ac:dyDescent="0.35">
      <c r="A269" t="str">
        <f t="shared" si="16"/>
        <v>Estrato4al6RestauranteÉliteEn las rocas 1</v>
      </c>
      <c r="B269" t="str">
        <f t="shared" si="17"/>
        <v>Estrato4al6RestauranteÉlite</v>
      </c>
      <c r="C269" t="str">
        <f t="shared" si="18"/>
        <v>Estrato4al6RestauranteÉliteBaileys</v>
      </c>
      <c r="D269" t="str">
        <f t="shared" si="19"/>
        <v>Estrato4al6RestauranteÉliteBaileysEn las rocas 1</v>
      </c>
      <c r="E269" s="245" t="s">
        <v>573</v>
      </c>
      <c r="F269" s="245" t="s">
        <v>621</v>
      </c>
      <c r="G269" s="246" t="s">
        <v>638</v>
      </c>
      <c r="H269" t="s">
        <v>261</v>
      </c>
      <c r="I269" s="247" t="s">
        <v>577</v>
      </c>
      <c r="AR269" s="126"/>
    </row>
    <row r="270" spans="1:44" x14ac:dyDescent="0.35">
      <c r="A270" t="str">
        <f t="shared" si="16"/>
        <v>Estrato4al6RestauranteÉliteEn las rocas 2</v>
      </c>
      <c r="B270" t="str">
        <f t="shared" si="17"/>
        <v>Estrato4al6RestauranteÉlite</v>
      </c>
      <c r="C270" t="str">
        <f t="shared" si="18"/>
        <v>Estrato4al6RestauranteÉliteBuchanan's 18</v>
      </c>
      <c r="D270" t="str">
        <f t="shared" si="19"/>
        <v>Estrato4al6RestauranteÉliteBuchanan's 18En las rocas 2</v>
      </c>
      <c r="E270" s="245" t="s">
        <v>573</v>
      </c>
      <c r="F270" s="245" t="s">
        <v>621</v>
      </c>
      <c r="G270" s="246" t="s">
        <v>635</v>
      </c>
      <c r="H270" t="s">
        <v>437</v>
      </c>
      <c r="I270" s="246" t="s">
        <v>515</v>
      </c>
    </row>
    <row r="271" spans="1:44" x14ac:dyDescent="0.35">
      <c r="A271" t="str">
        <f t="shared" si="16"/>
        <v>Estrato4al6RestauranteÉliteEn las rocas 3</v>
      </c>
      <c r="B271" t="str">
        <f t="shared" si="17"/>
        <v>Estrato4al6RestauranteÉlite</v>
      </c>
      <c r="C271" t="str">
        <f t="shared" si="18"/>
        <v>Estrato4al6RestauranteÉliteBuchanan's 12</v>
      </c>
      <c r="D271" t="str">
        <f t="shared" si="19"/>
        <v>Estrato4al6RestauranteÉliteBuchanan's 12En las rocas 3</v>
      </c>
      <c r="E271" s="245" t="s">
        <v>573</v>
      </c>
      <c r="F271" s="245" t="s">
        <v>621</v>
      </c>
      <c r="G271" s="246" t="s">
        <v>650</v>
      </c>
      <c r="H271" t="s">
        <v>434</v>
      </c>
      <c r="I271" t="s">
        <v>507</v>
      </c>
    </row>
    <row r="272" spans="1:44" x14ac:dyDescent="0.35">
      <c r="A272" t="str">
        <f t="shared" si="16"/>
        <v>Estrato4al6RestauranteÉliteEn las rocas 4</v>
      </c>
      <c r="B272" t="str">
        <f t="shared" si="17"/>
        <v>Estrato4al6RestauranteÉlite</v>
      </c>
      <c r="C272" t="str">
        <f t="shared" si="18"/>
        <v>Estrato4al6RestauranteÉliteBuchanan's Master</v>
      </c>
      <c r="D272" t="str">
        <f t="shared" si="19"/>
        <v>Estrato4al6RestauranteÉliteBuchanan's MasterEn las rocas 4</v>
      </c>
      <c r="E272" s="245" t="s">
        <v>573</v>
      </c>
      <c r="F272" s="245" t="s">
        <v>621</v>
      </c>
      <c r="G272" s="246" t="s">
        <v>651</v>
      </c>
      <c r="H272" t="s">
        <v>436</v>
      </c>
      <c r="I272" t="s">
        <v>594</v>
      </c>
    </row>
    <row r="273" spans="1:44" x14ac:dyDescent="0.35">
      <c r="A273" t="str">
        <f t="shared" si="16"/>
        <v>Estrato4al6RestauranteÉliteEn las rocas 5</v>
      </c>
      <c r="B273" t="str">
        <f t="shared" si="17"/>
        <v>Estrato4al6RestauranteÉlite</v>
      </c>
      <c r="C273" t="str">
        <f t="shared" si="18"/>
        <v>Estrato4al6RestauranteÉliteJohnnie Walker Double Black</v>
      </c>
      <c r="D273" t="str">
        <f t="shared" si="19"/>
        <v>Estrato4al6RestauranteÉliteJohnnie Walker Double BlackEn las rocas 5</v>
      </c>
      <c r="E273" s="245" t="s">
        <v>573</v>
      </c>
      <c r="F273" s="245" t="s">
        <v>621</v>
      </c>
      <c r="G273" s="246" t="s">
        <v>664</v>
      </c>
      <c r="H273" t="s">
        <v>675</v>
      </c>
      <c r="I273" t="s">
        <v>595</v>
      </c>
      <c r="N273" t="s">
        <v>562</v>
      </c>
      <c r="O273" t="s">
        <v>568</v>
      </c>
    </row>
    <row r="274" spans="1:44" x14ac:dyDescent="0.35">
      <c r="A274" t="str">
        <f t="shared" si="16"/>
        <v>Estrato4al6RestauranteÉliteEn las rocas 6</v>
      </c>
      <c r="B274" t="str">
        <f t="shared" si="17"/>
        <v>Estrato4al6RestauranteÉlite</v>
      </c>
      <c r="C274" t="str">
        <f t="shared" si="18"/>
        <v>Estrato4al6RestauranteÉliteZacapa 23</v>
      </c>
      <c r="D274" t="str">
        <f t="shared" si="19"/>
        <v>Estrato4al6RestauranteÉliteZacapa 23En las rocas 6</v>
      </c>
      <c r="E274" s="245" t="s">
        <v>573</v>
      </c>
      <c r="F274" s="245" t="s">
        <v>621</v>
      </c>
      <c r="G274" s="246" t="s">
        <v>666</v>
      </c>
      <c r="H274" t="s">
        <v>412</v>
      </c>
      <c r="I274" t="s">
        <v>196</v>
      </c>
      <c r="AR274" s="126"/>
    </row>
    <row r="275" spans="1:44" x14ac:dyDescent="0.35">
      <c r="A275" t="str">
        <f t="shared" si="16"/>
        <v>Estrato4al6RestauranteÉliteMezcla 1</v>
      </c>
      <c r="B275" t="str">
        <f t="shared" si="17"/>
        <v>Estrato4al6RestauranteÉlite</v>
      </c>
      <c r="C275" t="str">
        <f t="shared" si="18"/>
        <v>Estrato4al6RestauranteÉliteGordon's</v>
      </c>
      <c r="D275" t="str">
        <f t="shared" si="19"/>
        <v>Estrato4al6RestauranteÉliteGordon'sMezcla 1</v>
      </c>
      <c r="E275" s="245" t="s">
        <v>573</v>
      </c>
      <c r="F275" s="245" t="s">
        <v>621</v>
      </c>
      <c r="G275" s="246" t="s">
        <v>498</v>
      </c>
      <c r="H275" t="s">
        <v>671</v>
      </c>
      <c r="I275" s="246" t="s">
        <v>572</v>
      </c>
    </row>
    <row r="276" spans="1:44" x14ac:dyDescent="0.35">
      <c r="A276" t="str">
        <f t="shared" si="16"/>
        <v>Estrato4al6RestauranteÉliteMezcla 2</v>
      </c>
      <c r="B276" t="str">
        <f t="shared" si="17"/>
        <v>Estrato4al6RestauranteÉlite</v>
      </c>
      <c r="C276" t="str">
        <f t="shared" si="18"/>
        <v>Estrato4al6RestauranteÉliteBaileys</v>
      </c>
      <c r="D276" t="str">
        <f t="shared" si="19"/>
        <v>Estrato4al6RestauranteÉliteBaileysMezcla 2</v>
      </c>
      <c r="E276" s="245" t="s">
        <v>573</v>
      </c>
      <c r="F276" s="245" t="s">
        <v>621</v>
      </c>
      <c r="G276" s="246" t="s">
        <v>525</v>
      </c>
      <c r="H276" t="s">
        <v>261</v>
      </c>
      <c r="I276" s="246" t="s">
        <v>578</v>
      </c>
      <c r="AR276" s="126"/>
    </row>
    <row r="277" spans="1:44" x14ac:dyDescent="0.35">
      <c r="A277" t="str">
        <f t="shared" si="16"/>
        <v>Estrato4al6RestauranteÉliteMezcla 3</v>
      </c>
      <c r="B277" t="str">
        <f t="shared" si="17"/>
        <v>Estrato4al6RestauranteÉlite</v>
      </c>
      <c r="C277" t="str">
        <f t="shared" si="18"/>
        <v>Estrato4al6RestauranteÉliteTanqueray Ten</v>
      </c>
      <c r="D277" t="str">
        <f t="shared" si="19"/>
        <v>Estrato4al6RestauranteÉliteTanqueray TenMezcla 3</v>
      </c>
      <c r="E277" s="245" t="s">
        <v>573</v>
      </c>
      <c r="F277" s="245" t="s">
        <v>621</v>
      </c>
      <c r="G277" s="246" t="s">
        <v>627</v>
      </c>
      <c r="H277" t="s">
        <v>391</v>
      </c>
      <c r="I277" s="246" t="s">
        <v>584</v>
      </c>
    </row>
    <row r="278" spans="1:44" x14ac:dyDescent="0.35">
      <c r="A278" t="str">
        <f t="shared" si="16"/>
        <v>Estrato4al6RestauranteÉliteMezcla 4</v>
      </c>
      <c r="B278" t="str">
        <f t="shared" si="17"/>
        <v>Estrato4al6RestauranteÉlite</v>
      </c>
      <c r="C278" t="str">
        <f t="shared" si="18"/>
        <v>Estrato4al6RestauranteÉliteTanqueray Rangpur</v>
      </c>
      <c r="D278" t="str">
        <f t="shared" si="19"/>
        <v>Estrato4al6RestauranteÉliteTanqueray RangpurMezcla 4</v>
      </c>
      <c r="E278" s="245" t="s">
        <v>573</v>
      </c>
      <c r="F278" s="245" t="s">
        <v>621</v>
      </c>
      <c r="G278" s="246" t="s">
        <v>628</v>
      </c>
      <c r="H278" t="s">
        <v>394</v>
      </c>
      <c r="I278" t="s">
        <v>596</v>
      </c>
      <c r="AR278" s="126"/>
    </row>
    <row r="279" spans="1:44" x14ac:dyDescent="0.35">
      <c r="A279" t="str">
        <f t="shared" si="16"/>
        <v>Estrato4al6RestauranteÉliteMezcla 5</v>
      </c>
      <c r="B279" t="str">
        <f t="shared" si="17"/>
        <v>Estrato4al6RestauranteÉlite</v>
      </c>
      <c r="C279" t="str">
        <f t="shared" si="18"/>
        <v>Estrato4al6RestauranteÉliteTanqueray London Dry</v>
      </c>
      <c r="D279" t="str">
        <f t="shared" si="19"/>
        <v>Estrato4al6RestauranteÉliteTanqueray London DryMezcla 5</v>
      </c>
      <c r="E279" s="245" t="s">
        <v>573</v>
      </c>
      <c r="F279" s="245" t="s">
        <v>621</v>
      </c>
      <c r="G279" s="246" t="s">
        <v>636</v>
      </c>
      <c r="H279" t="s">
        <v>396</v>
      </c>
      <c r="I279" t="s">
        <v>597</v>
      </c>
    </row>
    <row r="280" spans="1:44" x14ac:dyDescent="0.35">
      <c r="A280" t="str">
        <f t="shared" si="16"/>
        <v>Estrato4al6RestauranteÉliteMezcla 6</v>
      </c>
      <c r="B280" t="str">
        <f t="shared" si="17"/>
        <v>Estrato4al6RestauranteÉlite</v>
      </c>
      <c r="C280" t="str">
        <f t="shared" si="18"/>
        <v>Estrato4al6RestauranteÉliteBuchanan's 12</v>
      </c>
      <c r="D280" t="str">
        <f t="shared" si="19"/>
        <v>Estrato4al6RestauranteÉliteBuchanan's 12Mezcla 6</v>
      </c>
      <c r="E280" s="245" t="s">
        <v>573</v>
      </c>
      <c r="F280" s="245" t="s">
        <v>621</v>
      </c>
      <c r="G280" s="246" t="s">
        <v>652</v>
      </c>
      <c r="H280" t="s">
        <v>434</v>
      </c>
      <c r="I280" t="s">
        <v>598</v>
      </c>
    </row>
    <row r="281" spans="1:44" x14ac:dyDescent="0.35">
      <c r="A281" t="str">
        <f t="shared" si="16"/>
        <v>Estrato4al6RestauranteÉliteMezcla 7</v>
      </c>
      <c r="B281" t="str">
        <f t="shared" si="17"/>
        <v>Estrato4al6RestauranteÉlite</v>
      </c>
      <c r="C281" t="str">
        <f t="shared" si="18"/>
        <v>Estrato4al6RestauranteÉliteGordon's Cucumber</v>
      </c>
      <c r="D281" t="str">
        <f t="shared" si="19"/>
        <v>Estrato4al6RestauranteÉliteGordon's CucumberMezcla 7</v>
      </c>
      <c r="E281" s="245" t="s">
        <v>573</v>
      </c>
      <c r="F281" s="245" t="s">
        <v>621</v>
      </c>
      <c r="G281" s="246" t="s">
        <v>653</v>
      </c>
      <c r="H281" t="s">
        <v>445</v>
      </c>
      <c r="I281" t="s">
        <v>599</v>
      </c>
    </row>
    <row r="282" spans="1:44" x14ac:dyDescent="0.35">
      <c r="A282" t="str">
        <f t="shared" si="16"/>
        <v>Estrato4al6RestauranteÉliteMezcla 8</v>
      </c>
      <c r="B282" t="str">
        <f t="shared" si="17"/>
        <v>Estrato4al6RestauranteÉlite</v>
      </c>
      <c r="C282" t="str">
        <f t="shared" si="18"/>
        <v>Estrato4al6RestauranteÉliteGordon's Pink</v>
      </c>
      <c r="D282" t="str">
        <f t="shared" si="19"/>
        <v>Estrato4al6RestauranteÉliteGordon's PinkMezcla 8</v>
      </c>
      <c r="E282" s="245" t="s">
        <v>573</v>
      </c>
      <c r="F282" s="245" t="s">
        <v>621</v>
      </c>
      <c r="G282" s="246" t="s">
        <v>654</v>
      </c>
      <c r="H282" t="s">
        <v>446</v>
      </c>
      <c r="I282" t="s">
        <v>600</v>
      </c>
    </row>
    <row r="283" spans="1:44" x14ac:dyDescent="0.35">
      <c r="A283" t="str">
        <f t="shared" si="16"/>
        <v>Estrato4al6RestauranteÉliteMezcla 9</v>
      </c>
      <c r="B283" t="str">
        <f t="shared" si="17"/>
        <v>Estrato4al6RestauranteÉlite</v>
      </c>
      <c r="C283" t="str">
        <f t="shared" si="18"/>
        <v>Estrato4al6RestauranteÉliteJohnnie Walker Black Label</v>
      </c>
      <c r="D283" t="str">
        <f t="shared" si="19"/>
        <v>Estrato4al6RestauranteÉliteJohnnie Walker Black LabelMezcla 9</v>
      </c>
      <c r="E283" s="245" t="s">
        <v>573</v>
      </c>
      <c r="F283" s="245" t="s">
        <v>621</v>
      </c>
      <c r="G283" s="246" t="s">
        <v>655</v>
      </c>
      <c r="H283" t="s">
        <v>454</v>
      </c>
      <c r="I283" t="s">
        <v>601</v>
      </c>
      <c r="AR283" s="126"/>
    </row>
    <row r="284" spans="1:44" x14ac:dyDescent="0.35">
      <c r="A284" t="str">
        <f t="shared" si="16"/>
        <v>Estrato4al6RestauranteÉliteMezcla 10</v>
      </c>
      <c r="B284" t="str">
        <f t="shared" si="17"/>
        <v>Estrato4al6RestauranteÉlite</v>
      </c>
      <c r="C284" t="str">
        <f t="shared" si="18"/>
        <v>Estrato4al6RestauranteÉliteHaig Club</v>
      </c>
      <c r="D284" t="str">
        <f t="shared" si="19"/>
        <v>Estrato4al6RestauranteÉliteHaig ClubMezcla 10</v>
      </c>
      <c r="E284" s="245" t="s">
        <v>573</v>
      </c>
      <c r="F284" s="245" t="s">
        <v>621</v>
      </c>
      <c r="G284" s="246" t="s">
        <v>656</v>
      </c>
      <c r="H284" t="s">
        <v>458</v>
      </c>
      <c r="I284" t="s">
        <v>602</v>
      </c>
    </row>
    <row r="285" spans="1:44" x14ac:dyDescent="0.35">
      <c r="A285" t="str">
        <f t="shared" si="16"/>
        <v>Estrato4al6RestauranteÉliteMezcla 11</v>
      </c>
      <c r="B285" t="str">
        <f t="shared" si="17"/>
        <v>Estrato4al6RestauranteÉlite</v>
      </c>
      <c r="C285" t="str">
        <f t="shared" si="18"/>
        <v>Estrato4al6RestauranteÉliteBulleit Bourbon</v>
      </c>
      <c r="D285" t="str">
        <f t="shared" si="19"/>
        <v>Estrato4al6RestauranteÉliteBulleit BourbonMezcla 11</v>
      </c>
      <c r="E285" s="245" t="s">
        <v>573</v>
      </c>
      <c r="F285" s="245" t="s">
        <v>621</v>
      </c>
      <c r="G285" s="246" t="s">
        <v>657</v>
      </c>
      <c r="H285" t="s">
        <v>398</v>
      </c>
      <c r="I285" t="s">
        <v>612</v>
      </c>
      <c r="AR285" s="126"/>
    </row>
    <row r="286" spans="1:44" x14ac:dyDescent="0.35">
      <c r="A286" t="str">
        <f t="shared" si="16"/>
        <v>Estrato4al6RestauranteÉliteMezcla 12</v>
      </c>
      <c r="B286" t="str">
        <f t="shared" si="17"/>
        <v>Estrato4al6RestauranteÉlite</v>
      </c>
      <c r="C286" t="str">
        <f t="shared" si="18"/>
        <v>Estrato4al6RestauranteÉliteBulleit Rye</v>
      </c>
      <c r="D286" t="str">
        <f t="shared" si="19"/>
        <v>Estrato4al6RestauranteÉliteBulleit RyeMezcla 12</v>
      </c>
      <c r="E286" s="245" t="s">
        <v>573</v>
      </c>
      <c r="F286" s="245" t="s">
        <v>621</v>
      </c>
      <c r="G286" s="246" t="s">
        <v>658</v>
      </c>
      <c r="H286" t="s">
        <v>401</v>
      </c>
      <c r="I286" t="s">
        <v>613</v>
      </c>
    </row>
    <row r="287" spans="1:44" x14ac:dyDescent="0.35">
      <c r="A287" t="str">
        <f t="shared" si="16"/>
        <v>Estrato4al6RestauranteÉliteMezcla 13</v>
      </c>
      <c r="B287" t="str">
        <f t="shared" si="17"/>
        <v>Estrato4al6RestauranteÉlite</v>
      </c>
      <c r="C287" t="str">
        <f t="shared" si="18"/>
        <v>Estrato4al6RestauranteÉliteBuchanan's Master</v>
      </c>
      <c r="D287" t="str">
        <f t="shared" si="19"/>
        <v>Estrato4al6RestauranteÉliteBuchanan's MasterMezcla 13</v>
      </c>
      <c r="E287" s="245" t="s">
        <v>573</v>
      </c>
      <c r="F287" s="245" t="s">
        <v>621</v>
      </c>
      <c r="G287" s="246" t="s">
        <v>659</v>
      </c>
      <c r="H287" t="s">
        <v>436</v>
      </c>
      <c r="I287" t="s">
        <v>603</v>
      </c>
      <c r="AR287" s="126"/>
    </row>
    <row r="288" spans="1:44" x14ac:dyDescent="0.35">
      <c r="A288" t="str">
        <f t="shared" si="16"/>
        <v>Estrato4al6RestauranteÉliteMezcla 14</v>
      </c>
      <c r="B288" t="str">
        <f t="shared" si="17"/>
        <v>Estrato4al6RestauranteÉlite</v>
      </c>
      <c r="C288" t="str">
        <f t="shared" si="18"/>
        <v>Estrato4al6RestauranteÉliteJohnnie Walker Black Label</v>
      </c>
      <c r="D288" t="str">
        <f t="shared" si="19"/>
        <v>Estrato4al6RestauranteÉliteJohnnie Walker Black LabelMezcla 14</v>
      </c>
      <c r="E288" s="245" t="s">
        <v>573</v>
      </c>
      <c r="F288" s="245" t="s">
        <v>621</v>
      </c>
      <c r="G288" s="246" t="s">
        <v>660</v>
      </c>
      <c r="H288" t="s">
        <v>454</v>
      </c>
      <c r="I288" t="s">
        <v>604</v>
      </c>
    </row>
    <row r="289" spans="1:44" x14ac:dyDescent="0.35">
      <c r="A289" t="str">
        <f t="shared" si="16"/>
        <v>Estrato4al6RestauranteÉliteOn the rocks 1</v>
      </c>
      <c r="B289" t="str">
        <f t="shared" si="17"/>
        <v>Estrato4al6RestauranteÉlite</v>
      </c>
      <c r="C289" t="str">
        <f t="shared" si="18"/>
        <v>Estrato4al6RestauranteÉliteSingleton 12</v>
      </c>
      <c r="D289" t="str">
        <f t="shared" si="19"/>
        <v>Estrato4al6RestauranteÉliteSingleton 12On the rocks 1</v>
      </c>
      <c r="E289" s="245" t="s">
        <v>573</v>
      </c>
      <c r="F289" s="245" t="s">
        <v>621</v>
      </c>
      <c r="G289" t="s">
        <v>661</v>
      </c>
      <c r="H289" t="s">
        <v>406</v>
      </c>
      <c r="I289" t="s">
        <v>605</v>
      </c>
      <c r="AR289" s="126"/>
    </row>
    <row r="290" spans="1:44" x14ac:dyDescent="0.35">
      <c r="A290" t="str">
        <f t="shared" si="16"/>
        <v>Estrato4al6RestauranteÉliteOn the rocks 2</v>
      </c>
      <c r="B290" t="str">
        <f t="shared" si="17"/>
        <v>Estrato4al6RestauranteÉlite</v>
      </c>
      <c r="C290" t="str">
        <f t="shared" si="18"/>
        <v>Estrato4al6RestauranteÉliteSingleton Tailfire</v>
      </c>
      <c r="D290" t="str">
        <f t="shared" si="19"/>
        <v>Estrato4al6RestauranteÉliteSingleton TailfireOn the rocks 2</v>
      </c>
      <c r="E290" s="245" t="s">
        <v>573</v>
      </c>
      <c r="F290" s="245" t="s">
        <v>621</v>
      </c>
      <c r="G290" t="s">
        <v>662</v>
      </c>
      <c r="H290" t="s">
        <v>676</v>
      </c>
      <c r="I290" t="s">
        <v>606</v>
      </c>
    </row>
    <row r="291" spans="1:44" x14ac:dyDescent="0.35">
      <c r="A291" t="str">
        <f t="shared" si="16"/>
        <v>Estrato4al6RestauranteFormalCoctel 1</v>
      </c>
      <c r="B291" t="str">
        <f t="shared" si="17"/>
        <v>Estrato4al6RestauranteFormal</v>
      </c>
      <c r="C291" t="str">
        <f t="shared" si="18"/>
        <v>Estrato4al6RestauranteFormalDon Julio Reposado</v>
      </c>
      <c r="D291" t="str">
        <f t="shared" si="19"/>
        <v>Estrato4al6RestauranteFormalDon Julio ReposadoCoctel 1</v>
      </c>
      <c r="E291" s="245" t="s">
        <v>573</v>
      </c>
      <c r="F291" s="245" t="s">
        <v>622</v>
      </c>
      <c r="G291" s="246" t="s">
        <v>497</v>
      </c>
      <c r="H291" t="s">
        <v>387</v>
      </c>
      <c r="I291" s="246" t="s">
        <v>582</v>
      </c>
    </row>
    <row r="292" spans="1:44" x14ac:dyDescent="0.35">
      <c r="A292" t="str">
        <f t="shared" si="16"/>
        <v>Estrato4al6RestauranteFormalCoctel 2</v>
      </c>
      <c r="B292" t="str">
        <f t="shared" si="17"/>
        <v>Estrato4al6RestauranteFormal</v>
      </c>
      <c r="C292" t="str">
        <f t="shared" si="18"/>
        <v>Estrato4al6RestauranteFormalTanqueray Ten</v>
      </c>
      <c r="D292" t="str">
        <f t="shared" si="19"/>
        <v>Estrato4al6RestauranteFormalTanqueray TenCoctel 2</v>
      </c>
      <c r="E292" s="245" t="s">
        <v>573</v>
      </c>
      <c r="F292" s="245" t="s">
        <v>622</v>
      </c>
      <c r="G292" s="246" t="s">
        <v>499</v>
      </c>
      <c r="H292" t="s">
        <v>391</v>
      </c>
      <c r="I292" s="246" t="s">
        <v>583</v>
      </c>
    </row>
    <row r="293" spans="1:44" x14ac:dyDescent="0.35">
      <c r="A293" t="str">
        <f t="shared" si="16"/>
        <v>Estrato4al6RestauranteFormalCoctel 3</v>
      </c>
      <c r="B293" t="str">
        <f t="shared" si="17"/>
        <v>Estrato4al6RestauranteFormal</v>
      </c>
      <c r="C293" t="str">
        <f t="shared" si="18"/>
        <v>Estrato4al6RestauranteFormalBuchanan's 18</v>
      </c>
      <c r="D293" t="str">
        <f t="shared" si="19"/>
        <v>Estrato4al6RestauranteFormalBuchanan's 18Coctel 3</v>
      </c>
      <c r="E293" s="245" t="s">
        <v>573</v>
      </c>
      <c r="F293" s="245" t="s">
        <v>622</v>
      </c>
      <c r="G293" s="246" t="s">
        <v>634</v>
      </c>
      <c r="H293" t="s">
        <v>437</v>
      </c>
      <c r="I293" s="246" t="s">
        <v>585</v>
      </c>
      <c r="AR293" s="126"/>
    </row>
    <row r="294" spans="1:44" x14ac:dyDescent="0.35">
      <c r="A294" t="str">
        <f t="shared" si="16"/>
        <v>Estrato4al6RestauranteFormalCoctel 4</v>
      </c>
      <c r="B294" t="str">
        <f t="shared" si="17"/>
        <v>Estrato4al6RestauranteFormal</v>
      </c>
      <c r="C294" t="str">
        <f t="shared" si="18"/>
        <v>Estrato4al6RestauranteFormalDon Julio Blanco</v>
      </c>
      <c r="D294" t="str">
        <f t="shared" si="19"/>
        <v>Estrato4al6RestauranteFormalDon Julio BlancoCoctel 4</v>
      </c>
      <c r="E294" s="245" t="s">
        <v>573</v>
      </c>
      <c r="F294" s="245" t="s">
        <v>622</v>
      </c>
      <c r="G294" s="246" t="s">
        <v>639</v>
      </c>
      <c r="H294" t="s">
        <v>379</v>
      </c>
      <c r="I294" s="246" t="s">
        <v>586</v>
      </c>
    </row>
    <row r="295" spans="1:44" x14ac:dyDescent="0.35">
      <c r="A295" t="str">
        <f t="shared" si="16"/>
        <v>Estrato4al6RestauranteFormalCoctel 5</v>
      </c>
      <c r="B295" t="str">
        <f t="shared" si="17"/>
        <v>Estrato4al6RestauranteFormal</v>
      </c>
      <c r="C295" t="str">
        <f t="shared" si="18"/>
        <v>Estrato4al6RestauranteFormalTanqueray Rangpur</v>
      </c>
      <c r="D295" t="str">
        <f t="shared" si="19"/>
        <v>Estrato4al6RestauranteFormalTanqueray RangpurCoctel 5</v>
      </c>
      <c r="E295" s="245" t="s">
        <v>573</v>
      </c>
      <c r="F295" s="245" t="s">
        <v>622</v>
      </c>
      <c r="G295" s="246" t="s">
        <v>640</v>
      </c>
      <c r="H295" t="s">
        <v>394</v>
      </c>
      <c r="I295" t="s">
        <v>587</v>
      </c>
    </row>
    <row r="296" spans="1:44" x14ac:dyDescent="0.35">
      <c r="A296" t="str">
        <f t="shared" si="16"/>
        <v>Estrato4al6RestauranteFormalCoctel 6</v>
      </c>
      <c r="B296" t="str">
        <f t="shared" si="17"/>
        <v>Estrato4al6RestauranteFormal</v>
      </c>
      <c r="C296" t="str">
        <f t="shared" si="18"/>
        <v>Estrato4al6RestauranteFormalTanqueray London Dry</v>
      </c>
      <c r="D296" t="str">
        <f t="shared" si="19"/>
        <v>Estrato4al6RestauranteFormalTanqueray London DryCoctel 6</v>
      </c>
      <c r="E296" s="245" t="s">
        <v>573</v>
      </c>
      <c r="F296" s="245" t="s">
        <v>622</v>
      </c>
      <c r="G296" s="246" t="s">
        <v>641</v>
      </c>
      <c r="H296" t="s">
        <v>396</v>
      </c>
      <c r="I296" t="s">
        <v>588</v>
      </c>
    </row>
    <row r="297" spans="1:44" x14ac:dyDescent="0.35">
      <c r="A297" t="str">
        <f t="shared" si="16"/>
        <v>Estrato4al6RestauranteFormalCoctel 7</v>
      </c>
      <c r="B297" t="str">
        <f t="shared" si="17"/>
        <v>Estrato4al6RestauranteFormal</v>
      </c>
      <c r="C297" t="str">
        <f t="shared" si="18"/>
        <v>Estrato4al6RestauranteFormalKetel One</v>
      </c>
      <c r="D297" t="str">
        <f t="shared" si="19"/>
        <v>Estrato4al6RestauranteFormalKetel OneCoctel 7</v>
      </c>
      <c r="E297" s="245" t="s">
        <v>573</v>
      </c>
      <c r="F297" s="245" t="s">
        <v>622</v>
      </c>
      <c r="G297" s="246" t="s">
        <v>642</v>
      </c>
      <c r="H297" t="s">
        <v>403</v>
      </c>
      <c r="I297" t="s">
        <v>589</v>
      </c>
    </row>
    <row r="298" spans="1:44" x14ac:dyDescent="0.35">
      <c r="A298" t="str">
        <f t="shared" si="16"/>
        <v>Estrato4al6RestauranteFormalCoctel 8</v>
      </c>
      <c r="B298" t="str">
        <f t="shared" si="17"/>
        <v>Estrato4al6RestauranteFormal</v>
      </c>
      <c r="C298" t="str">
        <f t="shared" si="18"/>
        <v>Estrato4al6RestauranteFormalSingleton 12</v>
      </c>
      <c r="D298" t="str">
        <f t="shared" si="19"/>
        <v>Estrato4al6RestauranteFormalSingleton 12Coctel 8</v>
      </c>
      <c r="E298" s="245" t="s">
        <v>573</v>
      </c>
      <c r="F298" s="245" t="s">
        <v>622</v>
      </c>
      <c r="G298" s="246" t="s">
        <v>643</v>
      </c>
      <c r="H298" t="s">
        <v>406</v>
      </c>
      <c r="I298" t="s">
        <v>590</v>
      </c>
      <c r="AR298" s="126"/>
    </row>
    <row r="299" spans="1:44" x14ac:dyDescent="0.35">
      <c r="A299" t="str">
        <f t="shared" si="16"/>
        <v>Estrato4al6RestauranteFormalCoctel 9</v>
      </c>
      <c r="B299" t="str">
        <f t="shared" si="17"/>
        <v>Estrato4al6RestauranteFormal</v>
      </c>
      <c r="C299" t="str">
        <f t="shared" si="18"/>
        <v>Estrato4al6RestauranteFormalBuchanan's 12</v>
      </c>
      <c r="D299" t="str">
        <f t="shared" si="19"/>
        <v>Estrato4al6RestauranteFormalBuchanan's 12Coctel 9</v>
      </c>
      <c r="E299" s="245" t="s">
        <v>573</v>
      </c>
      <c r="F299" s="245" t="s">
        <v>622</v>
      </c>
      <c r="G299" s="246" t="s">
        <v>644</v>
      </c>
      <c r="H299" t="s">
        <v>434</v>
      </c>
      <c r="I299" t="s">
        <v>863</v>
      </c>
    </row>
    <row r="300" spans="1:44" x14ac:dyDescent="0.35">
      <c r="A300" t="str">
        <f t="shared" si="16"/>
        <v>Estrato4al6RestauranteFormalCoctel 10</v>
      </c>
      <c r="B300" t="str">
        <f t="shared" si="17"/>
        <v>Estrato4al6RestauranteFormal</v>
      </c>
      <c r="C300" t="str">
        <f t="shared" si="18"/>
        <v>Estrato4al6RestauranteFormalJohnnie Walker Black Label</v>
      </c>
      <c r="D300" t="str">
        <f t="shared" si="19"/>
        <v>Estrato4al6RestauranteFormalJohnnie Walker Black LabelCoctel 10</v>
      </c>
      <c r="E300" s="245" t="s">
        <v>573</v>
      </c>
      <c r="F300" s="245" t="s">
        <v>622</v>
      </c>
      <c r="G300" s="246" t="s">
        <v>645</v>
      </c>
      <c r="H300" t="s">
        <v>454</v>
      </c>
      <c r="I300" t="s">
        <v>591</v>
      </c>
    </row>
    <row r="301" spans="1:44" x14ac:dyDescent="0.35">
      <c r="A301" t="str">
        <f t="shared" si="16"/>
        <v>Estrato4al6RestauranteFormalCoctel 11</v>
      </c>
      <c r="B301" t="str">
        <f t="shared" si="17"/>
        <v>Estrato4al6RestauranteFormal</v>
      </c>
      <c r="C301" t="str">
        <f t="shared" si="18"/>
        <v>Estrato4al6RestauranteFormalHaig Club</v>
      </c>
      <c r="D301" t="str">
        <f t="shared" si="19"/>
        <v>Estrato4al6RestauranteFormalHaig ClubCoctel 11</v>
      </c>
      <c r="E301" s="245" t="s">
        <v>573</v>
      </c>
      <c r="F301" s="245" t="s">
        <v>622</v>
      </c>
      <c r="G301" s="246" t="s">
        <v>646</v>
      </c>
      <c r="H301" t="s">
        <v>458</v>
      </c>
      <c r="I301" t="s">
        <v>592</v>
      </c>
    </row>
    <row r="302" spans="1:44" x14ac:dyDescent="0.35">
      <c r="A302" t="str">
        <f t="shared" si="16"/>
        <v>Estrato4al6RestauranteFormalCoctel 12</v>
      </c>
      <c r="B302" t="str">
        <f t="shared" si="17"/>
        <v>Estrato4al6RestauranteFormal</v>
      </c>
      <c r="C302" t="str">
        <f t="shared" si="18"/>
        <v>Estrato4al6RestauranteFormalBulleit Bourbon</v>
      </c>
      <c r="D302" t="str">
        <f t="shared" si="19"/>
        <v>Estrato4al6RestauranteFormalBulleit BourbonCoctel 12</v>
      </c>
      <c r="E302" s="245" t="s">
        <v>573</v>
      </c>
      <c r="F302" s="245" t="s">
        <v>622</v>
      </c>
      <c r="G302" s="246" t="s">
        <v>647</v>
      </c>
      <c r="H302" t="s">
        <v>398</v>
      </c>
      <c r="I302" t="s">
        <v>608</v>
      </c>
    </row>
    <row r="303" spans="1:44" x14ac:dyDescent="0.35">
      <c r="A303" t="str">
        <f t="shared" si="16"/>
        <v>Estrato4al6RestauranteFormalCoctel 13</v>
      </c>
      <c r="B303" t="str">
        <f t="shared" si="17"/>
        <v>Estrato4al6RestauranteFormal</v>
      </c>
      <c r="C303" t="str">
        <f t="shared" si="18"/>
        <v>Estrato4al6RestauranteFormalZacapa 23</v>
      </c>
      <c r="D303" t="str">
        <f t="shared" si="19"/>
        <v>Estrato4al6RestauranteFormalZacapa 23Coctel 13</v>
      </c>
      <c r="E303" s="245" t="s">
        <v>573</v>
      </c>
      <c r="F303" s="245" t="s">
        <v>622</v>
      </c>
      <c r="G303" s="246" t="s">
        <v>648</v>
      </c>
      <c r="H303" t="s">
        <v>412</v>
      </c>
      <c r="I303" t="s">
        <v>609</v>
      </c>
      <c r="AR303" s="126"/>
    </row>
    <row r="304" spans="1:44" x14ac:dyDescent="0.35">
      <c r="A304" t="str">
        <f t="shared" si="16"/>
        <v>Estrato4al6RestauranteFormalCoctel 14</v>
      </c>
      <c r="B304" t="str">
        <f t="shared" si="17"/>
        <v>Estrato4al6RestauranteFormal</v>
      </c>
      <c r="C304" t="str">
        <f t="shared" si="18"/>
        <v xml:space="preserve">Estrato4al6RestauranteFormalZacapa Ámbar </v>
      </c>
      <c r="D304" t="str">
        <f t="shared" si="19"/>
        <v>Estrato4al6RestauranteFormalZacapa Ámbar Coctel 14</v>
      </c>
      <c r="E304" s="245" t="s">
        <v>573</v>
      </c>
      <c r="F304" s="245" t="s">
        <v>622</v>
      </c>
      <c r="G304" s="246" t="s">
        <v>649</v>
      </c>
      <c r="H304" t="s">
        <v>677</v>
      </c>
      <c r="I304" t="s">
        <v>610</v>
      </c>
    </row>
    <row r="305" spans="1:44" x14ac:dyDescent="0.35">
      <c r="A305" t="str">
        <f t="shared" si="16"/>
        <v>Estrato4al6RestauranteFormalCoctel 15</v>
      </c>
      <c r="B305" t="str">
        <f t="shared" si="17"/>
        <v>Estrato4al6RestauranteFormal</v>
      </c>
      <c r="C305" t="str">
        <f t="shared" si="18"/>
        <v>Estrato4al6RestauranteFormalSingleton 12</v>
      </c>
      <c r="D305" t="str">
        <f t="shared" si="19"/>
        <v>Estrato4al6RestauranteFormalSingleton 12Coctel 15</v>
      </c>
      <c r="E305" s="245" t="s">
        <v>573</v>
      </c>
      <c r="F305" s="245" t="s">
        <v>622</v>
      </c>
      <c r="G305" s="246" t="s">
        <v>663</v>
      </c>
      <c r="H305" t="s">
        <v>406</v>
      </c>
      <c r="I305" t="s">
        <v>593</v>
      </c>
      <c r="AR305" s="126"/>
    </row>
    <row r="306" spans="1:44" x14ac:dyDescent="0.35">
      <c r="A306" t="str">
        <f t="shared" si="16"/>
        <v>Estrato4al6RestauranteFormalCoctel 16</v>
      </c>
      <c r="B306" t="str">
        <f t="shared" si="17"/>
        <v>Estrato4al6RestauranteFormal</v>
      </c>
      <c r="C306" t="str">
        <f t="shared" si="18"/>
        <v>Estrato4al6RestauranteFormalZacapa 23</v>
      </c>
      <c r="D306" t="str">
        <f t="shared" si="19"/>
        <v>Estrato4al6RestauranteFormalZacapa 23Coctel 16</v>
      </c>
      <c r="E306" s="245" t="s">
        <v>573</v>
      </c>
      <c r="F306" s="245" t="s">
        <v>622</v>
      </c>
      <c r="G306" s="246" t="s">
        <v>665</v>
      </c>
      <c r="H306" t="s">
        <v>412</v>
      </c>
      <c r="I306" t="s">
        <v>611</v>
      </c>
    </row>
    <row r="307" spans="1:44" x14ac:dyDescent="0.35">
      <c r="A307" t="str">
        <f t="shared" si="16"/>
        <v>Estrato4al6RestauranteFormalEn las rocas 1</v>
      </c>
      <c r="B307" t="str">
        <f t="shared" si="17"/>
        <v>Estrato4al6RestauranteFormal</v>
      </c>
      <c r="C307" t="str">
        <f t="shared" si="18"/>
        <v>Estrato4al6RestauranteFormalBaileys</v>
      </c>
      <c r="D307" t="str">
        <f t="shared" si="19"/>
        <v>Estrato4al6RestauranteFormalBaileysEn las rocas 1</v>
      </c>
      <c r="E307" s="245" t="s">
        <v>573</v>
      </c>
      <c r="F307" s="245" t="s">
        <v>622</v>
      </c>
      <c r="G307" s="246" t="s">
        <v>638</v>
      </c>
      <c r="H307" t="s">
        <v>261</v>
      </c>
      <c r="I307" s="247" t="s">
        <v>577</v>
      </c>
      <c r="AR307" s="126"/>
    </row>
    <row r="308" spans="1:44" x14ac:dyDescent="0.35">
      <c r="A308" t="str">
        <f t="shared" si="16"/>
        <v>Estrato4al6RestauranteFormalEn las rocas 2</v>
      </c>
      <c r="B308" t="str">
        <f t="shared" si="17"/>
        <v>Estrato4al6RestauranteFormal</v>
      </c>
      <c r="C308" t="str">
        <f t="shared" si="18"/>
        <v>Estrato4al6RestauranteFormalBuchanan's 18</v>
      </c>
      <c r="D308" t="str">
        <f t="shared" si="19"/>
        <v>Estrato4al6RestauranteFormalBuchanan's 18En las rocas 2</v>
      </c>
      <c r="E308" s="245" t="s">
        <v>573</v>
      </c>
      <c r="F308" s="245" t="s">
        <v>622</v>
      </c>
      <c r="G308" s="246" t="s">
        <v>635</v>
      </c>
      <c r="H308" t="s">
        <v>437</v>
      </c>
      <c r="I308" s="246" t="s">
        <v>515</v>
      </c>
    </row>
    <row r="309" spans="1:44" x14ac:dyDescent="0.35">
      <c r="A309" t="str">
        <f t="shared" si="16"/>
        <v>Estrato4al6RestauranteFormalEn las rocas 3</v>
      </c>
      <c r="B309" t="str">
        <f t="shared" si="17"/>
        <v>Estrato4al6RestauranteFormal</v>
      </c>
      <c r="C309" t="str">
        <f t="shared" si="18"/>
        <v>Estrato4al6RestauranteFormalBuchanan's 12</v>
      </c>
      <c r="D309" t="str">
        <f t="shared" si="19"/>
        <v>Estrato4al6RestauranteFormalBuchanan's 12En las rocas 3</v>
      </c>
      <c r="E309" s="245" t="s">
        <v>573</v>
      </c>
      <c r="F309" s="245" t="s">
        <v>622</v>
      </c>
      <c r="G309" s="246" t="s">
        <v>650</v>
      </c>
      <c r="H309" t="s">
        <v>434</v>
      </c>
      <c r="I309" t="s">
        <v>507</v>
      </c>
    </row>
    <row r="310" spans="1:44" x14ac:dyDescent="0.35">
      <c r="A310" t="str">
        <f t="shared" si="16"/>
        <v>Estrato4al6RestauranteFormalEn las rocas 4</v>
      </c>
      <c r="B310" t="str">
        <f t="shared" si="17"/>
        <v>Estrato4al6RestauranteFormal</v>
      </c>
      <c r="C310" t="str">
        <f t="shared" si="18"/>
        <v>Estrato4al6RestauranteFormalBuchanan's Master</v>
      </c>
      <c r="D310" t="str">
        <f t="shared" si="19"/>
        <v>Estrato4al6RestauranteFormalBuchanan's MasterEn las rocas 4</v>
      </c>
      <c r="E310" s="245" t="s">
        <v>573</v>
      </c>
      <c r="F310" s="245" t="s">
        <v>622</v>
      </c>
      <c r="G310" s="246" t="s">
        <v>651</v>
      </c>
      <c r="H310" t="s">
        <v>436</v>
      </c>
      <c r="I310" t="s">
        <v>594</v>
      </c>
      <c r="AR310" s="126"/>
    </row>
    <row r="311" spans="1:44" x14ac:dyDescent="0.35">
      <c r="A311" t="str">
        <f t="shared" si="16"/>
        <v>Estrato4al6RestauranteFormalEn las rocas 5</v>
      </c>
      <c r="B311" t="str">
        <f t="shared" si="17"/>
        <v>Estrato4al6RestauranteFormal</v>
      </c>
      <c r="C311" t="str">
        <f t="shared" si="18"/>
        <v>Estrato4al6RestauranteFormalJohnnie Walker Double Black</v>
      </c>
      <c r="D311" t="str">
        <f t="shared" si="19"/>
        <v>Estrato4al6RestauranteFormalJohnnie Walker Double BlackEn las rocas 5</v>
      </c>
      <c r="E311" s="245" t="s">
        <v>573</v>
      </c>
      <c r="F311" s="245" t="s">
        <v>622</v>
      </c>
      <c r="G311" s="246" t="s">
        <v>664</v>
      </c>
      <c r="H311" t="s">
        <v>675</v>
      </c>
      <c r="I311" t="s">
        <v>595</v>
      </c>
    </row>
    <row r="312" spans="1:44" x14ac:dyDescent="0.35">
      <c r="A312" t="str">
        <f t="shared" si="16"/>
        <v>Estrato4al6RestauranteFormalEn las rocas 6</v>
      </c>
      <c r="B312" t="str">
        <f t="shared" si="17"/>
        <v>Estrato4al6RestauranteFormal</v>
      </c>
      <c r="C312" t="str">
        <f t="shared" si="18"/>
        <v>Estrato4al6RestauranteFormalZacapa 23</v>
      </c>
      <c r="D312" t="str">
        <f t="shared" si="19"/>
        <v>Estrato4al6RestauranteFormalZacapa 23En las rocas 6</v>
      </c>
      <c r="E312" s="245" t="s">
        <v>573</v>
      </c>
      <c r="F312" s="245" t="s">
        <v>622</v>
      </c>
      <c r="G312" s="246" t="s">
        <v>666</v>
      </c>
      <c r="H312" t="s">
        <v>412</v>
      </c>
      <c r="I312" t="s">
        <v>196</v>
      </c>
    </row>
    <row r="313" spans="1:44" x14ac:dyDescent="0.35">
      <c r="A313" t="str">
        <f t="shared" si="16"/>
        <v>Estrato4al6RestauranteFormalMezcla 1</v>
      </c>
      <c r="B313" t="str">
        <f t="shared" si="17"/>
        <v>Estrato4al6RestauranteFormal</v>
      </c>
      <c r="C313" t="str">
        <f t="shared" si="18"/>
        <v>Estrato4al6RestauranteFormalGordon's</v>
      </c>
      <c r="D313" t="str">
        <f t="shared" si="19"/>
        <v>Estrato4al6RestauranteFormalGordon'sMezcla 1</v>
      </c>
      <c r="E313" s="245" t="s">
        <v>573</v>
      </c>
      <c r="F313" s="245" t="s">
        <v>622</v>
      </c>
      <c r="G313" s="246" t="s">
        <v>498</v>
      </c>
      <c r="H313" t="s">
        <v>671</v>
      </c>
      <c r="I313" s="246" t="s">
        <v>572</v>
      </c>
      <c r="AR313" s="126"/>
    </row>
    <row r="314" spans="1:44" x14ac:dyDescent="0.35">
      <c r="A314" t="str">
        <f t="shared" si="16"/>
        <v>Estrato4al6RestauranteFormalMezcla 2</v>
      </c>
      <c r="B314" t="str">
        <f t="shared" si="17"/>
        <v>Estrato4al6RestauranteFormal</v>
      </c>
      <c r="C314" t="str">
        <f t="shared" si="18"/>
        <v>Estrato4al6RestauranteFormalBaileys</v>
      </c>
      <c r="D314" t="str">
        <f t="shared" si="19"/>
        <v>Estrato4al6RestauranteFormalBaileysMezcla 2</v>
      </c>
      <c r="E314" s="245" t="s">
        <v>573</v>
      </c>
      <c r="F314" s="245" t="s">
        <v>622</v>
      </c>
      <c r="G314" s="246" t="s">
        <v>525</v>
      </c>
      <c r="H314" t="s">
        <v>261</v>
      </c>
      <c r="I314" s="246" t="s">
        <v>578</v>
      </c>
    </row>
    <row r="315" spans="1:44" x14ac:dyDescent="0.35">
      <c r="A315" t="str">
        <f t="shared" si="16"/>
        <v>Estrato4al6RestauranteFormalMezcla 3</v>
      </c>
      <c r="B315" t="str">
        <f t="shared" si="17"/>
        <v>Estrato4al6RestauranteFormal</v>
      </c>
      <c r="C315" t="str">
        <f t="shared" si="18"/>
        <v>Estrato4al6RestauranteFormalTanqueray Ten</v>
      </c>
      <c r="D315" t="str">
        <f t="shared" si="19"/>
        <v>Estrato4al6RestauranteFormalTanqueray TenMezcla 3</v>
      </c>
      <c r="E315" s="245" t="s">
        <v>573</v>
      </c>
      <c r="F315" s="245" t="s">
        <v>622</v>
      </c>
      <c r="G315" s="246" t="s">
        <v>627</v>
      </c>
      <c r="H315" t="s">
        <v>391</v>
      </c>
      <c r="I315" s="246" t="s">
        <v>584</v>
      </c>
    </row>
    <row r="316" spans="1:44" x14ac:dyDescent="0.35">
      <c r="A316" t="str">
        <f t="shared" si="16"/>
        <v>Estrato4al6RestauranteFormalMezcla 4</v>
      </c>
      <c r="B316" t="str">
        <f t="shared" si="17"/>
        <v>Estrato4al6RestauranteFormal</v>
      </c>
      <c r="C316" t="str">
        <f t="shared" si="18"/>
        <v>Estrato4al6RestauranteFormalTanqueray Rangpur</v>
      </c>
      <c r="D316" t="str">
        <f t="shared" si="19"/>
        <v>Estrato4al6RestauranteFormalTanqueray RangpurMezcla 4</v>
      </c>
      <c r="E316" s="245" t="s">
        <v>573</v>
      </c>
      <c r="F316" s="245" t="s">
        <v>622</v>
      </c>
      <c r="G316" s="246" t="s">
        <v>628</v>
      </c>
      <c r="H316" t="s">
        <v>394</v>
      </c>
      <c r="I316" t="s">
        <v>596</v>
      </c>
    </row>
    <row r="317" spans="1:44" x14ac:dyDescent="0.35">
      <c r="A317" t="str">
        <f t="shared" si="16"/>
        <v>Estrato4al6RestauranteFormalMezcla 5</v>
      </c>
      <c r="B317" t="str">
        <f t="shared" si="17"/>
        <v>Estrato4al6RestauranteFormal</v>
      </c>
      <c r="C317" t="str">
        <f t="shared" si="18"/>
        <v>Estrato4al6RestauranteFormalTanqueray London Dry</v>
      </c>
      <c r="D317" t="str">
        <f t="shared" si="19"/>
        <v>Estrato4al6RestauranteFormalTanqueray London DryMezcla 5</v>
      </c>
      <c r="E317" s="245" t="s">
        <v>573</v>
      </c>
      <c r="F317" s="245" t="s">
        <v>622</v>
      </c>
      <c r="G317" s="246" t="s">
        <v>636</v>
      </c>
      <c r="H317" t="s">
        <v>396</v>
      </c>
      <c r="I317" t="s">
        <v>597</v>
      </c>
      <c r="AR317" s="126"/>
    </row>
    <row r="318" spans="1:44" x14ac:dyDescent="0.35">
      <c r="A318" t="str">
        <f t="shared" si="16"/>
        <v>Estrato4al6RestauranteFormalMezcla 6</v>
      </c>
      <c r="B318" t="str">
        <f t="shared" si="17"/>
        <v>Estrato4al6RestauranteFormal</v>
      </c>
      <c r="C318" t="str">
        <f t="shared" si="18"/>
        <v>Estrato4al6RestauranteFormalBuchanan's 12</v>
      </c>
      <c r="D318" t="str">
        <f t="shared" si="19"/>
        <v>Estrato4al6RestauranteFormalBuchanan's 12Mezcla 6</v>
      </c>
      <c r="E318" s="245" t="s">
        <v>573</v>
      </c>
      <c r="F318" s="245" t="s">
        <v>622</v>
      </c>
      <c r="G318" s="246" t="s">
        <v>652</v>
      </c>
      <c r="H318" t="s">
        <v>434</v>
      </c>
      <c r="I318" t="s">
        <v>598</v>
      </c>
    </row>
    <row r="319" spans="1:44" x14ac:dyDescent="0.35">
      <c r="A319" t="str">
        <f t="shared" si="16"/>
        <v>Estrato4al6RestauranteFormalMezcla 7</v>
      </c>
      <c r="B319" t="str">
        <f t="shared" si="17"/>
        <v>Estrato4al6RestauranteFormal</v>
      </c>
      <c r="C319" t="str">
        <f t="shared" si="18"/>
        <v>Estrato4al6RestauranteFormalGordon's Cucumber</v>
      </c>
      <c r="D319" t="str">
        <f t="shared" si="19"/>
        <v>Estrato4al6RestauranteFormalGordon's CucumberMezcla 7</v>
      </c>
      <c r="E319" s="245" t="s">
        <v>573</v>
      </c>
      <c r="F319" s="245" t="s">
        <v>622</v>
      </c>
      <c r="G319" s="246" t="s">
        <v>653</v>
      </c>
      <c r="H319" t="s">
        <v>445</v>
      </c>
      <c r="I319" t="s">
        <v>599</v>
      </c>
    </row>
    <row r="320" spans="1:44" x14ac:dyDescent="0.35">
      <c r="A320" t="str">
        <f t="shared" si="16"/>
        <v>Estrato4al6RestauranteFormalMezcla 8</v>
      </c>
      <c r="B320" t="str">
        <f t="shared" si="17"/>
        <v>Estrato4al6RestauranteFormal</v>
      </c>
      <c r="C320" t="str">
        <f t="shared" si="18"/>
        <v>Estrato4al6RestauranteFormalGordon's Pink</v>
      </c>
      <c r="D320" t="str">
        <f t="shared" si="19"/>
        <v>Estrato4al6RestauranteFormalGordon's PinkMezcla 8</v>
      </c>
      <c r="E320" s="245" t="s">
        <v>573</v>
      </c>
      <c r="F320" s="245" t="s">
        <v>622</v>
      </c>
      <c r="G320" s="246" t="s">
        <v>654</v>
      </c>
      <c r="H320" t="s">
        <v>446</v>
      </c>
      <c r="I320" t="s">
        <v>600</v>
      </c>
      <c r="AR320" s="126"/>
    </row>
    <row r="321" spans="1:44" x14ac:dyDescent="0.35">
      <c r="A321" t="str">
        <f t="shared" si="16"/>
        <v>Estrato4al6RestauranteFormalMezcla 9</v>
      </c>
      <c r="B321" t="str">
        <f t="shared" si="17"/>
        <v>Estrato4al6RestauranteFormal</v>
      </c>
      <c r="C321" t="str">
        <f t="shared" si="18"/>
        <v>Estrato4al6RestauranteFormalJohnnie Walker Black Label</v>
      </c>
      <c r="D321" t="str">
        <f t="shared" si="19"/>
        <v>Estrato4al6RestauranteFormalJohnnie Walker Black LabelMezcla 9</v>
      </c>
      <c r="E321" s="245" t="s">
        <v>573</v>
      </c>
      <c r="F321" s="245" t="s">
        <v>622</v>
      </c>
      <c r="G321" s="246" t="s">
        <v>655</v>
      </c>
      <c r="H321" t="s">
        <v>454</v>
      </c>
      <c r="I321" t="s">
        <v>601</v>
      </c>
    </row>
    <row r="322" spans="1:44" x14ac:dyDescent="0.35">
      <c r="A322" t="str">
        <f t="shared" si="16"/>
        <v>Estrato4al6RestauranteFormalMezcla 10</v>
      </c>
      <c r="B322" t="str">
        <f t="shared" si="17"/>
        <v>Estrato4al6RestauranteFormal</v>
      </c>
      <c r="C322" t="str">
        <f t="shared" si="18"/>
        <v>Estrato4al6RestauranteFormalHaig Club</v>
      </c>
      <c r="D322" t="str">
        <f t="shared" si="19"/>
        <v>Estrato4al6RestauranteFormalHaig ClubMezcla 10</v>
      </c>
      <c r="E322" s="245" t="s">
        <v>573</v>
      </c>
      <c r="F322" s="245" t="s">
        <v>622</v>
      </c>
      <c r="G322" s="246" t="s">
        <v>656</v>
      </c>
      <c r="H322" t="s">
        <v>458</v>
      </c>
      <c r="I322" t="s">
        <v>602</v>
      </c>
    </row>
    <row r="323" spans="1:44" x14ac:dyDescent="0.35">
      <c r="A323" t="str">
        <f t="shared" si="16"/>
        <v>Estrato4al6RestauranteFormalMezcla 11</v>
      </c>
      <c r="B323" t="str">
        <f t="shared" si="17"/>
        <v>Estrato4al6RestauranteFormal</v>
      </c>
      <c r="C323" t="str">
        <f t="shared" si="18"/>
        <v>Estrato4al6RestauranteFormalBulleit Bourbon</v>
      </c>
      <c r="D323" t="str">
        <f t="shared" si="19"/>
        <v>Estrato4al6RestauranteFormalBulleit BourbonMezcla 11</v>
      </c>
      <c r="E323" s="245" t="s">
        <v>573</v>
      </c>
      <c r="F323" s="245" t="s">
        <v>622</v>
      </c>
      <c r="G323" s="246" t="s">
        <v>657</v>
      </c>
      <c r="H323" t="s">
        <v>398</v>
      </c>
      <c r="I323" t="s">
        <v>612</v>
      </c>
      <c r="AR323" s="126"/>
    </row>
    <row r="324" spans="1:44" x14ac:dyDescent="0.35">
      <c r="A324" t="str">
        <f>E324&amp;F324&amp;G324</f>
        <v>Estrato4al6RestauranteFormalMezcla 12</v>
      </c>
      <c r="B324" t="str">
        <f>E324&amp;F324</f>
        <v>Estrato4al6RestauranteFormal</v>
      </c>
      <c r="C324" t="str">
        <f>E324&amp;F324&amp;H324</f>
        <v>Estrato4al6RestauranteFormalBulleit Rye</v>
      </c>
      <c r="D324" t="str">
        <f>E324&amp;F324&amp;H324&amp;G324</f>
        <v>Estrato4al6RestauranteFormalBulleit RyeMezcla 12</v>
      </c>
      <c r="E324" s="245" t="s">
        <v>573</v>
      </c>
      <c r="F324" s="245" t="s">
        <v>622</v>
      </c>
      <c r="G324" s="246" t="s">
        <v>658</v>
      </c>
      <c r="H324" t="s">
        <v>401</v>
      </c>
      <c r="I324" t="s">
        <v>613</v>
      </c>
    </row>
    <row r="325" spans="1:44" x14ac:dyDescent="0.35">
      <c r="A325" t="str">
        <f>E325&amp;F325&amp;G325</f>
        <v>Estrato4al6RestauranteFormalMezcla 13</v>
      </c>
      <c r="B325" t="str">
        <f>E325&amp;F325</f>
        <v>Estrato4al6RestauranteFormal</v>
      </c>
      <c r="C325" t="str">
        <f>E325&amp;F325&amp;H325</f>
        <v>Estrato4al6RestauranteFormalBuchanan's Master</v>
      </c>
      <c r="D325" t="str">
        <f>E325&amp;F325&amp;H325&amp;G325</f>
        <v>Estrato4al6RestauranteFormalBuchanan's MasterMezcla 13</v>
      </c>
      <c r="E325" s="245" t="s">
        <v>573</v>
      </c>
      <c r="F325" s="245" t="s">
        <v>622</v>
      </c>
      <c r="G325" s="246" t="s">
        <v>659</v>
      </c>
      <c r="H325" t="s">
        <v>436</v>
      </c>
      <c r="I325" t="s">
        <v>603</v>
      </c>
      <c r="AR325" s="126"/>
    </row>
    <row r="326" spans="1:44" x14ac:dyDescent="0.35">
      <c r="A326" t="str">
        <f>E326&amp;F326&amp;G326</f>
        <v>Estrato4al6RestauranteFormalMezcla 14</v>
      </c>
      <c r="B326" t="str">
        <f>E326&amp;F326</f>
        <v>Estrato4al6RestauranteFormal</v>
      </c>
      <c r="C326" t="str">
        <f>E326&amp;F326&amp;H326</f>
        <v>Estrato4al6RestauranteFormalJohnnie Walker Black Label</v>
      </c>
      <c r="D326" t="str">
        <f>E326&amp;F326&amp;H326&amp;G326</f>
        <v>Estrato4al6RestauranteFormalJohnnie Walker Black LabelMezcla 14</v>
      </c>
      <c r="E326" s="245" t="s">
        <v>573</v>
      </c>
      <c r="F326" s="245" t="s">
        <v>622</v>
      </c>
      <c r="G326" s="246" t="s">
        <v>660</v>
      </c>
      <c r="H326" t="s">
        <v>454</v>
      </c>
      <c r="I326" t="s">
        <v>604</v>
      </c>
    </row>
    <row r="327" spans="1:44" x14ac:dyDescent="0.35">
      <c r="A327" t="str">
        <f>E327&amp;F327&amp;G327</f>
        <v>Estrato4al6RestauranteFormalOn the rocks 1</v>
      </c>
      <c r="B327" t="str">
        <f>E327&amp;F327</f>
        <v>Estrato4al6RestauranteFormal</v>
      </c>
      <c r="C327" t="str">
        <f>E327&amp;F327&amp;H327</f>
        <v>Estrato4al6RestauranteFormalSingleton 12</v>
      </c>
      <c r="D327" t="str">
        <f>E327&amp;F327&amp;H327&amp;G327</f>
        <v>Estrato4al6RestauranteFormalSingleton 12On the rocks 1</v>
      </c>
      <c r="E327" s="245" t="s">
        <v>573</v>
      </c>
      <c r="F327" s="245" t="s">
        <v>622</v>
      </c>
      <c r="G327" t="s">
        <v>661</v>
      </c>
      <c r="H327" t="s">
        <v>406</v>
      </c>
      <c r="I327" t="s">
        <v>605</v>
      </c>
      <c r="AR327" s="126"/>
    </row>
    <row r="328" spans="1:44" x14ac:dyDescent="0.35">
      <c r="A328" t="str">
        <f>E328&amp;F328&amp;G328</f>
        <v>Estrato4al6RestauranteFormalOn the rocks 2</v>
      </c>
      <c r="B328" t="str">
        <f>E328&amp;F328</f>
        <v>Estrato4al6RestauranteFormal</v>
      </c>
      <c r="C328" t="str">
        <f>E328&amp;F328&amp;H328</f>
        <v>Estrato4al6RestauranteFormalSingleton Tailfire</v>
      </c>
      <c r="D328" t="str">
        <f>E328&amp;F328&amp;H328&amp;G328</f>
        <v>Estrato4al6RestauranteFormalSingleton TailfireOn the rocks 2</v>
      </c>
      <c r="E328" s="245" t="s">
        <v>573</v>
      </c>
      <c r="F328" s="245" t="s">
        <v>622</v>
      </c>
      <c r="G328" t="s">
        <v>662</v>
      </c>
      <c r="H328" t="s">
        <v>676</v>
      </c>
      <c r="I328" t="s">
        <v>606</v>
      </c>
    </row>
    <row r="329" spans="1:44" x14ac:dyDescent="0.35">
      <c r="AR329" s="126"/>
    </row>
    <row r="331" spans="1:44" x14ac:dyDescent="0.35">
      <c r="AR331" s="126"/>
    </row>
    <row r="333" spans="1:44" x14ac:dyDescent="0.35">
      <c r="AR333" s="126"/>
    </row>
    <row r="336" spans="1:44" x14ac:dyDescent="0.35">
      <c r="AR336" s="126"/>
    </row>
    <row r="340" spans="44:44" x14ac:dyDescent="0.35">
      <c r="AR340" s="126"/>
    </row>
    <row r="342" spans="44:44" x14ac:dyDescent="0.35">
      <c r="AR342" s="126"/>
    </row>
    <row r="344" spans="44:44" x14ac:dyDescent="0.35">
      <c r="AR344" s="126"/>
    </row>
    <row r="348" spans="44:44" x14ac:dyDescent="0.35">
      <c r="AR348" s="126"/>
    </row>
    <row r="350" spans="44:44" x14ac:dyDescent="0.35">
      <c r="AR350" s="126"/>
    </row>
    <row r="353" spans="44:44" x14ac:dyDescent="0.35">
      <c r="AR353" s="126"/>
    </row>
    <row r="356" spans="44:44" x14ac:dyDescent="0.35">
      <c r="AR356" s="126"/>
    </row>
    <row r="360" spans="44:44" x14ac:dyDescent="0.35">
      <c r="AR360" s="126"/>
    </row>
    <row r="362" spans="44:44" x14ac:dyDescent="0.35">
      <c r="AR362" s="126"/>
    </row>
    <row r="365" spans="44:44" x14ac:dyDescent="0.35">
      <c r="AR365" s="126"/>
    </row>
    <row r="369" spans="44:44" x14ac:dyDescent="0.35">
      <c r="AR369" s="126"/>
    </row>
    <row r="372" spans="44:44" x14ac:dyDescent="0.35">
      <c r="AR372" s="126"/>
    </row>
    <row r="375" spans="44:44" x14ac:dyDescent="0.35">
      <c r="AR375" s="126"/>
    </row>
    <row r="378" spans="44:44" x14ac:dyDescent="0.35">
      <c r="AR378" s="126"/>
    </row>
    <row r="380" spans="44:44" x14ac:dyDescent="0.35">
      <c r="AR380" s="126"/>
    </row>
    <row r="382" spans="44:44" x14ac:dyDescent="0.35">
      <c r="AR382" s="126"/>
    </row>
    <row r="384" spans="44:44" x14ac:dyDescent="0.35">
      <c r="AR384" s="126"/>
    </row>
    <row r="386" spans="44:44" x14ac:dyDescent="0.35">
      <c r="AR386" s="126"/>
    </row>
    <row r="388" spans="44:44" x14ac:dyDescent="0.35">
      <c r="AR388" s="126"/>
    </row>
    <row r="390" spans="44:44" x14ac:dyDescent="0.35">
      <c r="AR390" s="126"/>
    </row>
    <row r="393" spans="44:44" x14ac:dyDescent="0.35">
      <c r="AR393" s="126"/>
    </row>
    <row r="397" spans="44:44" x14ac:dyDescent="0.35">
      <c r="AR397" s="126"/>
    </row>
    <row r="399" spans="44:44" x14ac:dyDescent="0.35">
      <c r="AR399" s="126"/>
    </row>
    <row r="401" spans="44:44" x14ac:dyDescent="0.35">
      <c r="AR401" s="126"/>
    </row>
    <row r="405" spans="44:44" x14ac:dyDescent="0.35">
      <c r="AR405" s="126"/>
    </row>
    <row r="407" spans="44:44" x14ac:dyDescent="0.35">
      <c r="AR407" s="126"/>
    </row>
    <row r="410" spans="44:44" x14ac:dyDescent="0.35">
      <c r="AR410" s="126"/>
    </row>
    <row r="413" spans="44:44" x14ac:dyDescent="0.35">
      <c r="AR413" s="126"/>
    </row>
    <row r="416" spans="44:44" x14ac:dyDescent="0.35">
      <c r="AR416" s="126"/>
    </row>
    <row r="420" spans="44:44" x14ac:dyDescent="0.35">
      <c r="AR420" s="126"/>
    </row>
    <row r="422" spans="44:44" x14ac:dyDescent="0.35">
      <c r="AR422" s="126"/>
    </row>
    <row r="425" spans="44:44" x14ac:dyDescent="0.35">
      <c r="AR425" s="126"/>
    </row>
    <row r="429" spans="44:44" x14ac:dyDescent="0.35">
      <c r="AR429" s="126"/>
    </row>
    <row r="432" spans="44:44" x14ac:dyDescent="0.35">
      <c r="AR432" s="126"/>
    </row>
    <row r="435" spans="44:44" x14ac:dyDescent="0.35">
      <c r="AR435" s="126"/>
    </row>
    <row r="438" spans="44:44" x14ac:dyDescent="0.35">
      <c r="AR438" s="126"/>
    </row>
    <row r="440" spans="44:44" x14ac:dyDescent="0.35">
      <c r="AR440" s="126"/>
    </row>
    <row r="442" spans="44:44" x14ac:dyDescent="0.35">
      <c r="AR442" s="126"/>
    </row>
    <row r="444" spans="44:44" x14ac:dyDescent="0.35">
      <c r="AR444" s="126"/>
    </row>
    <row r="446" spans="44:44" x14ac:dyDescent="0.35">
      <c r="AR446" s="126"/>
    </row>
    <row r="448" spans="44:44" x14ac:dyDescent="0.35">
      <c r="AR448" s="126"/>
    </row>
    <row r="450" spans="44:44" x14ac:dyDescent="0.35">
      <c r="AR450" s="126"/>
    </row>
    <row r="453" spans="44:44" x14ac:dyDescent="0.35">
      <c r="AR453" s="126"/>
    </row>
    <row r="457" spans="44:44" x14ac:dyDescent="0.35">
      <c r="AR457" s="126"/>
    </row>
    <row r="459" spans="44:44" x14ac:dyDescent="0.35">
      <c r="AR459" s="126"/>
    </row>
    <row r="461" spans="44:44" x14ac:dyDescent="0.35">
      <c r="AR461" s="126"/>
    </row>
    <row r="465" spans="44:44" x14ac:dyDescent="0.35">
      <c r="AR465" s="126"/>
    </row>
    <row r="467" spans="44:44" x14ac:dyDescent="0.35">
      <c r="AR467" s="126"/>
    </row>
    <row r="470" spans="44:44" x14ac:dyDescent="0.35">
      <c r="AR470" s="126"/>
    </row>
    <row r="473" spans="44:44" x14ac:dyDescent="0.35">
      <c r="AR473" s="126"/>
    </row>
    <row r="476" spans="44:44" x14ac:dyDescent="0.35">
      <c r="AR476" s="126"/>
    </row>
    <row r="480" spans="44:44" x14ac:dyDescent="0.35">
      <c r="AR480" s="126"/>
    </row>
  </sheetData>
  <autoFilter ref="AK6:AO171" xr:uid="{00000000-0009-0000-0000-000001000000}"/>
  <sortState xmlns:xlrd2="http://schemas.microsoft.com/office/spreadsheetml/2017/richdata2" ref="E3:H328">
    <sortCondition ref="E3:E328"/>
    <sortCondition ref="F3:F328"/>
    <sortCondition ref="G3:G328"/>
  </sortState>
  <phoneticPr fontId="28" type="noConversion"/>
  <dataValidations count="1">
    <dataValidation type="list" allowBlank="1" showInputMessage="1" showErrorMessage="1" sqref="K14:K50" xr:uid="{00000000-0002-0000-0100-000000000000}">
      <formula1>"GRUPO1"</formula1>
    </dataValidation>
  </dataValidations>
  <hyperlinks>
    <hyperlink ref="I3" location="'BOTLL JOHNNIE WALKER RED'!A1" display="BOTLL JOHNNIE WALKER RED" xr:uid="{00000000-0004-0000-0100-000000000000}"/>
    <hyperlink ref="I4:I7" location="'BOTLL JOHNNIE WALKER RED'!A1" display="BOTLL JOHNNIE WALKER RED" xr:uid="{00000000-0004-0000-0100-000001000000}"/>
    <hyperlink ref="I96" location="'BOTLL JOHNNIE WALKER RED'!A1" display="BOTLL JOHNNIE WALKER RED" xr:uid="{00000000-0004-0000-0100-000002000000}"/>
    <hyperlink ref="I9:I12" location="'BOTLL JOHNNIE WALKER RED'!A1" display="BOTLL JOHNNIE WALKER RED" xr:uid="{00000000-0004-0000-0100-000003000000}"/>
    <hyperlink ref="P4:P7" location="'BOTLL JOHNNIE WALKER RED'!A1" display="BOTLL JOHNNIE WALKER RED" xr:uid="{00000000-0004-0000-0100-000004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>
    <tabColor rgb="FF7030A0"/>
  </sheetPr>
  <dimension ref="A3:M32"/>
  <sheetViews>
    <sheetView topLeftCell="A3" zoomScale="80" zoomScaleNormal="80" workbookViewId="0">
      <pane xSplit="2" ySplit="1" topLeftCell="C7" activePane="bottomRight" state="frozen"/>
      <selection activeCell="D5" sqref="D5"/>
      <selection pane="topRight" activeCell="D5" sqref="D5"/>
      <selection pane="bottomLeft" activeCell="D5" sqref="D5"/>
      <selection pane="bottomRight" activeCell="C16" sqref="C16"/>
    </sheetView>
  </sheetViews>
  <sheetFormatPr baseColWidth="10" defaultColWidth="11.36328125" defaultRowHeight="14.5" x14ac:dyDescent="0.35"/>
  <cols>
    <col min="1" max="1" width="13.36328125" customWidth="1"/>
    <col min="2" max="2" width="27.7265625" customWidth="1"/>
    <col min="3" max="3" width="14.81640625" style="194" customWidth="1"/>
    <col min="4" max="4" width="28.7265625" bestFit="1" customWidth="1"/>
    <col min="5" max="5" width="30.36328125" style="214" bestFit="1" customWidth="1"/>
    <col min="6" max="6" width="25.7265625" bestFit="1" customWidth="1"/>
    <col min="7" max="7" width="15.6328125" bestFit="1" customWidth="1"/>
    <col min="8" max="8" width="15.6328125" customWidth="1"/>
    <col min="9" max="9" width="45.08984375" style="215" customWidth="1"/>
    <col min="10" max="10" width="12.7265625" customWidth="1"/>
    <col min="11" max="11" width="13.81640625" style="214" hidden="1" customWidth="1"/>
    <col min="12" max="12" width="22" hidden="1" customWidth="1"/>
    <col min="13" max="13" width="23.36328125" style="214" hidden="1" customWidth="1"/>
  </cols>
  <sheetData>
    <row r="3" spans="1:13" s="197" customFormat="1" ht="37" x14ac:dyDescent="0.35">
      <c r="A3" s="195" t="s">
        <v>365</v>
      </c>
      <c r="B3" s="195" t="s">
        <v>366</v>
      </c>
      <c r="C3" s="223" t="s">
        <v>367</v>
      </c>
      <c r="D3" s="222" t="s">
        <v>368</v>
      </c>
      <c r="E3" s="221" t="s">
        <v>369</v>
      </c>
      <c r="F3" s="220" t="s">
        <v>370</v>
      </c>
      <c r="G3" s="219" t="s">
        <v>371</v>
      </c>
      <c r="H3" s="218" t="s">
        <v>372</v>
      </c>
      <c r="I3" s="196" t="s">
        <v>373</v>
      </c>
      <c r="J3" s="195" t="s">
        <v>374</v>
      </c>
      <c r="K3" s="195" t="s">
        <v>375</v>
      </c>
      <c r="L3" s="195" t="s">
        <v>376</v>
      </c>
      <c r="M3" s="195" t="s">
        <v>377</v>
      </c>
    </row>
    <row r="4" spans="1:13" s="202" customFormat="1" ht="29" x14ac:dyDescent="0.35">
      <c r="A4" s="277" t="s">
        <v>378</v>
      </c>
      <c r="B4" s="198" t="s">
        <v>379</v>
      </c>
      <c r="C4" s="199" t="s">
        <v>380</v>
      </c>
      <c r="D4" s="198" t="s">
        <v>380</v>
      </c>
      <c r="E4" s="200" t="s">
        <v>380</v>
      </c>
      <c r="F4" s="198" t="s">
        <v>381</v>
      </c>
      <c r="G4" s="198" t="s">
        <v>380</v>
      </c>
      <c r="H4" s="198" t="s">
        <v>380</v>
      </c>
      <c r="I4" s="201" t="s">
        <v>382</v>
      </c>
      <c r="J4" s="198" t="s">
        <v>383</v>
      </c>
      <c r="K4" s="200" t="s">
        <v>384</v>
      </c>
      <c r="L4" s="198" t="s">
        <v>385</v>
      </c>
      <c r="M4" s="200" t="s">
        <v>386</v>
      </c>
    </row>
    <row r="5" spans="1:13" s="202" customFormat="1" ht="29" x14ac:dyDescent="0.35">
      <c r="A5" s="277"/>
      <c r="B5" s="198" t="s">
        <v>387</v>
      </c>
      <c r="C5" s="199" t="s">
        <v>380</v>
      </c>
      <c r="D5" s="198" t="s">
        <v>380</v>
      </c>
      <c r="E5" s="200" t="s">
        <v>380</v>
      </c>
      <c r="F5" s="198" t="s">
        <v>388</v>
      </c>
      <c r="G5" s="198" t="s">
        <v>380</v>
      </c>
      <c r="H5" s="198" t="s">
        <v>380</v>
      </c>
      <c r="I5" s="201" t="s">
        <v>389</v>
      </c>
      <c r="J5" s="198" t="s">
        <v>383</v>
      </c>
      <c r="K5" s="200" t="s">
        <v>384</v>
      </c>
      <c r="L5" s="198" t="s">
        <v>385</v>
      </c>
      <c r="M5" s="200" t="s">
        <v>386</v>
      </c>
    </row>
    <row r="6" spans="1:13" s="202" customFormat="1" ht="29" x14ac:dyDescent="0.35">
      <c r="A6" s="277" t="s">
        <v>390</v>
      </c>
      <c r="B6" s="198" t="s">
        <v>391</v>
      </c>
      <c r="C6" s="199" t="s">
        <v>380</v>
      </c>
      <c r="D6" s="198" t="s">
        <v>392</v>
      </c>
      <c r="E6" s="200" t="s">
        <v>380</v>
      </c>
      <c r="F6" s="198" t="s">
        <v>393</v>
      </c>
      <c r="H6" s="198" t="s">
        <v>380</v>
      </c>
      <c r="I6" s="201" t="s">
        <v>389</v>
      </c>
      <c r="J6" s="198" t="s">
        <v>383</v>
      </c>
      <c r="K6" s="200" t="s">
        <v>384</v>
      </c>
      <c r="L6" s="198" t="s">
        <v>385</v>
      </c>
      <c r="M6" s="200" t="s">
        <v>386</v>
      </c>
    </row>
    <row r="7" spans="1:13" s="202" customFormat="1" ht="29" x14ac:dyDescent="0.35">
      <c r="A7" s="277"/>
      <c r="B7" s="198" t="s">
        <v>394</v>
      </c>
      <c r="C7" s="199" t="s">
        <v>380</v>
      </c>
      <c r="D7" s="198" t="s">
        <v>392</v>
      </c>
      <c r="E7" s="200" t="s">
        <v>380</v>
      </c>
      <c r="F7" s="198" t="s">
        <v>395</v>
      </c>
      <c r="H7" s="198" t="s">
        <v>380</v>
      </c>
      <c r="I7" s="201" t="s">
        <v>382</v>
      </c>
      <c r="J7" s="198" t="s">
        <v>383</v>
      </c>
      <c r="K7" s="200" t="s">
        <v>384</v>
      </c>
      <c r="L7" s="198" t="s">
        <v>385</v>
      </c>
      <c r="M7" s="200" t="s">
        <v>386</v>
      </c>
    </row>
    <row r="8" spans="1:13" s="202" customFormat="1" ht="29" x14ac:dyDescent="0.35">
      <c r="A8" s="277"/>
      <c r="B8" s="198" t="s">
        <v>396</v>
      </c>
      <c r="C8" s="199" t="s">
        <v>380</v>
      </c>
      <c r="D8" s="198" t="s">
        <v>392</v>
      </c>
      <c r="E8" s="200" t="s">
        <v>380</v>
      </c>
      <c r="F8" s="224" t="s">
        <v>547</v>
      </c>
      <c r="G8" s="198" t="s">
        <v>380</v>
      </c>
      <c r="H8" s="198" t="s">
        <v>380</v>
      </c>
      <c r="I8" s="201" t="s">
        <v>382</v>
      </c>
      <c r="J8" s="198" t="s">
        <v>383</v>
      </c>
      <c r="K8" s="200" t="s">
        <v>384</v>
      </c>
      <c r="L8" s="198" t="s">
        <v>385</v>
      </c>
      <c r="M8" s="200" t="s">
        <v>386</v>
      </c>
    </row>
    <row r="9" spans="1:13" s="202" customFormat="1" ht="29" x14ac:dyDescent="0.35">
      <c r="A9" s="277" t="s">
        <v>397</v>
      </c>
      <c r="B9" s="198" t="s">
        <v>398</v>
      </c>
      <c r="C9" s="199" t="s">
        <v>380</v>
      </c>
      <c r="D9" s="226" t="s">
        <v>550</v>
      </c>
      <c r="E9" s="200" t="s">
        <v>380</v>
      </c>
      <c r="F9" s="227" t="s">
        <v>399</v>
      </c>
      <c r="G9" s="198"/>
      <c r="H9" s="198" t="s">
        <v>380</v>
      </c>
      <c r="I9" s="201" t="s">
        <v>400</v>
      </c>
      <c r="J9" s="198" t="s">
        <v>383</v>
      </c>
      <c r="K9" s="200" t="s">
        <v>384</v>
      </c>
      <c r="L9" s="198" t="s">
        <v>385</v>
      </c>
      <c r="M9" s="200" t="s">
        <v>386</v>
      </c>
    </row>
    <row r="10" spans="1:13" s="202" customFormat="1" ht="29" x14ac:dyDescent="0.35">
      <c r="A10" s="277"/>
      <c r="B10" s="198" t="s">
        <v>401</v>
      </c>
      <c r="C10" s="199" t="s">
        <v>380</v>
      </c>
      <c r="D10" s="198" t="s">
        <v>548</v>
      </c>
      <c r="E10" s="200" t="s">
        <v>380</v>
      </c>
      <c r="F10" s="224"/>
      <c r="G10" s="198" t="s">
        <v>380</v>
      </c>
      <c r="H10" s="198" t="s">
        <v>380</v>
      </c>
      <c r="I10" s="201" t="s">
        <v>400</v>
      </c>
      <c r="J10" s="198" t="s">
        <v>383</v>
      </c>
      <c r="K10" s="200" t="s">
        <v>384</v>
      </c>
      <c r="L10" s="198" t="s">
        <v>385</v>
      </c>
      <c r="M10" s="200" t="s">
        <v>386</v>
      </c>
    </row>
    <row r="11" spans="1:13" s="202" customFormat="1" ht="29" x14ac:dyDescent="0.35">
      <c r="A11" s="204" t="s">
        <v>402</v>
      </c>
      <c r="B11" s="198" t="s">
        <v>403</v>
      </c>
      <c r="C11" s="199" t="s">
        <v>380</v>
      </c>
      <c r="D11" s="198" t="s">
        <v>380</v>
      </c>
      <c r="E11" s="200" t="s">
        <v>380</v>
      </c>
      <c r="F11" s="224" t="s">
        <v>404</v>
      </c>
      <c r="G11" s="198" t="s">
        <v>380</v>
      </c>
      <c r="H11" s="198" t="s">
        <v>380</v>
      </c>
      <c r="I11" s="201" t="s">
        <v>382</v>
      </c>
      <c r="J11" s="198" t="s">
        <v>383</v>
      </c>
      <c r="K11" s="200" t="s">
        <v>384</v>
      </c>
      <c r="L11" s="198" t="s">
        <v>385</v>
      </c>
      <c r="M11" s="200" t="s">
        <v>386</v>
      </c>
    </row>
    <row r="12" spans="1:13" s="202" customFormat="1" ht="29" x14ac:dyDescent="0.35">
      <c r="A12" s="277" t="s">
        <v>405</v>
      </c>
      <c r="B12" s="198" t="s">
        <v>406</v>
      </c>
      <c r="C12" s="199" t="s">
        <v>407</v>
      </c>
      <c r="D12" s="198" t="s">
        <v>380</v>
      </c>
      <c r="E12" s="200" t="s">
        <v>380</v>
      </c>
      <c r="F12" s="224" t="s">
        <v>408</v>
      </c>
      <c r="G12" s="198" t="s">
        <v>409</v>
      </c>
      <c r="H12" s="198" t="s">
        <v>380</v>
      </c>
      <c r="I12" s="201" t="s">
        <v>382</v>
      </c>
      <c r="J12" s="198" t="s">
        <v>383</v>
      </c>
      <c r="K12" s="200" t="s">
        <v>384</v>
      </c>
      <c r="L12" s="198" t="s">
        <v>385</v>
      </c>
      <c r="M12" s="200" t="s">
        <v>386</v>
      </c>
    </row>
    <row r="13" spans="1:13" s="202" customFormat="1" ht="29" x14ac:dyDescent="0.35">
      <c r="A13" s="277"/>
      <c r="B13" s="198" t="s">
        <v>410</v>
      </c>
      <c r="C13" s="199" t="s">
        <v>407</v>
      </c>
      <c r="D13" s="198" t="s">
        <v>380</v>
      </c>
      <c r="E13" s="200" t="s">
        <v>380</v>
      </c>
      <c r="F13" s="224"/>
      <c r="G13" s="198" t="s">
        <v>380</v>
      </c>
      <c r="H13" s="198" t="s">
        <v>380</v>
      </c>
      <c r="I13" s="201" t="s">
        <v>382</v>
      </c>
      <c r="J13" s="198" t="s">
        <v>383</v>
      </c>
      <c r="K13" s="200" t="s">
        <v>384</v>
      </c>
      <c r="L13" s="198" t="s">
        <v>385</v>
      </c>
      <c r="M13" s="200" t="s">
        <v>386</v>
      </c>
    </row>
    <row r="14" spans="1:13" s="202" customFormat="1" ht="29" x14ac:dyDescent="0.35">
      <c r="A14" s="277" t="s">
        <v>411</v>
      </c>
      <c r="B14" s="198" t="s">
        <v>412</v>
      </c>
      <c r="C14" s="199" t="s">
        <v>407</v>
      </c>
      <c r="D14" s="198" t="s">
        <v>380</v>
      </c>
      <c r="E14" s="200" t="s">
        <v>380</v>
      </c>
      <c r="F14" s="224" t="s">
        <v>413</v>
      </c>
      <c r="G14" s="198" t="s">
        <v>409</v>
      </c>
      <c r="H14" s="198" t="s">
        <v>380</v>
      </c>
      <c r="I14" s="201" t="s">
        <v>400</v>
      </c>
      <c r="J14" s="198" t="s">
        <v>383</v>
      </c>
      <c r="K14" s="200" t="s">
        <v>384</v>
      </c>
      <c r="L14" s="198" t="s">
        <v>385</v>
      </c>
      <c r="M14" s="200" t="s">
        <v>386</v>
      </c>
    </row>
    <row r="15" spans="1:13" s="202" customFormat="1" ht="29" x14ac:dyDescent="0.35">
      <c r="A15" s="277"/>
      <c r="B15" s="198" t="s">
        <v>414</v>
      </c>
      <c r="C15" s="199" t="s">
        <v>380</v>
      </c>
      <c r="D15" s="198" t="s">
        <v>380</v>
      </c>
      <c r="E15" s="200" t="s">
        <v>380</v>
      </c>
      <c r="F15" s="198" t="s">
        <v>415</v>
      </c>
      <c r="G15" s="198" t="s">
        <v>380</v>
      </c>
      <c r="H15" s="198" t="s">
        <v>380</v>
      </c>
      <c r="I15" s="201" t="s">
        <v>400</v>
      </c>
      <c r="J15" s="198" t="s">
        <v>383</v>
      </c>
      <c r="K15" s="200" t="s">
        <v>384</v>
      </c>
      <c r="L15" s="198" t="s">
        <v>385</v>
      </c>
      <c r="M15" s="200" t="s">
        <v>386</v>
      </c>
    </row>
    <row r="16" spans="1:13" s="202" customFormat="1" ht="29" x14ac:dyDescent="0.35">
      <c r="A16" s="277" t="s">
        <v>416</v>
      </c>
      <c r="B16" s="198" t="s">
        <v>417</v>
      </c>
      <c r="C16" s="199" t="s">
        <v>380</v>
      </c>
      <c r="D16" s="203" t="s">
        <v>558</v>
      </c>
      <c r="E16" s="200"/>
      <c r="F16" s="198" t="s">
        <v>419</v>
      </c>
      <c r="G16" s="203" t="s">
        <v>418</v>
      </c>
      <c r="H16" s="198" t="s">
        <v>420</v>
      </c>
      <c r="I16" s="201" t="s">
        <v>421</v>
      </c>
      <c r="J16" s="198" t="s">
        <v>422</v>
      </c>
      <c r="K16" s="200" t="s">
        <v>384</v>
      </c>
      <c r="L16" s="198" t="s">
        <v>423</v>
      </c>
      <c r="M16" s="205" t="s">
        <v>424</v>
      </c>
    </row>
    <row r="17" spans="1:13" s="202" customFormat="1" ht="29" x14ac:dyDescent="0.35">
      <c r="A17" s="277"/>
      <c r="B17" s="198" t="s">
        <v>425</v>
      </c>
      <c r="C17" s="199" t="s">
        <v>407</v>
      </c>
      <c r="D17" s="198" t="s">
        <v>380</v>
      </c>
      <c r="E17" s="200" t="s">
        <v>380</v>
      </c>
      <c r="F17" s="198" t="s">
        <v>380</v>
      </c>
      <c r="G17" s="198" t="s">
        <v>380</v>
      </c>
      <c r="H17" s="198" t="s">
        <v>420</v>
      </c>
      <c r="I17" s="201" t="s">
        <v>426</v>
      </c>
      <c r="J17" s="198" t="s">
        <v>383</v>
      </c>
      <c r="K17" s="200" t="s">
        <v>380</v>
      </c>
      <c r="L17" s="198" t="s">
        <v>385</v>
      </c>
      <c r="M17" s="200" t="s">
        <v>380</v>
      </c>
    </row>
    <row r="18" spans="1:13" s="202" customFormat="1" ht="29" x14ac:dyDescent="0.35">
      <c r="A18" s="277" t="s">
        <v>427</v>
      </c>
      <c r="B18" s="198" t="s">
        <v>290</v>
      </c>
      <c r="C18" s="199" t="s">
        <v>428</v>
      </c>
      <c r="D18" s="203" t="s">
        <v>556</v>
      </c>
      <c r="E18" s="200" t="s">
        <v>380</v>
      </c>
      <c r="F18" s="198" t="s">
        <v>380</v>
      </c>
      <c r="G18" s="198" t="s">
        <v>380</v>
      </c>
      <c r="H18" s="198" t="s">
        <v>429</v>
      </c>
      <c r="I18" s="201" t="s">
        <v>430</v>
      </c>
      <c r="J18" s="198" t="s">
        <v>431</v>
      </c>
      <c r="K18" s="200" t="s">
        <v>420</v>
      </c>
      <c r="L18" s="198" t="s">
        <v>432</v>
      </c>
      <c r="M18" s="206" t="s">
        <v>433</v>
      </c>
    </row>
    <row r="19" spans="1:13" s="202" customFormat="1" ht="29" x14ac:dyDescent="0.35">
      <c r="A19" s="277"/>
      <c r="B19" s="207" t="s">
        <v>434</v>
      </c>
      <c r="C19" s="199" t="s">
        <v>407</v>
      </c>
      <c r="D19" s="203" t="s">
        <v>557</v>
      </c>
      <c r="E19" s="200" t="s">
        <v>380</v>
      </c>
      <c r="F19" s="198" t="s">
        <v>435</v>
      </c>
      <c r="G19" s="198" t="s">
        <v>380</v>
      </c>
      <c r="H19" s="198" t="s">
        <v>380</v>
      </c>
      <c r="I19" s="201" t="s">
        <v>382</v>
      </c>
      <c r="J19" s="198" t="s">
        <v>383</v>
      </c>
      <c r="K19" s="200" t="s">
        <v>384</v>
      </c>
      <c r="L19" s="198" t="s">
        <v>385</v>
      </c>
      <c r="M19" s="205" t="s">
        <v>424</v>
      </c>
    </row>
    <row r="20" spans="1:13" s="202" customFormat="1" ht="29" x14ac:dyDescent="0.35">
      <c r="A20" s="277"/>
      <c r="B20" s="207" t="s">
        <v>436</v>
      </c>
      <c r="C20" s="199" t="s">
        <v>407</v>
      </c>
      <c r="D20" s="203" t="s">
        <v>555</v>
      </c>
      <c r="E20" s="200" t="s">
        <v>380</v>
      </c>
      <c r="F20" s="208" t="s">
        <v>380</v>
      </c>
      <c r="G20" s="198" t="s">
        <v>380</v>
      </c>
      <c r="H20" s="198" t="s">
        <v>380</v>
      </c>
      <c r="I20" s="201" t="s">
        <v>382</v>
      </c>
      <c r="J20" s="198" t="s">
        <v>383</v>
      </c>
      <c r="K20" s="200" t="s">
        <v>384</v>
      </c>
      <c r="L20" s="198" t="s">
        <v>385</v>
      </c>
      <c r="M20" s="205" t="s">
        <v>424</v>
      </c>
    </row>
    <row r="21" spans="1:13" s="202" customFormat="1" ht="29" x14ac:dyDescent="0.35">
      <c r="A21" s="277"/>
      <c r="B21" s="202" t="s">
        <v>437</v>
      </c>
      <c r="C21" s="199" t="s">
        <v>407</v>
      </c>
      <c r="D21" s="198" t="s">
        <v>380</v>
      </c>
      <c r="E21" s="200" t="s">
        <v>380</v>
      </c>
      <c r="F21" s="224" t="s">
        <v>438</v>
      </c>
      <c r="G21" s="198" t="s">
        <v>380</v>
      </c>
      <c r="H21" s="198" t="s">
        <v>380</v>
      </c>
      <c r="I21" s="201" t="s">
        <v>439</v>
      </c>
      <c r="J21" s="198" t="s">
        <v>383</v>
      </c>
      <c r="K21" s="200" t="s">
        <v>384</v>
      </c>
      <c r="L21" s="198" t="s">
        <v>385</v>
      </c>
      <c r="M21" s="200" t="s">
        <v>386</v>
      </c>
    </row>
    <row r="22" spans="1:13" s="202" customFormat="1" ht="29" x14ac:dyDescent="0.35">
      <c r="A22" s="277" t="s">
        <v>440</v>
      </c>
      <c r="B22" s="207" t="s">
        <v>441</v>
      </c>
      <c r="C22" s="209" t="s">
        <v>380</v>
      </c>
      <c r="D22" s="198" t="s">
        <v>442</v>
      </c>
      <c r="E22" s="210" t="s">
        <v>380</v>
      </c>
      <c r="F22" s="210" t="s">
        <v>380</v>
      </c>
      <c r="G22" s="210" t="s">
        <v>380</v>
      </c>
      <c r="H22" s="210" t="s">
        <v>380</v>
      </c>
      <c r="I22" s="201" t="s">
        <v>443</v>
      </c>
      <c r="J22" s="198" t="s">
        <v>422</v>
      </c>
      <c r="K22" s="200" t="s">
        <v>420</v>
      </c>
      <c r="L22" s="198" t="s">
        <v>444</v>
      </c>
      <c r="M22" s="206" t="s">
        <v>433</v>
      </c>
    </row>
    <row r="23" spans="1:13" s="202" customFormat="1" ht="29" x14ac:dyDescent="0.35">
      <c r="A23" s="277"/>
      <c r="B23" s="207" t="s">
        <v>445</v>
      </c>
      <c r="C23" s="209" t="s">
        <v>380</v>
      </c>
      <c r="D23" s="198" t="s">
        <v>442</v>
      </c>
      <c r="E23" s="210" t="s">
        <v>380</v>
      </c>
      <c r="F23" s="210" t="s">
        <v>380</v>
      </c>
      <c r="G23" s="210" t="s">
        <v>380</v>
      </c>
      <c r="H23" s="210" t="s">
        <v>380</v>
      </c>
      <c r="I23" s="201" t="s">
        <v>382</v>
      </c>
      <c r="J23" s="198" t="s">
        <v>383</v>
      </c>
      <c r="K23" s="200" t="s">
        <v>384</v>
      </c>
      <c r="L23" s="198" t="s">
        <v>444</v>
      </c>
      <c r="M23" s="205" t="s">
        <v>424</v>
      </c>
    </row>
    <row r="24" spans="1:13" s="202" customFormat="1" ht="29" x14ac:dyDescent="0.35">
      <c r="A24" s="277"/>
      <c r="B24" s="207" t="s">
        <v>446</v>
      </c>
      <c r="C24" s="209" t="s">
        <v>380</v>
      </c>
      <c r="D24" s="198" t="s">
        <v>447</v>
      </c>
      <c r="E24" s="210" t="s">
        <v>380</v>
      </c>
      <c r="F24" s="210" t="s">
        <v>380</v>
      </c>
      <c r="G24" s="210" t="s">
        <v>380</v>
      </c>
      <c r="H24" s="210" t="s">
        <v>380</v>
      </c>
      <c r="I24" s="201" t="s">
        <v>382</v>
      </c>
      <c r="J24" s="198" t="s">
        <v>383</v>
      </c>
      <c r="K24" s="200" t="s">
        <v>384</v>
      </c>
      <c r="L24" s="198" t="s">
        <v>444</v>
      </c>
      <c r="M24" s="205" t="s">
        <v>424</v>
      </c>
    </row>
    <row r="25" spans="1:13" s="202" customFormat="1" ht="29" x14ac:dyDescent="0.35">
      <c r="A25" s="278" t="s">
        <v>448</v>
      </c>
      <c r="B25" s="207" t="s">
        <v>449</v>
      </c>
      <c r="C25" s="209" t="s">
        <v>380</v>
      </c>
      <c r="D25" s="198" t="s">
        <v>450</v>
      </c>
      <c r="E25" s="198" t="s">
        <v>451</v>
      </c>
      <c r="F25" s="210" t="s">
        <v>380</v>
      </c>
      <c r="G25" s="210" t="s">
        <v>380</v>
      </c>
      <c r="H25" s="210" t="s">
        <v>452</v>
      </c>
      <c r="I25" s="201" t="s">
        <v>453</v>
      </c>
      <c r="J25" s="198" t="s">
        <v>422</v>
      </c>
      <c r="K25" s="200" t="s">
        <v>420</v>
      </c>
      <c r="L25" s="198" t="s">
        <v>423</v>
      </c>
      <c r="M25" s="206" t="s">
        <v>433</v>
      </c>
    </row>
    <row r="26" spans="1:13" s="202" customFormat="1" ht="29" x14ac:dyDescent="0.35">
      <c r="A26" s="279"/>
      <c r="B26" s="198" t="s">
        <v>454</v>
      </c>
      <c r="C26" s="199" t="s">
        <v>380</v>
      </c>
      <c r="D26" s="211" t="s">
        <v>522</v>
      </c>
      <c r="E26" s="211" t="s">
        <v>455</v>
      </c>
      <c r="F26" s="198" t="s">
        <v>626</v>
      </c>
      <c r="G26" s="210" t="s">
        <v>380</v>
      </c>
      <c r="H26" s="210" t="s">
        <v>380</v>
      </c>
      <c r="I26" s="201" t="s">
        <v>382</v>
      </c>
      <c r="J26" s="198" t="s">
        <v>383</v>
      </c>
      <c r="K26" s="200" t="s">
        <v>384</v>
      </c>
      <c r="L26" s="198" t="s">
        <v>385</v>
      </c>
      <c r="M26" s="205" t="s">
        <v>424</v>
      </c>
    </row>
    <row r="27" spans="1:13" s="202" customFormat="1" ht="29" x14ac:dyDescent="0.35">
      <c r="A27" s="280"/>
      <c r="B27" s="207" t="s">
        <v>456</v>
      </c>
      <c r="C27" s="199" t="s">
        <v>407</v>
      </c>
      <c r="D27" s="210" t="s">
        <v>380</v>
      </c>
      <c r="E27" s="210" t="s">
        <v>380</v>
      </c>
      <c r="F27" s="210" t="s">
        <v>380</v>
      </c>
      <c r="G27" s="210" t="s">
        <v>380</v>
      </c>
      <c r="H27" s="210" t="s">
        <v>380</v>
      </c>
      <c r="I27" s="201" t="s">
        <v>382</v>
      </c>
      <c r="J27" s="198" t="s">
        <v>383</v>
      </c>
      <c r="K27" s="200" t="s">
        <v>384</v>
      </c>
      <c r="L27" s="198" t="s">
        <v>385</v>
      </c>
      <c r="M27" s="200" t="s">
        <v>386</v>
      </c>
    </row>
    <row r="28" spans="1:13" s="202" customFormat="1" ht="29" x14ac:dyDescent="0.35">
      <c r="A28" s="204" t="s">
        <v>457</v>
      </c>
      <c r="B28" s="207" t="s">
        <v>458</v>
      </c>
      <c r="C28" s="209"/>
      <c r="D28" s="200" t="s">
        <v>459</v>
      </c>
      <c r="E28" s="210" t="s">
        <v>380</v>
      </c>
      <c r="F28" s="208" t="s">
        <v>460</v>
      </c>
      <c r="G28" s="210" t="s">
        <v>380</v>
      </c>
      <c r="H28" s="210" t="s">
        <v>380</v>
      </c>
      <c r="I28" s="201" t="s">
        <v>382</v>
      </c>
      <c r="J28" s="198" t="s">
        <v>383</v>
      </c>
      <c r="K28" s="200" t="s">
        <v>420</v>
      </c>
      <c r="L28" s="198" t="s">
        <v>423</v>
      </c>
      <c r="M28" s="206" t="s">
        <v>433</v>
      </c>
    </row>
    <row r="29" spans="1:13" s="202" customFormat="1" ht="29" x14ac:dyDescent="0.35">
      <c r="A29" s="204" t="s">
        <v>461</v>
      </c>
      <c r="B29" s="207" t="s">
        <v>462</v>
      </c>
      <c r="C29" s="199" t="s">
        <v>463</v>
      </c>
      <c r="D29" s="208" t="s">
        <v>464</v>
      </c>
      <c r="E29" s="210" t="s">
        <v>380</v>
      </c>
      <c r="F29" s="210" t="s">
        <v>380</v>
      </c>
      <c r="G29" s="210" t="s">
        <v>380</v>
      </c>
      <c r="H29" s="210" t="s">
        <v>380</v>
      </c>
      <c r="I29" s="201" t="s">
        <v>465</v>
      </c>
      <c r="J29" s="198" t="s">
        <v>422</v>
      </c>
      <c r="K29" s="200" t="s">
        <v>384</v>
      </c>
      <c r="L29" s="198" t="s">
        <v>423</v>
      </c>
      <c r="M29" s="205" t="s">
        <v>424</v>
      </c>
    </row>
    <row r="30" spans="1:13" s="202" customFormat="1" ht="29" x14ac:dyDescent="0.35">
      <c r="A30" s="281" t="s">
        <v>466</v>
      </c>
      <c r="B30" s="207" t="s">
        <v>467</v>
      </c>
      <c r="C30" s="210" t="s">
        <v>380</v>
      </c>
      <c r="D30" s="210" t="s">
        <v>380</v>
      </c>
      <c r="E30" s="210" t="s">
        <v>380</v>
      </c>
      <c r="F30" s="225" t="s">
        <v>468</v>
      </c>
      <c r="G30" s="210" t="s">
        <v>380</v>
      </c>
      <c r="H30" s="210" t="s">
        <v>452</v>
      </c>
      <c r="I30" s="201" t="s">
        <v>469</v>
      </c>
      <c r="J30" s="198" t="s">
        <v>422</v>
      </c>
      <c r="K30" s="212"/>
      <c r="M30" s="213"/>
    </row>
    <row r="31" spans="1:13" s="202" customFormat="1" ht="29" x14ac:dyDescent="0.35">
      <c r="A31" s="282"/>
      <c r="B31" s="207" t="s">
        <v>470</v>
      </c>
      <c r="C31" s="210" t="s">
        <v>380</v>
      </c>
      <c r="D31" s="210" t="s">
        <v>380</v>
      </c>
      <c r="E31" s="210" t="s">
        <v>380</v>
      </c>
      <c r="F31" s="210" t="s">
        <v>380</v>
      </c>
      <c r="G31" s="210" t="s">
        <v>380</v>
      </c>
      <c r="H31" s="210" t="s">
        <v>471</v>
      </c>
      <c r="I31" s="201" t="s">
        <v>469</v>
      </c>
      <c r="J31" s="198" t="s">
        <v>422</v>
      </c>
      <c r="K31" s="212"/>
      <c r="M31" s="213"/>
    </row>
    <row r="32" spans="1:13" ht="29" x14ac:dyDescent="0.35">
      <c r="A32" s="283"/>
      <c r="B32" s="198" t="s">
        <v>472</v>
      </c>
      <c r="C32" s="199" t="s">
        <v>428</v>
      </c>
      <c r="D32" s="198" t="s">
        <v>380</v>
      </c>
      <c r="E32" s="200" t="s">
        <v>380</v>
      </c>
      <c r="F32" s="198" t="s">
        <v>380</v>
      </c>
      <c r="G32" s="198" t="s">
        <v>380</v>
      </c>
      <c r="H32" s="198" t="s">
        <v>429</v>
      </c>
      <c r="I32" s="201" t="s">
        <v>469</v>
      </c>
      <c r="J32" s="198" t="s">
        <v>422</v>
      </c>
    </row>
  </sheetData>
  <sheetProtection algorithmName="SHA-512" hashValue="1a9Yn9+v5K/wH/ogz1tWVGMSm5d1WAIHiByZJkWokFdhWrQ+9h1syxJFj13GPFtnw1LoahaAIf7N61usnxvVdA==" saltValue="Xs85LAGWjOo/dTz8bbwsaw==" spinCount="100000" sheet="1" objects="1" scenarios="1"/>
  <mergeCells count="10">
    <mergeCell ref="A18:A21"/>
    <mergeCell ref="A22:A24"/>
    <mergeCell ref="A25:A27"/>
    <mergeCell ref="A30:A32"/>
    <mergeCell ref="A4:A5"/>
    <mergeCell ref="A6:A8"/>
    <mergeCell ref="A9:A10"/>
    <mergeCell ref="A12:A13"/>
    <mergeCell ref="A14:A15"/>
    <mergeCell ref="A16:A17"/>
  </mergeCell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9">
    <tabColor theme="4" tint="0.39997558519241921"/>
  </sheetPr>
  <dimension ref="A2:M115"/>
  <sheetViews>
    <sheetView showGridLines="0" zoomScale="90" zoomScaleNormal="90" workbookViewId="0"/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284" t="s">
        <v>167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163</v>
      </c>
      <c r="C9" s="14">
        <v>750</v>
      </c>
      <c r="D9" s="96" t="s">
        <v>12</v>
      </c>
      <c r="E9" s="186">
        <v>128729</v>
      </c>
      <c r="F9" s="115">
        <f>Tabla13456810911139232526272839[[#This Row],[PRECIO]]/Tabla13456810911139232526272839[[#This Row],[CANTIDAD]]</f>
        <v>171.63866666666667</v>
      </c>
      <c r="H9" s="9" t="s">
        <v>13</v>
      </c>
      <c r="I9" s="10">
        <f>F26</f>
        <v>14513.123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164</v>
      </c>
      <c r="C10" s="13">
        <v>1000</v>
      </c>
      <c r="D10" s="14" t="s">
        <v>22</v>
      </c>
      <c r="E10" s="186">
        <v>3500</v>
      </c>
      <c r="F10" s="115">
        <f>Tabla13456810911139232526272839[[#This Row],[PRECIO]]/Tabla13456810911139232526272839[[#This Row],[CANTIDAD]]</f>
        <v>3.5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4.4999999999999998E-2</v>
      </c>
    </row>
    <row r="11" spans="1:13" ht="15" customHeight="1" thickBot="1" x14ac:dyDescent="0.4">
      <c r="A11" s="288"/>
      <c r="B11" s="12" t="s">
        <v>165</v>
      </c>
      <c r="C11" s="14">
        <v>1000</v>
      </c>
      <c r="D11" s="14" t="s">
        <v>12</v>
      </c>
      <c r="E11" s="186">
        <v>13200</v>
      </c>
      <c r="F11" s="115">
        <f>Tabla13456810911139232526272839[[#This Row],[PRECIO]]/Tabla13456810911139232526272839[[#This Row],[CANTIDAD]]</f>
        <v>13.2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 t="s">
        <v>166</v>
      </c>
      <c r="C12" s="22">
        <v>500</v>
      </c>
      <c r="D12" s="22" t="s">
        <v>22</v>
      </c>
      <c r="E12" s="187">
        <v>3500</v>
      </c>
      <c r="F12" s="115">
        <f>Tabla13456810911139232526272839[[#This Row],[PRECIO]]/Tabla13456810911139232526272839[[#This Row],[CANTIDAD]]</f>
        <v>7</v>
      </c>
      <c r="H12" s="25" t="s">
        <v>23</v>
      </c>
      <c r="I12" s="26">
        <f>I9-I10</f>
        <v>9536.4563333333317</v>
      </c>
      <c r="J12" s="27">
        <f>(I9-I10)/I10*100%</f>
        <v>1.9162336905559272</v>
      </c>
      <c r="L12" s="17" t="s">
        <v>24</v>
      </c>
      <c r="M12" s="28">
        <f>M9*M10*M11</f>
        <v>14.075999999999999</v>
      </c>
    </row>
    <row r="13" spans="1:13" ht="15.75" customHeight="1" thickBot="1" x14ac:dyDescent="0.4">
      <c r="A13" s="289"/>
      <c r="B13" s="29"/>
      <c r="C13" s="22"/>
      <c r="D13" s="22"/>
      <c r="E13" s="188"/>
      <c r="F13" s="115"/>
      <c r="H13" s="30" t="s">
        <v>26</v>
      </c>
      <c r="I13" s="31">
        <f>I9-I11</f>
        <v>7506.4563333333326</v>
      </c>
      <c r="J13" s="32">
        <f>(I9-I11)/I11*100%</f>
        <v>1.071330589914367</v>
      </c>
      <c r="L13" s="17" t="s">
        <v>27</v>
      </c>
      <c r="M13" s="19">
        <f>D17+D18+D16+D19+30</f>
        <v>128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0.10404624277456648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DON JULIO BLANCO</v>
      </c>
      <c r="C16" s="45" t="str">
        <f>D9</f>
        <v>ML</v>
      </c>
      <c r="D16" s="189">
        <v>45</v>
      </c>
      <c r="E16" s="45">
        <f>VLOOKUP(B16,Tabla13456810911139232526272839[],5,FALSE)</f>
        <v>171.63866666666667</v>
      </c>
      <c r="F16" s="47">
        <f>E16*D16</f>
        <v>7723.74</v>
      </c>
      <c r="H16" s="48" t="s">
        <v>13</v>
      </c>
      <c r="I16" s="49">
        <f>F26</f>
        <v>14513.123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AZÙCAR(ALMÌBAR 50/50)</v>
      </c>
      <c r="C17" s="51" t="str">
        <f>D10</f>
        <v>GR</v>
      </c>
      <c r="D17" s="190">
        <v>30</v>
      </c>
      <c r="E17" s="51">
        <f>VLOOKUP(B17,Tabla13456810911139232526272839[],5,FALSE)</f>
        <v>3.5</v>
      </c>
      <c r="F17" s="53">
        <f>E17*D17</f>
        <v>105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ZUMO DE LIMON</v>
      </c>
      <c r="C18" s="51" t="str">
        <f>D11</f>
        <v>ML</v>
      </c>
      <c r="D18" s="190">
        <v>15</v>
      </c>
      <c r="E18" s="51">
        <f>VLOOKUP(B18,Tabla13456810911139232526272839[],5,FALSE)</f>
        <v>13.2</v>
      </c>
      <c r="F18" s="53">
        <f>E18*D18</f>
        <v>198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 t="str">
        <f>B12</f>
        <v>LIMON TAHITÌ</v>
      </c>
      <c r="C19" s="51" t="str">
        <f>D12</f>
        <v>GR</v>
      </c>
      <c r="D19" s="190">
        <v>8</v>
      </c>
      <c r="E19" s="51">
        <f>VLOOKUP(B19,Tabla13456810911139232526272839[],5,FALSE)</f>
        <v>7</v>
      </c>
      <c r="F19" s="53">
        <f>E19*D19</f>
        <v>56</v>
      </c>
      <c r="H19" s="58" t="s">
        <v>40</v>
      </c>
      <c r="I19" s="26">
        <f>I16-I17</f>
        <v>8393.1229999999996</v>
      </c>
      <c r="J19" s="27">
        <f>(I16-I17)/I17*100%</f>
        <v>1.3714253267973855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/>
      <c r="C20" s="51"/>
      <c r="D20" s="190"/>
      <c r="E20" s="51"/>
      <c r="F20" s="53"/>
      <c r="H20" s="63" t="s">
        <v>41</v>
      </c>
      <c r="I20" s="31">
        <f>I16-I18</f>
        <v>2713.1229999999996</v>
      </c>
      <c r="J20" s="32">
        <f>(I16-I18)/I18*100%</f>
        <v>0.22992567796610167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8082.74</v>
      </c>
    </row>
    <row r="22" spans="1:13" ht="16.5" customHeight="1" thickBot="1" x14ac:dyDescent="0.4">
      <c r="A22" s="296"/>
      <c r="B22" s="304" t="s">
        <v>210</v>
      </c>
      <c r="C22" s="305"/>
      <c r="D22" s="310" t="s">
        <v>46</v>
      </c>
      <c r="E22" s="311"/>
      <c r="F22" s="66">
        <f>F21*5%</f>
        <v>404.137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8486.8770000000004</v>
      </c>
      <c r="H23" s="9" t="s">
        <v>13</v>
      </c>
      <c r="I23" s="10">
        <f>F26</f>
        <v>14513.123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228">
        <f>F24*8%</f>
        <v>2000</v>
      </c>
      <c r="H25" s="30" t="s">
        <v>52</v>
      </c>
      <c r="I25" s="70">
        <f>I23-I24</f>
        <v>6216.4563333333335</v>
      </c>
      <c r="J25" s="71">
        <f>(I23-I24)/I23*100%</f>
        <v>0.42833346987642384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14513.123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0.33947508000000004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0.58052492</v>
      </c>
      <c r="G28" s="73"/>
      <c r="H28" s="9" t="s">
        <v>57</v>
      </c>
      <c r="I28" s="10">
        <f>F26</f>
        <v>14513.123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2.9162336905559272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2.0713305899143672</v>
      </c>
    </row>
    <row r="31" spans="1:13" x14ac:dyDescent="0.35">
      <c r="H31" s="17" t="s">
        <v>60</v>
      </c>
      <c r="I31" s="80">
        <f>I28/F113</f>
        <v>1.7492715548413018</v>
      </c>
    </row>
    <row r="32" spans="1:13" x14ac:dyDescent="0.35">
      <c r="H32" s="17" t="s">
        <v>61</v>
      </c>
      <c r="I32" s="80">
        <f>I28/F87</f>
        <v>2.3714253267973855</v>
      </c>
    </row>
    <row r="33" spans="8:9" ht="15" thickBot="1" x14ac:dyDescent="0.4">
      <c r="H33" s="38" t="s">
        <v>62</v>
      </c>
      <c r="I33" s="81">
        <f>I28/F100</f>
        <v>1.2299256779661016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25000</v>
      </c>
    </row>
    <row r="37" spans="8:9" x14ac:dyDescent="0.35">
      <c r="H37" s="17" t="s">
        <v>58</v>
      </c>
      <c r="I37" s="80">
        <f>I36/F60</f>
        <v>3.125</v>
      </c>
    </row>
    <row r="38" spans="8:9" x14ac:dyDescent="0.35">
      <c r="H38" s="17" t="s">
        <v>59</v>
      </c>
      <c r="I38" s="80">
        <f>I36/F72</f>
        <v>2.0833333333333335</v>
      </c>
    </row>
    <row r="39" spans="8:9" x14ac:dyDescent="0.35">
      <c r="H39" s="17" t="s">
        <v>60</v>
      </c>
      <c r="I39" s="80">
        <f>I36/F111</f>
        <v>1.7857142857142858</v>
      </c>
    </row>
    <row r="40" spans="8:9" x14ac:dyDescent="0.35">
      <c r="H40" s="17" t="s">
        <v>61</v>
      </c>
      <c r="I40" s="80">
        <f>I36/F85</f>
        <v>2.5</v>
      </c>
    </row>
    <row r="41" spans="8:9" ht="15" thickBot="1" x14ac:dyDescent="0.4">
      <c r="H41" s="38" t="s">
        <v>62</v>
      </c>
      <c r="I41" s="81">
        <f>I36/F98</f>
        <v>1.25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5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1003300</xdr:colOff>
                    <xdr:row>1</xdr:row>
                    <xdr:rowOff>95250</xdr:rowOff>
                  </from>
                  <to>
                    <xdr:col>7</xdr:col>
                    <xdr:colOff>3079750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0">
    <tabColor theme="4" tint="0.39997558519241921"/>
  </sheetPr>
  <dimension ref="A2:M115"/>
  <sheetViews>
    <sheetView showGridLines="0" zoomScale="90" zoomScaleNormal="90" workbookViewId="0"/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389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284" t="s">
        <v>169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168</v>
      </c>
      <c r="C9" s="14">
        <v>750</v>
      </c>
      <c r="D9" s="96" t="s">
        <v>12</v>
      </c>
      <c r="E9" s="186">
        <v>143391</v>
      </c>
      <c r="F9" s="115">
        <f>Tabla1345681091113923252627283941[[#This Row],[PRECIO]]/Tabla1345681091113923252627283941[[#This Row],[CANTIDAD]]</f>
        <v>191.18799999999999</v>
      </c>
      <c r="H9" s="9" t="s">
        <v>13</v>
      </c>
      <c r="I9" s="10">
        <f>F26</f>
        <v>17699.162454545454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212</v>
      </c>
      <c r="C10" s="13">
        <v>1000</v>
      </c>
      <c r="D10" s="14" t="s">
        <v>22</v>
      </c>
      <c r="E10" s="186">
        <v>3500</v>
      </c>
      <c r="F10" s="115">
        <f>Tabla1345681091113923252627283941[[#This Row],[PRECIO]]/Tabla1345681091113923252627283941[[#This Row],[CANTIDAD]]</f>
        <v>3.5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4.4999999999999998E-2</v>
      </c>
    </row>
    <row r="11" spans="1:13" ht="15" customHeight="1" thickBot="1" x14ac:dyDescent="0.4">
      <c r="A11" s="288"/>
      <c r="B11" s="12" t="s">
        <v>151</v>
      </c>
      <c r="C11" s="13">
        <v>1000</v>
      </c>
      <c r="D11" s="14" t="s">
        <v>12</v>
      </c>
      <c r="E11" s="186">
        <v>8000</v>
      </c>
      <c r="F11" s="115">
        <f>Tabla1345681091113923252627283941[[#This Row],[PRECIO]]/Tabla1345681091113923252627283941[[#This Row],[CANTIDAD]]</f>
        <v>8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 t="s">
        <v>102</v>
      </c>
      <c r="C12" s="22">
        <v>330</v>
      </c>
      <c r="D12" s="22" t="s">
        <v>22</v>
      </c>
      <c r="E12" s="187">
        <v>1800</v>
      </c>
      <c r="F12" s="115">
        <f>Tabla1345681091113923252627283941[[#This Row],[PRECIO]]/Tabla1345681091113923252627283941[[#This Row],[CANTIDAD]]</f>
        <v>5.4545454545454541</v>
      </c>
      <c r="H12" s="25" t="s">
        <v>23</v>
      </c>
      <c r="I12" s="26">
        <f>I9-I10</f>
        <v>12722.495787878786</v>
      </c>
      <c r="J12" s="27">
        <f>(I9-I10)/I10*100%</f>
        <v>2.5564291603239355</v>
      </c>
      <c r="L12" s="17" t="s">
        <v>24</v>
      </c>
      <c r="M12" s="28">
        <f>M9*M10*M11</f>
        <v>14.075999999999999</v>
      </c>
    </row>
    <row r="13" spans="1:13" ht="15.75" customHeight="1" thickBot="1" x14ac:dyDescent="0.4">
      <c r="A13" s="289"/>
      <c r="B13" s="21" t="s">
        <v>152</v>
      </c>
      <c r="C13" s="22">
        <v>500</v>
      </c>
      <c r="D13" s="22" t="s">
        <v>22</v>
      </c>
      <c r="E13" s="187">
        <v>3000</v>
      </c>
      <c r="F13" s="115">
        <f>Tabla1345681091113923252627283941[[#This Row],[PRECIO]]/Tabla1345681091113923252627283941[[#This Row],[CANTIDAD]]</f>
        <v>6</v>
      </c>
      <c r="H13" s="30" t="s">
        <v>26</v>
      </c>
      <c r="I13" s="31">
        <f>I9-I11</f>
        <v>10692.495787878786</v>
      </c>
      <c r="J13" s="32">
        <f>(I9-I11)/I11*100%</f>
        <v>1.5260460211054405</v>
      </c>
      <c r="L13" s="17" t="s">
        <v>27</v>
      </c>
      <c r="M13" s="19">
        <f>D17+D18+D16+D19+30</f>
        <v>205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7.1999999999999995E-2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DON JULIO REPOSADO</v>
      </c>
      <c r="C16" s="45" t="str">
        <f>D9</f>
        <v>ML</v>
      </c>
      <c r="D16" s="189">
        <v>45</v>
      </c>
      <c r="E16" s="45">
        <f>VLOOKUP(B16,Tabla1345681091113923252627283941[],5,FALSE)</f>
        <v>191.18799999999999</v>
      </c>
      <c r="F16" s="47">
        <f>E16*D16</f>
        <v>8603.4599999999991</v>
      </c>
      <c r="H16" s="48" t="s">
        <v>13</v>
      </c>
      <c r="I16" s="49">
        <f>F26</f>
        <v>17699.162454545454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AZÙCAR(ALMÍBAR 50/50)</v>
      </c>
      <c r="C17" s="51" t="s">
        <v>12</v>
      </c>
      <c r="D17" s="190">
        <v>10</v>
      </c>
      <c r="E17" s="51">
        <f>VLOOKUP(B17,Tabla1345681091113923252627283941[],5,FALSE)</f>
        <v>3.5</v>
      </c>
      <c r="F17" s="53">
        <f>E17*D17</f>
        <v>35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ZUMO TORONJA</v>
      </c>
      <c r="C18" s="51" t="str">
        <f>D11</f>
        <v>ML</v>
      </c>
      <c r="D18" s="190">
        <v>30</v>
      </c>
      <c r="E18" s="51">
        <f>VLOOKUP(B18,Tabla1345681091113923252627283941[],5,FALSE)</f>
        <v>8</v>
      </c>
      <c r="F18" s="53">
        <f>E18*D18</f>
        <v>240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 t="str">
        <f>B12</f>
        <v>AGUA TONICA</v>
      </c>
      <c r="C19" s="51" t="str">
        <f>D12</f>
        <v>GR</v>
      </c>
      <c r="D19" s="190">
        <v>90</v>
      </c>
      <c r="E19" s="51">
        <f>VLOOKUP(B19,Tabla1345681091113923252627283941[],5,FALSE)</f>
        <v>5.4545454545454541</v>
      </c>
      <c r="F19" s="53">
        <f>E19*D19</f>
        <v>490.90909090909088</v>
      </c>
      <c r="H19" s="58" t="s">
        <v>40</v>
      </c>
      <c r="I19" s="26">
        <f>I16-I17</f>
        <v>11579.162454545454</v>
      </c>
      <c r="J19" s="27">
        <f>(I16-I17)/I17*100%</f>
        <v>1.892020008912656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 t="str">
        <f>B13</f>
        <v xml:space="preserve">TORONJA </v>
      </c>
      <c r="C20" s="51" t="str">
        <f>D13</f>
        <v>GR</v>
      </c>
      <c r="D20" s="190">
        <v>10</v>
      </c>
      <c r="E20" s="51">
        <f>VLOOKUP(B20,Tabla1345681091113923252627283941[],5,FALSE)</f>
        <v>6</v>
      </c>
      <c r="F20" s="53">
        <f>E20*D20</f>
        <v>60</v>
      </c>
      <c r="H20" s="63" t="s">
        <v>41</v>
      </c>
      <c r="I20" s="31">
        <f>I16-I18</f>
        <v>5899.1624545454542</v>
      </c>
      <c r="J20" s="32">
        <f>(I16-I18)/I18*100%</f>
        <v>0.49992902157164865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9429.3690909090892</v>
      </c>
    </row>
    <row r="22" spans="1:13" ht="16.5" customHeight="1" thickBot="1" x14ac:dyDescent="0.4">
      <c r="A22" s="296"/>
      <c r="B22" s="304" t="s">
        <v>211</v>
      </c>
      <c r="C22" s="305"/>
      <c r="D22" s="310" t="s">
        <v>46</v>
      </c>
      <c r="E22" s="311"/>
      <c r="F22" s="66">
        <f>F21*5%</f>
        <v>471.46845454545451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9900.8375454545439</v>
      </c>
      <c r="H23" s="9" t="s">
        <v>13</v>
      </c>
      <c r="I23" s="10">
        <f>F26</f>
        <v>17699.162454545454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30000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2400</v>
      </c>
      <c r="H25" s="30" t="s">
        <v>52</v>
      </c>
      <c r="I25" s="70">
        <f>I23-I24</f>
        <v>9402.4957878787882</v>
      </c>
      <c r="J25" s="71">
        <f>(I23-I24)/I23*100%</f>
        <v>0.53123958899332335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17699.162454545454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0.33002791818181815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0.58997208181818184</v>
      </c>
      <c r="G28" s="73"/>
      <c r="H28" s="9" t="s">
        <v>57</v>
      </c>
      <c r="I28" s="10">
        <f>F26</f>
        <v>17699.162454545454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3.5564291603239355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2.5260460211054405</v>
      </c>
    </row>
    <row r="31" spans="1:13" x14ac:dyDescent="0.35">
      <c r="H31" s="17" t="s">
        <v>60</v>
      </c>
      <c r="I31" s="80">
        <f>I28/F113</f>
        <v>2.1332859527374999</v>
      </c>
    </row>
    <row r="32" spans="1:13" x14ac:dyDescent="0.35">
      <c r="H32" s="17" t="s">
        <v>61</v>
      </c>
      <c r="I32" s="80">
        <f>I28/F87</f>
        <v>2.892020008912656</v>
      </c>
    </row>
    <row r="33" spans="8:9" ht="15" thickBot="1" x14ac:dyDescent="0.4">
      <c r="H33" s="38" t="s">
        <v>62</v>
      </c>
      <c r="I33" s="81">
        <f>I28/F100</f>
        <v>1.4999290215716488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30000</v>
      </c>
    </row>
    <row r="37" spans="8:9" x14ac:dyDescent="0.35">
      <c r="H37" s="17" t="s">
        <v>58</v>
      </c>
      <c r="I37" s="80">
        <f>I36/F60</f>
        <v>3.75</v>
      </c>
    </row>
    <row r="38" spans="8:9" x14ac:dyDescent="0.35">
      <c r="H38" s="17" t="s">
        <v>59</v>
      </c>
      <c r="I38" s="80">
        <f>I36/F72</f>
        <v>2.5</v>
      </c>
    </row>
    <row r="39" spans="8:9" x14ac:dyDescent="0.35">
      <c r="H39" s="17" t="s">
        <v>60</v>
      </c>
      <c r="I39" s="80">
        <f>I36/F111</f>
        <v>2.1428571428571428</v>
      </c>
    </row>
    <row r="40" spans="8:9" x14ac:dyDescent="0.35">
      <c r="H40" s="17" t="s">
        <v>61</v>
      </c>
      <c r="I40" s="80">
        <f>I36/F85</f>
        <v>3</v>
      </c>
    </row>
    <row r="41" spans="8:9" ht="15" thickBot="1" x14ac:dyDescent="0.4">
      <c r="H41" s="38" t="s">
        <v>62</v>
      </c>
      <c r="I41" s="81">
        <f>I36/F98</f>
        <v>1.5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660400</xdr:colOff>
                    <xdr:row>1</xdr:row>
                    <xdr:rowOff>12700</xdr:rowOff>
                  </from>
                  <to>
                    <xdr:col>7</xdr:col>
                    <xdr:colOff>2755900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7">
    <tabColor theme="5" tint="0.39997558519241921"/>
  </sheetPr>
  <dimension ref="A2:M115"/>
  <sheetViews>
    <sheetView showGridLines="0" zoomScale="90" zoomScaleNormal="90" workbookViewId="0"/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389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284" t="s">
        <v>186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182</v>
      </c>
      <c r="C9" s="14">
        <v>750</v>
      </c>
      <c r="D9" s="96" t="s">
        <v>12</v>
      </c>
      <c r="E9" s="186">
        <v>152087</v>
      </c>
      <c r="F9" s="115">
        <f>Tabla134568109111392325262728434750[[#This Row],[PRECIO]]/Tabla134568109111392325262728434750[[#This Row],[CANTIDAD]]</f>
        <v>202.78266666666667</v>
      </c>
      <c r="H9" s="9" t="s">
        <v>13</v>
      </c>
      <c r="I9" s="10">
        <f>F26</f>
        <v>20944.432727272728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107</v>
      </c>
      <c r="C10" s="13">
        <v>330</v>
      </c>
      <c r="D10" s="14" t="s">
        <v>12</v>
      </c>
      <c r="E10" s="186">
        <v>1800</v>
      </c>
      <c r="F10" s="115">
        <f>Tabla134568109111392325262728434750[[#This Row],[PRECIO]]/Tabla134568109111392325262728434750[[#This Row],[CANTIDAD]]</f>
        <v>5.4545454545454541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12" t="s">
        <v>185</v>
      </c>
      <c r="C11" s="14">
        <v>500</v>
      </c>
      <c r="D11" s="14" t="s">
        <v>22</v>
      </c>
      <c r="E11" s="186">
        <v>3500</v>
      </c>
      <c r="F11" s="115">
        <f>Tabla134568109111392325262728434750[[#This Row],[PRECIO]]/Tabla134568109111392325262728434750[[#This Row],[CANTIDAD]]</f>
        <v>7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187"/>
      <c r="F12" s="115"/>
      <c r="H12" s="25" t="s">
        <v>23</v>
      </c>
      <c r="I12" s="26">
        <f>I9-I10</f>
        <v>15967.76606060606</v>
      </c>
      <c r="J12" s="27">
        <f>(I9-I10)/I10*100%</f>
        <v>3.2085263350179622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29"/>
      <c r="C13" s="22"/>
      <c r="D13" s="22"/>
      <c r="E13" s="188"/>
      <c r="F13" s="115"/>
      <c r="H13" s="30" t="s">
        <v>26</v>
      </c>
      <c r="I13" s="31">
        <f>I9-I11</f>
        <v>13937.76606060606</v>
      </c>
      <c r="J13" s="32">
        <f>(I9-I11)/I11*100%</f>
        <v>1.9892149468039095</v>
      </c>
      <c r="L13" s="17" t="s">
        <v>27</v>
      </c>
      <c r="M13" s="19">
        <f>D17+D18+D16+D19+30</f>
        <v>185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8.5106382978723402E-2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TANQUERAY TEN</v>
      </c>
      <c r="C16" s="45" t="str">
        <f>D9</f>
        <v>ML</v>
      </c>
      <c r="D16" s="189">
        <v>50</v>
      </c>
      <c r="E16" s="45">
        <f>VLOOKUP(B16,Tabla134568109111392325262728434750[],5,FALSE)</f>
        <v>202.78266666666667</v>
      </c>
      <c r="F16" s="47">
        <f>E16*D16</f>
        <v>10139.133333333333</v>
      </c>
      <c r="H16" s="48" t="s">
        <v>13</v>
      </c>
      <c r="I16" s="49">
        <f>F26</f>
        <v>20944.432727272728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AGUA TÓNICA</v>
      </c>
      <c r="C17" s="51" t="str">
        <f>D10</f>
        <v>ML</v>
      </c>
      <c r="D17" s="190">
        <v>100</v>
      </c>
      <c r="E17" s="51">
        <f>VLOOKUP(B17,Tabla134568109111392325262728434750[],5,FALSE)</f>
        <v>5.4545454545454541</v>
      </c>
      <c r="F17" s="53">
        <f>E17*D17</f>
        <v>545.45454545454538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LIMON TAHITI</v>
      </c>
      <c r="C18" s="51" t="str">
        <f>D11</f>
        <v>GR</v>
      </c>
      <c r="D18" s="190">
        <v>5</v>
      </c>
      <c r="E18" s="51">
        <f>VLOOKUP(B18,Tabla134568109111392325262728434750[],5,FALSE)</f>
        <v>7</v>
      </c>
      <c r="F18" s="53">
        <f>E18*D18</f>
        <v>35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/>
      <c r="C19" s="51"/>
      <c r="D19" s="190"/>
      <c r="E19" s="51"/>
      <c r="F19" s="53"/>
      <c r="H19" s="58" t="s">
        <v>40</v>
      </c>
      <c r="I19" s="26">
        <f>I16-I17</f>
        <v>14824.432727272728</v>
      </c>
      <c r="J19" s="27">
        <f>(I16-I17)/I17*100%</f>
        <v>2.4222929292929294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/>
      <c r="C20" s="51"/>
      <c r="D20" s="190"/>
      <c r="E20" s="51"/>
      <c r="F20" s="53"/>
      <c r="H20" s="63" t="s">
        <v>41</v>
      </c>
      <c r="I20" s="31">
        <f>I16-I18</f>
        <v>9144.4327272727278</v>
      </c>
      <c r="J20" s="32">
        <f>(I16-I18)/I18*100%</f>
        <v>0.77495192604006169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10719.587878787879</v>
      </c>
    </row>
    <row r="22" spans="1:13" ht="16.5" customHeight="1" thickBot="1" x14ac:dyDescent="0.4">
      <c r="A22" s="296"/>
      <c r="B22" s="304" t="s">
        <v>219</v>
      </c>
      <c r="C22" s="305"/>
      <c r="D22" s="310" t="s">
        <v>46</v>
      </c>
      <c r="E22" s="311"/>
      <c r="F22" s="66">
        <f>F21*5%</f>
        <v>535.97939393939396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11255.567272727272</v>
      </c>
      <c r="H23" s="9" t="s">
        <v>13</v>
      </c>
      <c r="I23" s="10">
        <f>F26</f>
        <v>20944.432727272728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35000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2800</v>
      </c>
      <c r="H25" s="30" t="s">
        <v>52</v>
      </c>
      <c r="I25" s="70">
        <f>I23-I24</f>
        <v>12647.766060606062</v>
      </c>
      <c r="J25" s="71">
        <f>(I23-I24)/I23*100%</f>
        <v>0.60387245743527884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20944.432727272728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0.32158763636363635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0.59841236363636363</v>
      </c>
      <c r="G28" s="73"/>
      <c r="H28" s="9" t="s">
        <v>57</v>
      </c>
      <c r="I28" s="10">
        <f>F26</f>
        <v>20944.432727272728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4.2085263350179627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2.9892149468039095</v>
      </c>
    </row>
    <row r="31" spans="1:13" x14ac:dyDescent="0.35">
      <c r="H31" s="17" t="s">
        <v>60</v>
      </c>
      <c r="I31" s="80">
        <f>I28/F113</f>
        <v>2.5244394609006906</v>
      </c>
    </row>
    <row r="32" spans="1:13" x14ac:dyDescent="0.35">
      <c r="H32" s="17" t="s">
        <v>61</v>
      </c>
      <c r="I32" s="80">
        <f>I28/F87</f>
        <v>3.4222929292929294</v>
      </c>
    </row>
    <row r="33" spans="8:9" ht="15" thickBot="1" x14ac:dyDescent="0.4">
      <c r="H33" s="38" t="s">
        <v>62</v>
      </c>
      <c r="I33" s="81">
        <f>I28/F100</f>
        <v>1.7749519260400617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35000</v>
      </c>
    </row>
    <row r="37" spans="8:9" x14ac:dyDescent="0.35">
      <c r="H37" s="17" t="s">
        <v>58</v>
      </c>
      <c r="I37" s="80">
        <f>I36/F60</f>
        <v>4.375</v>
      </c>
    </row>
    <row r="38" spans="8:9" x14ac:dyDescent="0.35">
      <c r="H38" s="17" t="s">
        <v>59</v>
      </c>
      <c r="I38" s="80">
        <f>I36/F72</f>
        <v>2.9166666666666665</v>
      </c>
    </row>
    <row r="39" spans="8:9" x14ac:dyDescent="0.35">
      <c r="H39" s="17" t="s">
        <v>60</v>
      </c>
      <c r="I39" s="80">
        <f>I36/F111</f>
        <v>2.5</v>
      </c>
    </row>
    <row r="40" spans="8:9" x14ac:dyDescent="0.35">
      <c r="H40" s="17" t="s">
        <v>61</v>
      </c>
      <c r="I40" s="80">
        <f>I36/F85</f>
        <v>3.5</v>
      </c>
    </row>
    <row r="41" spans="8:9" ht="15" thickBot="1" x14ac:dyDescent="0.4">
      <c r="H41" s="38" t="s">
        <v>62</v>
      </c>
      <c r="I41" s="81">
        <f>I36/F98</f>
        <v>1.75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9fv7JlueipSfj5WDNtWjgsl7TVgLs6zDVl5dyYdFVs2SXIfloUAZDCGkYxGBwfRMryOMxhQuOXUHgY4JBmGkxQ==" saltValue="OFUZ+UueEqz99mfxWFNjFQ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660400</xdr:colOff>
                    <xdr:row>0</xdr:row>
                    <xdr:rowOff>184150</xdr:rowOff>
                  </from>
                  <to>
                    <xdr:col>7</xdr:col>
                    <xdr:colOff>2736850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6">
    <tabColor theme="4" tint="0.39997558519241921"/>
  </sheetPr>
  <dimension ref="A2:M115"/>
  <sheetViews>
    <sheetView showGridLines="0" zoomScale="90" zoomScaleNormal="90" workbookViewId="0"/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389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284" t="s">
        <v>184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182</v>
      </c>
      <c r="C9" s="14">
        <v>750</v>
      </c>
      <c r="D9" s="96" t="s">
        <v>12</v>
      </c>
      <c r="E9" s="186">
        <v>152087</v>
      </c>
      <c r="F9" s="115">
        <f>Tabla1345681091113923252627284347[[#This Row],[PRECIO]]/Tabla1345681091113923252627284347[[#This Row],[CANTIDAD]]</f>
        <v>202.78266666666667</v>
      </c>
      <c r="H9" s="9" t="s">
        <v>13</v>
      </c>
      <c r="I9" s="10">
        <f>F26</f>
        <v>19931.182727272728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107</v>
      </c>
      <c r="C10" s="13">
        <v>330</v>
      </c>
      <c r="D10" s="14" t="s">
        <v>12</v>
      </c>
      <c r="E10" s="186">
        <v>1800</v>
      </c>
      <c r="F10" s="115">
        <f>Tabla1345681091113923252627284347[[#This Row],[PRECIO]]/Tabla1345681091113923252627284347[[#This Row],[CANTIDAD]]</f>
        <v>5.4545454545454541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12" t="s">
        <v>183</v>
      </c>
      <c r="C11" s="14">
        <v>20</v>
      </c>
      <c r="D11" s="14" t="s">
        <v>22</v>
      </c>
      <c r="E11" s="186">
        <v>10000</v>
      </c>
      <c r="F11" s="115">
        <f>Tabla1345681091113923252627284347[[#This Row],[PRECIO]]/Tabla1345681091113923252627284347[[#This Row],[CANTIDAD]]</f>
        <v>500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187"/>
      <c r="F12" s="115"/>
      <c r="H12" s="25" t="s">
        <v>23</v>
      </c>
      <c r="I12" s="26">
        <f>I9-I10</f>
        <v>14954.51606060606</v>
      </c>
      <c r="J12" s="27">
        <f>(I9-I10)/I10*100%</f>
        <v>3.0049262010594893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29"/>
      <c r="C13" s="22"/>
      <c r="D13" s="22"/>
      <c r="E13" s="188"/>
      <c r="F13" s="115"/>
      <c r="H13" s="30" t="s">
        <v>26</v>
      </c>
      <c r="I13" s="31">
        <f>I9-I11</f>
        <v>12924.51606060606</v>
      </c>
      <c r="J13" s="32">
        <f>(I9-I11)/I11*100%</f>
        <v>1.8446026727791711</v>
      </c>
      <c r="L13" s="17" t="s">
        <v>27</v>
      </c>
      <c r="M13" s="19">
        <f>D17+D18+D16+D19+30</f>
        <v>182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8.6206896551724144E-2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TANQUERAY TEN</v>
      </c>
      <c r="C16" s="45" t="str">
        <f>D9</f>
        <v>ML</v>
      </c>
      <c r="D16" s="189">
        <v>50</v>
      </c>
      <c r="E16" s="45">
        <f>VLOOKUP(B16,Tabla1345681091113923252627284347[],5,FALSE)</f>
        <v>202.78266666666667</v>
      </c>
      <c r="F16" s="47">
        <f>E16*D16</f>
        <v>10139.133333333333</v>
      </c>
      <c r="H16" s="48" t="s">
        <v>13</v>
      </c>
      <c r="I16" s="49">
        <f>F26</f>
        <v>19931.182727272728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AGUA TÓNICA</v>
      </c>
      <c r="C17" s="51" t="str">
        <f>D10</f>
        <v>ML</v>
      </c>
      <c r="D17" s="190">
        <v>100</v>
      </c>
      <c r="E17" s="51">
        <f>VLOOKUP(B17,Tabla1345681091113923252627284347[],5,FALSE)</f>
        <v>5.4545454545454541</v>
      </c>
      <c r="F17" s="53">
        <f>E17*D17</f>
        <v>545.45454545454538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TEA TWININGS</v>
      </c>
      <c r="C18" s="51" t="str">
        <f>D11</f>
        <v>GR</v>
      </c>
      <c r="D18" s="190">
        <v>2</v>
      </c>
      <c r="E18" s="51">
        <f>VLOOKUP(B18,Tabla1345681091113923252627284347[],5,FALSE)</f>
        <v>500</v>
      </c>
      <c r="F18" s="53">
        <f>E18*D18</f>
        <v>1000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/>
      <c r="C19" s="51"/>
      <c r="D19" s="190"/>
      <c r="E19" s="51"/>
      <c r="F19" s="53"/>
      <c r="H19" s="58" t="s">
        <v>40</v>
      </c>
      <c r="I19" s="26">
        <f>I16-I17</f>
        <v>13811.182727272728</v>
      </c>
      <c r="J19" s="27">
        <f>(I16-I17)/I17*100%</f>
        <v>2.2567292038027333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/>
      <c r="C20" s="51"/>
      <c r="D20" s="190"/>
      <c r="E20" s="51"/>
      <c r="F20" s="53"/>
      <c r="H20" s="63" t="s">
        <v>41</v>
      </c>
      <c r="I20" s="31">
        <f>I16-I18</f>
        <v>8131.1827272727278</v>
      </c>
      <c r="J20" s="32">
        <f>(I16-I18)/I18*100%</f>
        <v>0.68908328197226509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11684.587878787879</v>
      </c>
    </row>
    <row r="22" spans="1:13" ht="16.5" customHeight="1" thickBot="1" x14ac:dyDescent="0.4">
      <c r="A22" s="296"/>
      <c r="B22" s="304" t="s">
        <v>218</v>
      </c>
      <c r="C22" s="305"/>
      <c r="D22" s="310" t="s">
        <v>46</v>
      </c>
      <c r="E22" s="311"/>
      <c r="F22" s="66">
        <f>F21*5%</f>
        <v>584.22939393939396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12268.817272727272</v>
      </c>
      <c r="H23" s="9" t="s">
        <v>13</v>
      </c>
      <c r="I23" s="10">
        <f>F26</f>
        <v>19931.182727272728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35000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2800</v>
      </c>
      <c r="H25" s="30" t="s">
        <v>52</v>
      </c>
      <c r="I25" s="70">
        <f>I23-I24</f>
        <v>11634.516060606062</v>
      </c>
      <c r="J25" s="71">
        <f>(I23-I24)/I23*100%</f>
        <v>0.5837343533400069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19931.182727272728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0.35053763636363633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0.5694623636363636</v>
      </c>
      <c r="G28" s="73"/>
      <c r="H28" s="9" t="s">
        <v>57</v>
      </c>
      <c r="I28" s="10">
        <f>F26</f>
        <v>19931.182727272728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4.0049262010594893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2.8446026727791711</v>
      </c>
    </row>
    <row r="31" spans="1:13" x14ac:dyDescent="0.35">
      <c r="H31" s="17" t="s">
        <v>60</v>
      </c>
      <c r="I31" s="80">
        <f>I28/F113</f>
        <v>2.4023121005149934</v>
      </c>
    </row>
    <row r="32" spans="1:13" x14ac:dyDescent="0.35">
      <c r="H32" s="17" t="s">
        <v>61</v>
      </c>
      <c r="I32" s="80">
        <f>I28/F87</f>
        <v>3.2567292038027333</v>
      </c>
    </row>
    <row r="33" spans="8:9" ht="15" thickBot="1" x14ac:dyDescent="0.4">
      <c r="H33" s="38" t="s">
        <v>62</v>
      </c>
      <c r="I33" s="81">
        <f>I28/F100</f>
        <v>1.689083281972265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35000</v>
      </c>
    </row>
    <row r="37" spans="8:9" x14ac:dyDescent="0.35">
      <c r="H37" s="17" t="s">
        <v>58</v>
      </c>
      <c r="I37" s="80">
        <f>I36/F60</f>
        <v>4.375</v>
      </c>
    </row>
    <row r="38" spans="8:9" x14ac:dyDescent="0.35">
      <c r="H38" s="17" t="s">
        <v>59</v>
      </c>
      <c r="I38" s="80">
        <f>I36/F72</f>
        <v>2.9166666666666665</v>
      </c>
    </row>
    <row r="39" spans="8:9" x14ac:dyDescent="0.35">
      <c r="H39" s="17" t="s">
        <v>60</v>
      </c>
      <c r="I39" s="80">
        <f>I36/F111</f>
        <v>2.5</v>
      </c>
    </row>
    <row r="40" spans="8:9" x14ac:dyDescent="0.35">
      <c r="H40" s="17" t="s">
        <v>61</v>
      </c>
      <c r="I40" s="80">
        <f>I36/F85</f>
        <v>3.5</v>
      </c>
    </row>
    <row r="41" spans="8:9" ht="15" thickBot="1" x14ac:dyDescent="0.4">
      <c r="H41" s="38" t="s">
        <v>62</v>
      </c>
      <c r="I41" s="81">
        <f>I36/F98</f>
        <v>1.75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3vF36v6wKqA/Rax4fPIvfFzoPZ+4UHbCICCVS5vB6sOr09osSRdsMT/J8ZAAlNIwNNqH6TCwjc46sSENP+i/Kw==" saltValue="mrt4nI5VTs2O/m+W761Ru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7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831850</xdr:colOff>
                    <xdr:row>0</xdr:row>
                    <xdr:rowOff>171450</xdr:rowOff>
                  </from>
                  <to>
                    <xdr:col>7</xdr:col>
                    <xdr:colOff>2908300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">
    <tabColor theme="3" tint="-0.249977111117893"/>
    <pageSetUpPr fitToPage="1"/>
  </sheetPr>
  <dimension ref="A1:O162"/>
  <sheetViews>
    <sheetView showGridLines="0" zoomScale="55" zoomScaleNormal="55" workbookViewId="0">
      <pane xSplit="4" ySplit="13" topLeftCell="E88" activePane="bottomRight" state="frozen"/>
      <selection pane="topRight" activeCell="H23" sqref="H23"/>
      <selection pane="bottomLeft" activeCell="H23" sqref="H23"/>
      <selection pane="bottomRight" activeCell="O80" sqref="O80"/>
    </sheetView>
  </sheetViews>
  <sheetFormatPr baseColWidth="10" defaultColWidth="9.08984375" defaultRowHeight="14.5" x14ac:dyDescent="0.35"/>
  <cols>
    <col min="1" max="1" width="10.7265625" style="123" bestFit="1" customWidth="1"/>
    <col min="2" max="2" width="22.08984375" bestFit="1" customWidth="1"/>
    <col min="3" max="3" width="20.26953125" customWidth="1"/>
    <col min="4" max="4" width="58.08984375" customWidth="1"/>
    <col min="5" max="6" width="12" customWidth="1"/>
    <col min="7" max="7" width="11.26953125" customWidth="1"/>
    <col min="8" max="8" width="6.6328125" customWidth="1"/>
    <col min="9" max="9" width="10.6328125" customWidth="1"/>
    <col min="10" max="10" width="12" style="122" customWidth="1"/>
    <col min="11" max="12" width="14.26953125" customWidth="1"/>
    <col min="13" max="13" width="20.6328125" customWidth="1"/>
    <col min="14" max="14" width="13.81640625" customWidth="1"/>
    <col min="15" max="15" width="17.81640625" customWidth="1"/>
    <col min="16" max="38" width="9.08984375" customWidth="1"/>
  </cols>
  <sheetData>
    <row r="1" spans="1:15" x14ac:dyDescent="0.35">
      <c r="A1" s="127"/>
      <c r="B1" s="184"/>
      <c r="C1" s="126"/>
      <c r="D1" s="168"/>
      <c r="E1" s="168"/>
      <c r="F1" s="168"/>
      <c r="G1" s="172"/>
      <c r="H1" s="126"/>
      <c r="I1" s="126"/>
      <c r="J1" s="125"/>
      <c r="K1" s="124"/>
      <c r="L1" s="124"/>
      <c r="M1" s="124"/>
      <c r="N1" s="124"/>
      <c r="O1" s="124"/>
    </row>
    <row r="2" spans="1:15" x14ac:dyDescent="0.35">
      <c r="A2" s="127"/>
      <c r="B2" s="184"/>
      <c r="C2" s="126"/>
      <c r="D2" s="168"/>
      <c r="E2" s="168"/>
      <c r="F2" s="168"/>
      <c r="G2" s="168"/>
      <c r="H2" s="168"/>
      <c r="I2" s="168"/>
      <c r="J2" s="168"/>
      <c r="K2" s="168"/>
      <c r="L2" s="124"/>
      <c r="M2" s="124"/>
      <c r="N2" s="124"/>
      <c r="O2" s="124"/>
    </row>
    <row r="3" spans="1:15" x14ac:dyDescent="0.35">
      <c r="A3" s="127"/>
      <c r="B3" s="184"/>
      <c r="C3" s="126"/>
      <c r="D3" s="168"/>
      <c r="E3" s="168"/>
      <c r="F3" s="168"/>
      <c r="G3" s="168"/>
      <c r="H3" s="168"/>
      <c r="I3" s="168"/>
      <c r="J3" s="168"/>
      <c r="K3" s="168"/>
      <c r="L3" s="124"/>
      <c r="M3" s="124"/>
      <c r="N3" s="124"/>
      <c r="O3" s="124"/>
    </row>
    <row r="4" spans="1:15" x14ac:dyDescent="0.35">
      <c r="A4" s="127"/>
      <c r="B4" s="184"/>
      <c r="C4" s="126"/>
      <c r="D4" s="168"/>
      <c r="E4" s="168"/>
      <c r="F4" s="168"/>
      <c r="G4" s="168"/>
      <c r="H4" s="168"/>
      <c r="I4" s="168"/>
      <c r="J4" s="168"/>
      <c r="K4" s="168"/>
      <c r="L4" s="124"/>
      <c r="M4" s="178"/>
      <c r="N4" s="185"/>
      <c r="O4" s="124"/>
    </row>
    <row r="5" spans="1:15" x14ac:dyDescent="0.35">
      <c r="A5" s="127"/>
      <c r="B5" s="184"/>
      <c r="C5" s="126"/>
      <c r="D5" s="168"/>
      <c r="E5" s="168"/>
      <c r="F5" s="168"/>
      <c r="G5" s="168"/>
      <c r="H5" s="168"/>
      <c r="I5" s="168"/>
      <c r="J5" s="168"/>
      <c r="K5" s="168"/>
      <c r="L5" s="124"/>
      <c r="M5" s="124"/>
      <c r="N5" s="124"/>
      <c r="O5" s="178"/>
    </row>
    <row r="6" spans="1:15" x14ac:dyDescent="0.35">
      <c r="A6" s="127"/>
      <c r="B6" s="183"/>
      <c r="C6" s="183"/>
      <c r="D6" s="168"/>
      <c r="E6" s="168"/>
      <c r="F6" s="168"/>
      <c r="G6" s="168"/>
      <c r="H6" s="168"/>
      <c r="I6" s="168"/>
      <c r="J6" s="168"/>
      <c r="K6" s="168"/>
      <c r="L6" s="124"/>
      <c r="M6" s="178"/>
      <c r="N6" s="178"/>
      <c r="O6" s="178"/>
    </row>
    <row r="7" spans="1:15" x14ac:dyDescent="0.35">
      <c r="A7" s="127"/>
      <c r="B7" s="182" t="s">
        <v>363</v>
      </c>
      <c r="C7" s="181"/>
      <c r="D7" s="180"/>
      <c r="E7" s="179"/>
      <c r="F7" s="179"/>
      <c r="G7" s="168"/>
      <c r="H7" s="168"/>
      <c r="I7" s="168"/>
      <c r="J7" s="168"/>
      <c r="K7" s="168"/>
      <c r="L7" s="124"/>
      <c r="M7" s="124"/>
      <c r="N7" s="124"/>
      <c r="O7" s="178"/>
    </row>
    <row r="8" spans="1:15" x14ac:dyDescent="0.35">
      <c r="A8" s="127"/>
      <c r="B8" s="162" t="s">
        <v>362</v>
      </c>
      <c r="C8" s="177" t="s">
        <v>361</v>
      </c>
      <c r="D8" s="176"/>
      <c r="E8" s="132"/>
      <c r="F8" s="132"/>
      <c r="G8" s="168"/>
      <c r="H8" s="168"/>
      <c r="I8" s="168"/>
      <c r="J8" s="168"/>
      <c r="K8" s="168"/>
      <c r="L8" s="124"/>
      <c r="M8" s="124"/>
      <c r="N8" s="124"/>
      <c r="O8" s="124"/>
    </row>
    <row r="9" spans="1:15" x14ac:dyDescent="0.35">
      <c r="A9" s="127"/>
      <c r="B9" s="162" t="s">
        <v>360</v>
      </c>
      <c r="C9" s="175" t="s">
        <v>359</v>
      </c>
      <c r="D9" s="174"/>
      <c r="E9" s="173"/>
      <c r="F9" s="173"/>
      <c r="G9" s="172"/>
      <c r="H9" s="171"/>
      <c r="I9" s="171"/>
      <c r="J9" s="171"/>
      <c r="K9" s="124"/>
      <c r="L9" s="124"/>
      <c r="M9" s="124"/>
      <c r="N9" s="124"/>
      <c r="O9" s="124"/>
    </row>
    <row r="10" spans="1:15" x14ac:dyDescent="0.35">
      <c r="A10" s="127"/>
      <c r="B10" s="170"/>
      <c r="C10" s="166"/>
      <c r="D10" s="169"/>
      <c r="E10" s="168"/>
      <c r="F10" s="168"/>
      <c r="G10" s="167"/>
      <c r="H10" s="166"/>
      <c r="I10" s="166"/>
      <c r="J10" s="165"/>
      <c r="K10" s="164"/>
      <c r="L10" s="164"/>
      <c r="M10" s="164"/>
      <c r="N10" s="164"/>
      <c r="O10" s="163" t="s">
        <v>358</v>
      </c>
    </row>
    <row r="11" spans="1:15" ht="29" x14ac:dyDescent="0.35">
      <c r="A11" s="127"/>
      <c r="B11" s="162" t="s">
        <v>357</v>
      </c>
      <c r="C11" s="161" t="s">
        <v>356</v>
      </c>
      <c r="D11" s="161" t="s">
        <v>355</v>
      </c>
      <c r="E11" s="161" t="s">
        <v>354</v>
      </c>
      <c r="F11" s="161" t="s">
        <v>353</v>
      </c>
      <c r="G11" s="161" t="s">
        <v>352</v>
      </c>
      <c r="H11" s="160" t="s">
        <v>351</v>
      </c>
      <c r="I11" s="160" t="s">
        <v>350</v>
      </c>
      <c r="J11" s="159" t="s">
        <v>349</v>
      </c>
      <c r="K11" s="158" t="s">
        <v>348</v>
      </c>
      <c r="L11" s="157" t="s">
        <v>347</v>
      </c>
      <c r="M11" s="156" t="s">
        <v>346</v>
      </c>
      <c r="N11" s="156" t="s">
        <v>345</v>
      </c>
      <c r="O11" s="156" t="s">
        <v>344</v>
      </c>
    </row>
    <row r="12" spans="1:15" x14ac:dyDescent="0.35">
      <c r="A12" s="127"/>
      <c r="B12" s="154" t="s">
        <v>236</v>
      </c>
      <c r="C12" s="153" t="s">
        <v>343</v>
      </c>
      <c r="D12" s="153"/>
      <c r="E12" s="153"/>
      <c r="F12" s="153"/>
      <c r="G12" s="152"/>
      <c r="H12" s="152"/>
      <c r="I12" s="152"/>
      <c r="J12" s="151"/>
      <c r="K12" s="149"/>
      <c r="L12" s="149"/>
      <c r="M12" s="149"/>
      <c r="N12" s="149"/>
      <c r="O12" s="149"/>
    </row>
    <row r="13" spans="1:15" ht="15" customHeight="1" x14ac:dyDescent="0.35">
      <c r="A13" s="127"/>
      <c r="B13" s="139" t="s">
        <v>234</v>
      </c>
      <c r="C13" s="138" t="s">
        <v>301</v>
      </c>
      <c r="D13" s="138"/>
      <c r="E13" s="138"/>
      <c r="F13" s="138"/>
      <c r="G13" s="137"/>
      <c r="H13" s="137"/>
      <c r="I13" s="137"/>
      <c r="J13" s="136"/>
      <c r="K13" s="134"/>
      <c r="L13" s="134"/>
      <c r="M13" s="134"/>
      <c r="N13" s="134"/>
      <c r="O13" s="134" t="s">
        <v>342</v>
      </c>
    </row>
    <row r="14" spans="1:15" x14ac:dyDescent="0.35">
      <c r="A14" s="140"/>
      <c r="B14" s="147">
        <v>5000267124995</v>
      </c>
      <c r="C14" s="145" t="s">
        <v>229</v>
      </c>
      <c r="D14" s="146" t="s">
        <v>341</v>
      </c>
      <c r="E14" s="146" t="s">
        <v>227</v>
      </c>
      <c r="F14" s="146">
        <v>1017</v>
      </c>
      <c r="G14" s="145">
        <v>695995</v>
      </c>
      <c r="H14" s="145">
        <v>700</v>
      </c>
      <c r="I14" s="145">
        <v>3</v>
      </c>
      <c r="J14" s="144">
        <v>46.8</v>
      </c>
      <c r="K14" s="143">
        <v>10296</v>
      </c>
      <c r="L14" s="142">
        <v>389412</v>
      </c>
      <c r="M14" s="141">
        <v>1310704.2359866633</v>
      </c>
      <c r="N14" s="141">
        <v>65535.211799333163</v>
      </c>
      <c r="O14" s="141">
        <v>1775947.4477859964</v>
      </c>
    </row>
    <row r="15" spans="1:15" x14ac:dyDescent="0.35">
      <c r="A15" s="140"/>
      <c r="B15" s="147">
        <v>5000267127910</v>
      </c>
      <c r="C15" s="145" t="s">
        <v>229</v>
      </c>
      <c r="D15" s="146" t="s">
        <v>340</v>
      </c>
      <c r="E15" s="146" t="s">
        <v>227</v>
      </c>
      <c r="F15" s="146">
        <v>1017</v>
      </c>
      <c r="G15" s="145">
        <v>700548</v>
      </c>
      <c r="H15" s="145">
        <v>700</v>
      </c>
      <c r="I15" s="145">
        <v>3</v>
      </c>
      <c r="J15" s="144">
        <v>46.8</v>
      </c>
      <c r="K15" s="143">
        <v>10296</v>
      </c>
      <c r="L15" s="142">
        <v>486617</v>
      </c>
      <c r="M15" s="141">
        <v>1461293.5108958839</v>
      </c>
      <c r="N15" s="141">
        <v>73064.675544794198</v>
      </c>
      <c r="O15" s="141">
        <v>2031271.1864406781</v>
      </c>
    </row>
    <row r="16" spans="1:15" x14ac:dyDescent="0.35">
      <c r="A16" s="140"/>
      <c r="B16" s="147">
        <v>5000267131320</v>
      </c>
      <c r="C16" s="145" t="s">
        <v>229</v>
      </c>
      <c r="D16" s="146" t="s">
        <v>339</v>
      </c>
      <c r="E16" s="146" t="s">
        <v>227</v>
      </c>
      <c r="F16" s="146">
        <v>1017</v>
      </c>
      <c r="G16" s="145">
        <v>710168</v>
      </c>
      <c r="H16" s="145">
        <v>700</v>
      </c>
      <c r="I16" s="145">
        <v>3</v>
      </c>
      <c r="J16" s="144">
        <v>43</v>
      </c>
      <c r="K16" s="143">
        <v>9460</v>
      </c>
      <c r="L16" s="142">
        <v>541747</v>
      </c>
      <c r="M16" s="141">
        <v>1578269.3623890234</v>
      </c>
      <c r="N16" s="141">
        <v>78913.46811945118</v>
      </c>
      <c r="O16" s="141">
        <v>2208389.8305084747</v>
      </c>
    </row>
    <row r="17" spans="1:15" x14ac:dyDescent="0.35">
      <c r="A17" s="140"/>
      <c r="B17" s="147">
        <v>5000267106168</v>
      </c>
      <c r="C17" s="145" t="s">
        <v>229</v>
      </c>
      <c r="D17" s="146" t="s">
        <v>338</v>
      </c>
      <c r="E17" s="146" t="s">
        <v>227</v>
      </c>
      <c r="F17" s="146">
        <v>1008</v>
      </c>
      <c r="G17" s="145">
        <v>681453</v>
      </c>
      <c r="H17" s="145">
        <v>750</v>
      </c>
      <c r="I17" s="145">
        <v>3</v>
      </c>
      <c r="J17" s="144">
        <v>43</v>
      </c>
      <c r="K17" s="143">
        <v>10148</v>
      </c>
      <c r="L17" s="142">
        <v>378781</v>
      </c>
      <c r="M17" s="141">
        <v>1891355.6182480399</v>
      </c>
      <c r="N17" s="141">
        <v>94567.780912401999</v>
      </c>
      <c r="O17" s="141">
        <v>2374852.3991604419</v>
      </c>
    </row>
    <row r="18" spans="1:15" x14ac:dyDescent="0.35">
      <c r="A18" s="140"/>
      <c r="B18" s="147">
        <v>5000267167787</v>
      </c>
      <c r="C18" s="145" t="s">
        <v>229</v>
      </c>
      <c r="D18" s="146" t="s">
        <v>337</v>
      </c>
      <c r="E18" s="146" t="s">
        <v>227</v>
      </c>
      <c r="F18" s="146">
        <v>1003</v>
      </c>
      <c r="G18" s="145">
        <v>734978</v>
      </c>
      <c r="H18" s="145">
        <v>750</v>
      </c>
      <c r="I18" s="145">
        <v>3</v>
      </c>
      <c r="J18" s="144">
        <v>40</v>
      </c>
      <c r="K18" s="143">
        <v>9440</v>
      </c>
      <c r="L18" s="142">
        <v>131764</v>
      </c>
      <c r="M18" s="141">
        <v>609587.79661016946</v>
      </c>
      <c r="N18" s="141">
        <v>30479.389830508473</v>
      </c>
      <c r="O18" s="141">
        <v>781271.18644067796</v>
      </c>
    </row>
    <row r="19" spans="1:15" x14ac:dyDescent="0.35">
      <c r="A19" s="140"/>
      <c r="B19" s="147">
        <v>5000267135267</v>
      </c>
      <c r="C19" s="145" t="s">
        <v>229</v>
      </c>
      <c r="D19" s="146" t="s">
        <v>336</v>
      </c>
      <c r="E19" s="146" t="s">
        <v>227</v>
      </c>
      <c r="F19" s="146">
        <v>1003</v>
      </c>
      <c r="G19" s="145">
        <v>722871</v>
      </c>
      <c r="H19" s="145">
        <v>750</v>
      </c>
      <c r="I19" s="145">
        <v>3</v>
      </c>
      <c r="J19" s="144">
        <v>40</v>
      </c>
      <c r="K19" s="143">
        <v>9440</v>
      </c>
      <c r="L19" s="142">
        <v>131764</v>
      </c>
      <c r="M19" s="141">
        <v>431218.14366424532</v>
      </c>
      <c r="N19" s="141">
        <v>21560.907183212268</v>
      </c>
      <c r="O19" s="141">
        <v>593983.05084745761</v>
      </c>
    </row>
    <row r="20" spans="1:15" x14ac:dyDescent="0.35">
      <c r="A20" s="140"/>
      <c r="B20" s="147">
        <v>5000267114545</v>
      </c>
      <c r="C20" s="145" t="s">
        <v>229</v>
      </c>
      <c r="D20" s="146" t="s">
        <v>335</v>
      </c>
      <c r="E20" s="146" t="s">
        <v>227</v>
      </c>
      <c r="F20" s="146">
        <v>1003</v>
      </c>
      <c r="G20" s="145">
        <v>710629</v>
      </c>
      <c r="H20" s="145">
        <v>750</v>
      </c>
      <c r="I20" s="145">
        <v>6</v>
      </c>
      <c r="J20" s="144">
        <v>40</v>
      </c>
      <c r="K20" s="143">
        <v>9440</v>
      </c>
      <c r="L20" s="142">
        <v>131764</v>
      </c>
      <c r="M20" s="141">
        <v>381984.89104116225</v>
      </c>
      <c r="N20" s="141">
        <v>19099.244552058113</v>
      </c>
      <c r="O20" s="141">
        <v>542288.13559322036</v>
      </c>
    </row>
    <row r="21" spans="1:15" x14ac:dyDescent="0.35">
      <c r="A21" s="140"/>
      <c r="B21" s="147">
        <v>5000267120294</v>
      </c>
      <c r="C21" s="145" t="s">
        <v>229</v>
      </c>
      <c r="D21" s="146" t="s">
        <v>334</v>
      </c>
      <c r="E21" s="146" t="s">
        <v>227</v>
      </c>
      <c r="F21" s="146">
        <v>1003</v>
      </c>
      <c r="G21" s="145">
        <v>739384</v>
      </c>
      <c r="H21" s="145">
        <v>200</v>
      </c>
      <c r="I21" s="145">
        <v>24</v>
      </c>
      <c r="J21" s="144">
        <v>40</v>
      </c>
      <c r="K21" s="143">
        <v>2520</v>
      </c>
      <c r="L21" s="142">
        <v>35137</v>
      </c>
      <c r="M21" s="141">
        <v>117864.76190476189</v>
      </c>
      <c r="N21" s="141">
        <v>5893.2380952380954</v>
      </c>
      <c r="O21" s="141">
        <v>161415</v>
      </c>
    </row>
    <row r="22" spans="1:15" x14ac:dyDescent="0.35">
      <c r="A22" s="140"/>
      <c r="B22" s="147">
        <v>5000267117461</v>
      </c>
      <c r="C22" s="145" t="s">
        <v>229</v>
      </c>
      <c r="D22" s="146" t="s">
        <v>333</v>
      </c>
      <c r="E22" s="146" t="s">
        <v>227</v>
      </c>
      <c r="F22" s="146">
        <v>1012</v>
      </c>
      <c r="G22" s="145">
        <v>694532</v>
      </c>
      <c r="H22" s="145">
        <v>750</v>
      </c>
      <c r="I22" s="145">
        <v>6</v>
      </c>
      <c r="J22" s="144">
        <v>40</v>
      </c>
      <c r="K22" s="143">
        <v>9440</v>
      </c>
      <c r="L22" s="142">
        <v>45523</v>
      </c>
      <c r="M22" s="141">
        <v>133207.15171542673</v>
      </c>
      <c r="N22" s="141">
        <v>6660.3575857713367</v>
      </c>
      <c r="O22" s="141">
        <v>194830.50930119806</v>
      </c>
    </row>
    <row r="23" spans="1:15" x14ac:dyDescent="0.35">
      <c r="A23" s="140"/>
      <c r="B23" s="147">
        <v>5000267165813</v>
      </c>
      <c r="C23" s="145" t="s">
        <v>229</v>
      </c>
      <c r="D23" s="146" t="s">
        <v>332</v>
      </c>
      <c r="E23" s="146" t="s">
        <v>227</v>
      </c>
      <c r="F23" s="146">
        <v>1012</v>
      </c>
      <c r="G23" s="145">
        <v>728602</v>
      </c>
      <c r="H23" s="145">
        <v>750</v>
      </c>
      <c r="I23" s="145">
        <v>6</v>
      </c>
      <c r="J23" s="144">
        <v>40</v>
      </c>
      <c r="K23" s="143">
        <v>9440</v>
      </c>
      <c r="L23" s="142">
        <v>47152</v>
      </c>
      <c r="M23" s="141">
        <v>131655.72314399816</v>
      </c>
      <c r="N23" s="141">
        <v>6582.7861571999083</v>
      </c>
      <c r="O23" s="141">
        <v>194830.50930119806</v>
      </c>
    </row>
    <row r="24" spans="1:15" x14ac:dyDescent="0.35">
      <c r="A24" s="140"/>
      <c r="B24" s="147">
        <v>5000267117294</v>
      </c>
      <c r="C24" s="145" t="s">
        <v>229</v>
      </c>
      <c r="D24" s="146" t="s">
        <v>331</v>
      </c>
      <c r="E24" s="146" t="s">
        <v>227</v>
      </c>
      <c r="F24" s="146">
        <v>1011</v>
      </c>
      <c r="G24" s="145">
        <v>696964</v>
      </c>
      <c r="H24" s="145">
        <v>750</v>
      </c>
      <c r="I24" s="145">
        <v>6</v>
      </c>
      <c r="J24" s="144">
        <v>40</v>
      </c>
      <c r="K24" s="143">
        <v>9440</v>
      </c>
      <c r="L24" s="142">
        <v>33330</v>
      </c>
      <c r="M24" s="141">
        <v>88322.35673930592</v>
      </c>
      <c r="N24" s="141">
        <v>4416.1178369652962</v>
      </c>
      <c r="O24" s="141">
        <v>135508.4745762712</v>
      </c>
    </row>
    <row r="25" spans="1:15" x14ac:dyDescent="0.35">
      <c r="A25" s="140"/>
      <c r="B25" s="147">
        <v>5000267163789</v>
      </c>
      <c r="C25" s="145" t="s">
        <v>229</v>
      </c>
      <c r="D25" s="146" t="s">
        <v>330</v>
      </c>
      <c r="E25" s="146" t="s">
        <v>227</v>
      </c>
      <c r="F25" s="146">
        <v>1011</v>
      </c>
      <c r="G25" s="145">
        <v>720201</v>
      </c>
      <c r="H25" s="145">
        <v>750</v>
      </c>
      <c r="I25" s="145">
        <v>6</v>
      </c>
      <c r="J25" s="144">
        <v>40</v>
      </c>
      <c r="K25" s="143">
        <v>9440</v>
      </c>
      <c r="L25" s="142">
        <v>33330</v>
      </c>
      <c r="M25" s="141">
        <v>104022.67832027326</v>
      </c>
      <c r="N25" s="141">
        <v>5201.1339160136631</v>
      </c>
      <c r="O25" s="141">
        <v>151993.81223628693</v>
      </c>
    </row>
    <row r="26" spans="1:15" x14ac:dyDescent="0.35">
      <c r="A26" s="140"/>
      <c r="B26" s="147">
        <v>5000267091020</v>
      </c>
      <c r="C26" s="145" t="s">
        <v>229</v>
      </c>
      <c r="D26" s="146" t="s">
        <v>329</v>
      </c>
      <c r="E26" s="146" t="s">
        <v>227</v>
      </c>
      <c r="F26" s="146">
        <v>1052</v>
      </c>
      <c r="G26" s="145">
        <v>701504</v>
      </c>
      <c r="H26" s="145">
        <v>750</v>
      </c>
      <c r="I26" s="145">
        <v>12</v>
      </c>
      <c r="J26" s="144">
        <v>40</v>
      </c>
      <c r="K26" s="143">
        <v>9440</v>
      </c>
      <c r="L26" s="142">
        <v>30286</v>
      </c>
      <c r="M26" s="141">
        <v>83150.13376431269</v>
      </c>
      <c r="N26" s="141">
        <v>4157.5066882156343</v>
      </c>
      <c r="O26" s="141">
        <v>127033.64045252833</v>
      </c>
    </row>
    <row r="27" spans="1:15" x14ac:dyDescent="0.35">
      <c r="A27" s="140"/>
      <c r="B27" s="147">
        <v>5000267130392</v>
      </c>
      <c r="C27" s="145" t="s">
        <v>229</v>
      </c>
      <c r="D27" s="146" t="s">
        <v>328</v>
      </c>
      <c r="E27" s="146" t="s">
        <v>227</v>
      </c>
      <c r="F27" s="146">
        <v>1005</v>
      </c>
      <c r="G27" s="145">
        <v>733890</v>
      </c>
      <c r="H27" s="145">
        <v>750</v>
      </c>
      <c r="I27" s="145">
        <v>6</v>
      </c>
      <c r="J27" s="144">
        <v>43</v>
      </c>
      <c r="K27" s="143">
        <v>10148</v>
      </c>
      <c r="L27" s="142">
        <v>36049</v>
      </c>
      <c r="M27" s="141">
        <v>106043.21226795802</v>
      </c>
      <c r="N27" s="141">
        <v>5302.1606133979012</v>
      </c>
      <c r="O27" s="141">
        <v>157542.37288135593</v>
      </c>
    </row>
    <row r="28" spans="1:15" x14ac:dyDescent="0.35">
      <c r="A28" s="140"/>
      <c r="B28" s="147">
        <v>5000267173108</v>
      </c>
      <c r="C28" s="145" t="s">
        <v>229</v>
      </c>
      <c r="D28" s="146" t="s">
        <v>327</v>
      </c>
      <c r="E28" s="146" t="s">
        <v>227</v>
      </c>
      <c r="F28" s="146">
        <v>3333</v>
      </c>
      <c r="G28" s="145">
        <v>746677</v>
      </c>
      <c r="H28" s="145">
        <v>750</v>
      </c>
      <c r="I28" s="145">
        <v>12</v>
      </c>
      <c r="J28" s="144">
        <v>41.7</v>
      </c>
      <c r="K28" s="143">
        <v>9841</v>
      </c>
      <c r="L28" s="142">
        <v>8126</v>
      </c>
      <c r="M28" s="141">
        <v>83880.691526078095</v>
      </c>
      <c r="N28" s="141">
        <v>4194.0345763039049</v>
      </c>
      <c r="O28" s="155">
        <v>106041.726102382</v>
      </c>
    </row>
    <row r="29" spans="1:15" x14ac:dyDescent="0.35">
      <c r="A29" s="140"/>
      <c r="B29" s="139" t="s">
        <v>234</v>
      </c>
      <c r="C29" s="138" t="s">
        <v>313</v>
      </c>
      <c r="D29" s="138"/>
      <c r="E29" s="138"/>
      <c r="F29" s="138"/>
      <c r="G29" s="137"/>
      <c r="H29" s="137"/>
      <c r="I29" s="137"/>
      <c r="J29" s="136"/>
      <c r="K29" s="135"/>
      <c r="L29" s="134"/>
      <c r="M29" s="134"/>
      <c r="N29" s="134"/>
      <c r="O29" s="134"/>
    </row>
    <row r="30" spans="1:15" x14ac:dyDescent="0.35">
      <c r="A30" s="140"/>
      <c r="B30" s="147">
        <v>5000196003255</v>
      </c>
      <c r="C30" s="145" t="s">
        <v>229</v>
      </c>
      <c r="D30" s="146" t="s">
        <v>326</v>
      </c>
      <c r="E30" s="146" t="s">
        <v>227</v>
      </c>
      <c r="F30" s="146">
        <v>3062</v>
      </c>
      <c r="G30" s="145">
        <v>601361</v>
      </c>
      <c r="H30" s="145">
        <v>750</v>
      </c>
      <c r="I30" s="145">
        <v>6</v>
      </c>
      <c r="J30" s="144">
        <v>40</v>
      </c>
      <c r="K30" s="143">
        <v>9440</v>
      </c>
      <c r="L30" s="142">
        <v>102572</v>
      </c>
      <c r="M30" s="141">
        <v>316970.00807102502</v>
      </c>
      <c r="N30" s="141">
        <v>15848.500403551252</v>
      </c>
      <c r="O30" s="141">
        <v>444830.50847457629</v>
      </c>
    </row>
    <row r="31" spans="1:15" x14ac:dyDescent="0.35">
      <c r="A31" s="140"/>
      <c r="B31" s="147">
        <v>5000196001701</v>
      </c>
      <c r="C31" s="145" t="s">
        <v>229</v>
      </c>
      <c r="D31" s="146" t="s">
        <v>325</v>
      </c>
      <c r="E31" s="146" t="s">
        <v>227</v>
      </c>
      <c r="F31" s="146">
        <v>3061</v>
      </c>
      <c r="G31" s="145">
        <v>723300</v>
      </c>
      <c r="H31" s="145">
        <v>750</v>
      </c>
      <c r="I31" s="145">
        <v>6</v>
      </c>
      <c r="J31" s="144">
        <v>40</v>
      </c>
      <c r="K31" s="143">
        <v>9440</v>
      </c>
      <c r="L31" s="142">
        <v>43544</v>
      </c>
      <c r="M31" s="141">
        <v>127510.06211180124</v>
      </c>
      <c r="N31" s="141">
        <v>6375.5031055900618</v>
      </c>
      <c r="O31" s="141">
        <v>186869.5652173913</v>
      </c>
    </row>
    <row r="32" spans="1:15" x14ac:dyDescent="0.35">
      <c r="A32" s="140"/>
      <c r="B32" s="147">
        <v>5000196003781</v>
      </c>
      <c r="C32" s="145" t="s">
        <v>229</v>
      </c>
      <c r="D32" s="146" t="s">
        <v>324</v>
      </c>
      <c r="E32" s="146" t="s">
        <v>227</v>
      </c>
      <c r="F32" s="146">
        <v>3065</v>
      </c>
      <c r="G32" s="145">
        <v>706132</v>
      </c>
      <c r="H32" s="145">
        <v>750</v>
      </c>
      <c r="I32" s="145">
        <v>12</v>
      </c>
      <c r="J32" s="144">
        <v>40</v>
      </c>
      <c r="K32" s="143">
        <v>9440</v>
      </c>
      <c r="L32" s="142">
        <v>25841</v>
      </c>
      <c r="M32" s="141">
        <v>72320.372670807468</v>
      </c>
      <c r="N32" s="141">
        <v>3616.0186335403737</v>
      </c>
      <c r="O32" s="141">
        <v>111217.39130434784</v>
      </c>
    </row>
    <row r="33" spans="1:15" x14ac:dyDescent="0.35">
      <c r="A33" s="140"/>
      <c r="B33" s="139" t="s">
        <v>234</v>
      </c>
      <c r="C33" s="138" t="s">
        <v>309</v>
      </c>
      <c r="D33" s="138"/>
      <c r="E33" s="138"/>
      <c r="F33" s="138"/>
      <c r="G33" s="137"/>
      <c r="H33" s="137"/>
      <c r="I33" s="137"/>
      <c r="J33" s="136"/>
      <c r="K33" s="135"/>
      <c r="L33" s="134"/>
      <c r="M33" s="134"/>
      <c r="N33" s="134"/>
      <c r="O33" s="134"/>
    </row>
    <row r="34" spans="1:15" x14ac:dyDescent="0.35">
      <c r="A34" s="140"/>
      <c r="B34" s="147">
        <v>5000281037400</v>
      </c>
      <c r="C34" s="145" t="s">
        <v>229</v>
      </c>
      <c r="D34" s="146" t="s">
        <v>323</v>
      </c>
      <c r="E34" s="146" t="s">
        <v>227</v>
      </c>
      <c r="F34" s="146">
        <v>3268</v>
      </c>
      <c r="G34" s="145">
        <v>714392</v>
      </c>
      <c r="H34" s="145">
        <v>750</v>
      </c>
      <c r="I34" s="145">
        <v>12</v>
      </c>
      <c r="J34" s="144">
        <v>40</v>
      </c>
      <c r="K34" s="143">
        <v>9440</v>
      </c>
      <c r="L34" s="142">
        <v>24580</v>
      </c>
      <c r="M34" s="141">
        <v>67724.223602484475</v>
      </c>
      <c r="N34" s="141">
        <v>3386.211180124224</v>
      </c>
      <c r="O34" s="141">
        <v>105130.4347826087</v>
      </c>
    </row>
    <row r="35" spans="1:15" x14ac:dyDescent="0.35">
      <c r="A35" s="140"/>
      <c r="B35" s="147">
        <v>5000281003474</v>
      </c>
      <c r="C35" s="145" t="s">
        <v>229</v>
      </c>
      <c r="D35" s="146" t="s">
        <v>322</v>
      </c>
      <c r="E35" s="146" t="s">
        <v>227</v>
      </c>
      <c r="F35" s="146">
        <v>3263</v>
      </c>
      <c r="G35" s="145">
        <v>570694</v>
      </c>
      <c r="H35" s="145">
        <v>750</v>
      </c>
      <c r="I35" s="145">
        <v>12</v>
      </c>
      <c r="J35" s="144">
        <v>43</v>
      </c>
      <c r="K35" s="143">
        <v>10148</v>
      </c>
      <c r="L35" s="142">
        <v>38103</v>
      </c>
      <c r="M35" s="141">
        <v>115870.62657060828</v>
      </c>
      <c r="N35" s="141">
        <v>5793.5313285304146</v>
      </c>
      <c r="O35" s="141">
        <v>169915.15789913869</v>
      </c>
    </row>
    <row r="36" spans="1:15" x14ac:dyDescent="0.35">
      <c r="A36" s="140"/>
      <c r="B36" s="147">
        <v>5000281055107</v>
      </c>
      <c r="C36" s="145" t="s">
        <v>229</v>
      </c>
      <c r="D36" s="146" t="s">
        <v>321</v>
      </c>
      <c r="E36" s="146" t="s">
        <v>227</v>
      </c>
      <c r="F36" s="146">
        <v>3269</v>
      </c>
      <c r="G36" s="145">
        <v>746159</v>
      </c>
      <c r="H36" s="145">
        <v>750</v>
      </c>
      <c r="I36" s="145">
        <v>12</v>
      </c>
      <c r="J36" s="144">
        <v>40</v>
      </c>
      <c r="K36" s="143">
        <v>9440</v>
      </c>
      <c r="L36" s="142">
        <v>55214</v>
      </c>
      <c r="M36" s="141">
        <v>118797.84945716905</v>
      </c>
      <c r="N36" s="141">
        <v>5939.8924728584534</v>
      </c>
      <c r="O36" s="155">
        <v>189391.74193002749</v>
      </c>
    </row>
    <row r="37" spans="1:15" x14ac:dyDescent="0.35">
      <c r="A37" s="140"/>
      <c r="B37" s="154" t="s">
        <v>236</v>
      </c>
      <c r="C37" s="153" t="s">
        <v>320</v>
      </c>
      <c r="D37" s="153"/>
      <c r="E37" s="153"/>
      <c r="F37" s="153"/>
      <c r="G37" s="152"/>
      <c r="H37" s="152"/>
      <c r="I37" s="152"/>
      <c r="J37" s="151"/>
      <c r="K37" s="150"/>
      <c r="L37" s="149"/>
      <c r="M37" s="149"/>
      <c r="N37" s="149"/>
      <c r="O37" s="149"/>
    </row>
    <row r="38" spans="1:15" x14ac:dyDescent="0.35">
      <c r="A38" s="140"/>
      <c r="B38" s="139" t="s">
        <v>234</v>
      </c>
      <c r="C38" s="138" t="s">
        <v>301</v>
      </c>
      <c r="D38" s="138"/>
      <c r="E38" s="138"/>
      <c r="F38" s="138"/>
      <c r="G38" s="137"/>
      <c r="H38" s="137"/>
      <c r="I38" s="137"/>
      <c r="J38" s="136"/>
      <c r="K38" s="135"/>
      <c r="L38" s="134"/>
      <c r="M38" s="134"/>
      <c r="N38" s="134"/>
      <c r="O38" s="134"/>
    </row>
    <row r="39" spans="1:15" x14ac:dyDescent="0.35">
      <c r="A39" s="140"/>
      <c r="B39" s="147">
        <v>5000267023632</v>
      </c>
      <c r="C39" s="145" t="s">
        <v>229</v>
      </c>
      <c r="D39" s="146" t="s">
        <v>319</v>
      </c>
      <c r="E39" s="146" t="s">
        <v>227</v>
      </c>
      <c r="F39" s="146">
        <v>1002</v>
      </c>
      <c r="G39" s="145">
        <v>734967</v>
      </c>
      <c r="H39" s="145">
        <v>1000</v>
      </c>
      <c r="I39" s="145">
        <v>12</v>
      </c>
      <c r="J39" s="144">
        <v>40</v>
      </c>
      <c r="K39" s="143">
        <v>12600</v>
      </c>
      <c r="L39" s="142">
        <v>27245</v>
      </c>
      <c r="M39" s="141">
        <v>60520.289855072457</v>
      </c>
      <c r="N39" s="141">
        <v>3026.014492753623</v>
      </c>
      <c r="O39" s="141">
        <v>103391.30434782608</v>
      </c>
    </row>
    <row r="40" spans="1:15" x14ac:dyDescent="0.35">
      <c r="A40" s="140"/>
      <c r="B40" s="147">
        <v>5000267116549</v>
      </c>
      <c r="C40" s="145" t="s">
        <v>229</v>
      </c>
      <c r="D40" s="146" t="s">
        <v>318</v>
      </c>
      <c r="E40" s="146" t="s">
        <v>227</v>
      </c>
      <c r="F40" s="146">
        <v>1010</v>
      </c>
      <c r="G40" s="145">
        <v>737367</v>
      </c>
      <c r="H40" s="145">
        <v>750</v>
      </c>
      <c r="I40" s="145">
        <v>6</v>
      </c>
      <c r="J40" s="144">
        <v>40</v>
      </c>
      <c r="K40" s="143">
        <v>9440</v>
      </c>
      <c r="L40" s="142">
        <v>23580</v>
      </c>
      <c r="M40" s="141">
        <v>62879.503105590062</v>
      </c>
      <c r="N40" s="141">
        <v>3143.9751552795033</v>
      </c>
      <c r="O40" s="141">
        <v>99043.478260869568</v>
      </c>
    </row>
    <row r="41" spans="1:15" x14ac:dyDescent="0.35">
      <c r="A41" s="140"/>
      <c r="B41" s="147">
        <v>5000267024097</v>
      </c>
      <c r="C41" s="145" t="s">
        <v>229</v>
      </c>
      <c r="D41" s="146" t="s">
        <v>317</v>
      </c>
      <c r="E41" s="146" t="s">
        <v>227</v>
      </c>
      <c r="F41" s="146">
        <v>1002</v>
      </c>
      <c r="G41" s="145">
        <v>648100</v>
      </c>
      <c r="H41" s="145">
        <v>750</v>
      </c>
      <c r="I41" s="145">
        <v>12</v>
      </c>
      <c r="J41" s="144">
        <v>40</v>
      </c>
      <c r="K41" s="143">
        <v>9440</v>
      </c>
      <c r="L41" s="142">
        <v>20434</v>
      </c>
      <c r="M41" s="141">
        <v>53453.333333333328</v>
      </c>
      <c r="N41" s="141">
        <v>2672.6666666666665</v>
      </c>
      <c r="O41" s="141">
        <v>86000</v>
      </c>
    </row>
    <row r="42" spans="1:15" x14ac:dyDescent="0.35">
      <c r="A42" s="140"/>
      <c r="B42" s="147">
        <v>5000267024257</v>
      </c>
      <c r="C42" s="145" t="s">
        <v>229</v>
      </c>
      <c r="D42" s="146" t="s">
        <v>316</v>
      </c>
      <c r="E42" s="146" t="s">
        <v>227</v>
      </c>
      <c r="F42" s="146">
        <v>1002</v>
      </c>
      <c r="G42" s="145">
        <v>752304</v>
      </c>
      <c r="H42" s="145">
        <v>700</v>
      </c>
      <c r="I42" s="145">
        <v>12</v>
      </c>
      <c r="J42" s="144">
        <v>40</v>
      </c>
      <c r="K42" s="143">
        <v>8800</v>
      </c>
      <c r="L42" s="142">
        <v>19071</v>
      </c>
      <c r="M42" s="141">
        <v>47907.536231884093</v>
      </c>
      <c r="N42" s="141">
        <v>2395.3768115942048</v>
      </c>
      <c r="O42" s="141">
        <v>78173.9130434783</v>
      </c>
    </row>
    <row r="43" spans="1:15" x14ac:dyDescent="0.35">
      <c r="A43" s="140"/>
      <c r="B43" s="147">
        <v>5000267024660</v>
      </c>
      <c r="C43" s="145" t="s">
        <v>229</v>
      </c>
      <c r="D43" s="146" t="s">
        <v>315</v>
      </c>
      <c r="E43" s="146" t="s">
        <v>227</v>
      </c>
      <c r="F43" s="146">
        <v>1002</v>
      </c>
      <c r="G43" s="145">
        <v>697341</v>
      </c>
      <c r="H43" s="145">
        <v>375</v>
      </c>
      <c r="I43" s="145">
        <v>24</v>
      </c>
      <c r="J43" s="144">
        <v>40</v>
      </c>
      <c r="K43" s="143">
        <v>4720</v>
      </c>
      <c r="L43" s="142">
        <v>10217</v>
      </c>
      <c r="M43" s="141">
        <v>34552.704914909133</v>
      </c>
      <c r="N43" s="141">
        <v>1727.6352457454568</v>
      </c>
      <c r="O43" s="141">
        <v>51217.340160654589</v>
      </c>
    </row>
    <row r="44" spans="1:15" x14ac:dyDescent="0.35">
      <c r="A44" s="140"/>
      <c r="B44" s="147">
        <v>5000267025537</v>
      </c>
      <c r="C44" s="145" t="s">
        <v>229</v>
      </c>
      <c r="D44" s="146" t="s">
        <v>314</v>
      </c>
      <c r="E44" s="146" t="s">
        <v>227</v>
      </c>
      <c r="F44" s="146">
        <v>1002</v>
      </c>
      <c r="G44" s="145">
        <v>639737</v>
      </c>
      <c r="H44" s="145">
        <v>50</v>
      </c>
      <c r="I44" s="145">
        <v>192</v>
      </c>
      <c r="J44" s="144">
        <v>40</v>
      </c>
      <c r="K44" s="143">
        <v>640</v>
      </c>
      <c r="L44" s="142">
        <v>1362</v>
      </c>
      <c r="M44" s="141">
        <v>9604.7204968944097</v>
      </c>
      <c r="N44" s="141">
        <v>480.23602484472053</v>
      </c>
      <c r="O44" s="141">
        <v>12086.95652173913</v>
      </c>
    </row>
    <row r="45" spans="1:15" x14ac:dyDescent="0.35">
      <c r="A45" s="140"/>
      <c r="B45" s="139" t="s">
        <v>234</v>
      </c>
      <c r="C45" s="138" t="s">
        <v>313</v>
      </c>
      <c r="D45" s="138"/>
      <c r="E45" s="138"/>
      <c r="F45" s="138"/>
      <c r="G45" s="137"/>
      <c r="H45" s="137"/>
      <c r="I45" s="137"/>
      <c r="J45" s="136"/>
      <c r="K45" s="135"/>
      <c r="L45" s="134"/>
      <c r="M45" s="134"/>
      <c r="N45" s="134"/>
      <c r="O45" s="134"/>
    </row>
    <row r="46" spans="1:15" x14ac:dyDescent="0.35">
      <c r="A46" s="140"/>
      <c r="B46" s="147">
        <v>5000196001046</v>
      </c>
      <c r="C46" s="145" t="s">
        <v>229</v>
      </c>
      <c r="D46" s="146" t="s">
        <v>312</v>
      </c>
      <c r="E46" s="146" t="s">
        <v>227</v>
      </c>
      <c r="F46" s="146">
        <v>3060</v>
      </c>
      <c r="G46" s="145">
        <v>705585</v>
      </c>
      <c r="H46" s="145">
        <v>1000</v>
      </c>
      <c r="I46" s="145">
        <v>12</v>
      </c>
      <c r="J46" s="144">
        <v>40</v>
      </c>
      <c r="K46" s="143">
        <v>12600</v>
      </c>
      <c r="L46" s="142">
        <v>28824</v>
      </c>
      <c r="M46" s="141">
        <v>78064.049137980706</v>
      </c>
      <c r="N46" s="141">
        <v>3903.2024568990355</v>
      </c>
      <c r="O46" s="141">
        <v>123391.25159487974</v>
      </c>
    </row>
    <row r="47" spans="1:15" x14ac:dyDescent="0.35">
      <c r="A47" s="140"/>
      <c r="B47" s="147">
        <v>5000196001107</v>
      </c>
      <c r="C47" s="145" t="s">
        <v>229</v>
      </c>
      <c r="D47" s="146" t="s">
        <v>311</v>
      </c>
      <c r="E47" s="146" t="s">
        <v>227</v>
      </c>
      <c r="F47" s="146">
        <v>3060</v>
      </c>
      <c r="G47" s="145">
        <v>705545</v>
      </c>
      <c r="H47" s="145">
        <v>750</v>
      </c>
      <c r="I47" s="145">
        <v>12</v>
      </c>
      <c r="J47" s="144">
        <v>40</v>
      </c>
      <c r="K47" s="143">
        <v>9440</v>
      </c>
      <c r="L47" s="142">
        <v>21618</v>
      </c>
      <c r="M47" s="141">
        <v>62263.399634292604</v>
      </c>
      <c r="N47" s="141">
        <v>3113.1699817146305</v>
      </c>
      <c r="O47" s="141">
        <v>96434.56961600724</v>
      </c>
    </row>
    <row r="48" spans="1:15" x14ac:dyDescent="0.35">
      <c r="A48" s="140"/>
      <c r="B48" s="147">
        <v>5000196001152</v>
      </c>
      <c r="C48" s="145" t="s">
        <v>229</v>
      </c>
      <c r="D48" s="146" t="s">
        <v>310</v>
      </c>
      <c r="E48" s="146" t="s">
        <v>227</v>
      </c>
      <c r="F48" s="146">
        <v>3060</v>
      </c>
      <c r="G48" s="145">
        <v>705578</v>
      </c>
      <c r="H48" s="145">
        <v>375</v>
      </c>
      <c r="I48" s="145">
        <v>24</v>
      </c>
      <c r="J48" s="144">
        <v>40</v>
      </c>
      <c r="K48" s="143">
        <v>4720</v>
      </c>
      <c r="L48" s="142">
        <v>10809</v>
      </c>
      <c r="M48" s="141">
        <v>37301.22175176334</v>
      </c>
      <c r="N48" s="141">
        <v>1865.0610875881671</v>
      </c>
      <c r="O48" s="141">
        <v>54695.282839351508</v>
      </c>
    </row>
    <row r="49" spans="1:15" x14ac:dyDescent="0.35">
      <c r="A49" s="140"/>
      <c r="B49" s="139" t="s">
        <v>234</v>
      </c>
      <c r="C49" s="138" t="s">
        <v>309</v>
      </c>
      <c r="D49" s="138"/>
      <c r="E49" s="138"/>
      <c r="F49" s="138"/>
      <c r="G49" s="137"/>
      <c r="H49" s="137"/>
      <c r="I49" s="137"/>
      <c r="J49" s="136"/>
      <c r="K49" s="135"/>
      <c r="L49" s="134"/>
      <c r="M49" s="134"/>
      <c r="N49" s="134"/>
      <c r="O49" s="134"/>
    </row>
    <row r="50" spans="1:15" x14ac:dyDescent="0.35">
      <c r="A50" s="140"/>
      <c r="B50" s="147">
        <v>5000281004068</v>
      </c>
      <c r="C50" s="145" t="s">
        <v>229</v>
      </c>
      <c r="D50" s="146" t="s">
        <v>308</v>
      </c>
      <c r="E50" s="146" t="s">
        <v>227</v>
      </c>
      <c r="F50" s="146">
        <v>3260</v>
      </c>
      <c r="G50" s="145">
        <v>714377</v>
      </c>
      <c r="H50" s="145">
        <v>1000</v>
      </c>
      <c r="I50" s="145">
        <v>12</v>
      </c>
      <c r="J50" s="144">
        <v>40</v>
      </c>
      <c r="K50" s="143">
        <v>12600</v>
      </c>
      <c r="L50" s="142">
        <v>27776</v>
      </c>
      <c r="M50" s="141">
        <v>68296.433602849967</v>
      </c>
      <c r="N50" s="141">
        <v>3414.8216801424987</v>
      </c>
      <c r="O50" s="141">
        <v>112087.25528299247</v>
      </c>
    </row>
    <row r="51" spans="1:15" x14ac:dyDescent="0.35">
      <c r="A51" s="140"/>
      <c r="B51" s="147">
        <v>5000281048895</v>
      </c>
      <c r="C51" s="145" t="s">
        <v>229</v>
      </c>
      <c r="D51" s="146" t="s">
        <v>307</v>
      </c>
      <c r="E51" s="146" t="s">
        <v>227</v>
      </c>
      <c r="F51" s="146">
        <v>3260</v>
      </c>
      <c r="G51" s="145">
        <v>732026</v>
      </c>
      <c r="H51" s="145">
        <v>750</v>
      </c>
      <c r="I51" s="145">
        <v>12</v>
      </c>
      <c r="J51" s="144">
        <v>40</v>
      </c>
      <c r="K51" s="143">
        <v>9440</v>
      </c>
      <c r="L51" s="142">
        <v>20832</v>
      </c>
      <c r="M51" s="141">
        <v>57215.36906448481</v>
      </c>
      <c r="N51" s="141">
        <v>2860.7684532242406</v>
      </c>
      <c r="O51" s="141">
        <v>90348.137517709052</v>
      </c>
    </row>
    <row r="52" spans="1:15" x14ac:dyDescent="0.35">
      <c r="A52" s="140"/>
      <c r="B52" s="147">
        <v>5000281052434</v>
      </c>
      <c r="C52" s="145" t="s">
        <v>229</v>
      </c>
      <c r="D52" s="146" t="s">
        <v>306</v>
      </c>
      <c r="E52" s="146" t="s">
        <v>227</v>
      </c>
      <c r="F52" s="146">
        <v>3260</v>
      </c>
      <c r="G52" s="145">
        <v>742590</v>
      </c>
      <c r="H52" s="145">
        <v>750</v>
      </c>
      <c r="I52" s="145">
        <v>12</v>
      </c>
      <c r="J52" s="144">
        <v>40</v>
      </c>
      <c r="K52" s="143">
        <v>9440</v>
      </c>
      <c r="L52" s="142">
        <v>20832</v>
      </c>
      <c r="M52" s="141">
        <v>57215.36906448481</v>
      </c>
      <c r="N52" s="141">
        <v>2860.7684532242406</v>
      </c>
      <c r="O52" s="141">
        <v>90348.137517709052</v>
      </c>
    </row>
    <row r="53" spans="1:15" x14ac:dyDescent="0.35">
      <c r="A53" s="140"/>
      <c r="B53" s="147">
        <v>5000281003467</v>
      </c>
      <c r="C53" s="145" t="s">
        <v>229</v>
      </c>
      <c r="D53" s="146" t="s">
        <v>305</v>
      </c>
      <c r="E53" s="146" t="s">
        <v>227</v>
      </c>
      <c r="F53" s="146">
        <v>3260</v>
      </c>
      <c r="G53" s="145">
        <v>714325</v>
      </c>
      <c r="H53" s="145">
        <v>750</v>
      </c>
      <c r="I53" s="145">
        <v>12</v>
      </c>
      <c r="J53" s="144">
        <v>40</v>
      </c>
      <c r="K53" s="143">
        <v>9440</v>
      </c>
      <c r="L53" s="142">
        <v>20832</v>
      </c>
      <c r="M53" s="141">
        <v>57215.36906448481</v>
      </c>
      <c r="N53" s="141">
        <v>2860.7684532242406</v>
      </c>
      <c r="O53" s="141">
        <v>90348.137517709052</v>
      </c>
    </row>
    <row r="54" spans="1:15" x14ac:dyDescent="0.35">
      <c r="A54" s="140"/>
      <c r="B54" s="147">
        <v>5000281005010</v>
      </c>
      <c r="C54" s="145" t="s">
        <v>229</v>
      </c>
      <c r="D54" s="146" t="s">
        <v>304</v>
      </c>
      <c r="E54" s="146" t="s">
        <v>227</v>
      </c>
      <c r="F54" s="146">
        <v>3260</v>
      </c>
      <c r="G54" s="145">
        <v>693035</v>
      </c>
      <c r="H54" s="145">
        <v>500</v>
      </c>
      <c r="I54" s="145">
        <v>18</v>
      </c>
      <c r="J54" s="144">
        <v>40</v>
      </c>
      <c r="K54" s="143">
        <v>6280</v>
      </c>
      <c r="L54" s="142">
        <v>13888</v>
      </c>
      <c r="M54" s="141">
        <v>44477.681765450412</v>
      </c>
      <c r="N54" s="141">
        <v>2223.8840882725208</v>
      </c>
      <c r="O54" s="141">
        <v>66869.565853722932</v>
      </c>
    </row>
    <row r="55" spans="1:15" x14ac:dyDescent="0.35">
      <c r="A55" s="140"/>
      <c r="B55" s="147">
        <v>5000281045313</v>
      </c>
      <c r="C55" s="145" t="s">
        <v>229</v>
      </c>
      <c r="D55" s="146" t="s">
        <v>303</v>
      </c>
      <c r="E55" s="146" t="s">
        <v>227</v>
      </c>
      <c r="F55" s="146">
        <v>3260</v>
      </c>
      <c r="G55" s="145">
        <v>710820</v>
      </c>
      <c r="H55" s="145">
        <v>750</v>
      </c>
      <c r="I55" s="145">
        <v>12</v>
      </c>
      <c r="J55" s="144">
        <v>40</v>
      </c>
      <c r="K55" s="143">
        <v>9440</v>
      </c>
      <c r="L55" s="142">
        <v>20832</v>
      </c>
      <c r="M55" s="141">
        <v>57215.36906448481</v>
      </c>
      <c r="N55" s="141">
        <v>2860.7684532242406</v>
      </c>
      <c r="O55" s="141">
        <v>90348.137517709052</v>
      </c>
    </row>
    <row r="56" spans="1:15" x14ac:dyDescent="0.35">
      <c r="A56" s="140"/>
      <c r="B56" s="154" t="s">
        <v>236</v>
      </c>
      <c r="C56" s="153" t="s">
        <v>302</v>
      </c>
      <c r="D56" s="153"/>
      <c r="E56" s="153"/>
      <c r="F56" s="153"/>
      <c r="G56" s="152"/>
      <c r="H56" s="152"/>
      <c r="I56" s="152"/>
      <c r="J56" s="151"/>
      <c r="K56" s="150"/>
      <c r="L56" s="149"/>
      <c r="M56" s="149"/>
      <c r="N56" s="149"/>
      <c r="O56" s="149"/>
    </row>
    <row r="57" spans="1:15" x14ac:dyDescent="0.35">
      <c r="A57" s="140"/>
      <c r="B57" s="139" t="s">
        <v>234</v>
      </c>
      <c r="C57" s="138" t="s">
        <v>301</v>
      </c>
      <c r="D57" s="138"/>
      <c r="E57" s="138"/>
      <c r="F57" s="138"/>
      <c r="G57" s="137"/>
      <c r="H57" s="137"/>
      <c r="I57" s="137"/>
      <c r="J57" s="136"/>
      <c r="K57" s="135"/>
      <c r="L57" s="134"/>
      <c r="M57" s="134"/>
      <c r="N57" s="134"/>
      <c r="O57" s="134"/>
    </row>
    <row r="58" spans="1:15" x14ac:dyDescent="0.35">
      <c r="A58" s="140"/>
      <c r="B58" s="147">
        <v>5000267013633</v>
      </c>
      <c r="C58" s="145" t="s">
        <v>229</v>
      </c>
      <c r="D58" s="146" t="s">
        <v>300</v>
      </c>
      <c r="E58" s="146" t="s">
        <v>227</v>
      </c>
      <c r="F58" s="146">
        <v>1001</v>
      </c>
      <c r="G58" s="145">
        <v>686437</v>
      </c>
      <c r="H58" s="145">
        <v>1000</v>
      </c>
      <c r="I58" s="145">
        <v>12</v>
      </c>
      <c r="J58" s="144">
        <v>40</v>
      </c>
      <c r="K58" s="143">
        <v>12600</v>
      </c>
      <c r="L58" s="142">
        <v>13120</v>
      </c>
      <c r="M58" s="141">
        <v>26767.701863354039</v>
      </c>
      <c r="N58" s="141">
        <v>1338.3850931677021</v>
      </c>
      <c r="O58" s="141">
        <v>53826.086956521744</v>
      </c>
    </row>
    <row r="59" spans="1:15" x14ac:dyDescent="0.35">
      <c r="A59" s="140"/>
      <c r="B59" s="147">
        <v>5000267014081</v>
      </c>
      <c r="C59" s="145" t="s">
        <v>229</v>
      </c>
      <c r="D59" s="146" t="s">
        <v>299</v>
      </c>
      <c r="E59" s="146" t="s">
        <v>227</v>
      </c>
      <c r="F59" s="146">
        <v>1001</v>
      </c>
      <c r="G59" s="145">
        <v>684174</v>
      </c>
      <c r="H59" s="145">
        <v>750</v>
      </c>
      <c r="I59" s="145">
        <v>12</v>
      </c>
      <c r="J59" s="144">
        <v>40</v>
      </c>
      <c r="K59" s="143">
        <v>9440</v>
      </c>
      <c r="L59" s="142">
        <v>9840</v>
      </c>
      <c r="M59" s="141">
        <v>22963.146997929605</v>
      </c>
      <c r="N59" s="141">
        <v>1148.1573498964804</v>
      </c>
      <c r="O59" s="141">
        <v>43391.304347826081</v>
      </c>
    </row>
    <row r="60" spans="1:15" x14ac:dyDescent="0.35">
      <c r="A60" s="140"/>
      <c r="B60" s="147">
        <v>5000267014623</v>
      </c>
      <c r="C60" s="145" t="s">
        <v>229</v>
      </c>
      <c r="D60" s="146" t="s">
        <v>298</v>
      </c>
      <c r="E60" s="146" t="s">
        <v>227</v>
      </c>
      <c r="F60" s="146">
        <v>1001</v>
      </c>
      <c r="G60" s="145">
        <v>697179</v>
      </c>
      <c r="H60" s="145">
        <v>375</v>
      </c>
      <c r="I60" s="145">
        <v>24</v>
      </c>
      <c r="J60" s="144">
        <v>40</v>
      </c>
      <c r="K60" s="143">
        <v>4720</v>
      </c>
      <c r="L60" s="142">
        <v>4920</v>
      </c>
      <c r="M60" s="141">
        <v>15580.952380952383</v>
      </c>
      <c r="N60" s="141">
        <v>779.04761904761926</v>
      </c>
      <c r="O60" s="141">
        <v>26000</v>
      </c>
    </row>
    <row r="61" spans="1:15" x14ac:dyDescent="0.35">
      <c r="A61" s="140"/>
      <c r="B61" s="147">
        <v>5000267167954</v>
      </c>
      <c r="C61" s="145" t="s">
        <v>229</v>
      </c>
      <c r="D61" s="146" t="s">
        <v>297</v>
      </c>
      <c r="E61" s="146" t="s">
        <v>227</v>
      </c>
      <c r="F61" s="146">
        <v>1066</v>
      </c>
      <c r="G61" s="145">
        <v>734472</v>
      </c>
      <c r="H61" s="145">
        <v>750</v>
      </c>
      <c r="I61" s="145">
        <v>12</v>
      </c>
      <c r="J61" s="144">
        <v>40</v>
      </c>
      <c r="K61" s="143">
        <v>9440</v>
      </c>
      <c r="L61" s="142">
        <v>10823</v>
      </c>
      <c r="M61" s="141">
        <v>30308.530020703936</v>
      </c>
      <c r="N61" s="141">
        <v>1515.4265010351969</v>
      </c>
      <c r="O61" s="141">
        <v>52086.956521739135</v>
      </c>
    </row>
    <row r="62" spans="1:15" x14ac:dyDescent="0.35">
      <c r="A62" s="140"/>
      <c r="B62" s="139" t="s">
        <v>234</v>
      </c>
      <c r="C62" s="138" t="s">
        <v>296</v>
      </c>
      <c r="D62" s="138"/>
      <c r="E62" s="138"/>
      <c r="F62" s="138"/>
      <c r="G62" s="137"/>
      <c r="H62" s="137"/>
      <c r="I62" s="137"/>
      <c r="J62" s="136"/>
      <c r="K62" s="135"/>
      <c r="L62" s="134"/>
      <c r="M62" s="134"/>
      <c r="N62" s="134"/>
      <c r="O62" s="134"/>
    </row>
    <row r="63" spans="1:15" x14ac:dyDescent="0.35">
      <c r="A63" s="140"/>
      <c r="B63" s="147">
        <v>5010103804394</v>
      </c>
      <c r="C63" s="145" t="s">
        <v>229</v>
      </c>
      <c r="D63" s="146" t="s">
        <v>295</v>
      </c>
      <c r="E63" s="146" t="s">
        <v>227</v>
      </c>
      <c r="F63" s="146">
        <v>1200</v>
      </c>
      <c r="G63" s="145">
        <v>628696</v>
      </c>
      <c r="H63" s="145">
        <v>750</v>
      </c>
      <c r="I63" s="145">
        <v>12</v>
      </c>
      <c r="J63" s="144">
        <v>40</v>
      </c>
      <c r="K63" s="143">
        <v>9440</v>
      </c>
      <c r="L63" s="142">
        <v>12702</v>
      </c>
      <c r="M63" s="141">
        <v>33487.950310559005</v>
      </c>
      <c r="N63" s="141">
        <v>1674.3975155279504</v>
      </c>
      <c r="O63" s="141">
        <v>57304.34782608696</v>
      </c>
    </row>
    <row r="64" spans="1:15" x14ac:dyDescent="0.35">
      <c r="A64" s="140"/>
      <c r="B64" s="147">
        <v>5010103934473</v>
      </c>
      <c r="C64" s="145" t="s">
        <v>229</v>
      </c>
      <c r="D64" s="146" t="s">
        <v>294</v>
      </c>
      <c r="E64" s="146" t="s">
        <v>227</v>
      </c>
      <c r="F64" s="146">
        <v>1207</v>
      </c>
      <c r="G64" s="145">
        <v>693516</v>
      </c>
      <c r="H64" s="145">
        <v>700</v>
      </c>
      <c r="I64" s="145">
        <v>6</v>
      </c>
      <c r="J64" s="144">
        <v>35</v>
      </c>
      <c r="K64" s="143">
        <v>7700</v>
      </c>
      <c r="L64" s="142">
        <v>7494</v>
      </c>
      <c r="M64" s="141">
        <v>21057.474120082818</v>
      </c>
      <c r="N64" s="141">
        <v>1052.873706004141</v>
      </c>
      <c r="O64" s="141">
        <v>37304.34782608696</v>
      </c>
    </row>
    <row r="65" spans="1:15" x14ac:dyDescent="0.35">
      <c r="A65" s="140"/>
      <c r="B65" s="139" t="s">
        <v>234</v>
      </c>
      <c r="C65" s="138" t="s">
        <v>293</v>
      </c>
      <c r="D65" s="138"/>
      <c r="E65" s="138"/>
      <c r="F65" s="138"/>
      <c r="G65" s="137"/>
      <c r="H65" s="137"/>
      <c r="I65" s="137"/>
      <c r="J65" s="136"/>
      <c r="K65" s="135"/>
      <c r="L65" s="134"/>
      <c r="M65" s="134"/>
      <c r="N65" s="134"/>
      <c r="O65" s="134"/>
    </row>
    <row r="66" spans="1:15" x14ac:dyDescent="0.35">
      <c r="A66" s="140"/>
      <c r="B66" s="147">
        <v>87000500204</v>
      </c>
      <c r="C66" s="145" t="s">
        <v>229</v>
      </c>
      <c r="D66" s="146" t="s">
        <v>292</v>
      </c>
      <c r="E66" s="146" t="s">
        <v>227</v>
      </c>
      <c r="F66" s="146">
        <v>3420</v>
      </c>
      <c r="G66" s="145">
        <v>583689</v>
      </c>
      <c r="H66" s="145">
        <v>750</v>
      </c>
      <c r="I66" s="145">
        <v>12</v>
      </c>
      <c r="J66" s="144">
        <v>40</v>
      </c>
      <c r="K66" s="143">
        <v>9440</v>
      </c>
      <c r="L66" s="142">
        <v>13189</v>
      </c>
      <c r="M66" s="141">
        <v>41305.714285714283</v>
      </c>
      <c r="N66" s="141">
        <v>2065.2857142857142</v>
      </c>
      <c r="O66" s="141">
        <v>66000</v>
      </c>
    </row>
    <row r="67" spans="1:15" x14ac:dyDescent="0.35">
      <c r="A67" s="140"/>
      <c r="B67" s="154" t="s">
        <v>236</v>
      </c>
      <c r="C67" s="153" t="s">
        <v>291</v>
      </c>
      <c r="D67" s="153"/>
      <c r="E67" s="153"/>
      <c r="F67" s="153"/>
      <c r="G67" s="152"/>
      <c r="H67" s="152"/>
      <c r="I67" s="152"/>
      <c r="J67" s="151"/>
      <c r="K67" s="150"/>
      <c r="L67" s="149"/>
      <c r="M67" s="149"/>
      <c r="N67" s="149"/>
      <c r="O67" s="149"/>
    </row>
    <row r="68" spans="1:15" x14ac:dyDescent="0.35">
      <c r="A68" s="140"/>
      <c r="B68" s="139" t="s">
        <v>234</v>
      </c>
      <c r="C68" s="138" t="s">
        <v>290</v>
      </c>
      <c r="D68" s="138"/>
      <c r="E68" s="138"/>
      <c r="F68" s="138"/>
      <c r="G68" s="137"/>
      <c r="H68" s="137"/>
      <c r="I68" s="137"/>
      <c r="J68" s="136"/>
      <c r="K68" s="135"/>
      <c r="L68" s="134"/>
      <c r="M68" s="134"/>
      <c r="N68" s="134"/>
      <c r="O68" s="134"/>
    </row>
    <row r="69" spans="1:15" x14ac:dyDescent="0.35">
      <c r="A69" s="140"/>
      <c r="B69" s="147">
        <v>5000196001343</v>
      </c>
      <c r="C69" s="145" t="s">
        <v>229</v>
      </c>
      <c r="D69" s="146" t="s">
        <v>289</v>
      </c>
      <c r="E69" s="146" t="s">
        <v>227</v>
      </c>
      <c r="F69" s="146">
        <v>6500</v>
      </c>
      <c r="G69" s="145">
        <v>687403</v>
      </c>
      <c r="H69" s="145">
        <v>750</v>
      </c>
      <c r="I69" s="145">
        <v>12</v>
      </c>
      <c r="J69" s="144">
        <v>40</v>
      </c>
      <c r="K69" s="143">
        <v>9440</v>
      </c>
      <c r="L69" s="142">
        <v>7530</v>
      </c>
      <c r="M69" s="141">
        <v>21022.360248447207</v>
      </c>
      <c r="N69" s="141">
        <v>1051.1180124223604</v>
      </c>
      <c r="O69" s="141">
        <v>39043.478260869568</v>
      </c>
    </row>
    <row r="70" spans="1:15" x14ac:dyDescent="0.35">
      <c r="A70" s="140"/>
      <c r="B70" s="147">
        <v>5000196001381</v>
      </c>
      <c r="C70" s="145" t="s">
        <v>229</v>
      </c>
      <c r="D70" s="146" t="s">
        <v>288</v>
      </c>
      <c r="E70" s="146" t="s">
        <v>227</v>
      </c>
      <c r="F70" s="146">
        <v>6500</v>
      </c>
      <c r="G70" s="145">
        <v>734209</v>
      </c>
      <c r="H70" s="145">
        <v>700</v>
      </c>
      <c r="I70" s="145">
        <v>12</v>
      </c>
      <c r="J70" s="144">
        <v>40</v>
      </c>
      <c r="K70" s="143">
        <v>8800</v>
      </c>
      <c r="L70" s="142">
        <v>7028</v>
      </c>
      <c r="M70" s="141">
        <v>22109.979296066253</v>
      </c>
      <c r="N70" s="141">
        <v>1105.4989648033127</v>
      </c>
      <c r="O70" s="141">
        <v>39043.478260869568</v>
      </c>
    </row>
    <row r="71" spans="1:15" x14ac:dyDescent="0.35">
      <c r="A71" s="140"/>
      <c r="B71" s="147">
        <v>5000196001435</v>
      </c>
      <c r="C71" s="145" t="s">
        <v>229</v>
      </c>
      <c r="D71" s="146" t="s">
        <v>287</v>
      </c>
      <c r="E71" s="146" t="s">
        <v>227</v>
      </c>
      <c r="F71" s="146">
        <v>6500</v>
      </c>
      <c r="G71" s="145">
        <v>714075</v>
      </c>
      <c r="H71" s="145">
        <v>375</v>
      </c>
      <c r="I71" s="145">
        <v>24</v>
      </c>
      <c r="J71" s="144">
        <v>40</v>
      </c>
      <c r="K71" s="143">
        <v>4720</v>
      </c>
      <c r="L71" s="142">
        <v>3765</v>
      </c>
      <c r="M71" s="141">
        <v>13368.32298136646</v>
      </c>
      <c r="N71" s="141">
        <v>668.41614906832308</v>
      </c>
      <c r="O71" s="141">
        <v>22521.739130434784</v>
      </c>
    </row>
    <row r="72" spans="1:15" x14ac:dyDescent="0.35">
      <c r="A72" s="140"/>
      <c r="B72" s="139" t="s">
        <v>234</v>
      </c>
      <c r="C72" s="138" t="s">
        <v>286</v>
      </c>
      <c r="D72" s="138"/>
      <c r="E72" s="138"/>
      <c r="F72" s="138"/>
      <c r="G72" s="137"/>
      <c r="H72" s="137"/>
      <c r="I72" s="137"/>
      <c r="J72" s="136"/>
      <c r="K72" s="135"/>
      <c r="L72" s="134"/>
      <c r="M72" s="134"/>
      <c r="N72" s="134"/>
      <c r="O72" s="134"/>
    </row>
    <row r="73" spans="1:15" x14ac:dyDescent="0.35">
      <c r="A73" s="140"/>
      <c r="B73" s="147">
        <v>5000292001063</v>
      </c>
      <c r="C73" s="145" t="s">
        <v>229</v>
      </c>
      <c r="D73" s="146" t="s">
        <v>285</v>
      </c>
      <c r="E73" s="146" t="s">
        <v>227</v>
      </c>
      <c r="F73" s="146">
        <v>6780</v>
      </c>
      <c r="G73" s="145">
        <v>734697</v>
      </c>
      <c r="H73" s="145">
        <v>750</v>
      </c>
      <c r="I73" s="145">
        <v>12</v>
      </c>
      <c r="J73" s="144">
        <v>40</v>
      </c>
      <c r="K73" s="143">
        <v>9440</v>
      </c>
      <c r="L73" s="142">
        <v>5726</v>
      </c>
      <c r="M73" s="141">
        <v>15287.238660671923</v>
      </c>
      <c r="N73" s="141">
        <v>764.36193303359619</v>
      </c>
      <c r="O73" s="141">
        <v>31217.60059370552</v>
      </c>
    </row>
    <row r="74" spans="1:15" ht="16.5" customHeight="1" x14ac:dyDescent="0.35">
      <c r="A74" s="140"/>
      <c r="B74" s="138" t="s">
        <v>234</v>
      </c>
      <c r="C74" s="138" t="s">
        <v>284</v>
      </c>
      <c r="D74" s="138"/>
      <c r="E74" s="138"/>
      <c r="F74" s="138"/>
      <c r="G74" s="137"/>
      <c r="H74" s="137"/>
      <c r="I74" s="137"/>
      <c r="J74" s="136"/>
      <c r="K74" s="137"/>
      <c r="L74" s="137"/>
      <c r="M74" s="137"/>
      <c r="N74" s="137"/>
      <c r="O74" s="137"/>
    </row>
    <row r="75" spans="1:15" x14ac:dyDescent="0.35">
      <c r="A75" s="140"/>
      <c r="B75" s="147">
        <v>82000763635</v>
      </c>
      <c r="C75" s="145" t="s">
        <v>229</v>
      </c>
      <c r="D75" s="146" t="s">
        <v>283</v>
      </c>
      <c r="E75" s="146" t="s">
        <v>227</v>
      </c>
      <c r="F75" s="146">
        <v>6505</v>
      </c>
      <c r="G75" s="145">
        <v>746198</v>
      </c>
      <c r="H75" s="145">
        <v>750</v>
      </c>
      <c r="I75" s="145">
        <v>12</v>
      </c>
      <c r="J75" s="144">
        <v>45</v>
      </c>
      <c r="K75" s="143">
        <v>10620</v>
      </c>
      <c r="L75" s="142">
        <v>20542</v>
      </c>
      <c r="M75" s="141">
        <v>59680.08281573499</v>
      </c>
      <c r="N75" s="141">
        <v>2984.0041407867498</v>
      </c>
      <c r="O75" s="141">
        <v>93826.086956521744</v>
      </c>
    </row>
    <row r="76" spans="1:15" x14ac:dyDescent="0.35">
      <c r="A76" s="140"/>
      <c r="B76" s="147">
        <v>82000763680</v>
      </c>
      <c r="C76" s="145" t="s">
        <v>229</v>
      </c>
      <c r="D76" s="146" t="s">
        <v>282</v>
      </c>
      <c r="E76" s="146" t="s">
        <v>227</v>
      </c>
      <c r="F76" s="146">
        <v>6508</v>
      </c>
      <c r="G76" s="145">
        <v>716409</v>
      </c>
      <c r="H76" s="145">
        <v>750</v>
      </c>
      <c r="I76" s="145">
        <v>12</v>
      </c>
      <c r="J76" s="144">
        <v>45</v>
      </c>
      <c r="K76" s="143">
        <v>10620</v>
      </c>
      <c r="L76" s="142">
        <v>22801</v>
      </c>
      <c r="M76" s="141">
        <v>67466.542443064187</v>
      </c>
      <c r="N76" s="141">
        <v>3373.3271221532095</v>
      </c>
      <c r="O76" s="141">
        <v>104260.86956521739</v>
      </c>
    </row>
    <row r="77" spans="1:15" x14ac:dyDescent="0.35">
      <c r="A77" s="140"/>
      <c r="B77" s="154" t="s">
        <v>236</v>
      </c>
      <c r="C77" s="153" t="s">
        <v>281</v>
      </c>
      <c r="D77" s="153"/>
      <c r="E77" s="153"/>
      <c r="F77" s="153"/>
      <c r="G77" s="152"/>
      <c r="H77" s="152"/>
      <c r="I77" s="152"/>
      <c r="J77" s="151"/>
      <c r="K77" s="150"/>
      <c r="L77" s="149"/>
      <c r="M77" s="149"/>
      <c r="N77" s="149"/>
      <c r="O77" s="149"/>
    </row>
    <row r="78" spans="1:15" x14ac:dyDescent="0.35">
      <c r="A78" s="140"/>
      <c r="B78" s="139" t="s">
        <v>234</v>
      </c>
      <c r="C78" s="138" t="s">
        <v>280</v>
      </c>
      <c r="D78" s="138"/>
      <c r="E78" s="138"/>
      <c r="F78" s="138"/>
      <c r="G78" s="137"/>
      <c r="H78" s="137"/>
      <c r="I78" s="137"/>
      <c r="J78" s="136"/>
      <c r="K78" s="135"/>
      <c r="L78" s="134"/>
      <c r="M78" s="134"/>
      <c r="N78" s="134"/>
      <c r="O78" s="134"/>
    </row>
    <row r="79" spans="1:15" x14ac:dyDescent="0.35">
      <c r="A79" s="140"/>
      <c r="B79" s="147">
        <v>5410316951838</v>
      </c>
      <c r="C79" s="145" t="s">
        <v>229</v>
      </c>
      <c r="D79" s="146" t="s">
        <v>279</v>
      </c>
      <c r="E79" s="146" t="s">
        <v>227</v>
      </c>
      <c r="F79" s="146">
        <v>1267</v>
      </c>
      <c r="G79" s="145">
        <v>737182</v>
      </c>
      <c r="H79" s="145">
        <v>750</v>
      </c>
      <c r="I79" s="145">
        <v>12</v>
      </c>
      <c r="J79" s="144">
        <v>25</v>
      </c>
      <c r="K79" s="143">
        <v>5900</v>
      </c>
      <c r="L79" s="142">
        <v>6482</v>
      </c>
      <c r="M79" s="141">
        <v>14318.730158730159</v>
      </c>
      <c r="N79" s="141">
        <v>715.93650793650795</v>
      </c>
      <c r="O79" s="141">
        <v>27416.666666666668</v>
      </c>
    </row>
    <row r="80" spans="1:15" x14ac:dyDescent="0.35">
      <c r="A80" s="140"/>
      <c r="B80" s="147">
        <v>5410316951814</v>
      </c>
      <c r="C80" s="145" t="s">
        <v>229</v>
      </c>
      <c r="D80" s="146" t="s">
        <v>278</v>
      </c>
      <c r="E80" s="146" t="s">
        <v>227</v>
      </c>
      <c r="F80" s="146">
        <v>1267</v>
      </c>
      <c r="G80" s="145">
        <v>737164</v>
      </c>
      <c r="H80" s="145">
        <v>375</v>
      </c>
      <c r="I80" s="145">
        <v>24</v>
      </c>
      <c r="J80" s="144">
        <v>25</v>
      </c>
      <c r="K80" s="143">
        <v>2950</v>
      </c>
      <c r="L80" s="142">
        <v>3241</v>
      </c>
      <c r="M80" s="141">
        <v>8310.1587301587315</v>
      </c>
      <c r="N80" s="141">
        <v>415.50793650793662</v>
      </c>
      <c r="O80" s="141">
        <v>14916.666666666668</v>
      </c>
    </row>
    <row r="81" spans="1:15" x14ac:dyDescent="0.35">
      <c r="A81" s="140"/>
      <c r="B81" s="147">
        <v>7707096293684</v>
      </c>
      <c r="C81" s="145" t="s">
        <v>229</v>
      </c>
      <c r="D81" s="146" t="s">
        <v>277</v>
      </c>
      <c r="E81" s="146" t="s">
        <v>227</v>
      </c>
      <c r="F81" s="146">
        <v>1267</v>
      </c>
      <c r="G81" s="145">
        <v>744814</v>
      </c>
      <c r="H81" s="145">
        <v>375</v>
      </c>
      <c r="I81" s="145">
        <v>24</v>
      </c>
      <c r="J81" s="144">
        <v>25</v>
      </c>
      <c r="K81" s="143">
        <v>2950</v>
      </c>
      <c r="L81" s="142">
        <v>3241</v>
      </c>
      <c r="M81" s="141">
        <v>8310.1587301587315</v>
      </c>
      <c r="N81" s="141">
        <v>415.50793650793662</v>
      </c>
      <c r="O81" s="141">
        <v>14916.666666666668</v>
      </c>
    </row>
    <row r="82" spans="1:15" x14ac:dyDescent="0.35">
      <c r="A82" s="140"/>
      <c r="B82" s="139" t="s">
        <v>234</v>
      </c>
      <c r="C82" s="138" t="s">
        <v>276</v>
      </c>
      <c r="D82" s="138"/>
      <c r="E82" s="138"/>
      <c r="F82" s="138"/>
      <c r="G82" s="137"/>
      <c r="H82" s="137"/>
      <c r="I82" s="137"/>
      <c r="J82" s="136"/>
      <c r="K82" s="135"/>
      <c r="L82" s="134"/>
      <c r="M82" s="134"/>
      <c r="N82" s="134"/>
      <c r="O82" s="134"/>
    </row>
    <row r="83" spans="1:15" x14ac:dyDescent="0.35">
      <c r="A83" s="140"/>
      <c r="B83" s="147">
        <v>5410316416719</v>
      </c>
      <c r="C83" s="145" t="s">
        <v>229</v>
      </c>
      <c r="D83" s="146" t="s">
        <v>275</v>
      </c>
      <c r="E83" s="146" t="s">
        <v>227</v>
      </c>
      <c r="F83" s="146">
        <v>1100</v>
      </c>
      <c r="G83" s="145">
        <v>713648</v>
      </c>
      <c r="H83" s="145">
        <v>700</v>
      </c>
      <c r="I83" s="145">
        <v>12</v>
      </c>
      <c r="J83" s="144">
        <v>40</v>
      </c>
      <c r="K83" s="143">
        <v>8800</v>
      </c>
      <c r="L83" s="142">
        <v>12248</v>
      </c>
      <c r="M83" s="141">
        <v>31527.781066590207</v>
      </c>
      <c r="N83" s="141">
        <v>1576.3890533295105</v>
      </c>
      <c r="O83" s="141">
        <v>54152.17011991972</v>
      </c>
    </row>
    <row r="84" spans="1:15" x14ac:dyDescent="0.35">
      <c r="A84" s="140"/>
      <c r="B84" s="147">
        <v>5410316901581</v>
      </c>
      <c r="C84" s="145" t="s">
        <v>229</v>
      </c>
      <c r="D84" s="146" t="s">
        <v>274</v>
      </c>
      <c r="E84" s="146" t="s">
        <v>227</v>
      </c>
      <c r="F84" s="146">
        <v>1100</v>
      </c>
      <c r="G84" s="145">
        <v>715116</v>
      </c>
      <c r="H84" s="145">
        <v>350</v>
      </c>
      <c r="I84" s="145">
        <v>24</v>
      </c>
      <c r="J84" s="144">
        <v>40</v>
      </c>
      <c r="K84" s="143">
        <v>4400</v>
      </c>
      <c r="L84" s="142">
        <v>6124</v>
      </c>
      <c r="M84" s="141">
        <v>18879.731015809979</v>
      </c>
      <c r="N84" s="141">
        <v>943.986550790499</v>
      </c>
      <c r="O84" s="141">
        <v>30347.717566600477</v>
      </c>
    </row>
    <row r="85" spans="1:15" x14ac:dyDescent="0.35">
      <c r="A85" s="140"/>
      <c r="B85" s="139" t="s">
        <v>234</v>
      </c>
      <c r="C85" s="138" t="s">
        <v>273</v>
      </c>
      <c r="D85" s="138"/>
      <c r="E85" s="138"/>
      <c r="F85" s="138"/>
      <c r="G85" s="137"/>
      <c r="H85" s="137"/>
      <c r="I85" s="137"/>
      <c r="J85" s="136"/>
      <c r="K85" s="135"/>
      <c r="L85" s="134"/>
      <c r="M85" s="134"/>
      <c r="N85" s="134"/>
      <c r="O85" s="134"/>
    </row>
    <row r="86" spans="1:15" x14ac:dyDescent="0.35">
      <c r="A86" s="140"/>
      <c r="B86" s="147">
        <v>5010103939775</v>
      </c>
      <c r="C86" s="145" t="s">
        <v>229</v>
      </c>
      <c r="D86" s="146" t="s">
        <v>272</v>
      </c>
      <c r="E86" s="146" t="s">
        <v>227</v>
      </c>
      <c r="F86" s="146">
        <v>6000</v>
      </c>
      <c r="G86" s="145">
        <v>733798</v>
      </c>
      <c r="H86" s="145">
        <v>750</v>
      </c>
      <c r="I86" s="145">
        <v>12</v>
      </c>
      <c r="J86" s="144">
        <v>40</v>
      </c>
      <c r="K86" s="143">
        <v>9440</v>
      </c>
      <c r="L86" s="142">
        <v>24361</v>
      </c>
      <c r="M86" s="141">
        <v>65448.322983465623</v>
      </c>
      <c r="N86" s="141">
        <v>3272.4161491732812</v>
      </c>
      <c r="O86" s="141">
        <v>102521.7391326389</v>
      </c>
    </row>
    <row r="87" spans="1:15" x14ac:dyDescent="0.35">
      <c r="A87" s="140"/>
      <c r="B87" s="139" t="s">
        <v>234</v>
      </c>
      <c r="C87" s="138" t="s">
        <v>271</v>
      </c>
      <c r="D87" s="138"/>
      <c r="E87" s="138"/>
      <c r="F87" s="138"/>
      <c r="G87" s="137"/>
      <c r="H87" s="137"/>
      <c r="I87" s="137"/>
      <c r="J87" s="136"/>
      <c r="K87" s="135"/>
      <c r="L87" s="134"/>
      <c r="M87" s="134"/>
      <c r="N87" s="134"/>
      <c r="O87" s="134"/>
    </row>
    <row r="88" spans="1:15" x14ac:dyDescent="0.35">
      <c r="A88" s="140"/>
      <c r="B88" s="147">
        <v>10085156077400</v>
      </c>
      <c r="C88" s="145" t="s">
        <v>229</v>
      </c>
      <c r="D88" s="146" t="s">
        <v>270</v>
      </c>
      <c r="E88" s="146" t="s">
        <v>227</v>
      </c>
      <c r="F88" s="146">
        <v>6705</v>
      </c>
      <c r="G88" s="145">
        <v>668982</v>
      </c>
      <c r="H88" s="145">
        <v>750</v>
      </c>
      <c r="I88" s="145">
        <v>12</v>
      </c>
      <c r="J88" s="144">
        <v>40</v>
      </c>
      <c r="K88" s="143">
        <v>9440</v>
      </c>
      <c r="L88" s="142">
        <v>23599</v>
      </c>
      <c r="M88" s="141">
        <v>57892.51691641262</v>
      </c>
      <c r="N88" s="141">
        <v>2894.6258458206312</v>
      </c>
      <c r="O88" s="141">
        <v>93826.142762233241</v>
      </c>
    </row>
    <row r="89" spans="1:15" x14ac:dyDescent="0.35">
      <c r="A89" s="140"/>
      <c r="B89" s="154" t="s">
        <v>236</v>
      </c>
      <c r="C89" s="153" t="s">
        <v>269</v>
      </c>
      <c r="D89" s="153"/>
      <c r="E89" s="153"/>
      <c r="F89" s="153"/>
      <c r="G89" s="152"/>
      <c r="H89" s="152"/>
      <c r="I89" s="152"/>
      <c r="J89" s="151"/>
      <c r="K89" s="150"/>
      <c r="L89" s="149"/>
      <c r="M89" s="149"/>
      <c r="N89" s="149"/>
      <c r="O89" s="149"/>
    </row>
    <row r="90" spans="1:15" x14ac:dyDescent="0.35">
      <c r="A90" s="140"/>
      <c r="B90" s="139" t="s">
        <v>234</v>
      </c>
      <c r="C90" s="138" t="s">
        <v>268</v>
      </c>
      <c r="D90" s="138"/>
      <c r="E90" s="138"/>
      <c r="F90" s="138"/>
      <c r="G90" s="137"/>
      <c r="H90" s="137"/>
      <c r="I90" s="137"/>
      <c r="J90" s="136"/>
      <c r="K90" s="135"/>
      <c r="L90" s="134"/>
      <c r="M90" s="134"/>
      <c r="N90" s="134"/>
      <c r="O90" s="134"/>
    </row>
    <row r="91" spans="1:15" x14ac:dyDescent="0.35">
      <c r="A91" s="140"/>
      <c r="B91" s="147">
        <v>5410316983709</v>
      </c>
      <c r="C91" s="145" t="s">
        <v>229</v>
      </c>
      <c r="D91" s="146" t="s">
        <v>267</v>
      </c>
      <c r="E91" s="146" t="s">
        <v>227</v>
      </c>
      <c r="F91" s="146">
        <v>1150</v>
      </c>
      <c r="G91" s="145">
        <v>710067</v>
      </c>
      <c r="H91" s="145">
        <v>275</v>
      </c>
      <c r="I91" s="145">
        <v>24</v>
      </c>
      <c r="J91" s="144">
        <v>4</v>
      </c>
      <c r="K91" s="143">
        <v>348</v>
      </c>
      <c r="L91" s="142">
        <v>1028</v>
      </c>
      <c r="M91" s="141">
        <v>2995.9964036394731</v>
      </c>
      <c r="N91" s="141">
        <v>149.79982018197367</v>
      </c>
      <c r="O91" s="141">
        <v>4521.7962238214468</v>
      </c>
    </row>
    <row r="92" spans="1:15" x14ac:dyDescent="0.35">
      <c r="A92" s="140"/>
      <c r="B92" s="147">
        <v>5410316946056</v>
      </c>
      <c r="C92" s="145" t="s">
        <v>229</v>
      </c>
      <c r="D92" s="146" t="s">
        <v>266</v>
      </c>
      <c r="E92" s="146" t="s">
        <v>227</v>
      </c>
      <c r="F92" s="146">
        <v>1172</v>
      </c>
      <c r="G92" s="145">
        <v>735636</v>
      </c>
      <c r="H92" s="145">
        <v>250</v>
      </c>
      <c r="I92" s="145">
        <v>24</v>
      </c>
      <c r="J92" s="144">
        <v>4.7</v>
      </c>
      <c r="K92" s="143">
        <v>371</v>
      </c>
      <c r="L92" s="142">
        <v>979</v>
      </c>
      <c r="M92" s="141">
        <v>3020.7039324844159</v>
      </c>
      <c r="N92" s="141">
        <v>151.03519662422079</v>
      </c>
      <c r="O92" s="141">
        <v>4521.7391291086369</v>
      </c>
    </row>
    <row r="93" spans="1:15" x14ac:dyDescent="0.35">
      <c r="A93" s="140"/>
      <c r="B93" s="147">
        <v>5410316945592</v>
      </c>
      <c r="C93" s="145" t="s">
        <v>229</v>
      </c>
      <c r="D93" s="146" t="s">
        <v>265</v>
      </c>
      <c r="E93" s="146" t="s">
        <v>227</v>
      </c>
      <c r="F93" s="146">
        <v>1150</v>
      </c>
      <c r="G93" s="145">
        <v>713890</v>
      </c>
      <c r="H93" s="145">
        <v>250</v>
      </c>
      <c r="I93" s="145">
        <v>24</v>
      </c>
      <c r="J93" s="144">
        <v>4</v>
      </c>
      <c r="K93" s="143">
        <v>316</v>
      </c>
      <c r="L93" s="142">
        <v>935</v>
      </c>
      <c r="M93" s="141">
        <v>3115.2071548879912</v>
      </c>
      <c r="N93" s="141">
        <v>155.76035774439958</v>
      </c>
      <c r="O93" s="141">
        <v>4521.9675126323909</v>
      </c>
    </row>
    <row r="94" spans="1:15" x14ac:dyDescent="0.35">
      <c r="A94" s="140"/>
      <c r="B94" s="147">
        <v>5410316945998</v>
      </c>
      <c r="C94" s="145" t="s">
        <v>229</v>
      </c>
      <c r="D94" s="146" t="s">
        <v>264</v>
      </c>
      <c r="E94" s="146" t="s">
        <v>227</v>
      </c>
      <c r="F94" s="146">
        <v>1145</v>
      </c>
      <c r="G94" s="145">
        <v>713754</v>
      </c>
      <c r="H94" s="145">
        <v>250</v>
      </c>
      <c r="I94" s="145">
        <v>24</v>
      </c>
      <c r="J94" s="144">
        <v>4</v>
      </c>
      <c r="K94" s="143">
        <v>316</v>
      </c>
      <c r="L94" s="142">
        <v>916</v>
      </c>
      <c r="M94" s="141">
        <v>3133.0848861283648</v>
      </c>
      <c r="N94" s="141">
        <v>156.65424430641826</v>
      </c>
      <c r="O94" s="141">
        <v>4521.739130434783</v>
      </c>
    </row>
    <row r="95" spans="1:15" x14ac:dyDescent="0.35">
      <c r="A95" s="140"/>
      <c r="B95" s="147">
        <v>5410316949002</v>
      </c>
      <c r="C95" s="145" t="s">
        <v>229</v>
      </c>
      <c r="D95" s="146" t="s">
        <v>263</v>
      </c>
      <c r="E95" s="146" t="s">
        <v>227</v>
      </c>
      <c r="F95" s="146">
        <v>1145</v>
      </c>
      <c r="G95" s="145">
        <v>718779</v>
      </c>
      <c r="H95" s="145">
        <v>275</v>
      </c>
      <c r="I95" s="145">
        <v>24</v>
      </c>
      <c r="J95" s="144">
        <v>4</v>
      </c>
      <c r="K95" s="143">
        <v>348</v>
      </c>
      <c r="L95" s="142">
        <v>1008</v>
      </c>
      <c r="M95" s="141">
        <v>3014.9896480331263</v>
      </c>
      <c r="N95" s="141">
        <v>150.74948240165631</v>
      </c>
      <c r="O95" s="141">
        <v>4521.7391304347821</v>
      </c>
    </row>
    <row r="96" spans="1:15" x14ac:dyDescent="0.35">
      <c r="A96" s="140"/>
      <c r="B96" s="154" t="s">
        <v>236</v>
      </c>
      <c r="C96" s="153" t="s">
        <v>262</v>
      </c>
      <c r="D96" s="153"/>
      <c r="E96" s="153"/>
      <c r="F96" s="153"/>
      <c r="G96" s="152"/>
      <c r="H96" s="152"/>
      <c r="I96" s="152"/>
      <c r="J96" s="151"/>
      <c r="K96" s="150"/>
      <c r="L96" s="149"/>
      <c r="M96" s="149"/>
      <c r="N96" s="149"/>
      <c r="O96" s="149"/>
    </row>
    <row r="97" spans="1:15" x14ac:dyDescent="0.35">
      <c r="A97" s="140"/>
      <c r="B97" s="139" t="s">
        <v>234</v>
      </c>
      <c r="C97" s="138" t="s">
        <v>261</v>
      </c>
      <c r="D97" s="138"/>
      <c r="E97" s="138"/>
      <c r="F97" s="138"/>
      <c r="G97" s="137"/>
      <c r="H97" s="137"/>
      <c r="I97" s="137"/>
      <c r="J97" s="136"/>
      <c r="K97" s="135"/>
      <c r="L97" s="134"/>
      <c r="M97" s="134"/>
      <c r="N97" s="134"/>
      <c r="O97" s="134"/>
    </row>
    <row r="98" spans="1:15" x14ac:dyDescent="0.35">
      <c r="A98" s="140"/>
      <c r="B98" s="147">
        <v>5011013100507</v>
      </c>
      <c r="C98" s="145" t="s">
        <v>229</v>
      </c>
      <c r="D98" s="146" t="s">
        <v>260</v>
      </c>
      <c r="E98" s="146" t="s">
        <v>227</v>
      </c>
      <c r="F98" s="146">
        <v>1300</v>
      </c>
      <c r="G98" s="145">
        <v>677793</v>
      </c>
      <c r="H98" s="145">
        <v>1000</v>
      </c>
      <c r="I98" s="145">
        <v>12</v>
      </c>
      <c r="J98" s="144">
        <v>17</v>
      </c>
      <c r="K98" s="143">
        <v>5355</v>
      </c>
      <c r="L98" s="142">
        <v>14584</v>
      </c>
      <c r="M98" s="141">
        <v>39847.947191834253</v>
      </c>
      <c r="N98" s="141">
        <v>1992.3973595917128</v>
      </c>
      <c r="O98" s="141">
        <v>61779.344551425966</v>
      </c>
    </row>
    <row r="99" spans="1:15" x14ac:dyDescent="0.35">
      <c r="A99" s="140"/>
      <c r="B99" s="147">
        <v>5011013100606</v>
      </c>
      <c r="C99" s="145" t="s">
        <v>229</v>
      </c>
      <c r="D99" s="146" t="s">
        <v>259</v>
      </c>
      <c r="E99" s="146" t="s">
        <v>227</v>
      </c>
      <c r="F99" s="146">
        <v>1300</v>
      </c>
      <c r="G99" s="145">
        <v>735109</v>
      </c>
      <c r="H99" s="145">
        <v>700</v>
      </c>
      <c r="I99" s="145">
        <v>12</v>
      </c>
      <c r="J99" s="144">
        <v>17</v>
      </c>
      <c r="K99" s="143">
        <v>3740</v>
      </c>
      <c r="L99" s="142">
        <v>10209</v>
      </c>
      <c r="M99" s="141">
        <v>29410.961246561907</v>
      </c>
      <c r="N99" s="141">
        <v>1470.5480623280955</v>
      </c>
      <c r="O99" s="141">
        <v>44830.509308890003</v>
      </c>
    </row>
    <row r="100" spans="1:15" x14ac:dyDescent="0.35">
      <c r="A100" s="140"/>
      <c r="B100" s="147">
        <v>5011013100552</v>
      </c>
      <c r="C100" s="145" t="s">
        <v>229</v>
      </c>
      <c r="D100" s="146" t="s">
        <v>258</v>
      </c>
      <c r="E100" s="146" t="s">
        <v>227</v>
      </c>
      <c r="F100" s="146">
        <v>1300</v>
      </c>
      <c r="G100" s="145">
        <v>672550</v>
      </c>
      <c r="H100" s="145">
        <v>750</v>
      </c>
      <c r="I100" s="145">
        <v>12</v>
      </c>
      <c r="J100" s="144">
        <v>17</v>
      </c>
      <c r="K100" s="143">
        <v>4012</v>
      </c>
      <c r="L100" s="142">
        <v>10938</v>
      </c>
      <c r="M100" s="141">
        <v>28457.979438015442</v>
      </c>
      <c r="N100" s="141">
        <v>1422.8989719007723</v>
      </c>
      <c r="O100" s="141">
        <v>44830.878409916215</v>
      </c>
    </row>
    <row r="101" spans="1:15" x14ac:dyDescent="0.35">
      <c r="A101" s="140"/>
      <c r="B101" s="147">
        <v>5011013100705</v>
      </c>
      <c r="C101" s="145" t="s">
        <v>229</v>
      </c>
      <c r="D101" s="146" t="s">
        <v>257</v>
      </c>
      <c r="E101" s="146" t="s">
        <v>227</v>
      </c>
      <c r="F101" s="146">
        <v>1300</v>
      </c>
      <c r="G101" s="145">
        <v>672556</v>
      </c>
      <c r="H101" s="145">
        <v>375</v>
      </c>
      <c r="I101" s="145">
        <v>12</v>
      </c>
      <c r="J101" s="144">
        <v>17</v>
      </c>
      <c r="K101" s="143">
        <v>2006</v>
      </c>
      <c r="L101" s="142">
        <v>5469</v>
      </c>
      <c r="M101" s="141">
        <v>18627.522195318805</v>
      </c>
      <c r="N101" s="141">
        <v>931.37610976594033</v>
      </c>
      <c r="O101" s="141">
        <v>27033.898305084746</v>
      </c>
    </row>
    <row r="102" spans="1:15" x14ac:dyDescent="0.35">
      <c r="A102" s="140"/>
      <c r="B102" s="147">
        <v>5011013933785</v>
      </c>
      <c r="C102" s="145" t="s">
        <v>229</v>
      </c>
      <c r="D102" s="146" t="s">
        <v>256</v>
      </c>
      <c r="E102" s="146" t="s">
        <v>227</v>
      </c>
      <c r="F102" s="146">
        <v>1300</v>
      </c>
      <c r="G102" s="145">
        <v>748905</v>
      </c>
      <c r="H102" s="145">
        <v>700</v>
      </c>
      <c r="I102" s="145">
        <v>12</v>
      </c>
      <c r="J102" s="144">
        <v>17</v>
      </c>
      <c r="K102" s="143">
        <v>3740</v>
      </c>
      <c r="L102" s="142">
        <v>10209</v>
      </c>
      <c r="M102" s="141">
        <v>29410.9604519774</v>
      </c>
      <c r="N102" s="141">
        <v>1470.5480225988701</v>
      </c>
      <c r="O102" s="141">
        <v>44830.508474576272</v>
      </c>
    </row>
    <row r="103" spans="1:15" x14ac:dyDescent="0.35">
      <c r="A103" s="140"/>
      <c r="B103" s="154" t="s">
        <v>236</v>
      </c>
      <c r="C103" s="153" t="s">
        <v>255</v>
      </c>
      <c r="D103" s="153"/>
      <c r="E103" s="153"/>
      <c r="F103" s="153"/>
      <c r="G103" s="152"/>
      <c r="H103" s="152"/>
      <c r="I103" s="152"/>
      <c r="J103" s="151"/>
      <c r="K103" s="150"/>
      <c r="L103" s="149"/>
      <c r="M103" s="149"/>
      <c r="N103" s="149"/>
      <c r="O103" s="149"/>
    </row>
    <row r="104" spans="1:15" x14ac:dyDescent="0.35">
      <c r="A104" s="140"/>
      <c r="B104" s="139" t="s">
        <v>234</v>
      </c>
      <c r="C104" s="138"/>
      <c r="D104" s="138"/>
      <c r="E104" s="138"/>
      <c r="F104" s="138"/>
      <c r="G104" s="137"/>
      <c r="H104" s="137"/>
      <c r="I104" s="137"/>
      <c r="J104" s="136"/>
      <c r="K104" s="135"/>
      <c r="L104" s="134"/>
      <c r="M104" s="134"/>
      <c r="N104" s="134"/>
      <c r="O104" s="134"/>
    </row>
    <row r="105" spans="1:15" x14ac:dyDescent="0.35">
      <c r="A105" s="140"/>
      <c r="B105" s="147">
        <v>5000289020725</v>
      </c>
      <c r="C105" s="145" t="s">
        <v>229</v>
      </c>
      <c r="D105" s="146" t="s">
        <v>254</v>
      </c>
      <c r="E105" s="146" t="s">
        <v>227</v>
      </c>
      <c r="F105" s="146">
        <v>3200</v>
      </c>
      <c r="G105" s="145">
        <v>721936</v>
      </c>
      <c r="H105" s="145">
        <v>750</v>
      </c>
      <c r="I105" s="145">
        <v>12</v>
      </c>
      <c r="J105" s="144">
        <v>37.5</v>
      </c>
      <c r="K105" s="143">
        <v>8850</v>
      </c>
      <c r="L105" s="142">
        <v>14133</v>
      </c>
      <c r="M105" s="141">
        <v>34527.893462469736</v>
      </c>
      <c r="N105" s="141">
        <v>1726.3946731234869</v>
      </c>
      <c r="O105" s="141">
        <v>59237.288135593219</v>
      </c>
    </row>
    <row r="106" spans="1:15" x14ac:dyDescent="0.35">
      <c r="A106" s="140"/>
      <c r="B106" s="147">
        <v>5000289926645</v>
      </c>
      <c r="C106" s="145" t="s">
        <v>229</v>
      </c>
      <c r="D106" s="146" t="s">
        <v>253</v>
      </c>
      <c r="E106" s="146" t="s">
        <v>227</v>
      </c>
      <c r="F106" s="146">
        <v>3211</v>
      </c>
      <c r="G106" s="145">
        <v>725361</v>
      </c>
      <c r="H106" s="145">
        <v>700</v>
      </c>
      <c r="I106" s="145">
        <v>6</v>
      </c>
      <c r="J106" s="144">
        <v>37.5</v>
      </c>
      <c r="K106" s="143">
        <v>8250</v>
      </c>
      <c r="L106" s="142">
        <v>15571</v>
      </c>
      <c r="M106" s="141">
        <v>37765.310734463281</v>
      </c>
      <c r="N106" s="141">
        <v>1888.2655367231641</v>
      </c>
      <c r="O106" s="141">
        <v>63474.576271186445</v>
      </c>
    </row>
    <row r="107" spans="1:15" x14ac:dyDescent="0.35">
      <c r="A107" s="140"/>
      <c r="B107" s="139" t="s">
        <v>234</v>
      </c>
      <c r="C107" s="138" t="s">
        <v>252</v>
      </c>
      <c r="D107" s="138"/>
      <c r="E107" s="138"/>
      <c r="F107" s="138"/>
      <c r="G107" s="137"/>
      <c r="H107" s="137"/>
      <c r="I107" s="137"/>
      <c r="J107" s="136"/>
      <c r="K107" s="135"/>
      <c r="L107" s="134"/>
      <c r="M107" s="134"/>
      <c r="N107" s="134"/>
      <c r="O107" s="134"/>
    </row>
    <row r="108" spans="1:15" x14ac:dyDescent="0.35">
      <c r="A108" s="140"/>
      <c r="B108" s="147">
        <v>5000291021970</v>
      </c>
      <c r="C108" s="145" t="s">
        <v>229</v>
      </c>
      <c r="D108" s="146" t="s">
        <v>251</v>
      </c>
      <c r="E108" s="146" t="s">
        <v>227</v>
      </c>
      <c r="F108" s="146">
        <v>1501</v>
      </c>
      <c r="G108" s="145">
        <v>688254</v>
      </c>
      <c r="H108" s="145">
        <v>750</v>
      </c>
      <c r="I108" s="145">
        <v>12</v>
      </c>
      <c r="J108" s="144">
        <v>47.3</v>
      </c>
      <c r="K108" s="143">
        <v>11163</v>
      </c>
      <c r="L108" s="142">
        <v>34348</v>
      </c>
      <c r="M108" s="141">
        <v>101500.96327683414</v>
      </c>
      <c r="N108" s="141">
        <v>5075.0481638417077</v>
      </c>
      <c r="O108" s="141">
        <v>152087.01144067585</v>
      </c>
    </row>
    <row r="109" spans="1:15" x14ac:dyDescent="0.35">
      <c r="A109" s="140"/>
      <c r="B109" s="147">
        <v>5000291020720</v>
      </c>
      <c r="C109" s="145" t="s">
        <v>229</v>
      </c>
      <c r="D109" s="146" t="s">
        <v>250</v>
      </c>
      <c r="E109" s="146" t="s">
        <v>227</v>
      </c>
      <c r="F109" s="146">
        <v>1500</v>
      </c>
      <c r="G109" s="145">
        <v>629666</v>
      </c>
      <c r="H109" s="145">
        <v>750</v>
      </c>
      <c r="I109" s="145">
        <v>12</v>
      </c>
      <c r="J109" s="144">
        <v>47.3</v>
      </c>
      <c r="K109" s="143">
        <v>11163</v>
      </c>
      <c r="L109" s="142">
        <v>20424</v>
      </c>
      <c r="M109" s="141">
        <v>52650.164675517626</v>
      </c>
      <c r="N109" s="141">
        <v>2632.5082337758813</v>
      </c>
      <c r="O109" s="141">
        <v>86869.672909293498</v>
      </c>
    </row>
    <row r="110" spans="1:15" x14ac:dyDescent="0.35">
      <c r="A110" s="140"/>
      <c r="B110" s="147">
        <v>88076175204</v>
      </c>
      <c r="C110" s="145" t="s">
        <v>229</v>
      </c>
      <c r="D110" s="146" t="s">
        <v>249</v>
      </c>
      <c r="E110" s="146" t="s">
        <v>227</v>
      </c>
      <c r="F110" s="146">
        <v>1503</v>
      </c>
      <c r="G110" s="145">
        <v>629492</v>
      </c>
      <c r="H110" s="145">
        <v>750</v>
      </c>
      <c r="I110" s="145">
        <v>12</v>
      </c>
      <c r="J110" s="144">
        <v>41.3</v>
      </c>
      <c r="K110" s="143">
        <v>9747</v>
      </c>
      <c r="L110" s="142">
        <v>24662</v>
      </c>
      <c r="M110" s="141">
        <v>62384.803312629403</v>
      </c>
      <c r="N110" s="141">
        <v>3119.2401656314705</v>
      </c>
      <c r="O110" s="141">
        <v>99913.043478260865</v>
      </c>
    </row>
    <row r="111" spans="1:15" x14ac:dyDescent="0.35">
      <c r="A111" s="140"/>
      <c r="B111" s="154" t="s">
        <v>236</v>
      </c>
      <c r="C111" s="153" t="s">
        <v>248</v>
      </c>
      <c r="D111" s="153"/>
      <c r="E111" s="153"/>
      <c r="F111" s="153"/>
      <c r="G111" s="152"/>
      <c r="H111" s="152"/>
      <c r="I111" s="152"/>
      <c r="J111" s="151"/>
      <c r="K111" s="150"/>
      <c r="L111" s="149"/>
      <c r="M111" s="149"/>
      <c r="N111" s="149"/>
      <c r="O111" s="149"/>
    </row>
    <row r="112" spans="1:15" x14ac:dyDescent="0.35">
      <c r="A112" s="140"/>
      <c r="B112" s="139" t="s">
        <v>234</v>
      </c>
      <c r="C112" s="138" t="s">
        <v>247</v>
      </c>
      <c r="D112" s="138"/>
      <c r="E112" s="138"/>
      <c r="F112" s="138"/>
      <c r="G112" s="137"/>
      <c r="H112" s="137"/>
      <c r="I112" s="137"/>
      <c r="J112" s="136"/>
      <c r="K112" s="135"/>
      <c r="L112" s="134"/>
      <c r="M112" s="134"/>
      <c r="N112" s="134"/>
      <c r="O112" s="134"/>
    </row>
    <row r="113" spans="1:15" x14ac:dyDescent="0.35">
      <c r="A113" s="140"/>
      <c r="B113" s="147">
        <v>10674545001197</v>
      </c>
      <c r="C113" s="145" t="s">
        <v>229</v>
      </c>
      <c r="D113" s="146" t="s">
        <v>246</v>
      </c>
      <c r="E113" s="146" t="s">
        <v>227</v>
      </c>
      <c r="F113" s="146">
        <v>6672</v>
      </c>
      <c r="G113" s="145">
        <v>711705</v>
      </c>
      <c r="H113" s="145">
        <v>750</v>
      </c>
      <c r="I113" s="145">
        <v>6</v>
      </c>
      <c r="J113" s="144">
        <v>38</v>
      </c>
      <c r="K113" s="143">
        <v>8968</v>
      </c>
      <c r="L113" s="142">
        <v>27556</v>
      </c>
      <c r="M113" s="141">
        <v>101778.38509316772</v>
      </c>
      <c r="N113" s="141">
        <v>5088.9192546583863</v>
      </c>
      <c r="O113" s="141">
        <v>143391.30434782611</v>
      </c>
    </row>
    <row r="114" spans="1:15" x14ac:dyDescent="0.35">
      <c r="A114" s="140"/>
      <c r="B114" s="147">
        <v>10674545000541</v>
      </c>
      <c r="C114" s="145" t="s">
        <v>229</v>
      </c>
      <c r="D114" s="146" t="s">
        <v>245</v>
      </c>
      <c r="E114" s="146" t="s">
        <v>227</v>
      </c>
      <c r="F114" s="146">
        <v>6671</v>
      </c>
      <c r="G114" s="145">
        <v>711668</v>
      </c>
      <c r="H114" s="145">
        <v>750</v>
      </c>
      <c r="I114" s="145">
        <v>6</v>
      </c>
      <c r="J114" s="144">
        <v>38</v>
      </c>
      <c r="K114" s="143">
        <v>8968</v>
      </c>
      <c r="L114" s="142">
        <v>24090</v>
      </c>
      <c r="M114" s="141">
        <v>91115.060532687654</v>
      </c>
      <c r="N114" s="141">
        <v>4555.7530266343829</v>
      </c>
      <c r="O114" s="155">
        <v>128728.81355932204</v>
      </c>
    </row>
    <row r="115" spans="1:15" x14ac:dyDescent="0.35">
      <c r="A115" s="140"/>
      <c r="B115" s="147">
        <v>17506064300327</v>
      </c>
      <c r="C115" s="145" t="s">
        <v>229</v>
      </c>
      <c r="D115" s="146" t="s">
        <v>244</v>
      </c>
      <c r="E115" s="146" t="s">
        <v>227</v>
      </c>
      <c r="F115" s="146">
        <v>6670</v>
      </c>
      <c r="G115" s="145">
        <v>751279</v>
      </c>
      <c r="H115" s="145">
        <v>750</v>
      </c>
      <c r="I115" s="145">
        <v>6</v>
      </c>
      <c r="J115" s="144">
        <v>35</v>
      </c>
      <c r="K115" s="143">
        <v>8260</v>
      </c>
      <c r="L115" s="142">
        <v>45669</v>
      </c>
      <c r="M115" s="141">
        <v>109978.98020225039</v>
      </c>
      <c r="N115" s="141">
        <v>5498.9490101125193</v>
      </c>
      <c r="O115" s="141">
        <v>169406.92921236291</v>
      </c>
    </row>
    <row r="116" spans="1:15" x14ac:dyDescent="0.35">
      <c r="A116" s="140"/>
      <c r="B116" s="147">
        <v>10674545000565</v>
      </c>
      <c r="C116" s="145" t="s">
        <v>229</v>
      </c>
      <c r="D116" s="146" t="s">
        <v>243</v>
      </c>
      <c r="E116" s="146" t="s">
        <v>227</v>
      </c>
      <c r="F116" s="146">
        <v>6673</v>
      </c>
      <c r="G116" s="145">
        <v>711736</v>
      </c>
      <c r="H116" s="145">
        <v>750</v>
      </c>
      <c r="I116" s="145">
        <v>6</v>
      </c>
      <c r="J116" s="144">
        <v>38</v>
      </c>
      <c r="K116" s="143">
        <v>8968</v>
      </c>
      <c r="L116" s="142">
        <v>33309</v>
      </c>
      <c r="M116" s="141">
        <v>113812.05811138015</v>
      </c>
      <c r="N116" s="141">
        <v>5690.6029055690078</v>
      </c>
      <c r="O116" s="141">
        <v>161779.66101694916</v>
      </c>
    </row>
    <row r="117" spans="1:15" x14ac:dyDescent="0.35">
      <c r="A117" s="140"/>
      <c r="B117" s="154" t="s">
        <v>236</v>
      </c>
      <c r="C117" s="153" t="s">
        <v>242</v>
      </c>
      <c r="D117" s="153"/>
      <c r="E117" s="153"/>
      <c r="F117" s="153"/>
      <c r="G117" s="152"/>
      <c r="H117" s="152"/>
      <c r="I117" s="152"/>
      <c r="J117" s="151"/>
      <c r="K117" s="150"/>
      <c r="L117" s="149"/>
      <c r="M117" s="149"/>
      <c r="N117" s="149"/>
      <c r="O117" s="149"/>
    </row>
    <row r="118" spans="1:15" x14ac:dyDescent="0.35">
      <c r="A118" s="140"/>
      <c r="B118" s="147">
        <v>8028286000332</v>
      </c>
      <c r="C118" s="145" t="s">
        <v>229</v>
      </c>
      <c r="D118" s="146" t="s">
        <v>241</v>
      </c>
      <c r="E118" s="146" t="s">
        <v>227</v>
      </c>
      <c r="F118" s="146">
        <v>6664</v>
      </c>
      <c r="G118" s="145">
        <v>722746</v>
      </c>
      <c r="H118" s="145">
        <v>700</v>
      </c>
      <c r="I118" s="145">
        <v>6</v>
      </c>
      <c r="J118" s="144">
        <v>40</v>
      </c>
      <c r="K118" s="143">
        <v>8800</v>
      </c>
      <c r="L118" s="142">
        <v>17588</v>
      </c>
      <c r="M118" s="141">
        <v>49264.061319791959</v>
      </c>
      <c r="N118" s="141">
        <v>2463.2030659895981</v>
      </c>
      <c r="O118" s="141">
        <v>78115.264385781556</v>
      </c>
    </row>
    <row r="119" spans="1:15" x14ac:dyDescent="0.35">
      <c r="A119" s="140"/>
      <c r="B119" s="139" t="s">
        <v>234</v>
      </c>
      <c r="C119" s="138" t="s">
        <v>240</v>
      </c>
      <c r="D119" s="138"/>
      <c r="E119" s="138"/>
      <c r="F119" s="138"/>
      <c r="G119" s="137"/>
      <c r="H119" s="137"/>
      <c r="I119" s="137"/>
      <c r="J119" s="136"/>
      <c r="K119" s="135"/>
      <c r="L119" s="134"/>
      <c r="M119" s="134"/>
      <c r="N119" s="134"/>
      <c r="O119" s="134"/>
    </row>
    <row r="120" spans="1:15" x14ac:dyDescent="0.35">
      <c r="A120" s="140"/>
      <c r="B120" s="147">
        <v>77401005010582</v>
      </c>
      <c r="C120" s="145" t="s">
        <v>229</v>
      </c>
      <c r="D120" s="146" t="s">
        <v>239</v>
      </c>
      <c r="E120" s="146" t="s">
        <v>227</v>
      </c>
      <c r="F120" s="146">
        <v>6242</v>
      </c>
      <c r="G120" s="145">
        <v>737902</v>
      </c>
      <c r="H120" s="145">
        <v>750</v>
      </c>
      <c r="I120" s="145">
        <v>6</v>
      </c>
      <c r="J120" s="144">
        <v>40</v>
      </c>
      <c r="K120" s="143">
        <v>9440</v>
      </c>
      <c r="L120" s="142">
        <v>16515</v>
      </c>
      <c r="M120" s="141">
        <v>44763.354037267076</v>
      </c>
      <c r="N120" s="141">
        <v>2238.1677018633541</v>
      </c>
      <c r="O120" s="155">
        <v>72956.521739130432</v>
      </c>
    </row>
    <row r="121" spans="1:15" x14ac:dyDescent="0.35">
      <c r="A121" s="140"/>
      <c r="B121" s="147">
        <v>77401005008596</v>
      </c>
      <c r="C121" s="145" t="s">
        <v>229</v>
      </c>
      <c r="D121" s="146" t="s">
        <v>238</v>
      </c>
      <c r="E121" s="146" t="s">
        <v>227</v>
      </c>
      <c r="F121" s="146">
        <v>6241</v>
      </c>
      <c r="G121" s="145">
        <v>701323</v>
      </c>
      <c r="H121" s="145">
        <v>750</v>
      </c>
      <c r="I121" s="145">
        <v>6</v>
      </c>
      <c r="J121" s="144">
        <v>40</v>
      </c>
      <c r="K121" s="143">
        <v>9440</v>
      </c>
      <c r="L121" s="142">
        <v>25276</v>
      </c>
      <c r="M121" s="141">
        <v>87921.807909604511</v>
      </c>
      <c r="N121" s="141">
        <v>4396.0903954802261</v>
      </c>
      <c r="O121" s="155">
        <v>127033.89830508473</v>
      </c>
    </row>
    <row r="122" spans="1:15" x14ac:dyDescent="0.35">
      <c r="A122" s="140"/>
      <c r="B122" s="147">
        <v>67401005004553</v>
      </c>
      <c r="C122" s="145" t="s">
        <v>229</v>
      </c>
      <c r="D122" s="146" t="s">
        <v>237</v>
      </c>
      <c r="E122" s="146" t="s">
        <v>227</v>
      </c>
      <c r="F122" s="146">
        <v>6240</v>
      </c>
      <c r="G122" s="145">
        <v>712878</v>
      </c>
      <c r="H122" s="145">
        <v>750</v>
      </c>
      <c r="I122" s="145">
        <v>6</v>
      </c>
      <c r="J122" s="144">
        <v>40</v>
      </c>
      <c r="K122" s="143">
        <v>9440</v>
      </c>
      <c r="L122" s="142">
        <v>76206</v>
      </c>
      <c r="M122" s="141">
        <v>243613.68465813596</v>
      </c>
      <c r="N122" s="141">
        <v>12180.684232906799</v>
      </c>
      <c r="O122" s="141">
        <v>341440.36889104277</v>
      </c>
    </row>
    <row r="123" spans="1:15" x14ac:dyDescent="0.35">
      <c r="A123" s="140"/>
      <c r="B123" s="154" t="s">
        <v>236</v>
      </c>
      <c r="C123" s="153" t="s">
        <v>235</v>
      </c>
      <c r="D123" s="153"/>
      <c r="E123" s="153"/>
      <c r="F123" s="153"/>
      <c r="G123" s="152"/>
      <c r="H123" s="152"/>
      <c r="I123" s="152"/>
      <c r="J123" s="151"/>
      <c r="K123" s="150"/>
      <c r="L123" s="149"/>
      <c r="M123" s="148"/>
      <c r="N123" s="148"/>
      <c r="O123" s="148"/>
    </row>
    <row r="124" spans="1:15" x14ac:dyDescent="0.35">
      <c r="A124" s="140"/>
      <c r="B124" s="139" t="s">
        <v>234</v>
      </c>
      <c r="C124" s="138"/>
      <c r="D124" s="138"/>
      <c r="E124" s="138"/>
      <c r="F124" s="138"/>
      <c r="G124" s="137"/>
      <c r="H124" s="137"/>
      <c r="I124" s="137"/>
      <c r="J124" s="136"/>
      <c r="K124" s="135"/>
      <c r="L124" s="134"/>
      <c r="M124" s="134"/>
      <c r="N124" s="134"/>
      <c r="O124" s="134"/>
    </row>
    <row r="125" spans="1:15" x14ac:dyDescent="0.35">
      <c r="A125" s="140"/>
      <c r="B125" s="147">
        <v>5000281005508</v>
      </c>
      <c r="C125" s="145" t="s">
        <v>229</v>
      </c>
      <c r="D125" s="146" t="s">
        <v>233</v>
      </c>
      <c r="E125" s="146" t="s">
        <v>227</v>
      </c>
      <c r="F125" s="146">
        <v>6545</v>
      </c>
      <c r="G125" s="145">
        <v>701719</v>
      </c>
      <c r="H125" s="145">
        <v>700</v>
      </c>
      <c r="I125" s="145">
        <v>6</v>
      </c>
      <c r="J125" s="144">
        <v>40</v>
      </c>
      <c r="K125" s="143">
        <v>8800</v>
      </c>
      <c r="L125" s="142">
        <v>26609</v>
      </c>
      <c r="M125" s="141">
        <v>82136.461038438152</v>
      </c>
      <c r="N125" s="141">
        <v>4106.8230519219078</v>
      </c>
      <c r="O125" s="141">
        <v>121652.28409036006</v>
      </c>
    </row>
    <row r="126" spans="1:15" x14ac:dyDescent="0.35">
      <c r="A126" s="140"/>
      <c r="B126" s="147">
        <v>5000281003207</v>
      </c>
      <c r="C126" s="145" t="s">
        <v>229</v>
      </c>
      <c r="D126" s="146" t="s">
        <v>232</v>
      </c>
      <c r="E126" s="146" t="s">
        <v>227</v>
      </c>
      <c r="F126" s="146">
        <v>6540</v>
      </c>
      <c r="G126" s="145">
        <v>207134</v>
      </c>
      <c r="H126" s="145">
        <v>750</v>
      </c>
      <c r="I126" s="145">
        <v>6</v>
      </c>
      <c r="J126" s="144">
        <v>43</v>
      </c>
      <c r="K126" s="143">
        <v>10148</v>
      </c>
      <c r="L126" s="142">
        <v>34856</v>
      </c>
      <c r="M126" s="141">
        <v>114406.45506329327</v>
      </c>
      <c r="N126" s="141">
        <v>5720.3227531646635</v>
      </c>
      <c r="O126" s="141">
        <v>165130.77781645794</v>
      </c>
    </row>
    <row r="127" spans="1:15" x14ac:dyDescent="0.35">
      <c r="A127" s="140"/>
      <c r="B127" s="147">
        <v>5000281036755</v>
      </c>
      <c r="C127" s="145" t="s">
        <v>229</v>
      </c>
      <c r="D127" s="146" t="s">
        <v>231</v>
      </c>
      <c r="E127" s="146" t="s">
        <v>227</v>
      </c>
      <c r="F127" s="146">
        <v>7013</v>
      </c>
      <c r="G127" s="145">
        <v>703122</v>
      </c>
      <c r="H127" s="145">
        <v>700</v>
      </c>
      <c r="I127" s="145">
        <v>6</v>
      </c>
      <c r="J127" s="144">
        <v>40</v>
      </c>
      <c r="K127" s="143">
        <v>8800</v>
      </c>
      <c r="L127" s="142">
        <v>25076</v>
      </c>
      <c r="M127" s="141">
        <v>75314.782608695648</v>
      </c>
      <c r="N127" s="141">
        <v>3765.7391304347825</v>
      </c>
      <c r="O127" s="141">
        <v>112956.52173913043</v>
      </c>
    </row>
    <row r="128" spans="1:15" x14ac:dyDescent="0.35">
      <c r="A128" s="140"/>
      <c r="B128" s="147">
        <v>5000267102580</v>
      </c>
      <c r="C128" s="145" t="s">
        <v>229</v>
      </c>
      <c r="D128" s="146" t="s">
        <v>230</v>
      </c>
      <c r="E128" s="146" t="s">
        <v>227</v>
      </c>
      <c r="F128" s="146">
        <v>3120</v>
      </c>
      <c r="G128" s="145">
        <v>715336</v>
      </c>
      <c r="H128" s="145">
        <v>700</v>
      </c>
      <c r="I128" s="145">
        <v>6</v>
      </c>
      <c r="J128" s="144">
        <v>40</v>
      </c>
      <c r="K128" s="143">
        <v>8800</v>
      </c>
      <c r="L128" s="142">
        <v>25762</v>
      </c>
      <c r="M128" s="141">
        <v>82943.127705104809</v>
      </c>
      <c r="N128" s="141">
        <v>4147.1563852552408</v>
      </c>
      <c r="O128" s="141">
        <v>121652.28409036004</v>
      </c>
    </row>
    <row r="129" spans="1:15" x14ac:dyDescent="0.35">
      <c r="A129" s="140"/>
      <c r="B129" s="147">
        <v>5000281022413</v>
      </c>
      <c r="C129" s="145" t="s">
        <v>229</v>
      </c>
      <c r="D129" s="146" t="s">
        <v>228</v>
      </c>
      <c r="E129" s="146" t="s">
        <v>227</v>
      </c>
      <c r="F129" s="146">
        <v>7002</v>
      </c>
      <c r="G129" s="145">
        <v>734285</v>
      </c>
      <c r="H129" s="145">
        <v>700</v>
      </c>
      <c r="I129" s="145">
        <v>6</v>
      </c>
      <c r="J129" s="144">
        <v>40</v>
      </c>
      <c r="K129" s="143">
        <v>8800</v>
      </c>
      <c r="L129" s="142">
        <v>24010</v>
      </c>
      <c r="M129" s="141">
        <v>68048.44720496895</v>
      </c>
      <c r="N129" s="141">
        <v>3402.4223602484476</v>
      </c>
      <c r="O129" s="141">
        <v>104260.86956521741</v>
      </c>
    </row>
    <row r="130" spans="1:15" x14ac:dyDescent="0.35">
      <c r="A130" s="140"/>
      <c r="B130" s="139"/>
      <c r="C130" s="138"/>
      <c r="D130" s="138"/>
      <c r="E130" s="138"/>
      <c r="F130" s="138"/>
      <c r="G130" s="137"/>
      <c r="H130" s="137"/>
      <c r="I130" s="137"/>
      <c r="J130" s="136"/>
      <c r="K130" s="135"/>
      <c r="L130" s="134"/>
      <c r="M130" s="134"/>
      <c r="N130" s="134"/>
      <c r="O130" s="134"/>
    </row>
    <row r="131" spans="1:15" x14ac:dyDescent="0.35">
      <c r="A131" s="127"/>
      <c r="G131" s="132"/>
      <c r="H131" s="132"/>
      <c r="I131" s="132"/>
      <c r="J131" s="133"/>
      <c r="K131" s="132"/>
      <c r="L131" s="132"/>
      <c r="M131" s="132"/>
      <c r="N131" s="132"/>
      <c r="O131" s="131"/>
    </row>
    <row r="132" spans="1:15" x14ac:dyDescent="0.35">
      <c r="A132" s="127"/>
      <c r="J132"/>
      <c r="M132" s="124"/>
      <c r="N132" s="124"/>
      <c r="O132" s="124"/>
    </row>
    <row r="133" spans="1:15" x14ac:dyDescent="0.35">
      <c r="A133" s="127"/>
      <c r="J133"/>
      <c r="M133" s="124"/>
      <c r="N133" s="124"/>
      <c r="O133" s="124"/>
    </row>
    <row r="134" spans="1:15" x14ac:dyDescent="0.35">
      <c r="A134" s="127"/>
      <c r="J134"/>
      <c r="M134" s="124"/>
      <c r="N134" s="124"/>
      <c r="O134" s="124"/>
    </row>
    <row r="135" spans="1:15" x14ac:dyDescent="0.35">
      <c r="A135" s="127"/>
      <c r="J135"/>
      <c r="M135" s="124"/>
      <c r="N135" s="124"/>
      <c r="O135" s="124"/>
    </row>
    <row r="136" spans="1:15" x14ac:dyDescent="0.35">
      <c r="A136" s="127"/>
      <c r="J136"/>
      <c r="M136" s="124"/>
      <c r="N136" s="124"/>
      <c r="O136" s="124"/>
    </row>
    <row r="137" spans="1:15" x14ac:dyDescent="0.35">
      <c r="A137" s="127"/>
      <c r="J137"/>
      <c r="M137" s="124"/>
      <c r="N137" s="124"/>
      <c r="O137" s="124"/>
    </row>
    <row r="138" spans="1:15" x14ac:dyDescent="0.35">
      <c r="A138" s="127"/>
      <c r="J138"/>
      <c r="M138" s="124"/>
      <c r="N138" s="124"/>
      <c r="O138" s="124"/>
    </row>
    <row r="139" spans="1:15" x14ac:dyDescent="0.35">
      <c r="A139" s="127"/>
      <c r="J139"/>
      <c r="M139" s="124"/>
      <c r="N139" s="124"/>
      <c r="O139" s="124"/>
    </row>
    <row r="140" spans="1:15" x14ac:dyDescent="0.35">
      <c r="A140" s="127"/>
      <c r="J140"/>
      <c r="M140" s="124"/>
      <c r="N140" s="124"/>
      <c r="O140" s="124"/>
    </row>
    <row r="141" spans="1:15" x14ac:dyDescent="0.35">
      <c r="A141" s="127"/>
      <c r="J141"/>
      <c r="M141" s="124"/>
      <c r="N141" s="124"/>
      <c r="O141" s="124"/>
    </row>
    <row r="142" spans="1:15" x14ac:dyDescent="0.35">
      <c r="A142" s="127"/>
      <c r="J142"/>
      <c r="M142" s="124"/>
      <c r="N142" s="124"/>
      <c r="O142" s="124"/>
    </row>
    <row r="143" spans="1:15" x14ac:dyDescent="0.35">
      <c r="A143" s="127"/>
      <c r="J143"/>
      <c r="M143" s="124"/>
      <c r="N143" s="124"/>
      <c r="O143" s="124"/>
    </row>
    <row r="144" spans="1:15" x14ac:dyDescent="0.35">
      <c r="A144" s="127"/>
      <c r="J144"/>
      <c r="M144" s="124"/>
      <c r="N144" s="124"/>
      <c r="O144" s="124"/>
    </row>
    <row r="145" spans="1:15" x14ac:dyDescent="0.35">
      <c r="A145" s="127"/>
      <c r="J145"/>
      <c r="M145" s="124"/>
      <c r="N145" s="124"/>
      <c r="O145" s="124"/>
    </row>
    <row r="146" spans="1:15" x14ac:dyDescent="0.35">
      <c r="A146" s="127"/>
      <c r="J146"/>
      <c r="M146" s="124"/>
      <c r="N146" s="124"/>
      <c r="O146" s="124"/>
    </row>
    <row r="147" spans="1:15" x14ac:dyDescent="0.35">
      <c r="A147" s="127"/>
      <c r="J147"/>
      <c r="M147" s="124"/>
      <c r="N147" s="124"/>
      <c r="O147" s="124"/>
    </row>
    <row r="148" spans="1:15" x14ac:dyDescent="0.35">
      <c r="A148" s="127"/>
      <c r="J148"/>
      <c r="M148" s="124"/>
      <c r="N148" s="124"/>
      <c r="O148" s="130"/>
    </row>
    <row r="149" spans="1:15" x14ac:dyDescent="0.35">
      <c r="A149" s="127"/>
      <c r="J149"/>
      <c r="M149" s="124"/>
      <c r="N149" s="124"/>
      <c r="O149" s="124"/>
    </row>
    <row r="150" spans="1:15" x14ac:dyDescent="0.35">
      <c r="A150" s="127"/>
      <c r="J150"/>
      <c r="M150" s="124"/>
      <c r="N150" s="124"/>
      <c r="O150" s="124"/>
    </row>
    <row r="151" spans="1:15" x14ac:dyDescent="0.35">
      <c r="A151" s="127"/>
      <c r="J151"/>
      <c r="M151" s="129"/>
      <c r="N151" s="129"/>
      <c r="O151" s="129"/>
    </row>
    <row r="152" spans="1:15" x14ac:dyDescent="0.35">
      <c r="A152" s="127"/>
      <c r="J152"/>
      <c r="M152" s="129"/>
      <c r="N152" s="129"/>
      <c r="O152" s="129"/>
    </row>
    <row r="153" spans="1:15" x14ac:dyDescent="0.35">
      <c r="A153" s="127"/>
      <c r="J153"/>
      <c r="M153" s="129"/>
      <c r="N153" s="129"/>
      <c r="O153" s="129"/>
    </row>
    <row r="154" spans="1:15" x14ac:dyDescent="0.35">
      <c r="A154" s="127"/>
      <c r="J154"/>
      <c r="M154" s="124"/>
      <c r="N154" s="124"/>
      <c r="O154" s="124"/>
    </row>
    <row r="155" spans="1:15" x14ac:dyDescent="0.35">
      <c r="A155" s="127"/>
      <c r="J155"/>
      <c r="M155" s="124"/>
      <c r="N155" s="124"/>
      <c r="O155" s="124"/>
    </row>
    <row r="156" spans="1:15" x14ac:dyDescent="0.35">
      <c r="A156" s="127"/>
      <c r="J156"/>
      <c r="M156" s="124"/>
      <c r="N156" s="124"/>
      <c r="O156" s="124"/>
    </row>
    <row r="157" spans="1:15" x14ac:dyDescent="0.35">
      <c r="A157" s="127"/>
      <c r="J157"/>
      <c r="M157" s="124"/>
      <c r="N157" s="124"/>
      <c r="O157" s="124"/>
    </row>
    <row r="158" spans="1:15" x14ac:dyDescent="0.35">
      <c r="A158" s="127"/>
      <c r="J158"/>
      <c r="M158" s="124"/>
      <c r="N158" s="124"/>
      <c r="O158" s="124"/>
    </row>
    <row r="159" spans="1:15" x14ac:dyDescent="0.35">
      <c r="A159" s="127"/>
      <c r="J159"/>
      <c r="K159" s="128"/>
      <c r="L159" s="128"/>
      <c r="M159" s="124"/>
      <c r="N159" s="124"/>
      <c r="O159" s="124"/>
    </row>
    <row r="160" spans="1:15" x14ac:dyDescent="0.35">
      <c r="A160" s="127"/>
      <c r="B160" s="126"/>
      <c r="C160" s="126"/>
      <c r="D160" s="126"/>
      <c r="E160" s="126"/>
      <c r="F160" s="126"/>
      <c r="G160" s="126"/>
      <c r="H160" s="126"/>
      <c r="I160" s="126"/>
      <c r="J160" s="125"/>
      <c r="K160" s="126"/>
      <c r="L160" s="126"/>
      <c r="M160" s="124"/>
      <c r="N160" s="124"/>
      <c r="O160" s="124"/>
    </row>
    <row r="161" spans="1:15" x14ac:dyDescent="0.35">
      <c r="A161" s="127"/>
      <c r="B161" s="126"/>
      <c r="C161" s="126"/>
      <c r="D161" s="126"/>
      <c r="E161" s="126"/>
      <c r="F161" s="126"/>
      <c r="G161" s="126"/>
      <c r="H161" s="126"/>
      <c r="I161" s="126"/>
      <c r="J161" s="125"/>
      <c r="K161" s="126"/>
      <c r="L161" s="126"/>
      <c r="M161" s="124"/>
      <c r="N161" s="124"/>
      <c r="O161" s="124"/>
    </row>
    <row r="162" spans="1:15" x14ac:dyDescent="0.35">
      <c r="A162" s="127"/>
      <c r="B162" s="126"/>
      <c r="C162" s="126"/>
      <c r="D162" s="126"/>
      <c r="E162" s="126"/>
      <c r="F162" s="126"/>
      <c r="G162" s="126"/>
      <c r="H162" s="126"/>
      <c r="I162" s="126"/>
      <c r="J162" s="125"/>
      <c r="K162" s="124"/>
      <c r="L162" s="124"/>
      <c r="M162" s="124"/>
      <c r="N162" s="124"/>
      <c r="O162" s="124"/>
    </row>
  </sheetData>
  <sheetProtection sort="0"/>
  <autoFilter ref="A13:AL129" xr:uid="{00000000-0009-0000-0000-000007000000}"/>
  <dataConsolidate/>
  <pageMargins left="0.25" right="0.25" top="0.5" bottom="0.5" header="0.3" footer="0.3"/>
  <pageSetup scale="37" fitToHeight="0" orientation="landscape" horizontalDpi="4294967295" verticalDpi="4294967295" r:id="rId1"/>
  <headerFooter>
    <oddHeader>&amp;C&amp;"arial,Bold"&amp;10&amp;KFF0000Confidential</oddHeader>
    <oddFooter>&amp;C&amp;"arial,Bold"&amp;10&amp;KFF0000Confidential</oddFooter>
    <evenHeader>&amp;C&amp;"arial,Bold"&amp;10&amp;KFF0000Confidential</evenHeader>
    <evenFooter>&amp;C&amp;"arial,Bold"&amp;10&amp;KFF0000Confidential</evenFooter>
    <firstHeader>&amp;C&amp;"arial,Bold"&amp;10&amp;KFF0000Confidential</firstHeader>
    <firstFooter>&amp;C&amp;"arial,Bold"&amp;10&amp;KFF0000Confidential</first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8">
    <tabColor theme="5" tint="0.39997558519241921"/>
  </sheetPr>
  <dimension ref="A2:M115"/>
  <sheetViews>
    <sheetView showGridLines="0" zoomScale="90" zoomScaleNormal="90" workbookViewId="0">
      <selection activeCell="H4" sqref="H4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477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284" t="s">
        <v>188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187</v>
      </c>
      <c r="C9" s="14">
        <v>750</v>
      </c>
      <c r="D9" s="96" t="s">
        <v>12</v>
      </c>
      <c r="E9" s="186">
        <v>99913</v>
      </c>
      <c r="F9" s="115">
        <f>Tabla13456810911139232526272843475051[[#This Row],[PRECIO]]/Tabla13456810911139232526272843475051[[#This Row],[CANTIDAD]]</f>
        <v>133.21733333333333</v>
      </c>
      <c r="H9" s="9" t="s">
        <v>13</v>
      </c>
      <c r="I9" s="10">
        <f>F26</f>
        <v>15380.862727272728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107</v>
      </c>
      <c r="C10" s="13">
        <v>330</v>
      </c>
      <c r="D10" s="14" t="s">
        <v>12</v>
      </c>
      <c r="E10" s="186">
        <v>1800</v>
      </c>
      <c r="F10" s="115">
        <f>Tabla13456810911139232526272843475051[[#This Row],[PRECIO]]/Tabla13456810911139232526272843475051[[#This Row],[CANTIDAD]]</f>
        <v>5.4545454545454541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12" t="s">
        <v>91</v>
      </c>
      <c r="C11" s="14">
        <v>500</v>
      </c>
      <c r="D11" s="14" t="s">
        <v>22</v>
      </c>
      <c r="E11" s="186">
        <v>2500</v>
      </c>
      <c r="F11" s="115">
        <f>Tabla13456810911139232526272843475051[[#This Row],[PRECIO]]/Tabla13456810911139232526272843475051[[#This Row],[CANTIDAD]]</f>
        <v>5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187"/>
      <c r="F12" s="115"/>
      <c r="H12" s="25" t="s">
        <v>23</v>
      </c>
      <c r="I12" s="26">
        <f>I9-I10</f>
        <v>10404.19606060606</v>
      </c>
      <c r="J12" s="27">
        <f>(I9-I10)/I10*100%</f>
        <v>2.0905953236314923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29"/>
      <c r="C13" s="22"/>
      <c r="D13" s="22"/>
      <c r="E13" s="188"/>
      <c r="F13" s="115"/>
      <c r="H13" s="30" t="s">
        <v>26</v>
      </c>
      <c r="I13" s="31">
        <f>I9-I11</f>
        <v>8374.1960606060602</v>
      </c>
      <c r="J13" s="32">
        <f>(I9-I11)/I11*100%</f>
        <v>1.195175460600294</v>
      </c>
      <c r="L13" s="17" t="s">
        <v>27</v>
      </c>
      <c r="M13" s="19">
        <f>D17+D18+D16+D19+30</f>
        <v>190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8.3333333333333329E-2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TENQUERAY RANGPUR</v>
      </c>
      <c r="C16" s="45" t="str">
        <f>D9</f>
        <v>ML</v>
      </c>
      <c r="D16" s="189">
        <v>50</v>
      </c>
      <c r="E16" s="45">
        <f>VLOOKUP(B16,Tabla13456810911139232526272843475051[],5,FALSE)</f>
        <v>133.21733333333333</v>
      </c>
      <c r="F16" s="47">
        <f>E16*D16</f>
        <v>6660.8666666666668</v>
      </c>
      <c r="H16" s="48" t="s">
        <v>13</v>
      </c>
      <c r="I16" s="49">
        <f>F26</f>
        <v>15380.862727272728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AGUA TÓNICA</v>
      </c>
      <c r="C17" s="51" t="str">
        <f>D10</f>
        <v>ML</v>
      </c>
      <c r="D17" s="190">
        <v>100</v>
      </c>
      <c r="E17" s="51">
        <f>VLOOKUP(B17,Tabla13456810911139232526272843475051[],5,FALSE)</f>
        <v>5.4545454545454541</v>
      </c>
      <c r="F17" s="53">
        <f>E17*D17</f>
        <v>545.45454545454538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NARANJA</v>
      </c>
      <c r="C18" s="51" t="str">
        <f>D11</f>
        <v>GR</v>
      </c>
      <c r="D18" s="190">
        <v>10</v>
      </c>
      <c r="E18" s="51">
        <f>VLOOKUP(B18,Tabla13456810911139232526272843475051[],5,FALSE)</f>
        <v>5</v>
      </c>
      <c r="F18" s="53">
        <f>E18*D18</f>
        <v>50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/>
      <c r="C19" s="51"/>
      <c r="D19" s="190"/>
      <c r="E19" s="51"/>
      <c r="F19" s="53"/>
      <c r="H19" s="58" t="s">
        <v>40</v>
      </c>
      <c r="I19" s="26">
        <f>I16-I17</f>
        <v>9260.8627272727281</v>
      </c>
      <c r="J19" s="27">
        <f>(I16-I17)/I17*100%</f>
        <v>1.5132128639334523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/>
      <c r="C20" s="51"/>
      <c r="D20" s="190"/>
      <c r="E20" s="51"/>
      <c r="F20" s="53"/>
      <c r="H20" s="63" t="s">
        <v>41</v>
      </c>
      <c r="I20" s="31">
        <f>I16-I18</f>
        <v>3580.8627272727281</v>
      </c>
      <c r="J20" s="32">
        <f>(I16-I18)/I18*100%</f>
        <v>0.30346294298921422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7256.3212121212118</v>
      </c>
    </row>
    <row r="22" spans="1:13" ht="16.5" customHeight="1" thickBot="1" x14ac:dyDescent="0.4">
      <c r="A22" s="296"/>
      <c r="B22" s="304" t="s">
        <v>220</v>
      </c>
      <c r="C22" s="305"/>
      <c r="D22" s="310" t="s">
        <v>46</v>
      </c>
      <c r="E22" s="311"/>
      <c r="F22" s="66">
        <f>F21*5%</f>
        <v>362.8160606060606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7619.1372727272728</v>
      </c>
      <c r="H23" s="9" t="s">
        <v>13</v>
      </c>
      <c r="I23" s="10">
        <f>F26</f>
        <v>15380.862727272728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2000</v>
      </c>
      <c r="H25" s="30" t="s">
        <v>52</v>
      </c>
      <c r="I25" s="70">
        <f>I23-I24</f>
        <v>7084.196060606062</v>
      </c>
      <c r="J25" s="71">
        <f>(I23-I24)/I23*100%</f>
        <v>0.46058509111095897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15380.862727272728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0.30476549090909089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0.61523450909090915</v>
      </c>
      <c r="G28" s="73"/>
      <c r="H28" s="9" t="s">
        <v>57</v>
      </c>
      <c r="I28" s="10">
        <f>F26</f>
        <v>15380.862727272728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3.0905953236314923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2.1951754606002942</v>
      </c>
    </row>
    <row r="31" spans="1:13" x14ac:dyDescent="0.35">
      <c r="H31" s="17" t="s">
        <v>60</v>
      </c>
      <c r="I31" s="80">
        <f>I28/F113</f>
        <v>1.8538605135322694</v>
      </c>
    </row>
    <row r="32" spans="1:13" x14ac:dyDescent="0.35">
      <c r="H32" s="17" t="s">
        <v>61</v>
      </c>
      <c r="I32" s="80">
        <f>I28/F87</f>
        <v>2.5132128639334521</v>
      </c>
    </row>
    <row r="33" spans="8:9" ht="15" thickBot="1" x14ac:dyDescent="0.4">
      <c r="H33" s="38" t="s">
        <v>62</v>
      </c>
      <c r="I33" s="81">
        <f>I28/F100</f>
        <v>1.3034629429892142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25000</v>
      </c>
    </row>
    <row r="37" spans="8:9" x14ac:dyDescent="0.35">
      <c r="H37" s="17" t="s">
        <v>58</v>
      </c>
      <c r="I37" s="80">
        <f>I36/F60</f>
        <v>3.125</v>
      </c>
    </row>
    <row r="38" spans="8:9" x14ac:dyDescent="0.35">
      <c r="H38" s="17" t="s">
        <v>59</v>
      </c>
      <c r="I38" s="80">
        <f>I36/F72</f>
        <v>2.0833333333333335</v>
      </c>
    </row>
    <row r="39" spans="8:9" x14ac:dyDescent="0.35">
      <c r="H39" s="17" t="s">
        <v>60</v>
      </c>
      <c r="I39" s="80">
        <f>I36/F111</f>
        <v>1.7857142857142858</v>
      </c>
    </row>
    <row r="40" spans="8:9" x14ac:dyDescent="0.35">
      <c r="H40" s="17" t="s">
        <v>61</v>
      </c>
      <c r="I40" s="80">
        <f>I36/F85</f>
        <v>2.5</v>
      </c>
    </row>
    <row r="41" spans="8:9" ht="15" thickBot="1" x14ac:dyDescent="0.4">
      <c r="H41" s="38" t="s">
        <v>62</v>
      </c>
      <c r="I41" s="81">
        <f>I36/F98</f>
        <v>1.25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5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933450</xdr:colOff>
                    <xdr:row>0</xdr:row>
                    <xdr:rowOff>171450</xdr:rowOff>
                  </from>
                  <to>
                    <xdr:col>7</xdr:col>
                    <xdr:colOff>3009900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72">
    <tabColor theme="5" tint="0.39997558519241921"/>
  </sheetPr>
  <dimension ref="A2:M115"/>
  <sheetViews>
    <sheetView showGridLines="0" zoomScale="90" zoomScaleNormal="90" workbookViewId="0"/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284" t="s">
        <v>188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163</v>
      </c>
      <c r="C9" s="14">
        <v>750</v>
      </c>
      <c r="D9" s="96" t="s">
        <v>12</v>
      </c>
      <c r="E9" s="186">
        <v>128729</v>
      </c>
      <c r="F9" s="115">
        <f>Tabla134568109111392325262728434750518[[#This Row],[PRECIO]]/Tabla134568109111392325262728434750518[[#This Row],[CANTIDAD]]</f>
        <v>171.63866666666667</v>
      </c>
      <c r="H9" s="9" t="s">
        <v>13</v>
      </c>
      <c r="I9" s="10">
        <f>F26</f>
        <v>13453.470000000001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95</v>
      </c>
      <c r="C10" s="13">
        <v>1000</v>
      </c>
      <c r="D10" s="14" t="s">
        <v>12</v>
      </c>
      <c r="E10" s="186">
        <v>12000</v>
      </c>
      <c r="F10" s="115">
        <f>Tabla134568109111392325262728434750518[[#This Row],[PRECIO]]/Tabla134568109111392325262728434750518[[#This Row],[CANTIDAD]]</f>
        <v>12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12" t="s">
        <v>861</v>
      </c>
      <c r="C11" s="14">
        <v>500</v>
      </c>
      <c r="D11" s="14" t="s">
        <v>22</v>
      </c>
      <c r="E11" s="186">
        <v>2500</v>
      </c>
      <c r="F11" s="115">
        <f>Tabla134568109111392325262728434750518[[#This Row],[PRECIO]]/Tabla134568109111392325262728434750518[[#This Row],[CANTIDAD]]</f>
        <v>5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187"/>
      <c r="F12" s="115"/>
      <c r="H12" s="25" t="s">
        <v>23</v>
      </c>
      <c r="I12" s="26">
        <f>I9-I10</f>
        <v>8476.8033333333333</v>
      </c>
      <c r="J12" s="27">
        <f>(I9-I10)/I10*100%</f>
        <v>1.7033094440723375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29"/>
      <c r="C13" s="22"/>
      <c r="D13" s="22"/>
      <c r="E13" s="188"/>
      <c r="F13" s="115"/>
      <c r="H13" s="30" t="s">
        <v>26</v>
      </c>
      <c r="I13" s="31">
        <f>I9-I11</f>
        <v>6446.8033333333342</v>
      </c>
      <c r="J13" s="32">
        <f>(I9-I11)/I11*100%</f>
        <v>0.92009562321598481</v>
      </c>
      <c r="L13" s="17" t="s">
        <v>27</v>
      </c>
      <c r="M13" s="19">
        <f>D17+D18+D16+D19+30</f>
        <v>140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0.10526315789473684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DON JULIO BLANCO</v>
      </c>
      <c r="C16" s="45" t="str">
        <f>D9</f>
        <v>ML</v>
      </c>
      <c r="D16" s="189">
        <v>50</v>
      </c>
      <c r="E16" s="45">
        <f>VLOOKUP(B16,Tabla134568109111392325262728434750518[],5,FALSE)</f>
        <v>171.63866666666667</v>
      </c>
      <c r="F16" s="47">
        <f>E16*D16</f>
        <v>8581.9333333333325</v>
      </c>
      <c r="H16" s="48" t="s">
        <v>13</v>
      </c>
      <c r="I16" s="49">
        <f>F26</f>
        <v>13453.470000000001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ZUMO DE LIMÓN</v>
      </c>
      <c r="C17" s="51" t="str">
        <f>D10</f>
        <v>ML</v>
      </c>
      <c r="D17" s="190">
        <v>30</v>
      </c>
      <c r="E17" s="51">
        <f>VLOOKUP(B17,Tabla134568109111392325262728434750518[],5,FALSE)</f>
        <v>12</v>
      </c>
      <c r="F17" s="53">
        <f>E17*D17</f>
        <v>360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ALMÍBAR SIMPLE (Azúcar 50/50 agua)</v>
      </c>
      <c r="C18" s="51" t="s">
        <v>12</v>
      </c>
      <c r="D18" s="190">
        <v>30</v>
      </c>
      <c r="E18" s="51">
        <f>VLOOKUP(B18,Tabla134568109111392325262728434750518[],5,FALSE)</f>
        <v>5</v>
      </c>
      <c r="F18" s="53">
        <f>E18*D18</f>
        <v>150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/>
      <c r="C19" s="51"/>
      <c r="D19" s="190"/>
      <c r="E19" s="51"/>
      <c r="F19" s="53"/>
      <c r="H19" s="58" t="s">
        <v>40</v>
      </c>
      <c r="I19" s="26">
        <f>I16-I17</f>
        <v>7333.4700000000012</v>
      </c>
      <c r="J19" s="27">
        <f>(I16-I17)/I17*100%</f>
        <v>1.198279411764706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/>
      <c r="C20" s="51"/>
      <c r="D20" s="190"/>
      <c r="E20" s="51"/>
      <c r="F20" s="53"/>
      <c r="H20" s="63" t="s">
        <v>41</v>
      </c>
      <c r="I20" s="31">
        <f>I16-I18</f>
        <v>1653.4700000000012</v>
      </c>
      <c r="J20" s="32">
        <f>(I16-I18)/I18*100%</f>
        <v>0.14012457627118655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9091.9333333333325</v>
      </c>
    </row>
    <row r="22" spans="1:13" ht="16.5" customHeight="1" thickBot="1" x14ac:dyDescent="0.4">
      <c r="A22" s="296"/>
      <c r="B22" s="304" t="s">
        <v>862</v>
      </c>
      <c r="C22" s="305"/>
      <c r="D22" s="310" t="s">
        <v>46</v>
      </c>
      <c r="E22" s="311"/>
      <c r="F22" s="66">
        <f>F21*5%</f>
        <v>454.59666666666664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9546.5299999999988</v>
      </c>
      <c r="H23" s="9" t="s">
        <v>13</v>
      </c>
      <c r="I23" s="10">
        <f>F26</f>
        <v>13453.470000000001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2000</v>
      </c>
      <c r="H25" s="30" t="s">
        <v>52</v>
      </c>
      <c r="I25" s="70">
        <f>I23-I24</f>
        <v>5156.8033333333351</v>
      </c>
      <c r="J25" s="71">
        <f>(I23-I24)/I23*100%</f>
        <v>0.38330656204929542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13453.470000000001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0.38186119999999996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0.53813880000000003</v>
      </c>
      <c r="G28" s="73"/>
      <c r="H28" s="9" t="s">
        <v>57</v>
      </c>
      <c r="I28" s="10">
        <f>F26</f>
        <v>13453.470000000001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2.7033094440723375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1.9200956232159849</v>
      </c>
    </row>
    <row r="31" spans="1:13" x14ac:dyDescent="0.35">
      <c r="H31" s="17" t="s">
        <v>60</v>
      </c>
      <c r="I31" s="80">
        <f>I28/F113</f>
        <v>1.6215512253917239</v>
      </c>
    </row>
    <row r="32" spans="1:13" x14ac:dyDescent="0.35">
      <c r="H32" s="17" t="s">
        <v>61</v>
      </c>
      <c r="I32" s="80">
        <f>I28/F87</f>
        <v>2.1982794117647062</v>
      </c>
    </row>
    <row r="33" spans="8:9" ht="15" thickBot="1" x14ac:dyDescent="0.4">
      <c r="H33" s="38" t="s">
        <v>62</v>
      </c>
      <c r="I33" s="81">
        <f>I28/F100</f>
        <v>1.1401245762711865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25000</v>
      </c>
    </row>
    <row r="37" spans="8:9" x14ac:dyDescent="0.35">
      <c r="H37" s="17" t="s">
        <v>58</v>
      </c>
      <c r="I37" s="80">
        <f>I36/F60</f>
        <v>3.125</v>
      </c>
    </row>
    <row r="38" spans="8:9" x14ac:dyDescent="0.35">
      <c r="H38" s="17" t="s">
        <v>59</v>
      </c>
      <c r="I38" s="80">
        <f>I36/F72</f>
        <v>2.0833333333333335</v>
      </c>
    </row>
    <row r="39" spans="8:9" x14ac:dyDescent="0.35">
      <c r="H39" s="17" t="s">
        <v>60</v>
      </c>
      <c r="I39" s="80">
        <f>I36/F111</f>
        <v>1.7857142857142858</v>
      </c>
    </row>
    <row r="40" spans="8:9" x14ac:dyDescent="0.35">
      <c r="H40" s="17" t="s">
        <v>61</v>
      </c>
      <c r="I40" s="80">
        <f>I36/F85</f>
        <v>2.5</v>
      </c>
    </row>
    <row r="41" spans="8:9" ht="15" thickBot="1" x14ac:dyDescent="0.4">
      <c r="H41" s="38" t="s">
        <v>62</v>
      </c>
      <c r="I41" s="81">
        <f>I36/F98</f>
        <v>1.25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6353" r:id="rId4" name="Button 1">
              <controlPr defaultSize="0" print="0" autoFill="0" autoPict="0" macro="[0]!Ocultar">
                <anchor moveWithCells="1" sizeWithCells="1">
                  <from>
                    <xdr:col>7</xdr:col>
                    <xdr:colOff>933450</xdr:colOff>
                    <xdr:row>0</xdr:row>
                    <xdr:rowOff>171450</xdr:rowOff>
                  </from>
                  <to>
                    <xdr:col>7</xdr:col>
                    <xdr:colOff>3009900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40">
    <tabColor theme="4" tint="0.39997558519241921"/>
  </sheetPr>
  <dimension ref="A2:M115"/>
  <sheetViews>
    <sheetView showGridLines="0" zoomScale="90" zoomScaleNormal="90" workbookViewId="0"/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478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284" t="s">
        <v>191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187</v>
      </c>
      <c r="C9" s="14">
        <v>750</v>
      </c>
      <c r="D9" s="96" t="s">
        <v>12</v>
      </c>
      <c r="E9" s="186">
        <v>99913</v>
      </c>
      <c r="F9" s="115">
        <f>Tabla134568109111392325262728434748[[#This Row],[PRECIO]]/Tabla134568109111392325262728434748[[#This Row],[CANTIDAD]]</f>
        <v>133.21733333333333</v>
      </c>
      <c r="H9" s="9" t="s">
        <v>13</v>
      </c>
      <c r="I9" s="10">
        <f>F26</f>
        <v>20726.931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87</v>
      </c>
      <c r="C10" s="13">
        <v>1000</v>
      </c>
      <c r="D10" s="14" t="s">
        <v>22</v>
      </c>
      <c r="E10" s="186">
        <v>3500</v>
      </c>
      <c r="F10" s="115">
        <f>Tabla134568109111392325262728434748[[#This Row],[PRECIO]]/Tabla134568109111392325262728434748[[#This Row],[CANTIDAD]]</f>
        <v>3.5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4.4999999999999998E-2</v>
      </c>
    </row>
    <row r="11" spans="1:13" ht="15" customHeight="1" thickBot="1" x14ac:dyDescent="0.4">
      <c r="A11" s="288"/>
      <c r="B11" s="12" t="s">
        <v>95</v>
      </c>
      <c r="C11" s="14">
        <v>1000</v>
      </c>
      <c r="D11" s="14" t="s">
        <v>12</v>
      </c>
      <c r="E11" s="186">
        <v>13200</v>
      </c>
      <c r="F11" s="115">
        <f>Tabla134568109111392325262728434748[[#This Row],[PRECIO]]/Tabla134568109111392325262728434748[[#This Row],[CANTIDAD]]</f>
        <v>13.2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 t="s">
        <v>192</v>
      </c>
      <c r="C12" s="22">
        <v>500</v>
      </c>
      <c r="D12" s="22" t="s">
        <v>22</v>
      </c>
      <c r="E12" s="187">
        <v>5000</v>
      </c>
      <c r="F12" s="115">
        <f>Tabla134568109111392325262728434748[[#This Row],[PRECIO]]/Tabla134568109111392325262728434748[[#This Row],[CANTIDAD]]</f>
        <v>10</v>
      </c>
      <c r="H12" s="25" t="s">
        <v>23</v>
      </c>
      <c r="I12" s="26">
        <f>I9-I10</f>
        <v>15750.264333333333</v>
      </c>
      <c r="J12" s="27">
        <f>(I9-I10)/I10*100%</f>
        <v>3.1648220361687875</v>
      </c>
      <c r="L12" s="17" t="s">
        <v>24</v>
      </c>
      <c r="M12" s="28">
        <f>M9*M10*M11</f>
        <v>14.075999999999999</v>
      </c>
    </row>
    <row r="13" spans="1:13" ht="15.75" customHeight="1" thickBot="1" x14ac:dyDescent="0.4">
      <c r="A13" s="289"/>
      <c r="B13" s="29"/>
      <c r="C13" s="22"/>
      <c r="D13" s="22"/>
      <c r="E13" s="188"/>
      <c r="F13" s="115"/>
      <c r="H13" s="30" t="s">
        <v>26</v>
      </c>
      <c r="I13" s="31">
        <f>I9-I11</f>
        <v>13720.264333333333</v>
      </c>
      <c r="J13" s="32">
        <f>(I9-I11)/I11*100%</f>
        <v>1.9581728353948618</v>
      </c>
      <c r="L13" s="17" t="s">
        <v>27</v>
      </c>
      <c r="M13" s="19">
        <f>D17+D18+D16+D19+30</f>
        <v>127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0.10465116279069768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TENQUERAY RANGPUR</v>
      </c>
      <c r="C16" s="45" t="str">
        <f>D9</f>
        <v>ML</v>
      </c>
      <c r="D16" s="189">
        <v>45</v>
      </c>
      <c r="E16" s="45">
        <f>VLOOKUP(B16,Tabla134568109111392325262728434748[],5,FALSE)</f>
        <v>133.21733333333333</v>
      </c>
      <c r="F16" s="47">
        <f>E16*D16</f>
        <v>5994.78</v>
      </c>
      <c r="H16" s="48" t="s">
        <v>13</v>
      </c>
      <c r="I16" s="49">
        <f>F26</f>
        <v>20726.931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AZÚCAR(ALMÍBAR 50/50)</v>
      </c>
      <c r="C17" s="51" t="str">
        <f>D10</f>
        <v>GR</v>
      </c>
      <c r="D17" s="190">
        <v>10</v>
      </c>
      <c r="E17" s="51">
        <f>VLOOKUP(B17,Tabla134568109111392325262728434748[],5,FALSE)</f>
        <v>3.5</v>
      </c>
      <c r="F17" s="53">
        <f>E17*D17</f>
        <v>35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ZUMO DE LIMÓN</v>
      </c>
      <c r="C18" s="51" t="str">
        <f>D11</f>
        <v>ML</v>
      </c>
      <c r="D18" s="190">
        <v>30</v>
      </c>
      <c r="E18" s="51">
        <f>VLOOKUP(B18,Tabla134568109111392325262728434748[],5,FALSE)</f>
        <v>13.2</v>
      </c>
      <c r="F18" s="53">
        <f>E18*D18</f>
        <v>396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 t="str">
        <f>B12</f>
        <v>HIERBA BUENA</v>
      </c>
      <c r="C19" s="51" t="str">
        <f>D12</f>
        <v>GR</v>
      </c>
      <c r="D19" s="190">
        <v>12</v>
      </c>
      <c r="E19" s="51">
        <f>VLOOKUP(B19,Tabla134568109111392325262728434748[],5,FALSE)</f>
        <v>10</v>
      </c>
      <c r="F19" s="53">
        <f>E19*D19</f>
        <v>120</v>
      </c>
      <c r="H19" s="58" t="s">
        <v>40</v>
      </c>
      <c r="I19" s="26">
        <f>I16-I17</f>
        <v>14606.931</v>
      </c>
      <c r="J19" s="27">
        <f>(I16-I17)/I17*100%</f>
        <v>2.3867534313725489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/>
      <c r="C20" s="51"/>
      <c r="D20" s="190"/>
      <c r="E20" s="51"/>
      <c r="F20" s="53"/>
      <c r="H20" s="63" t="s">
        <v>41</v>
      </c>
      <c r="I20" s="31">
        <f>I16-I18</f>
        <v>8926.9310000000005</v>
      </c>
      <c r="J20" s="32">
        <f>(I16-I18)/I18*100%</f>
        <v>0.75651957627118649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6545.78</v>
      </c>
    </row>
    <row r="22" spans="1:13" ht="16.5" customHeight="1" thickBot="1" x14ac:dyDescent="0.4">
      <c r="A22" s="296"/>
      <c r="B22" s="304" t="s">
        <v>222</v>
      </c>
      <c r="C22" s="305"/>
      <c r="D22" s="310" t="s">
        <v>46</v>
      </c>
      <c r="E22" s="311"/>
      <c r="F22" s="66">
        <f>F21*5%</f>
        <v>327.28899999999999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6873.0689999999995</v>
      </c>
      <c r="H23" s="9" t="s">
        <v>13</v>
      </c>
      <c r="I23" s="10">
        <f>F26</f>
        <v>20726.931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30000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2400</v>
      </c>
      <c r="H25" s="30" t="s">
        <v>52</v>
      </c>
      <c r="I25" s="70">
        <f>I23-I24</f>
        <v>12430.264333333334</v>
      </c>
      <c r="J25" s="71">
        <f>(I23-I24)/I23*100%</f>
        <v>0.59971562279689816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20726.931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0.22910229999999998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0.69089770000000006</v>
      </c>
      <c r="G28" s="73"/>
      <c r="H28" s="9" t="s">
        <v>57</v>
      </c>
      <c r="I28" s="10">
        <f>F26</f>
        <v>20726.931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4.1648220361687871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2.958172835394862</v>
      </c>
    </row>
    <row r="31" spans="1:13" x14ac:dyDescent="0.35">
      <c r="H31" s="17" t="s">
        <v>60</v>
      </c>
      <c r="I31" s="80">
        <f>I28/F113</f>
        <v>2.4982239051828046</v>
      </c>
    </row>
    <row r="32" spans="1:13" x14ac:dyDescent="0.35">
      <c r="H32" s="17" t="s">
        <v>61</v>
      </c>
      <c r="I32" s="80">
        <f>I28/F87</f>
        <v>3.3867534313725489</v>
      </c>
    </row>
    <row r="33" spans="8:9" ht="15" thickBot="1" x14ac:dyDescent="0.4">
      <c r="H33" s="38" t="s">
        <v>62</v>
      </c>
      <c r="I33" s="81">
        <f>I28/F100</f>
        <v>1.7565195762711865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30000</v>
      </c>
    </row>
    <row r="37" spans="8:9" x14ac:dyDescent="0.35">
      <c r="H37" s="17" t="s">
        <v>58</v>
      </c>
      <c r="I37" s="80">
        <f>I36/F60</f>
        <v>3.75</v>
      </c>
    </row>
    <row r="38" spans="8:9" x14ac:dyDescent="0.35">
      <c r="H38" s="17" t="s">
        <v>59</v>
      </c>
      <c r="I38" s="80">
        <f>I36/F72</f>
        <v>2.5</v>
      </c>
    </row>
    <row r="39" spans="8:9" x14ac:dyDescent="0.35">
      <c r="H39" s="17" t="s">
        <v>60</v>
      </c>
      <c r="I39" s="80">
        <f>I36/F111</f>
        <v>2.1428571428571428</v>
      </c>
    </row>
    <row r="40" spans="8:9" x14ac:dyDescent="0.35">
      <c r="H40" s="17" t="s">
        <v>61</v>
      </c>
      <c r="I40" s="80">
        <f>I36/F85</f>
        <v>3</v>
      </c>
    </row>
    <row r="41" spans="8:9" ht="15" thickBot="1" x14ac:dyDescent="0.4">
      <c r="H41" s="38" t="s">
        <v>62</v>
      </c>
      <c r="I41" s="81">
        <f>I36/F98</f>
        <v>1.5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bppAOiWtkNI5ujKoxZreW58GM+jHLjcpg23CfLNGwoPQtEEx/Dk1p6YnpEum/DyZocH9e7EKTjzVNKcQH54fVA==" saltValue="LHOMEBEzp+dFLYTX/rA9lQ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3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1123950</xdr:colOff>
                    <xdr:row>0</xdr:row>
                    <xdr:rowOff>171450</xdr:rowOff>
                  </from>
                  <to>
                    <xdr:col>7</xdr:col>
                    <xdr:colOff>3200400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39">
    <tabColor theme="5" tint="0.39997558519241921"/>
  </sheetPr>
  <dimension ref="A2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477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284" t="s">
        <v>189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190</v>
      </c>
      <c r="C9" s="14">
        <v>750</v>
      </c>
      <c r="D9" s="96" t="s">
        <v>12</v>
      </c>
      <c r="E9" s="186">
        <v>86870</v>
      </c>
      <c r="F9" s="115">
        <f>Tabla1345681091113923252627284347505152[[#This Row],[PRECIO]]/Tabla1345681091113923252627284347505152[[#This Row],[CANTIDAD]]</f>
        <v>115.82666666666667</v>
      </c>
      <c r="H9" s="9" t="s">
        <v>13</v>
      </c>
      <c r="I9" s="10">
        <f>F26</f>
        <v>13533.872727272728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102</v>
      </c>
      <c r="C10" s="13">
        <v>330</v>
      </c>
      <c r="D10" s="14" t="s">
        <v>12</v>
      </c>
      <c r="E10" s="186">
        <v>1800</v>
      </c>
      <c r="F10" s="115">
        <f>Tabla1345681091113923252627284347505152[[#This Row],[PRECIO]]/Tabla1345681091113923252627284347505152[[#This Row],[CANTIDAD]]</f>
        <v>5.4545454545454541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12" t="s">
        <v>91</v>
      </c>
      <c r="C11" s="14">
        <v>500</v>
      </c>
      <c r="D11" s="14" t="s">
        <v>22</v>
      </c>
      <c r="E11" s="186">
        <v>2500</v>
      </c>
      <c r="F11" s="115">
        <f>Tabla1345681091113923252627284347505152[[#This Row],[PRECIO]]/Tabla1345681091113923252627284347505152[[#This Row],[CANTIDAD]]</f>
        <v>5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187"/>
      <c r="F12" s="115"/>
      <c r="H12" s="25" t="s">
        <v>23</v>
      </c>
      <c r="I12" s="26">
        <f>I9-I10</f>
        <v>8557.2060606060622</v>
      </c>
      <c r="J12" s="27">
        <f>(I9-I10)/I10*100%</f>
        <v>1.7194653839128053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29"/>
      <c r="C13" s="22"/>
      <c r="D13" s="22"/>
      <c r="E13" s="188"/>
      <c r="F13" s="115"/>
      <c r="H13" s="30" t="s">
        <v>26</v>
      </c>
      <c r="I13" s="31">
        <f>I9-I11</f>
        <v>6527.2060606060613</v>
      </c>
      <c r="J13" s="32">
        <f>(I9-I11)/I11*100%</f>
        <v>0.93157079837384316</v>
      </c>
      <c r="L13" s="17" t="s">
        <v>27</v>
      </c>
      <c r="M13" s="19">
        <f>D17+D18+D16+D19+30</f>
        <v>190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8.3333333333333329E-2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TENQUERAY LONDON DRY GIN</v>
      </c>
      <c r="C16" s="45" t="str">
        <f>D9</f>
        <v>ML</v>
      </c>
      <c r="D16" s="189">
        <v>50</v>
      </c>
      <c r="E16" s="45">
        <f>VLOOKUP(B16,Tabla1345681091113923252627284347505152[],5,FALSE)</f>
        <v>115.82666666666667</v>
      </c>
      <c r="F16" s="47">
        <f>E16*D16</f>
        <v>5791.333333333333</v>
      </c>
      <c r="H16" s="48" t="s">
        <v>13</v>
      </c>
      <c r="I16" s="49">
        <f>F26</f>
        <v>13533.872727272728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AGUA TONICA</v>
      </c>
      <c r="C17" s="51" t="str">
        <f>D10</f>
        <v>ML</v>
      </c>
      <c r="D17" s="190">
        <v>100</v>
      </c>
      <c r="E17" s="51">
        <f>VLOOKUP(B17,Tabla1345681091113923252627284347505152[],5,FALSE)</f>
        <v>5.4545454545454541</v>
      </c>
      <c r="F17" s="53">
        <f>E17*D17</f>
        <v>545.45454545454538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NARANJA</v>
      </c>
      <c r="C18" s="51" t="str">
        <f>D11</f>
        <v>GR</v>
      </c>
      <c r="D18" s="190">
        <v>10</v>
      </c>
      <c r="E18" s="51">
        <f>VLOOKUP(B18,Tabla1345681091113923252627284347505152[],5,FALSE)</f>
        <v>5</v>
      </c>
      <c r="F18" s="53">
        <f>E18*D18</f>
        <v>50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/>
      <c r="C19" s="51"/>
      <c r="D19" s="190"/>
      <c r="E19" s="51"/>
      <c r="F19" s="53"/>
      <c r="H19" s="58" t="s">
        <v>40</v>
      </c>
      <c r="I19" s="26">
        <f>I16-I17</f>
        <v>7413.8727272727283</v>
      </c>
      <c r="J19" s="27">
        <f>(I16-I17)/I17*100%</f>
        <v>1.2114171122994655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/>
      <c r="C20" s="51"/>
      <c r="D20" s="190"/>
      <c r="E20" s="51"/>
      <c r="F20" s="53"/>
      <c r="H20" s="63" t="s">
        <v>41</v>
      </c>
      <c r="I20" s="31">
        <f>I16-I18</f>
        <v>1733.8727272727283</v>
      </c>
      <c r="J20" s="32">
        <f>(I16-I18)/I18*100%</f>
        <v>0.14693836671802782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6386.7878787878781</v>
      </c>
    </row>
    <row r="22" spans="1:13" ht="16.5" customHeight="1" thickBot="1" x14ac:dyDescent="0.4">
      <c r="A22" s="296"/>
      <c r="B22" s="304" t="s">
        <v>221</v>
      </c>
      <c r="C22" s="305"/>
      <c r="D22" s="310" t="s">
        <v>46</v>
      </c>
      <c r="E22" s="311"/>
      <c r="F22" s="66">
        <f>F21*5%</f>
        <v>319.33939393939391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6706.1272727272717</v>
      </c>
      <c r="H23" s="9" t="s">
        <v>13</v>
      </c>
      <c r="I23" s="10">
        <f>F26</f>
        <v>13533.872727272728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22000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1760</v>
      </c>
      <c r="H25" s="30" t="s">
        <v>52</v>
      </c>
      <c r="I25" s="70">
        <f>I23-I24</f>
        <v>5237.2060606060622</v>
      </c>
      <c r="J25" s="71">
        <f>(I23-I24)/I23*100%</f>
        <v>0.38697024614782494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13533.872727272728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0.30482396694214869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0.61517603305785129</v>
      </c>
      <c r="G28" s="73"/>
      <c r="H28" s="9" t="s">
        <v>57</v>
      </c>
      <c r="I28" s="10">
        <f>F26</f>
        <v>13533.872727272728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2.7194653839128051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1.931570798373843</v>
      </c>
    </row>
    <row r="31" spans="1:13" x14ac:dyDescent="0.35">
      <c r="H31" s="17" t="s">
        <v>60</v>
      </c>
      <c r="I31" s="80">
        <f>I28/F113</f>
        <v>1.6312421929215826</v>
      </c>
    </row>
    <row r="32" spans="1:13" x14ac:dyDescent="0.35">
      <c r="H32" s="17" t="s">
        <v>61</v>
      </c>
      <c r="I32" s="80">
        <f>I28/F87</f>
        <v>2.2114171122994652</v>
      </c>
    </row>
    <row r="33" spans="8:9" ht="15" thickBot="1" x14ac:dyDescent="0.4">
      <c r="H33" s="38" t="s">
        <v>62</v>
      </c>
      <c r="I33" s="81">
        <f>I28/F100</f>
        <v>1.1469383667180277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22000</v>
      </c>
    </row>
    <row r="37" spans="8:9" x14ac:dyDescent="0.35">
      <c r="H37" s="17" t="s">
        <v>58</v>
      </c>
      <c r="I37" s="80">
        <f>I36/F60</f>
        <v>2.75</v>
      </c>
    </row>
    <row r="38" spans="8:9" x14ac:dyDescent="0.35">
      <c r="H38" s="17" t="s">
        <v>59</v>
      </c>
      <c r="I38" s="80">
        <f>I36/F72</f>
        <v>1.8333333333333333</v>
      </c>
    </row>
    <row r="39" spans="8:9" x14ac:dyDescent="0.35">
      <c r="H39" s="17" t="s">
        <v>60</v>
      </c>
      <c r="I39" s="80">
        <f>I36/F111</f>
        <v>1.5714285714285714</v>
      </c>
    </row>
    <row r="40" spans="8:9" x14ac:dyDescent="0.35">
      <c r="H40" s="17" t="s">
        <v>61</v>
      </c>
      <c r="I40" s="80">
        <f>I36/F85</f>
        <v>2.2000000000000002</v>
      </c>
    </row>
    <row r="41" spans="8:9" ht="15" thickBot="1" x14ac:dyDescent="0.4">
      <c r="H41" s="38" t="s">
        <v>62</v>
      </c>
      <c r="I41" s="81">
        <f>I36/F98</f>
        <v>1.1000000000000001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wMSMkPiHxvTEHP/r9mr84FeEYmv6uiJFNSYyISTxc+sAWDiPRC29raZq6N2x8CxCU2ro6ojLZa+T99MfQzjeUw==" saltValue="HunUowCIw99N7lvqgHuU3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1117600</xdr:colOff>
                    <xdr:row>1</xdr:row>
                    <xdr:rowOff>19050</xdr:rowOff>
                  </from>
                  <to>
                    <xdr:col>7</xdr:col>
                    <xdr:colOff>3194050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9">
    <tabColor theme="4" tint="0.39997558519241921"/>
  </sheetPr>
  <dimension ref="A2:M115"/>
  <sheetViews>
    <sheetView showGridLines="0" zoomScale="90" zoomScaleNormal="90" workbookViewId="0"/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477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284" t="s">
        <v>189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190</v>
      </c>
      <c r="C9" s="14">
        <v>750</v>
      </c>
      <c r="D9" s="96" t="s">
        <v>12</v>
      </c>
      <c r="E9" s="186">
        <v>86870</v>
      </c>
      <c r="F9" s="115">
        <f>Tabla13456810911139232526272843475051527[[#This Row],[PRECIO]]/Tabla13456810911139232526272843475051527[[#This Row],[CANTIDAD]]</f>
        <v>115.82666666666667</v>
      </c>
      <c r="H9" s="9" t="s">
        <v>13</v>
      </c>
      <c r="I9" s="10">
        <f>F26</f>
        <v>17512.650000000001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481</v>
      </c>
      <c r="C10" s="13">
        <v>750</v>
      </c>
      <c r="D10" s="14" t="s">
        <v>12</v>
      </c>
      <c r="E10" s="186">
        <v>38500</v>
      </c>
      <c r="F10" s="115">
        <f>Tabla13456810911139232526272843475051527[[#This Row],[PRECIO]]/Tabla13456810911139232526272843475051527[[#This Row],[CANTIDAD]]</f>
        <v>51.333333333333336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7.4999999999999997E-2</v>
      </c>
    </row>
    <row r="11" spans="1:13" ht="15" customHeight="1" thickBot="1" x14ac:dyDescent="0.4">
      <c r="A11" s="288"/>
      <c r="B11" s="12" t="s">
        <v>479</v>
      </c>
      <c r="C11" s="14">
        <v>1000</v>
      </c>
      <c r="D11" s="14" t="s">
        <v>22</v>
      </c>
      <c r="E11" s="186">
        <v>15000</v>
      </c>
      <c r="F11" s="115">
        <f>Tabla13456810911139232526272843475051527[[#This Row],[PRECIO]]/Tabla13456810911139232526272843475051527[[#This Row],[CANTIDAD]]</f>
        <v>15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187"/>
      <c r="F12" s="115"/>
      <c r="H12" s="25" t="s">
        <v>23</v>
      </c>
      <c r="I12" s="26">
        <f>I9-I10</f>
        <v>12535.983333333334</v>
      </c>
      <c r="J12" s="27">
        <f>(I9-I10)/I10*100%</f>
        <v>2.5189517749497656</v>
      </c>
      <c r="L12" s="17" t="s">
        <v>24</v>
      </c>
      <c r="M12" s="28">
        <f>M9*M10*M11</f>
        <v>23.46</v>
      </c>
    </row>
    <row r="13" spans="1:13" ht="15.75" customHeight="1" thickBot="1" x14ac:dyDescent="0.4">
      <c r="A13" s="289"/>
      <c r="B13" s="29"/>
      <c r="C13" s="22"/>
      <c r="D13" s="22"/>
      <c r="E13" s="188"/>
      <c r="F13" s="115"/>
      <c r="H13" s="30" t="s">
        <v>26</v>
      </c>
      <c r="I13" s="31">
        <f>I9-I11</f>
        <v>10505.983333333334</v>
      </c>
      <c r="J13" s="32">
        <f>(I9-I11)/I11*100%</f>
        <v>1.4994267364414842</v>
      </c>
      <c r="L13" s="17" t="s">
        <v>27</v>
      </c>
      <c r="M13" s="19">
        <f>D17+D18+D16+D19+30</f>
        <v>130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0.14634146341463414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TENQUERAY LONDON DRY GIN</v>
      </c>
      <c r="C16" s="45" t="str">
        <f>D9</f>
        <v>ML</v>
      </c>
      <c r="D16" s="189">
        <v>75</v>
      </c>
      <c r="E16" s="45">
        <f>VLOOKUP(B16,Tabla13456810911139232526272843475051527[],5,FALSE)</f>
        <v>115.82666666666667</v>
      </c>
      <c r="F16" s="47">
        <f>E16*D16</f>
        <v>8687</v>
      </c>
      <c r="H16" s="48" t="s">
        <v>13</v>
      </c>
      <c r="I16" s="49">
        <f>F26</f>
        <v>17512.650000000001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VERMOUTH EXTRA DRY</v>
      </c>
      <c r="C17" s="51" t="str">
        <f>D10</f>
        <v>ML</v>
      </c>
      <c r="D17" s="190">
        <v>15</v>
      </c>
      <c r="E17" s="51">
        <f>VLOOKUP(B17,Tabla13456810911139232526272843475051527[],5,FALSE)</f>
        <v>51.333333333333336</v>
      </c>
      <c r="F17" s="53">
        <f>E17*D17</f>
        <v>770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ACEITUNA SIN HUESO</v>
      </c>
      <c r="C18" s="51" t="str">
        <f>D11</f>
        <v>GR</v>
      </c>
      <c r="D18" s="190">
        <v>10</v>
      </c>
      <c r="E18" s="51">
        <f>VLOOKUP(B18,Tabla13456810911139232526272843475051527[],5,FALSE)</f>
        <v>15</v>
      </c>
      <c r="F18" s="53">
        <f>E18*D18</f>
        <v>150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/>
      <c r="C19" s="51"/>
      <c r="D19" s="190"/>
      <c r="E19" s="51"/>
      <c r="F19" s="53"/>
      <c r="H19" s="58" t="s">
        <v>40</v>
      </c>
      <c r="I19" s="26">
        <f>I16-I17</f>
        <v>11392.650000000001</v>
      </c>
      <c r="J19" s="27">
        <f>(I16-I17)/I17*100%</f>
        <v>1.8615441176470591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/>
      <c r="C20" s="51"/>
      <c r="D20" s="190"/>
      <c r="E20" s="51"/>
      <c r="F20" s="53"/>
      <c r="H20" s="63" t="s">
        <v>41</v>
      </c>
      <c r="I20" s="31">
        <f>I16-I18</f>
        <v>5712.6500000000015</v>
      </c>
      <c r="J20" s="32">
        <f>(I16-I18)/I18*100%</f>
        <v>0.48412288135593234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9607</v>
      </c>
    </row>
    <row r="22" spans="1:13" ht="16.5" customHeight="1" thickBot="1" x14ac:dyDescent="0.4">
      <c r="A22" s="296"/>
      <c r="B22" s="304" t="s">
        <v>480</v>
      </c>
      <c r="C22" s="305"/>
      <c r="D22" s="310" t="s">
        <v>46</v>
      </c>
      <c r="E22" s="311"/>
      <c r="F22" s="66">
        <f>F21*5%</f>
        <v>480.35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10087.35</v>
      </c>
      <c r="H23" s="9" t="s">
        <v>13</v>
      </c>
      <c r="I23" s="10">
        <f>F26</f>
        <v>17512.650000000001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30000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2400</v>
      </c>
      <c r="H25" s="30" t="s">
        <v>52</v>
      </c>
      <c r="I25" s="70">
        <f>I23-I24</f>
        <v>9215.9833333333354</v>
      </c>
      <c r="J25" s="71">
        <f>(I23-I24)/I23*100%</f>
        <v>0.52624721748754955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17512.650000000001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0.33624500000000002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0.58375500000000002</v>
      </c>
      <c r="G28" s="73"/>
      <c r="H28" s="9" t="s">
        <v>57</v>
      </c>
      <c r="I28" s="10">
        <f>F26</f>
        <v>17512.650000000001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3.5189517749497656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2.4994267364414844</v>
      </c>
    </row>
    <row r="31" spans="1:13" x14ac:dyDescent="0.35">
      <c r="H31" s="17" t="s">
        <v>60</v>
      </c>
      <c r="I31" s="80">
        <f>I28/F113</f>
        <v>2.11080554439534</v>
      </c>
    </row>
    <row r="32" spans="1:13" x14ac:dyDescent="0.35">
      <c r="H32" s="17" t="s">
        <v>61</v>
      </c>
      <c r="I32" s="80">
        <f>I28/F87</f>
        <v>2.8615441176470591</v>
      </c>
    </row>
    <row r="33" spans="8:9" ht="15" thickBot="1" x14ac:dyDescent="0.4">
      <c r="H33" s="38" t="s">
        <v>62</v>
      </c>
      <c r="I33" s="81">
        <f>I28/F100</f>
        <v>1.4841228813559324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30000</v>
      </c>
    </row>
    <row r="37" spans="8:9" x14ac:dyDescent="0.35">
      <c r="H37" s="17" t="s">
        <v>58</v>
      </c>
      <c r="I37" s="80">
        <f>I36/F60</f>
        <v>3.75</v>
      </c>
    </row>
    <row r="38" spans="8:9" x14ac:dyDescent="0.35">
      <c r="H38" s="17" t="s">
        <v>59</v>
      </c>
      <c r="I38" s="80">
        <f>I36/F72</f>
        <v>2.5</v>
      </c>
    </row>
    <row r="39" spans="8:9" x14ac:dyDescent="0.35">
      <c r="H39" s="17" t="s">
        <v>60</v>
      </c>
      <c r="I39" s="80">
        <f>I36/F111</f>
        <v>2.1428571428571428</v>
      </c>
    </row>
    <row r="40" spans="8:9" x14ac:dyDescent="0.35">
      <c r="H40" s="17" t="s">
        <v>61</v>
      </c>
      <c r="I40" s="80">
        <f>I36/F85</f>
        <v>3</v>
      </c>
    </row>
    <row r="41" spans="8:9" ht="15" thickBot="1" x14ac:dyDescent="0.4">
      <c r="H41" s="38" t="s">
        <v>62</v>
      </c>
      <c r="I41" s="81">
        <f>I36/F98</f>
        <v>1.5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WS25GtDzEz9pUj9bSln9Z3GUeZkI808ep49tA0MnY6VPYnHet98UD74+lrelISJ2GaXP7J3RkGbFks6xyAyOWA==" saltValue="lWw2bXhXbGCcSeUHWHTGjA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1009650</xdr:colOff>
                    <xdr:row>1</xdr:row>
                    <xdr:rowOff>50800</xdr:rowOff>
                  </from>
                  <to>
                    <xdr:col>7</xdr:col>
                    <xdr:colOff>3086100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35">
    <tabColor theme="5" tint="0.39997558519241921"/>
  </sheetPr>
  <dimension ref="A2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400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284" t="s">
        <v>177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174</v>
      </c>
      <c r="C9" s="14">
        <v>750</v>
      </c>
      <c r="D9" s="96" t="s">
        <v>12</v>
      </c>
      <c r="E9" s="186">
        <v>93826</v>
      </c>
      <c r="F9" s="115">
        <f>Tabla13456810911139232526272843443[[#This Row],[PRECIO]]/Tabla13456810911139232526272843443[[#This Row],[CANTIDAD]]</f>
        <v>125.10133333333333</v>
      </c>
      <c r="H9" s="9" t="s">
        <v>13</v>
      </c>
      <c r="I9" s="10">
        <f>F26</f>
        <v>12974.989818181817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179</v>
      </c>
      <c r="C10" s="13">
        <v>330</v>
      </c>
      <c r="D10" s="14" t="s">
        <v>22</v>
      </c>
      <c r="E10" s="186">
        <v>3000</v>
      </c>
      <c r="F10" s="115">
        <f>Tabla13456810911139232526272843443[[#This Row],[PRECIO]]/Tabla13456810911139232526272843443[[#This Row],[CANTIDAD]]</f>
        <v>9.0909090909090917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0.03</v>
      </c>
    </row>
    <row r="11" spans="1:13" ht="15" customHeight="1" thickBot="1" x14ac:dyDescent="0.4">
      <c r="A11" s="288"/>
      <c r="B11" s="29" t="s">
        <v>91</v>
      </c>
      <c r="C11" s="22">
        <v>500</v>
      </c>
      <c r="D11" s="22" t="s">
        <v>22</v>
      </c>
      <c r="E11" s="188">
        <v>2500</v>
      </c>
      <c r="F11" s="115">
        <f>Tabla13456810911139232526272843443[[#This Row],[PRECIO]]/Tabla13456810911139232526272843443[[#This Row],[CANTIDAD]]</f>
        <v>5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12"/>
      <c r="C12" s="14"/>
      <c r="D12" s="14"/>
      <c r="E12" s="186"/>
      <c r="F12" s="115"/>
      <c r="H12" s="25" t="s">
        <v>23</v>
      </c>
      <c r="I12" s="26">
        <f>I9-I10</f>
        <v>7998.3231515151501</v>
      </c>
      <c r="J12" s="27">
        <f>(I9-I10)/I10*100%</f>
        <v>1.6071647323875049</v>
      </c>
      <c r="L12" s="17" t="s">
        <v>24</v>
      </c>
      <c r="M12" s="28">
        <f>M9*M10*M11</f>
        <v>9.3840000000000003</v>
      </c>
    </row>
    <row r="13" spans="1:13" ht="15.75" customHeight="1" thickBot="1" x14ac:dyDescent="0.4">
      <c r="A13" s="289"/>
      <c r="B13" s="21"/>
      <c r="C13" s="22"/>
      <c r="D13" s="22"/>
      <c r="E13" s="187"/>
      <c r="F13" s="115"/>
      <c r="H13" s="30" t="s">
        <v>26</v>
      </c>
      <c r="I13" s="31">
        <f>I9-I11</f>
        <v>5968.3231515151501</v>
      </c>
      <c r="J13" s="32">
        <f>(I9-I11)/I11*100%</f>
        <v>0.85180634893175311</v>
      </c>
      <c r="L13" s="17" t="s">
        <v>27</v>
      </c>
      <c r="M13" s="19">
        <f>D17+D18+D16+D19+30</f>
        <v>220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4.8000000000000001E-2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BULLEIT BOURBON</v>
      </c>
      <c r="C16" s="45" t="str">
        <f>D9</f>
        <v>ML</v>
      </c>
      <c r="D16" s="189">
        <v>30</v>
      </c>
      <c r="E16" s="45">
        <f>VLOOKUP(B16,Tabla13456810911139232526272843443[],5,FALSE)</f>
        <v>125.10133333333333</v>
      </c>
      <c r="F16" s="47">
        <f>E16*D16</f>
        <v>3753.04</v>
      </c>
      <c r="H16" s="48" t="s">
        <v>13</v>
      </c>
      <c r="I16" s="49">
        <f>F26</f>
        <v>12974.989818181817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CERVEZA NEGRA</v>
      </c>
      <c r="C17" s="51" t="str">
        <f>D10</f>
        <v>GR</v>
      </c>
      <c r="D17" s="190">
        <v>150</v>
      </c>
      <c r="E17" s="51">
        <f>VLOOKUP(B17,Tabla13456810911139232526272843443[],5,FALSE)</f>
        <v>9.0909090909090917</v>
      </c>
      <c r="F17" s="53">
        <f>E17*D17</f>
        <v>1363.6363636363637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NARANJA</v>
      </c>
      <c r="C18" s="51" t="str">
        <f>D11</f>
        <v>GR</v>
      </c>
      <c r="D18" s="190">
        <v>10</v>
      </c>
      <c r="E18" s="51">
        <f>VLOOKUP(B18,Tabla13456810911139232526272843443[],5,FALSE)</f>
        <v>5</v>
      </c>
      <c r="F18" s="53">
        <f>E18*D18</f>
        <v>50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/>
      <c r="C19" s="51"/>
      <c r="D19" s="190"/>
      <c r="E19" s="51"/>
      <c r="F19" s="53"/>
      <c r="H19" s="58" t="s">
        <v>40</v>
      </c>
      <c r="I19" s="26">
        <f>I16-I17</f>
        <v>6854.9898181818171</v>
      </c>
      <c r="J19" s="27">
        <f>(I16-I17)/I17*100%</f>
        <v>1.1200963755199047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/>
      <c r="C20" s="51"/>
      <c r="D20" s="190"/>
      <c r="E20" s="51"/>
      <c r="F20" s="53"/>
      <c r="H20" s="63" t="s">
        <v>41</v>
      </c>
      <c r="I20" s="31">
        <f>I16-I18</f>
        <v>1174.9898181818171</v>
      </c>
      <c r="J20" s="32">
        <f>(I16-I18)/I18*100%</f>
        <v>9.957540832049297E-2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SUM(F16:F19)</f>
        <v>5166.6763636363639</v>
      </c>
    </row>
    <row r="22" spans="1:13" ht="16.5" customHeight="1" thickBot="1" x14ac:dyDescent="0.4">
      <c r="A22" s="296"/>
      <c r="B22" s="304" t="s">
        <v>559</v>
      </c>
      <c r="C22" s="305"/>
      <c r="D22" s="310" t="s">
        <v>46</v>
      </c>
      <c r="E22" s="311"/>
      <c r="F22" s="66">
        <f>F21*5%</f>
        <v>258.33381818181823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5425.010181818182</v>
      </c>
      <c r="H23" s="9" t="s">
        <v>13</v>
      </c>
      <c r="I23" s="10">
        <f>F26</f>
        <v>12974.989818181817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1600</v>
      </c>
      <c r="H25" s="30" t="s">
        <v>52</v>
      </c>
      <c r="I25" s="70">
        <f>I23-I24</f>
        <v>4678.323151515151</v>
      </c>
      <c r="J25" s="71">
        <f>(I23-I24)/I23*100%</f>
        <v>0.36056468768549088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12974.989818181817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0.27125050909090909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0.64874949090909084</v>
      </c>
      <c r="G28" s="73"/>
      <c r="H28" s="9" t="s">
        <v>57</v>
      </c>
      <c r="I28" s="10">
        <f>F26</f>
        <v>12974.989818181817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2.6071647323875049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1.8518063489317531</v>
      </c>
    </row>
    <row r="31" spans="1:13" x14ac:dyDescent="0.35">
      <c r="H31" s="17" t="s">
        <v>60</v>
      </c>
      <c r="I31" s="80">
        <f>I28/F113</f>
        <v>1.5638798495197048</v>
      </c>
    </row>
    <row r="32" spans="1:13" x14ac:dyDescent="0.35">
      <c r="H32" s="17" t="s">
        <v>61</v>
      </c>
      <c r="I32" s="80">
        <f>I28/F87</f>
        <v>2.1200963755199047</v>
      </c>
    </row>
    <row r="33" spans="8:9" ht="15" thickBot="1" x14ac:dyDescent="0.4">
      <c r="H33" s="38" t="s">
        <v>62</v>
      </c>
      <c r="I33" s="81">
        <f>I28/F100</f>
        <v>1.0995754083204929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20000</v>
      </c>
    </row>
    <row r="37" spans="8:9" x14ac:dyDescent="0.35">
      <c r="H37" s="17" t="s">
        <v>58</v>
      </c>
      <c r="I37" s="80">
        <f>I36/F60</f>
        <v>2.5</v>
      </c>
    </row>
    <row r="38" spans="8:9" x14ac:dyDescent="0.35">
      <c r="H38" s="17" t="s">
        <v>59</v>
      </c>
      <c r="I38" s="80">
        <f>I36/F72</f>
        <v>1.6666666666666667</v>
      </c>
    </row>
    <row r="39" spans="8:9" x14ac:dyDescent="0.35">
      <c r="H39" s="17" t="s">
        <v>60</v>
      </c>
      <c r="I39" s="80">
        <f>I36/F111</f>
        <v>1.4285714285714286</v>
      </c>
    </row>
    <row r="40" spans="8:9" x14ac:dyDescent="0.35">
      <c r="H40" s="17" t="s">
        <v>61</v>
      </c>
      <c r="I40" s="80">
        <f>I36/F85</f>
        <v>2</v>
      </c>
    </row>
    <row r="41" spans="8:9" ht="15" thickBot="1" x14ac:dyDescent="0.4">
      <c r="H41" s="38" t="s">
        <v>62</v>
      </c>
      <c r="I41" s="81">
        <f>I36/F98</f>
        <v>1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rq/OyX5U9zHSWsb+h/mp8a0a2M9enVWUWqYkyWryzJ0lJIGSwRxhmEMF9S9QeZZ1J/TKttYD1pGkYYR2ZNs2Jw==" saltValue="EYkTnM1YG2Sk/kEOTFXnk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163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990600</xdr:colOff>
                    <xdr:row>1</xdr:row>
                    <xdr:rowOff>95250</xdr:rowOff>
                  </from>
                  <to>
                    <xdr:col>7</xdr:col>
                    <xdr:colOff>3067050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31">
    <tabColor theme="4" tint="0.39997558519241921"/>
  </sheetPr>
  <dimension ref="A2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400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284" t="s">
        <v>175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174</v>
      </c>
      <c r="C9" s="14">
        <v>750</v>
      </c>
      <c r="D9" s="96" t="s">
        <v>12</v>
      </c>
      <c r="E9" s="186">
        <v>93826</v>
      </c>
      <c r="F9" s="115">
        <f>Tabla1345681091113923252627284382[[#This Row],[PRECIO]]/Tabla1345681091113923252627284382[[#This Row],[CANTIDAD]]</f>
        <v>125.10133333333333</v>
      </c>
      <c r="H9" s="9" t="s">
        <v>13</v>
      </c>
      <c r="I9" s="10">
        <f>F26</f>
        <v>15424.843272727274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176</v>
      </c>
      <c r="C10" s="13">
        <v>1000</v>
      </c>
      <c r="D10" s="14" t="s">
        <v>22</v>
      </c>
      <c r="E10" s="186">
        <v>3500</v>
      </c>
      <c r="F10" s="115">
        <f>Tabla1345681091113923252627284382[[#This Row],[PRECIO]]/Tabla1345681091113923252627284382[[#This Row],[CANTIDAD]]</f>
        <v>3.5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0.06</v>
      </c>
    </row>
    <row r="11" spans="1:13" ht="15" customHeight="1" thickBot="1" x14ac:dyDescent="0.4">
      <c r="A11" s="288"/>
      <c r="B11" s="12" t="s">
        <v>121</v>
      </c>
      <c r="C11" s="14">
        <v>330</v>
      </c>
      <c r="D11" s="14" t="s">
        <v>12</v>
      </c>
      <c r="E11" s="186">
        <v>1800</v>
      </c>
      <c r="F11" s="115">
        <f>Tabla1345681091113923252627284382[[#This Row],[PRECIO]]/Tabla1345681091113923252627284382[[#This Row],[CANTIDAD]]</f>
        <v>5.4545454545454541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 t="s">
        <v>143</v>
      </c>
      <c r="C12" s="22">
        <v>200</v>
      </c>
      <c r="D12" s="22" t="s">
        <v>12</v>
      </c>
      <c r="E12" s="187">
        <v>20000</v>
      </c>
      <c r="F12" s="115">
        <f>Tabla1345681091113923252627284382[[#This Row],[PRECIO]]/Tabla1345681091113923252627284382[[#This Row],[CANTIDAD]]</f>
        <v>100</v>
      </c>
      <c r="H12" s="25" t="s">
        <v>23</v>
      </c>
      <c r="I12" s="26">
        <f>I9-I10</f>
        <v>10448.176606060606</v>
      </c>
      <c r="J12" s="27">
        <f>(I9-I10)/I10*100%</f>
        <v>2.0994326736893378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289"/>
      <c r="B13" s="29" t="s">
        <v>91</v>
      </c>
      <c r="C13" s="22">
        <v>500</v>
      </c>
      <c r="D13" s="22" t="s">
        <v>22</v>
      </c>
      <c r="E13" s="188">
        <v>2500</v>
      </c>
      <c r="F13" s="115">
        <f>Tabla1345681091113923252627284382[[#This Row],[PRECIO]]/Tabla1345681091113923252627284382[[#This Row],[CANTIDAD]]</f>
        <v>5</v>
      </c>
      <c r="H13" s="30" t="s">
        <v>26</v>
      </c>
      <c r="I13" s="31">
        <f>I9-I11</f>
        <v>8418.176606060606</v>
      </c>
      <c r="J13" s="32">
        <f>(I9-I11)/I11*100%</f>
        <v>1.2014524176109334</v>
      </c>
      <c r="L13" s="17" t="s">
        <v>27</v>
      </c>
      <c r="M13" s="19">
        <f>D17+D18+D16+D19+30</f>
        <v>134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0.12371134020618557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BULLEIT BOURBON</v>
      </c>
      <c r="C16" s="45" t="str">
        <f>D9</f>
        <v>ML</v>
      </c>
      <c r="D16" s="189">
        <v>60</v>
      </c>
      <c r="E16" s="45">
        <f>VLOOKUP(B16,Tabla1345681091113923252627284382[],5,FALSE)</f>
        <v>125.10133333333333</v>
      </c>
      <c r="F16" s="47">
        <f>E16*D16</f>
        <v>7506.08</v>
      </c>
      <c r="H16" s="48" t="s">
        <v>13</v>
      </c>
      <c r="I16" s="49">
        <f>F26</f>
        <v>15424.843272727274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AZÚCAR</v>
      </c>
      <c r="C17" s="51" t="str">
        <f>D10</f>
        <v>GR</v>
      </c>
      <c r="D17" s="190">
        <v>30</v>
      </c>
      <c r="E17" s="51">
        <f>VLOOKUP(B17,Tabla1345681091113923252627284382[],5,FALSE)</f>
        <v>3.5</v>
      </c>
      <c r="F17" s="53">
        <f>E17*D17</f>
        <v>105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SODA</v>
      </c>
      <c r="C18" s="51" t="str">
        <f>D11</f>
        <v>ML</v>
      </c>
      <c r="D18" s="190">
        <v>10</v>
      </c>
      <c r="E18" s="51">
        <f>VLOOKUP(B18,Tabla1345681091113923252627284382[],5,FALSE)</f>
        <v>5.4545454545454541</v>
      </c>
      <c r="F18" s="53">
        <f>E18*D18</f>
        <v>54.54545454545454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 t="str">
        <f>B12</f>
        <v>GOTAS AMARGAS</v>
      </c>
      <c r="C19" s="51" t="str">
        <f>D12</f>
        <v>ML</v>
      </c>
      <c r="D19" s="190">
        <v>4</v>
      </c>
      <c r="E19" s="51">
        <f>VLOOKUP(B19,Tabla1345681091113923252627284382[],5,FALSE)</f>
        <v>100</v>
      </c>
      <c r="F19" s="53">
        <f>E19*D19</f>
        <v>400</v>
      </c>
      <c r="H19" s="58" t="s">
        <v>40</v>
      </c>
      <c r="I19" s="26">
        <f>I16-I17</f>
        <v>9304.8432727272739</v>
      </c>
      <c r="J19" s="27">
        <f>(I16-I17)/I17*100%</f>
        <v>1.5203992275698159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 t="str">
        <f>B13</f>
        <v>NARANJA</v>
      </c>
      <c r="C20" s="51" t="str">
        <f>D13</f>
        <v>GR</v>
      </c>
      <c r="D20" s="190">
        <v>5</v>
      </c>
      <c r="E20" s="51">
        <f>VLOOKUP(B20,Tabla1345681091113923252627284382[],5,FALSE)</f>
        <v>5</v>
      </c>
      <c r="F20" s="53">
        <f>E20*D20</f>
        <v>25</v>
      </c>
      <c r="H20" s="63" t="s">
        <v>41</v>
      </c>
      <c r="I20" s="31">
        <f>I16-I18</f>
        <v>3624.8432727272739</v>
      </c>
      <c r="J20" s="32">
        <f>(I16-I18)/I18*100%</f>
        <v>0.30719010785824352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8090.6254545454549</v>
      </c>
    </row>
    <row r="22" spans="1:13" ht="16.5" customHeight="1" thickBot="1" x14ac:dyDescent="0.4">
      <c r="A22" s="296"/>
      <c r="B22" s="304" t="s">
        <v>215</v>
      </c>
      <c r="C22" s="305"/>
      <c r="D22" s="310" t="s">
        <v>46</v>
      </c>
      <c r="E22" s="311"/>
      <c r="F22" s="66">
        <f>F21*5%</f>
        <v>404.53127272727278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8495.1567272727279</v>
      </c>
      <c r="H23" s="9" t="s">
        <v>13</v>
      </c>
      <c r="I23" s="10">
        <f>F26</f>
        <v>15424.843272727274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26000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2080</v>
      </c>
      <c r="H25" s="30" t="s">
        <v>52</v>
      </c>
      <c r="I25" s="70">
        <f>I23-I24</f>
        <v>7128.1766060606078</v>
      </c>
      <c r="J25" s="71">
        <f>(I23-I24)/I23*100%</f>
        <v>0.46212311399390132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15424.843272727274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0.32673679720279725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0.59326320279720279</v>
      </c>
      <c r="G28" s="73"/>
      <c r="H28" s="9" t="s">
        <v>57</v>
      </c>
      <c r="I28" s="10">
        <f>F26</f>
        <v>15424.843272727274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3.0994326736893383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2.2014524176109336</v>
      </c>
    </row>
    <row r="31" spans="1:13" x14ac:dyDescent="0.35">
      <c r="H31" s="17" t="s">
        <v>60</v>
      </c>
      <c r="I31" s="80">
        <f>I28/F113</f>
        <v>1.8591615033419777</v>
      </c>
    </row>
    <row r="32" spans="1:13" x14ac:dyDescent="0.35">
      <c r="H32" s="17" t="s">
        <v>61</v>
      </c>
      <c r="I32" s="80">
        <f>I28/F87</f>
        <v>2.5203992275698162</v>
      </c>
    </row>
    <row r="33" spans="8:9" ht="15" thickBot="1" x14ac:dyDescent="0.4">
      <c r="H33" s="38" t="s">
        <v>62</v>
      </c>
      <c r="I33" s="81">
        <f>I28/F100</f>
        <v>1.3071901078582435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26000</v>
      </c>
    </row>
    <row r="37" spans="8:9" x14ac:dyDescent="0.35">
      <c r="H37" s="17" t="s">
        <v>58</v>
      </c>
      <c r="I37" s="80">
        <f>I36/F60</f>
        <v>3.25</v>
      </c>
    </row>
    <row r="38" spans="8:9" x14ac:dyDescent="0.35">
      <c r="H38" s="17" t="s">
        <v>59</v>
      </c>
      <c r="I38" s="80">
        <f>I36/F72</f>
        <v>2.1666666666666665</v>
      </c>
    </row>
    <row r="39" spans="8:9" x14ac:dyDescent="0.35">
      <c r="H39" s="17" t="s">
        <v>60</v>
      </c>
      <c r="I39" s="80">
        <f>I36/F111</f>
        <v>1.8571428571428572</v>
      </c>
    </row>
    <row r="40" spans="8:9" x14ac:dyDescent="0.35">
      <c r="H40" s="17" t="s">
        <v>61</v>
      </c>
      <c r="I40" s="80">
        <f>I36/F85</f>
        <v>2.6</v>
      </c>
    </row>
    <row r="41" spans="8:9" ht="15" thickBot="1" x14ac:dyDescent="0.4">
      <c r="H41" s="38" t="s">
        <v>62</v>
      </c>
      <c r="I41" s="81">
        <f>I36/F98</f>
        <v>1.3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BHR5r4YBd0PU2o2pMsnXwYagm1ZiTH2h8re/3ezN+qa5RDmceHIO8WRA31e2FF0t3YgjWRTJuEg5fHz//FsOBw==" saltValue="uwLeHVl3lJf5HJin/k5US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7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1009650</xdr:colOff>
                    <xdr:row>1</xdr:row>
                    <xdr:rowOff>19050</xdr:rowOff>
                  </from>
                  <to>
                    <xdr:col>7</xdr:col>
                    <xdr:colOff>3086100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32">
    <tabColor theme="5" tint="0.39997558519241921"/>
  </sheetPr>
  <dimension ref="A2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400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284" t="s">
        <v>549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178</v>
      </c>
      <c r="C9" s="14">
        <v>750</v>
      </c>
      <c r="D9" s="96" t="s">
        <v>12</v>
      </c>
      <c r="E9" s="186">
        <v>104261</v>
      </c>
      <c r="F9" s="115">
        <f>Tabla1345681091113923252627284344[[#This Row],[PRECIO]]/Tabla1345681091113923252627284344[[#This Row],[CANTIDAD]]</f>
        <v>139.01466666666667</v>
      </c>
      <c r="H9" s="9" t="s">
        <v>13</v>
      </c>
      <c r="I9" s="10">
        <f>F26</f>
        <v>12536.719818181817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179</v>
      </c>
      <c r="C10" s="13">
        <v>330</v>
      </c>
      <c r="D10" s="14" t="s">
        <v>22</v>
      </c>
      <c r="E10" s="186">
        <v>3000</v>
      </c>
      <c r="F10" s="115">
        <f>Tabla1345681091113923252627284344[[#This Row],[PRECIO]]/Tabla1345681091113923252627284344[[#This Row],[CANTIDAD]]</f>
        <v>9.0909090909090917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0.03</v>
      </c>
    </row>
    <row r="11" spans="1:13" ht="15" customHeight="1" thickBot="1" x14ac:dyDescent="0.4">
      <c r="A11" s="288"/>
      <c r="B11" s="29" t="s">
        <v>91</v>
      </c>
      <c r="C11" s="22">
        <v>500</v>
      </c>
      <c r="D11" s="22" t="s">
        <v>22</v>
      </c>
      <c r="E11" s="188">
        <v>2500</v>
      </c>
      <c r="F11" s="115">
        <f>Tabla1345681091113923252627284344[[#This Row],[PRECIO]]/Tabla1345681091113923252627284344[[#This Row],[CANTIDAD]]</f>
        <v>5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12"/>
      <c r="C12" s="14"/>
      <c r="D12" s="14"/>
      <c r="E12" s="186"/>
      <c r="F12" s="115"/>
      <c r="H12" s="25" t="s">
        <v>23</v>
      </c>
      <c r="I12" s="26">
        <f>I9-I10</f>
        <v>7560.0531515151497</v>
      </c>
      <c r="J12" s="27">
        <f>(I9-I10)/I10*100%</f>
        <v>1.5190997625281613</v>
      </c>
      <c r="L12" s="17" t="s">
        <v>24</v>
      </c>
      <c r="M12" s="28">
        <f>M9*M10*M11</f>
        <v>9.3840000000000003</v>
      </c>
    </row>
    <row r="13" spans="1:13" ht="15.75" customHeight="1" thickBot="1" x14ac:dyDescent="0.4">
      <c r="A13" s="289"/>
      <c r="B13" s="21"/>
      <c r="C13" s="22"/>
      <c r="D13" s="22"/>
      <c r="E13" s="187"/>
      <c r="F13" s="115"/>
      <c r="H13" s="30" t="s">
        <v>26</v>
      </c>
      <c r="I13" s="31">
        <f>I9-I11</f>
        <v>5530.0531515151497</v>
      </c>
      <c r="J13" s="32">
        <f>(I9-I11)/I11*100%</f>
        <v>0.78925592076809936</v>
      </c>
      <c r="L13" s="17" t="s">
        <v>27</v>
      </c>
      <c r="M13" s="19">
        <f>D17+D18+D16+D19+30</f>
        <v>220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4.8000000000000001E-2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BULLEIT RYE</v>
      </c>
      <c r="C16" s="45" t="str">
        <f>D9</f>
        <v>ML</v>
      </c>
      <c r="D16" s="189">
        <v>30</v>
      </c>
      <c r="E16" s="45">
        <f>VLOOKUP(B16,Tabla1345681091113923252627284344[],5,FALSE)</f>
        <v>139.01466666666667</v>
      </c>
      <c r="F16" s="47">
        <f>E16*D16</f>
        <v>4170.4400000000005</v>
      </c>
      <c r="H16" s="48" t="s">
        <v>13</v>
      </c>
      <c r="I16" s="49">
        <f>F26</f>
        <v>12536.719818181817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CERVEZA NEGRA</v>
      </c>
      <c r="C17" s="51" t="str">
        <f>D10</f>
        <v>GR</v>
      </c>
      <c r="D17" s="190">
        <v>150</v>
      </c>
      <c r="E17" s="51">
        <f>VLOOKUP(B17,Tabla1345681091113923252627284344[],5,FALSE)</f>
        <v>9.0909090909090917</v>
      </c>
      <c r="F17" s="53">
        <f>E17*D17</f>
        <v>1363.6363636363637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NARANJA</v>
      </c>
      <c r="C18" s="51" t="str">
        <f>D11</f>
        <v>GR</v>
      </c>
      <c r="D18" s="190">
        <v>10</v>
      </c>
      <c r="E18" s="51">
        <f>VLOOKUP(B18,Tabla1345681091113923252627284344[],5,FALSE)</f>
        <v>5</v>
      </c>
      <c r="F18" s="53">
        <f>E18*D18</f>
        <v>50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/>
      <c r="C19" s="51"/>
      <c r="D19" s="190"/>
      <c r="E19" s="51"/>
      <c r="F19" s="53"/>
      <c r="H19" s="58" t="s">
        <v>40</v>
      </c>
      <c r="I19" s="26">
        <f>I16-I17</f>
        <v>6416.7198181818167</v>
      </c>
      <c r="J19" s="27">
        <f>(I16-I17)/I17*100%</f>
        <v>1.0484836304218654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/>
      <c r="C20" s="51"/>
      <c r="D20" s="190"/>
      <c r="E20" s="51"/>
      <c r="F20" s="53"/>
      <c r="H20" s="63" t="s">
        <v>41</v>
      </c>
      <c r="I20" s="31">
        <f>I16-I18</f>
        <v>736.71981818181666</v>
      </c>
      <c r="J20" s="32">
        <f>(I16-I18)/I18*100%</f>
        <v>6.2433882896764124E-2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SUM(F16:F19)</f>
        <v>5584.0763636363645</v>
      </c>
    </row>
    <row r="22" spans="1:13" ht="16.5" customHeight="1" thickBot="1" x14ac:dyDescent="0.4">
      <c r="A22" s="296"/>
      <c r="B22" s="304" t="s">
        <v>560</v>
      </c>
      <c r="C22" s="305"/>
      <c r="D22" s="310" t="s">
        <v>46</v>
      </c>
      <c r="E22" s="311"/>
      <c r="F22" s="66">
        <f>F21*5%</f>
        <v>279.20381818181824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5863.2801818181824</v>
      </c>
      <c r="H23" s="9" t="s">
        <v>13</v>
      </c>
      <c r="I23" s="10">
        <f>F26</f>
        <v>12536.719818181817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1600</v>
      </c>
      <c r="H25" s="30" t="s">
        <v>52</v>
      </c>
      <c r="I25" s="70">
        <f>I23-I24</f>
        <v>4240.0531515151506</v>
      </c>
      <c r="J25" s="71">
        <f>(I23-I24)/I23*100%</f>
        <v>0.33821072920253553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12536.719818181817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0.29316400909090912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0.62683599090909081</v>
      </c>
      <c r="G28" s="73"/>
      <c r="H28" s="9" t="s">
        <v>57</v>
      </c>
      <c r="I28" s="10">
        <f>F26</f>
        <v>12536.719818181817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2.5190997625281613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1.7892559207680994</v>
      </c>
    </row>
    <row r="31" spans="1:13" x14ac:dyDescent="0.35">
      <c r="H31" s="17" t="s">
        <v>60</v>
      </c>
      <c r="I31" s="80">
        <f>I28/F113</f>
        <v>1.5110550202710105</v>
      </c>
    </row>
    <row r="32" spans="1:13" x14ac:dyDescent="0.35">
      <c r="H32" s="17" t="s">
        <v>61</v>
      </c>
      <c r="I32" s="80">
        <f>I28/F87</f>
        <v>2.0484836304218654</v>
      </c>
    </row>
    <row r="33" spans="8:9" ht="15" thickBot="1" x14ac:dyDescent="0.4">
      <c r="H33" s="38" t="s">
        <v>62</v>
      </c>
      <c r="I33" s="81">
        <f>I28/F100</f>
        <v>1.0624338828967641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20000</v>
      </c>
    </row>
    <row r="37" spans="8:9" x14ac:dyDescent="0.35">
      <c r="H37" s="17" t="s">
        <v>58</v>
      </c>
      <c r="I37" s="80">
        <f>I36/F60</f>
        <v>2.5</v>
      </c>
    </row>
    <row r="38" spans="8:9" x14ac:dyDescent="0.35">
      <c r="H38" s="17" t="s">
        <v>59</v>
      </c>
      <c r="I38" s="80">
        <f>I36/F72</f>
        <v>1.6666666666666667</v>
      </c>
    </row>
    <row r="39" spans="8:9" x14ac:dyDescent="0.35">
      <c r="H39" s="17" t="s">
        <v>60</v>
      </c>
      <c r="I39" s="80">
        <f>I36/F111</f>
        <v>1.4285714285714286</v>
      </c>
    </row>
    <row r="40" spans="8:9" x14ac:dyDescent="0.35">
      <c r="H40" s="17" t="s">
        <v>61</v>
      </c>
      <c r="I40" s="80">
        <f>I36/F85</f>
        <v>2</v>
      </c>
    </row>
    <row r="41" spans="8:9" ht="15" thickBot="1" x14ac:dyDescent="0.4">
      <c r="H41" s="38" t="s">
        <v>62</v>
      </c>
      <c r="I41" s="81">
        <f>I36/F98</f>
        <v>1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mAHCu7NaxYXyb8LuB8XAYg9EE+90atSeP0FvxyHfe8yEFNzMAfX7aWFIx5xXwVnF2k/4UJVC/hiMPtkiJORMcA==" saltValue="ZV5fCK22tq9lhaepKFKG8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1009650</xdr:colOff>
                    <xdr:row>0</xdr:row>
                    <xdr:rowOff>165100</xdr:rowOff>
                  </from>
                  <to>
                    <xdr:col>7</xdr:col>
                    <xdr:colOff>3086100</xdr:colOff>
                    <xdr:row>3</xdr:row>
                    <xdr:rowOff>69850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45">
    <tabColor theme="4" tint="0.39997558519241921"/>
  </sheetPr>
  <dimension ref="A2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284" t="s">
        <v>482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483</v>
      </c>
      <c r="C9" s="14">
        <v>750</v>
      </c>
      <c r="D9" s="96" t="s">
        <v>12</v>
      </c>
      <c r="E9" s="186">
        <v>93826</v>
      </c>
      <c r="F9" s="115">
        <f>Tabla134568109111392310[[#This Row],[PRECIO]]/Tabla134568109111392310[[#This Row],[CANTIDAD]]</f>
        <v>125.10133333333333</v>
      </c>
      <c r="H9" s="9" t="s">
        <v>13</v>
      </c>
      <c r="I9" s="10">
        <f>F26</f>
        <v>16798.18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95</v>
      </c>
      <c r="C10" s="13">
        <v>1000</v>
      </c>
      <c r="D10" s="14" t="s">
        <v>12</v>
      </c>
      <c r="E10" s="186">
        <v>13200</v>
      </c>
      <c r="F10" s="115">
        <f>Tabla134568109111392310[[#This Row],[PRECIO]]/Tabla134568109111392310[[#This Row],[CANTIDAD]]</f>
        <v>13.2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12" t="s">
        <v>485</v>
      </c>
      <c r="C11" s="14">
        <v>300</v>
      </c>
      <c r="D11" s="14" t="s">
        <v>12</v>
      </c>
      <c r="E11" s="186">
        <v>3500</v>
      </c>
      <c r="F11" s="115">
        <f>Tabla134568109111392310[[#This Row],[PRECIO]]/Tabla134568109111392310[[#This Row],[CANTIDAD]]</f>
        <v>11.666666666666666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 t="s">
        <v>484</v>
      </c>
      <c r="C12" s="22">
        <v>500</v>
      </c>
      <c r="D12" s="22" t="s">
        <v>22</v>
      </c>
      <c r="E12" s="187">
        <v>20000</v>
      </c>
      <c r="F12" s="115">
        <f>Tabla134568109111392310[[#This Row],[PRECIO]]/Tabla134568109111392310[[#This Row],[CANTIDAD]]</f>
        <v>40</v>
      </c>
      <c r="H12" s="25" t="s">
        <v>23</v>
      </c>
      <c r="I12" s="26">
        <f>I9-I10</f>
        <v>11821.513333333332</v>
      </c>
      <c r="J12" s="27">
        <f>(I9-I10)/I10*100%</f>
        <v>2.3753878097789682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29"/>
      <c r="C13" s="22"/>
      <c r="D13" s="22"/>
      <c r="E13" s="188"/>
      <c r="F13" s="115"/>
      <c r="H13" s="30" t="s">
        <v>26</v>
      </c>
      <c r="I13" s="31">
        <f>I9-I11</f>
        <v>9791.5133333333324</v>
      </c>
      <c r="J13" s="32">
        <f>(I9-I11)/I11*100%</f>
        <v>1.3974567078972406</v>
      </c>
      <c r="L13" s="17" t="s">
        <v>27</v>
      </c>
      <c r="M13" s="19">
        <f>D17+D18+D16+D19+30</f>
        <v>260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6.4516129032258063E-2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KETEL ONE</v>
      </c>
      <c r="C16" s="45" t="str">
        <f>D9</f>
        <v>ML</v>
      </c>
      <c r="D16" s="189">
        <v>50</v>
      </c>
      <c r="E16" s="45">
        <f>VLOOKUP(B16,Tabla134568109111392310[],5,FALSE)</f>
        <v>125.10133333333333</v>
      </c>
      <c r="F16" s="47">
        <f>E16*D16</f>
        <v>6255.0666666666666</v>
      </c>
      <c r="H16" s="48" t="s">
        <v>13</v>
      </c>
      <c r="I16" s="49">
        <f>F26</f>
        <v>16798.18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ZUMO DE LIMÓN</v>
      </c>
      <c r="C17" s="51" t="s">
        <v>12</v>
      </c>
      <c r="D17" s="190">
        <v>25</v>
      </c>
      <c r="E17" s="51">
        <f>VLOOKUP(B17,Tabla134568109111392310[],5,FALSE)</f>
        <v>13.2</v>
      </c>
      <c r="F17" s="53">
        <f>E17*D17</f>
        <v>330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CERVEZA DE JENGIBRE</v>
      </c>
      <c r="C18" s="51" t="str">
        <f>D11</f>
        <v>ML</v>
      </c>
      <c r="D18" s="190">
        <v>150</v>
      </c>
      <c r="E18" s="51">
        <f>VLOOKUP(B18,Tabla134568109111392310[],5,FALSE)</f>
        <v>11.666666666666666</v>
      </c>
      <c r="F18" s="53">
        <f>E18*D18</f>
        <v>1750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 t="str">
        <f>B12</f>
        <v>RODAJA DE LIMÓN</v>
      </c>
      <c r="C19" s="51" t="str">
        <f>D12</f>
        <v>GR</v>
      </c>
      <c r="D19" s="190">
        <v>5</v>
      </c>
      <c r="E19" s="51">
        <f>VLOOKUP(B19,Tabla134568109111392310[],5,FALSE)</f>
        <v>40</v>
      </c>
      <c r="F19" s="53">
        <f>E19*D19</f>
        <v>200</v>
      </c>
      <c r="H19" s="58" t="s">
        <v>40</v>
      </c>
      <c r="I19" s="26">
        <f>I16-I17</f>
        <v>10678.18</v>
      </c>
      <c r="J19" s="27">
        <f>(I16-I17)/I17*100%</f>
        <v>1.7448006535947713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/>
      <c r="C20" s="51"/>
      <c r="D20" s="190"/>
      <c r="E20" s="51"/>
      <c r="F20" s="53"/>
      <c r="H20" s="63" t="s">
        <v>41</v>
      </c>
      <c r="I20" s="31">
        <f>I16-I18</f>
        <v>4998.18</v>
      </c>
      <c r="J20" s="32">
        <f>(I16-I18)/I18*100%</f>
        <v>0.42357457627118644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8535.0666666666657</v>
      </c>
    </row>
    <row r="22" spans="1:13" ht="16.5" customHeight="1" thickBot="1" x14ac:dyDescent="0.4">
      <c r="A22" s="296"/>
      <c r="B22" s="304" t="s">
        <v>486</v>
      </c>
      <c r="C22" s="305"/>
      <c r="D22" s="310" t="s">
        <v>46</v>
      </c>
      <c r="E22" s="311"/>
      <c r="F22" s="66">
        <f>F21*5%</f>
        <v>426.75333333333333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8961.82</v>
      </c>
      <c r="H23" s="9" t="s">
        <v>13</v>
      </c>
      <c r="I23" s="10">
        <f>F26</f>
        <v>16798.18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28000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2240</v>
      </c>
      <c r="H25" s="30" t="s">
        <v>52</v>
      </c>
      <c r="I25" s="70">
        <f>I23-I24</f>
        <v>8501.5133333333342</v>
      </c>
      <c r="J25" s="71">
        <f>(I23-I24)/I23*100%</f>
        <v>0.50609728752360872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16798.18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0.32006499999999999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0.599935</v>
      </c>
      <c r="G28" s="73"/>
      <c r="H28" s="9" t="s">
        <v>57</v>
      </c>
      <c r="I28" s="10">
        <f>F26</f>
        <v>16798.18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3.3753878097789682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2.3974567078972409</v>
      </c>
    </row>
    <row r="31" spans="1:13" x14ac:dyDescent="0.35">
      <c r="H31" s="17" t="s">
        <v>60</v>
      </c>
      <c r="I31" s="80">
        <f>I28/F113</f>
        <v>2.0246902370429893</v>
      </c>
    </row>
    <row r="32" spans="1:13" x14ac:dyDescent="0.35">
      <c r="H32" s="17" t="s">
        <v>61</v>
      </c>
      <c r="I32" s="80">
        <f>I28/F87</f>
        <v>2.7448006535947713</v>
      </c>
    </row>
    <row r="33" spans="8:9" ht="15" thickBot="1" x14ac:dyDescent="0.4">
      <c r="H33" s="38" t="s">
        <v>62</v>
      </c>
      <c r="I33" s="81">
        <f>I28/F100</f>
        <v>1.4235745762711864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28000</v>
      </c>
    </row>
    <row r="37" spans="8:9" x14ac:dyDescent="0.35">
      <c r="H37" s="17" t="s">
        <v>58</v>
      </c>
      <c r="I37" s="80">
        <f>I36/F60</f>
        <v>3.5</v>
      </c>
    </row>
    <row r="38" spans="8:9" x14ac:dyDescent="0.35">
      <c r="H38" s="17" t="s">
        <v>59</v>
      </c>
      <c r="I38" s="80">
        <f>I36/F72</f>
        <v>2.3333333333333335</v>
      </c>
    </row>
    <row r="39" spans="8:9" x14ac:dyDescent="0.35">
      <c r="H39" s="17" t="s">
        <v>60</v>
      </c>
      <c r="I39" s="80">
        <f>I36/F111</f>
        <v>2</v>
      </c>
    </row>
    <row r="40" spans="8:9" x14ac:dyDescent="0.35">
      <c r="H40" s="17" t="s">
        <v>61</v>
      </c>
      <c r="I40" s="80">
        <f>I36/F85</f>
        <v>2.8</v>
      </c>
    </row>
    <row r="41" spans="8:9" ht="15" thickBot="1" x14ac:dyDescent="0.4">
      <c r="H41" s="38" t="s">
        <v>62</v>
      </c>
      <c r="I41" s="81">
        <f>I36/F98</f>
        <v>1.4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bfEvm1DsZhRoFyTeXL947F6CFrEqlKweiMjzhKDncZIYnS7v2wUU1S1VpH74Kf1DwoQj8apmELFY0VFayA1skg==" saltValue="1uU/6zPEOzgSs9h08aGk2A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7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1212850</xdr:colOff>
                    <xdr:row>1</xdr:row>
                    <xdr:rowOff>38100</xdr:rowOff>
                  </from>
                  <to>
                    <xdr:col>7</xdr:col>
                    <xdr:colOff>3289300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50">
    <tabColor theme="7" tint="0.39997558519241921"/>
  </sheetPr>
  <dimension ref="A2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501</v>
      </c>
    </row>
    <row r="5" spans="1:13" ht="15" customHeight="1" thickBot="1" x14ac:dyDescent="0.4"/>
    <row r="6" spans="1:13" ht="23.25" customHeight="1" thickBot="1" x14ac:dyDescent="0.4">
      <c r="A6" s="284" t="s">
        <v>488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141</v>
      </c>
      <c r="C9" s="14">
        <v>700</v>
      </c>
      <c r="D9" s="96" t="s">
        <v>12</v>
      </c>
      <c r="E9" s="186">
        <v>104261</v>
      </c>
      <c r="F9" s="115">
        <f>Tabla13456810911139232526272811[[#This Row],[PRECIO]]/Tabla13456810911139232526272811[[#This Row],[CANTIDAD]]</f>
        <v>148.94428571428571</v>
      </c>
      <c r="H9" s="9" t="s">
        <v>13</v>
      </c>
      <c r="I9" s="10">
        <f>F26</f>
        <v>18216.510000000002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/>
      <c r="C10" s="13"/>
      <c r="D10" s="14"/>
      <c r="E10" s="186"/>
      <c r="F10" s="115"/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0.06</v>
      </c>
    </row>
    <row r="11" spans="1:13" ht="15" customHeight="1" thickBot="1" x14ac:dyDescent="0.4">
      <c r="A11" s="288"/>
      <c r="B11" s="12"/>
      <c r="C11" s="14"/>
      <c r="D11" s="14"/>
      <c r="E11" s="186"/>
      <c r="F11" s="115"/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187"/>
      <c r="F12" s="115"/>
      <c r="H12" s="25" t="s">
        <v>23</v>
      </c>
      <c r="I12" s="26">
        <f>I9-I10</f>
        <v>13239.843333333334</v>
      </c>
      <c r="J12" s="27">
        <f>(I9-I10)/I10*100%</f>
        <v>2.6603837910247825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289"/>
      <c r="B13" s="29"/>
      <c r="C13" s="22"/>
      <c r="D13" s="22"/>
      <c r="E13" s="188"/>
      <c r="F13" s="115"/>
      <c r="H13" s="30" t="s">
        <v>26</v>
      </c>
      <c r="I13" s="31">
        <f>I9-I11</f>
        <v>11209.843333333334</v>
      </c>
      <c r="J13" s="32">
        <f>(I9-I11)/I11*100%</f>
        <v>1.5998824928639392</v>
      </c>
      <c r="L13" s="17" t="s">
        <v>27</v>
      </c>
      <c r="M13" s="19">
        <f>D17+D18+D16+D19+30</f>
        <v>90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0.16</v>
      </c>
    </row>
    <row r="15" spans="1:13" ht="24.75" customHeight="1" thickBot="1" x14ac:dyDescent="0.4">
      <c r="A15" s="33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336"/>
      <c r="B16" s="44" t="str">
        <f>B9</f>
        <v>WHISKY SINGLETON 12</v>
      </c>
      <c r="C16" s="45" t="str">
        <f>D9</f>
        <v>ML</v>
      </c>
      <c r="D16" s="189">
        <v>60</v>
      </c>
      <c r="E16" s="45">
        <f>VLOOKUP(B16,Tabla13456810911139232526272811[],5,FALSE)</f>
        <v>148.94428571428571</v>
      </c>
      <c r="F16" s="47">
        <f>E16*D16</f>
        <v>8936.6571428571424</v>
      </c>
      <c r="H16" s="48" t="s">
        <v>13</v>
      </c>
      <c r="I16" s="49">
        <f>F26</f>
        <v>18216.510000000002</v>
      </c>
      <c r="L16" s="290" t="s">
        <v>35</v>
      </c>
      <c r="M16" s="291"/>
    </row>
    <row r="17" spans="1:13" ht="15" customHeight="1" x14ac:dyDescent="0.35">
      <c r="A17" s="336"/>
      <c r="B17" s="50"/>
      <c r="C17" s="51"/>
      <c r="D17" s="190"/>
      <c r="E17" s="51"/>
      <c r="F17" s="53"/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36"/>
      <c r="B18" s="50"/>
      <c r="C18" s="51"/>
      <c r="D18" s="19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36"/>
      <c r="B19" s="50"/>
      <c r="C19" s="51"/>
      <c r="D19" s="190"/>
      <c r="E19" s="51"/>
      <c r="F19" s="53"/>
      <c r="H19" s="58" t="s">
        <v>40</v>
      </c>
      <c r="I19" s="26">
        <f>I16-I17</f>
        <v>12096.510000000002</v>
      </c>
      <c r="J19" s="27">
        <f>(I16-I17)/I17*100%</f>
        <v>1.9765539215686279</v>
      </c>
      <c r="L19" s="17" t="s">
        <v>20</v>
      </c>
      <c r="M19" s="19">
        <v>782</v>
      </c>
    </row>
    <row r="20" spans="1:13" ht="15.75" customHeight="1" thickBot="1" x14ac:dyDescent="0.4">
      <c r="A20" s="336"/>
      <c r="B20" s="50"/>
      <c r="C20" s="51"/>
      <c r="D20" s="190"/>
      <c r="E20" s="51"/>
      <c r="F20" s="53"/>
      <c r="H20" s="63" t="s">
        <v>41</v>
      </c>
      <c r="I20" s="31">
        <f>I16-I18</f>
        <v>6416.510000000002</v>
      </c>
      <c r="J20" s="32">
        <f>(I16-I18)/I18*100%</f>
        <v>0.54377203389830531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36"/>
      <c r="B21" s="338" t="s">
        <v>43</v>
      </c>
      <c r="C21" s="339"/>
      <c r="D21" s="340" t="s">
        <v>44</v>
      </c>
      <c r="E21" s="341"/>
      <c r="F21" s="65">
        <f>SUM(F16:F20)</f>
        <v>8936.6571428571424</v>
      </c>
    </row>
    <row r="22" spans="1:13" ht="16.5" customHeight="1" thickBot="1" x14ac:dyDescent="0.4">
      <c r="A22" s="336"/>
      <c r="B22" s="304" t="s">
        <v>487</v>
      </c>
      <c r="C22" s="305"/>
      <c r="D22" s="342" t="s">
        <v>46</v>
      </c>
      <c r="E22" s="343"/>
      <c r="F22" s="66">
        <f>F21*5%</f>
        <v>446.83285714285716</v>
      </c>
      <c r="H22" s="290" t="s">
        <v>47</v>
      </c>
      <c r="I22" s="291"/>
    </row>
    <row r="23" spans="1:13" ht="15" customHeight="1" x14ac:dyDescent="0.35">
      <c r="A23" s="336"/>
      <c r="B23" s="306"/>
      <c r="C23" s="307"/>
      <c r="D23" s="344" t="s">
        <v>48</v>
      </c>
      <c r="E23" s="345"/>
      <c r="F23" s="67">
        <f>SUM(F21:F22)</f>
        <v>9383.49</v>
      </c>
      <c r="H23" s="9" t="s">
        <v>13</v>
      </c>
      <c r="I23" s="10">
        <f>F26</f>
        <v>18216.510000000002</v>
      </c>
    </row>
    <row r="24" spans="1:13" ht="15" customHeight="1" thickBot="1" x14ac:dyDescent="0.4">
      <c r="A24" s="336"/>
      <c r="B24" s="306"/>
      <c r="C24" s="307"/>
      <c r="D24" s="346" t="s">
        <v>49</v>
      </c>
      <c r="E24" s="347"/>
      <c r="F24" s="191">
        <v>30000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36"/>
      <c r="B25" s="306"/>
      <c r="C25" s="307"/>
      <c r="D25" s="348" t="s">
        <v>51</v>
      </c>
      <c r="E25" s="349"/>
      <c r="F25" s="120">
        <f>F24*8%</f>
        <v>2400</v>
      </c>
      <c r="H25" s="30" t="s">
        <v>52</v>
      </c>
      <c r="I25" s="70">
        <f>I23-I24</f>
        <v>9919.843333333336</v>
      </c>
      <c r="J25" s="71">
        <f>(I23-I24)/I23*100%</f>
        <v>0.54455235022149329</v>
      </c>
    </row>
    <row r="26" spans="1:13" ht="15.75" customHeight="1" thickBot="1" x14ac:dyDescent="0.4">
      <c r="A26" s="336"/>
      <c r="B26" s="306"/>
      <c r="C26" s="307"/>
      <c r="D26" s="342" t="s">
        <v>53</v>
      </c>
      <c r="E26" s="343"/>
      <c r="F26" s="67">
        <f>F24-F23-F25</f>
        <v>18216.510000000002</v>
      </c>
    </row>
    <row r="27" spans="1:13" ht="15.75" customHeight="1" thickBot="1" x14ac:dyDescent="0.4">
      <c r="A27" s="336"/>
      <c r="B27" s="306"/>
      <c r="C27" s="307"/>
      <c r="D27" s="342" t="s">
        <v>54</v>
      </c>
      <c r="E27" s="343"/>
      <c r="F27" s="72">
        <f>IFERROR(F23/F24,0)</f>
        <v>0.31278299999999998</v>
      </c>
      <c r="G27" s="73"/>
      <c r="H27" s="293" t="s">
        <v>55</v>
      </c>
      <c r="I27" s="294"/>
    </row>
    <row r="28" spans="1:13" ht="15.75" customHeight="1" thickBot="1" x14ac:dyDescent="0.4">
      <c r="A28" s="337"/>
      <c r="B28" s="308"/>
      <c r="C28" s="309"/>
      <c r="D28" s="350" t="s">
        <v>56</v>
      </c>
      <c r="E28" s="351"/>
      <c r="F28" s="74">
        <f>IFERROR(F26/F24,0)</f>
        <v>0.60721700000000012</v>
      </c>
      <c r="G28" s="73"/>
      <c r="H28" s="9" t="s">
        <v>57</v>
      </c>
      <c r="I28" s="10">
        <f>F26</f>
        <v>18216.510000000002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3.6603837910247825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2.5998824928639395</v>
      </c>
    </row>
    <row r="31" spans="1:13" x14ac:dyDescent="0.35">
      <c r="H31" s="17" t="s">
        <v>60</v>
      </c>
      <c r="I31" s="80">
        <f>I28/F113</f>
        <v>2.1956420249096027</v>
      </c>
    </row>
    <row r="32" spans="1:13" x14ac:dyDescent="0.35">
      <c r="H32" s="17" t="s">
        <v>61</v>
      </c>
      <c r="I32" s="80">
        <f>I28/F87</f>
        <v>2.9765539215686276</v>
      </c>
    </row>
    <row r="33" spans="8:9" ht="15" thickBot="1" x14ac:dyDescent="0.4">
      <c r="H33" s="38" t="s">
        <v>62</v>
      </c>
      <c r="I33" s="81">
        <f>I28/F100</f>
        <v>1.5437720338983052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30000</v>
      </c>
    </row>
    <row r="37" spans="8:9" x14ac:dyDescent="0.35">
      <c r="H37" s="17" t="s">
        <v>58</v>
      </c>
      <c r="I37" s="80">
        <f>I36/F60</f>
        <v>3.75</v>
      </c>
    </row>
    <row r="38" spans="8:9" x14ac:dyDescent="0.35">
      <c r="H38" s="17" t="s">
        <v>59</v>
      </c>
      <c r="I38" s="80">
        <f>I36/F72</f>
        <v>2.5</v>
      </c>
    </row>
    <row r="39" spans="8:9" x14ac:dyDescent="0.35">
      <c r="H39" s="17" t="s">
        <v>60</v>
      </c>
      <c r="I39" s="80">
        <f>I36/F111</f>
        <v>2.1428571428571428</v>
      </c>
    </row>
    <row r="40" spans="8:9" x14ac:dyDescent="0.35">
      <c r="H40" s="17" t="s">
        <v>61</v>
      </c>
      <c r="I40" s="80">
        <f>I36/F85</f>
        <v>3</v>
      </c>
    </row>
    <row r="41" spans="8:9" ht="15" thickBot="1" x14ac:dyDescent="0.4">
      <c r="H41" s="38" t="s">
        <v>62</v>
      </c>
      <c r="I41" s="81">
        <f>I36/F98</f>
        <v>1.5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snhDf+o+IzgncwbjJgd7oAP6CCKSJNZ2NN564KRpI/jXOkkKJZQUiWBBhxDhMhsVcisyX7uGWCaOWClUh312AQ==" saltValue="XH4FDhaS2RVZyuzki5YnPA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1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1181100</xdr:colOff>
                    <xdr:row>0</xdr:row>
                    <xdr:rowOff>171450</xdr:rowOff>
                  </from>
                  <to>
                    <xdr:col>7</xdr:col>
                    <xdr:colOff>3257550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34">
    <tabColor theme="4" tint="0.39997558519241921"/>
  </sheetPr>
  <dimension ref="A2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284" t="s">
        <v>148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141</v>
      </c>
      <c r="C9" s="14">
        <v>700</v>
      </c>
      <c r="D9" s="96" t="s">
        <v>12</v>
      </c>
      <c r="E9" s="186">
        <v>104261</v>
      </c>
      <c r="F9" s="115">
        <f>Tabla1345681091113923[[#This Row],[PRECIO]]/Tabla1345681091113923[[#This Row],[CANTIDAD]]</f>
        <v>148.94428571428571</v>
      </c>
      <c r="H9" s="9" t="s">
        <v>13</v>
      </c>
      <c r="I9" s="10">
        <f>F26</f>
        <v>19304.482499999998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145</v>
      </c>
      <c r="C10" s="13">
        <v>500</v>
      </c>
      <c r="D10" s="14" t="s">
        <v>22</v>
      </c>
      <c r="E10" s="186">
        <v>10000</v>
      </c>
      <c r="F10" s="115">
        <f>Tabla1345681091113923[[#This Row],[PRECIO]]/Tabla1345681091113923[[#This Row],[CANTIDAD]]</f>
        <v>20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4.4999999999999998E-2</v>
      </c>
    </row>
    <row r="11" spans="1:13" ht="15" customHeight="1" thickBot="1" x14ac:dyDescent="0.4">
      <c r="A11" s="288"/>
      <c r="B11" s="12" t="s">
        <v>146</v>
      </c>
      <c r="C11" s="14">
        <v>1000</v>
      </c>
      <c r="D11" s="14" t="s">
        <v>12</v>
      </c>
      <c r="E11" s="186">
        <v>13200</v>
      </c>
      <c r="F11" s="115">
        <f>Tabla1345681091113923[[#This Row],[PRECIO]]/Tabla1345681091113923[[#This Row],[CANTIDAD]]</f>
        <v>13.2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 t="s">
        <v>147</v>
      </c>
      <c r="C12" s="22">
        <v>500</v>
      </c>
      <c r="D12" s="22" t="s">
        <v>22</v>
      </c>
      <c r="E12" s="187">
        <v>20000</v>
      </c>
      <c r="F12" s="115">
        <f>Tabla1345681091113923[[#This Row],[PRECIO]]/Tabla1345681091113923[[#This Row],[CANTIDAD]]</f>
        <v>40</v>
      </c>
      <c r="H12" s="25" t="s">
        <v>23</v>
      </c>
      <c r="I12" s="26">
        <f>I9-I10</f>
        <v>14327.81583333333</v>
      </c>
      <c r="J12" s="27">
        <f>(I9-I10)/I10*100%</f>
        <v>2.8789984929671792</v>
      </c>
      <c r="L12" s="17" t="s">
        <v>24</v>
      </c>
      <c r="M12" s="28">
        <f>M9*M10*M11</f>
        <v>14.075999999999999</v>
      </c>
    </row>
    <row r="13" spans="1:13" ht="15.75" customHeight="1" thickBot="1" x14ac:dyDescent="0.4">
      <c r="A13" s="289"/>
      <c r="B13" s="29"/>
      <c r="C13" s="22"/>
      <c r="D13" s="22"/>
      <c r="E13" s="188"/>
      <c r="F13" s="115"/>
      <c r="H13" s="30" t="s">
        <v>26</v>
      </c>
      <c r="I13" s="31">
        <f>I9-I11</f>
        <v>12297.81583333333</v>
      </c>
      <c r="J13" s="32">
        <f>(I9-I11)/I11*100%</f>
        <v>1.7551592530922926</v>
      </c>
      <c r="L13" s="17" t="s">
        <v>27</v>
      </c>
      <c r="M13" s="19">
        <f>D17+D18+D16+D19+30</f>
        <v>130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0.10285714285714286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WHISKY SINGLETON 12</v>
      </c>
      <c r="C16" s="45" t="str">
        <f>D9</f>
        <v>ML</v>
      </c>
      <c r="D16" s="189">
        <v>45</v>
      </c>
      <c r="E16" s="45">
        <f>VLOOKUP(B16,Tabla1345681091113923[],5,FALSE)</f>
        <v>148.94428571428571</v>
      </c>
      <c r="F16" s="47">
        <f>E16*D16</f>
        <v>6702.4928571428572</v>
      </c>
      <c r="H16" s="48" t="s">
        <v>13</v>
      </c>
      <c r="I16" s="49">
        <f>F26</f>
        <v>19304.482499999998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JENGIBRE(ZUMO CASERO)</v>
      </c>
      <c r="C17" s="51" t="s">
        <v>12</v>
      </c>
      <c r="D17" s="190">
        <v>30</v>
      </c>
      <c r="E17" s="51">
        <f>VLOOKUP(B17,Tabla1345681091113923[],5,FALSE)</f>
        <v>20</v>
      </c>
      <c r="F17" s="53">
        <f>E17*D17</f>
        <v>600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ZUMO DE LIMÒN</v>
      </c>
      <c r="C18" s="51" t="str">
        <f>D11</f>
        <v>ML</v>
      </c>
      <c r="D18" s="190">
        <v>15</v>
      </c>
      <c r="E18" s="51">
        <f>VLOOKUP(B18,Tabla1345681091113923[],5,FALSE)</f>
        <v>13.2</v>
      </c>
      <c r="F18" s="53">
        <f>E18*D18</f>
        <v>198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 t="str">
        <f>B12</f>
        <v>MIEL DE ABEJA</v>
      </c>
      <c r="C19" s="51" t="str">
        <f>D12</f>
        <v>GR</v>
      </c>
      <c r="D19" s="190">
        <v>10</v>
      </c>
      <c r="E19" s="51">
        <f>VLOOKUP(B19,Tabla1345681091113923[],5,FALSE)</f>
        <v>40</v>
      </c>
      <c r="F19" s="53">
        <f>E19*D19</f>
        <v>400</v>
      </c>
      <c r="H19" s="58" t="s">
        <v>40</v>
      </c>
      <c r="I19" s="26">
        <f>I16-I17</f>
        <v>13184.482499999998</v>
      </c>
      <c r="J19" s="27">
        <f>(I16-I17)/I17*100%</f>
        <v>2.1543272058823528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/>
      <c r="C20" s="51">
        <f>D13</f>
        <v>0</v>
      </c>
      <c r="D20" s="190"/>
      <c r="E20" s="51"/>
      <c r="F20" s="53"/>
      <c r="H20" s="63" t="s">
        <v>41</v>
      </c>
      <c r="I20" s="31">
        <f>I16-I18</f>
        <v>7504.4824999999983</v>
      </c>
      <c r="J20" s="32">
        <f>(I16-I18)/I18*100%</f>
        <v>0.63597309322033879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7900.4928571428572</v>
      </c>
    </row>
    <row r="22" spans="1:13" ht="16.5" customHeight="1" thickBot="1" x14ac:dyDescent="0.4">
      <c r="A22" s="296"/>
      <c r="B22" s="304" t="s">
        <v>200</v>
      </c>
      <c r="C22" s="305"/>
      <c r="D22" s="310" t="s">
        <v>46</v>
      </c>
      <c r="E22" s="311"/>
      <c r="F22" s="66">
        <f>F21*5%</f>
        <v>395.02464285714291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8295.5174999999999</v>
      </c>
      <c r="H23" s="9" t="s">
        <v>13</v>
      </c>
      <c r="I23" s="10">
        <f>F26</f>
        <v>19304.482499999998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30000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2400</v>
      </c>
      <c r="H25" s="30" t="s">
        <v>52</v>
      </c>
      <c r="I25" s="70">
        <f>I23-I24</f>
        <v>11007.815833333332</v>
      </c>
      <c r="J25" s="71">
        <f>(I23-I24)/I23*100%</f>
        <v>0.57022071600900637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19304.482499999998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0.27651724999999999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0.64348274999999999</v>
      </c>
      <c r="G28" s="73"/>
      <c r="H28" s="9" t="s">
        <v>57</v>
      </c>
      <c r="I28" s="10">
        <f>F26</f>
        <v>19304.482499999998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3.8789984929671797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2.7551592530922928</v>
      </c>
    </row>
    <row r="31" spans="1:13" x14ac:dyDescent="0.35">
      <c r="H31" s="17" t="s">
        <v>60</v>
      </c>
      <c r="I31" s="80">
        <f>I28/F113</f>
        <v>2.3267757131378062</v>
      </c>
    </row>
    <row r="32" spans="1:13" x14ac:dyDescent="0.35">
      <c r="H32" s="17" t="s">
        <v>61</v>
      </c>
      <c r="I32" s="80">
        <f>I28/F87</f>
        <v>3.1543272058823528</v>
      </c>
    </row>
    <row r="33" spans="8:13" ht="15" thickBot="1" x14ac:dyDescent="0.4">
      <c r="H33" s="38" t="s">
        <v>62</v>
      </c>
      <c r="I33" s="81">
        <f>I28/F100</f>
        <v>1.6359730932203389</v>
      </c>
    </row>
    <row r="34" spans="8:13" ht="15" thickBot="1" x14ac:dyDescent="0.4"/>
    <row r="35" spans="8:13" ht="15" thickBot="1" x14ac:dyDescent="0.4">
      <c r="H35" s="293" t="s">
        <v>63</v>
      </c>
      <c r="I35" s="294"/>
    </row>
    <row r="36" spans="8:13" ht="15" thickBot="1" x14ac:dyDescent="0.4">
      <c r="H36" s="9" t="s">
        <v>64</v>
      </c>
      <c r="I36" s="10">
        <f>F24</f>
        <v>30000</v>
      </c>
    </row>
    <row r="37" spans="8:13" ht="21.5" thickBot="1" x14ac:dyDescent="0.4">
      <c r="H37" s="17" t="s">
        <v>58</v>
      </c>
      <c r="I37" s="80">
        <f>I36/F60</f>
        <v>3.75</v>
      </c>
      <c r="L37" s="320"/>
      <c r="M37" s="321"/>
    </row>
    <row r="38" spans="8:13" x14ac:dyDescent="0.35">
      <c r="H38" s="17" t="s">
        <v>59</v>
      </c>
      <c r="I38" s="80">
        <f>I36/F72</f>
        <v>2.5</v>
      </c>
      <c r="L38" s="82"/>
      <c r="M38" s="83"/>
    </row>
    <row r="39" spans="8:13" ht="15" thickBot="1" x14ac:dyDescent="0.4">
      <c r="H39" s="17" t="s">
        <v>60</v>
      </c>
      <c r="I39" s="80">
        <f>I36/F111</f>
        <v>2.1428571428571428</v>
      </c>
      <c r="L39" s="86"/>
      <c r="M39" s="192"/>
    </row>
    <row r="40" spans="8:13" x14ac:dyDescent="0.35">
      <c r="H40" s="17" t="s">
        <v>61</v>
      </c>
      <c r="I40" s="80">
        <f>I36/F85</f>
        <v>3</v>
      </c>
    </row>
    <row r="41" spans="8:13" ht="15" thickBot="1" x14ac:dyDescent="0.4">
      <c r="H41" s="38" t="s">
        <v>62</v>
      </c>
      <c r="I41" s="81">
        <f>I36/F98</f>
        <v>1.5</v>
      </c>
    </row>
    <row r="47" spans="8:13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+fVhLsHPiTa1PnItswwv3aDXX8FhtsWaO7fZWq0WnQuwuyoPO8fD3h/QT1EKyCSIERu6VscCwpf3m/to8sLJHQ==" saltValue="iHT6bFrWfXilr5xNojzX1A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9">
    <mergeCell ref="L37:M37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5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1041400</xdr:colOff>
                    <xdr:row>1</xdr:row>
                    <xdr:rowOff>12700</xdr:rowOff>
                  </from>
                  <to>
                    <xdr:col>7</xdr:col>
                    <xdr:colOff>3117850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33">
    <tabColor theme="4" tint="-0.249977111117893"/>
  </sheetPr>
  <dimension ref="A2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499</v>
      </c>
    </row>
    <row r="5" spans="1:13" ht="15" customHeight="1" thickBot="1" x14ac:dyDescent="0.4"/>
    <row r="6" spans="1:13" ht="23.25" customHeight="1" thickBot="1" x14ac:dyDescent="0.4">
      <c r="A6" s="284" t="s">
        <v>144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141</v>
      </c>
      <c r="C9" s="14">
        <v>700</v>
      </c>
      <c r="D9" s="96" t="s">
        <v>12</v>
      </c>
      <c r="E9" s="186">
        <v>104261</v>
      </c>
      <c r="F9" s="115">
        <f>Tabla134568109111392325262728[[#This Row],[PRECIO]]/Tabla134568109111392325262728[[#This Row],[CANTIDAD]]</f>
        <v>148.94428571428571</v>
      </c>
      <c r="H9" s="9" t="s">
        <v>13</v>
      </c>
      <c r="I9" s="10">
        <f>F26</f>
        <v>17602.737272727274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142</v>
      </c>
      <c r="C10" s="13">
        <v>1000</v>
      </c>
      <c r="D10" s="14" t="s">
        <v>22</v>
      </c>
      <c r="E10" s="186">
        <v>3500</v>
      </c>
      <c r="F10" s="115">
        <f>Tabla134568109111392325262728[[#This Row],[PRECIO]]/Tabla134568109111392325262728[[#This Row],[CANTIDAD]]</f>
        <v>3.5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0.06</v>
      </c>
    </row>
    <row r="11" spans="1:13" ht="15" customHeight="1" thickBot="1" x14ac:dyDescent="0.4">
      <c r="A11" s="288"/>
      <c r="B11" s="12" t="s">
        <v>121</v>
      </c>
      <c r="C11" s="14">
        <v>330</v>
      </c>
      <c r="D11" s="14" t="s">
        <v>12</v>
      </c>
      <c r="E11" s="186">
        <v>1800</v>
      </c>
      <c r="F11" s="115">
        <f>Tabla134568109111392325262728[[#This Row],[PRECIO]]/Tabla134568109111392325262728[[#This Row],[CANTIDAD]]</f>
        <v>5.4545454545454541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 t="s">
        <v>143</v>
      </c>
      <c r="C12" s="22">
        <v>200</v>
      </c>
      <c r="D12" s="22" t="s">
        <v>12</v>
      </c>
      <c r="E12" s="187">
        <v>20000</v>
      </c>
      <c r="F12" s="115">
        <f>Tabla134568109111392325262728[[#This Row],[PRECIO]]/Tabla134568109111392325262728[[#This Row],[CANTIDAD]]</f>
        <v>100</v>
      </c>
      <c r="H12" s="25" t="s">
        <v>23</v>
      </c>
      <c r="I12" s="26">
        <f>I9-I10</f>
        <v>12626.070606060606</v>
      </c>
      <c r="J12" s="27">
        <f>(I9-I10)/I10*100%</f>
        <v>2.537053705169579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289"/>
      <c r="B13" s="29" t="s">
        <v>91</v>
      </c>
      <c r="C13" s="22">
        <v>500</v>
      </c>
      <c r="D13" s="22" t="s">
        <v>22</v>
      </c>
      <c r="E13" s="188">
        <v>2500</v>
      </c>
      <c r="F13" s="115">
        <f>Tabla134568109111392325262728[[#This Row],[PRECIO]]/Tabla134568109111392325262728[[#This Row],[CANTIDAD]]</f>
        <v>5</v>
      </c>
      <c r="H13" s="30" t="s">
        <v>26</v>
      </c>
      <c r="I13" s="31">
        <f>I9-I11</f>
        <v>10596.070606060606</v>
      </c>
      <c r="J13" s="32">
        <f>(I9-I11)/I11*100%</f>
        <v>1.5122841017213045</v>
      </c>
      <c r="L13" s="17" t="s">
        <v>27</v>
      </c>
      <c r="M13" s="19">
        <f>D17+D18+D16+D19+30</f>
        <v>134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0.12371134020618557</v>
      </c>
    </row>
    <row r="15" spans="1:13" ht="24.75" customHeight="1" thickBot="1" x14ac:dyDescent="0.4">
      <c r="A15" s="33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336"/>
      <c r="B16" s="44" t="str">
        <f>B9</f>
        <v>WHISKY SINGLETON 12</v>
      </c>
      <c r="C16" s="45" t="str">
        <f>D9</f>
        <v>ML</v>
      </c>
      <c r="D16" s="189">
        <v>60</v>
      </c>
      <c r="E16" s="45">
        <f>VLOOKUP(B16,Tabla134568109111392325262728[],5,FALSE)</f>
        <v>148.94428571428571</v>
      </c>
      <c r="F16" s="47">
        <f>E16*D16</f>
        <v>8936.6571428571424</v>
      </c>
      <c r="H16" s="48" t="s">
        <v>13</v>
      </c>
      <c r="I16" s="49">
        <f>F26</f>
        <v>17602.737272727274</v>
      </c>
      <c r="L16" s="290" t="s">
        <v>35</v>
      </c>
      <c r="M16" s="291"/>
    </row>
    <row r="17" spans="1:13" ht="15" customHeight="1" x14ac:dyDescent="0.35">
      <c r="A17" s="336"/>
      <c r="B17" s="50" t="str">
        <f>B10</f>
        <v>AZÙCAR</v>
      </c>
      <c r="C17" s="51" t="str">
        <f>D10</f>
        <v>GR</v>
      </c>
      <c r="D17" s="190">
        <v>30</v>
      </c>
      <c r="E17" s="51">
        <f>VLOOKUP(B17,Tabla134568109111392325262728[],5,FALSE)</f>
        <v>3.5</v>
      </c>
      <c r="F17" s="53">
        <f>E17*D17</f>
        <v>105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36"/>
      <c r="B18" s="50" t="str">
        <f>B11</f>
        <v>SODA</v>
      </c>
      <c r="C18" s="51" t="str">
        <f>D11</f>
        <v>ML</v>
      </c>
      <c r="D18" s="190">
        <v>10</v>
      </c>
      <c r="E18" s="51">
        <f>VLOOKUP(B18,Tabla134568109111392325262728[],5,FALSE)</f>
        <v>5.4545454545454541</v>
      </c>
      <c r="F18" s="53">
        <f>E18*D18</f>
        <v>54.54545454545454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36"/>
      <c r="B19" s="50" t="str">
        <f>B12</f>
        <v>GOTAS AMARGAS</v>
      </c>
      <c r="C19" s="51" t="str">
        <f>D12</f>
        <v>ML</v>
      </c>
      <c r="D19" s="190">
        <v>4</v>
      </c>
      <c r="E19" s="51">
        <f>VLOOKUP(B19,Tabla134568109111392325262728[],5,FALSE)</f>
        <v>100</v>
      </c>
      <c r="F19" s="53">
        <f>E19*D19</f>
        <v>400</v>
      </c>
      <c r="H19" s="58" t="s">
        <v>40</v>
      </c>
      <c r="I19" s="26">
        <f>I16-I17</f>
        <v>11482.737272727274</v>
      </c>
      <c r="J19" s="27">
        <f>(I16-I17)/I17*100%</f>
        <v>1.8762642602495545</v>
      </c>
      <c r="L19" s="17" t="s">
        <v>20</v>
      </c>
      <c r="M19" s="19">
        <v>782</v>
      </c>
    </row>
    <row r="20" spans="1:13" ht="15.75" customHeight="1" thickBot="1" x14ac:dyDescent="0.4">
      <c r="A20" s="336"/>
      <c r="B20" s="50" t="str">
        <f>B13</f>
        <v>NARANJA</v>
      </c>
      <c r="C20" s="51" t="str">
        <f>D13</f>
        <v>GR</v>
      </c>
      <c r="D20" s="190">
        <v>5</v>
      </c>
      <c r="E20" s="51">
        <f>VLOOKUP(B20,Tabla134568109111392325262728[],5,FALSE)</f>
        <v>5</v>
      </c>
      <c r="F20" s="53">
        <f>E20*D20</f>
        <v>25</v>
      </c>
      <c r="H20" s="63" t="s">
        <v>41</v>
      </c>
      <c r="I20" s="31">
        <f>I16-I18</f>
        <v>5802.7372727272741</v>
      </c>
      <c r="J20" s="32">
        <f>(I16-I18)/I18*100%</f>
        <v>0.49175739599383678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36"/>
      <c r="B21" s="338" t="s">
        <v>43</v>
      </c>
      <c r="C21" s="339"/>
      <c r="D21" s="340" t="s">
        <v>44</v>
      </c>
      <c r="E21" s="341"/>
      <c r="F21" s="65">
        <f>SUM(F16:F20)</f>
        <v>9521.2025974025964</v>
      </c>
    </row>
    <row r="22" spans="1:13" ht="16.5" customHeight="1" thickBot="1" x14ac:dyDescent="0.4">
      <c r="A22" s="336"/>
      <c r="B22" s="304" t="s">
        <v>199</v>
      </c>
      <c r="C22" s="305"/>
      <c r="D22" s="342" t="s">
        <v>46</v>
      </c>
      <c r="E22" s="343"/>
      <c r="F22" s="66">
        <f>F21*5%</f>
        <v>476.06012987012986</v>
      </c>
      <c r="H22" s="290" t="s">
        <v>47</v>
      </c>
      <c r="I22" s="291"/>
    </row>
    <row r="23" spans="1:13" ht="15" customHeight="1" x14ac:dyDescent="0.35">
      <c r="A23" s="336"/>
      <c r="B23" s="306"/>
      <c r="C23" s="307"/>
      <c r="D23" s="344" t="s">
        <v>48</v>
      </c>
      <c r="E23" s="345"/>
      <c r="F23" s="67">
        <f>SUM(F21:F22)</f>
        <v>9997.2627272727259</v>
      </c>
      <c r="H23" s="9" t="s">
        <v>13</v>
      </c>
      <c r="I23" s="10">
        <f>F26</f>
        <v>17602.737272727274</v>
      </c>
    </row>
    <row r="24" spans="1:13" ht="15" customHeight="1" thickBot="1" x14ac:dyDescent="0.4">
      <c r="A24" s="336"/>
      <c r="B24" s="306"/>
      <c r="C24" s="307"/>
      <c r="D24" s="346" t="s">
        <v>49</v>
      </c>
      <c r="E24" s="347"/>
      <c r="F24" s="191">
        <v>30000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36"/>
      <c r="B25" s="306"/>
      <c r="C25" s="307"/>
      <c r="D25" s="348" t="s">
        <v>51</v>
      </c>
      <c r="E25" s="349"/>
      <c r="F25" s="120">
        <f>F24*8%</f>
        <v>2400</v>
      </c>
      <c r="H25" s="30" t="s">
        <v>52</v>
      </c>
      <c r="I25" s="70">
        <f>I23-I24</f>
        <v>9306.070606060608</v>
      </c>
      <c r="J25" s="71">
        <f>(I23-I24)/I23*100%</f>
        <v>0.52867178904493051</v>
      </c>
    </row>
    <row r="26" spans="1:13" ht="15.75" customHeight="1" thickBot="1" x14ac:dyDescent="0.4">
      <c r="A26" s="336"/>
      <c r="B26" s="306"/>
      <c r="C26" s="307"/>
      <c r="D26" s="342" t="s">
        <v>53</v>
      </c>
      <c r="E26" s="343"/>
      <c r="F26" s="67">
        <f>F24-F23-F25</f>
        <v>17602.737272727274</v>
      </c>
    </row>
    <row r="27" spans="1:13" ht="15.75" customHeight="1" thickBot="1" x14ac:dyDescent="0.4">
      <c r="A27" s="336"/>
      <c r="B27" s="306"/>
      <c r="C27" s="307"/>
      <c r="D27" s="342" t="s">
        <v>54</v>
      </c>
      <c r="E27" s="343"/>
      <c r="F27" s="72">
        <f>IFERROR(F23/F24,0)</f>
        <v>0.33324209090909085</v>
      </c>
      <c r="G27" s="73"/>
      <c r="H27" s="293" t="s">
        <v>55</v>
      </c>
      <c r="I27" s="294"/>
    </row>
    <row r="28" spans="1:13" ht="15.75" customHeight="1" thickBot="1" x14ac:dyDescent="0.4">
      <c r="A28" s="337"/>
      <c r="B28" s="308"/>
      <c r="C28" s="309"/>
      <c r="D28" s="350" t="s">
        <v>56</v>
      </c>
      <c r="E28" s="351"/>
      <c r="F28" s="74">
        <f>IFERROR(F26/F24,0)</f>
        <v>0.58675790909090919</v>
      </c>
      <c r="G28" s="73"/>
      <c r="H28" s="9" t="s">
        <v>57</v>
      </c>
      <c r="I28" s="10">
        <f>F26</f>
        <v>17602.737272727274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3.5370537051695794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2.5122841017213045</v>
      </c>
    </row>
    <row r="31" spans="1:13" x14ac:dyDescent="0.35">
      <c r="H31" s="17" t="s">
        <v>60</v>
      </c>
      <c r="I31" s="80">
        <f>I28/F113</f>
        <v>2.1216637934183136</v>
      </c>
    </row>
    <row r="32" spans="1:13" x14ac:dyDescent="0.35">
      <c r="H32" s="17" t="s">
        <v>61</v>
      </c>
      <c r="I32" s="80">
        <f>I28/F87</f>
        <v>2.8762642602495547</v>
      </c>
    </row>
    <row r="33" spans="8:9" ht="15" thickBot="1" x14ac:dyDescent="0.4">
      <c r="H33" s="38" t="s">
        <v>62</v>
      </c>
      <c r="I33" s="81">
        <f>I28/F100</f>
        <v>1.4917573959938368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30000</v>
      </c>
    </row>
    <row r="37" spans="8:9" x14ac:dyDescent="0.35">
      <c r="H37" s="17" t="s">
        <v>58</v>
      </c>
      <c r="I37" s="80">
        <f>I36/F60</f>
        <v>3.75</v>
      </c>
    </row>
    <row r="38" spans="8:9" x14ac:dyDescent="0.35">
      <c r="H38" s="17" t="s">
        <v>59</v>
      </c>
      <c r="I38" s="80">
        <f>I36/F72</f>
        <v>2.5</v>
      </c>
    </row>
    <row r="39" spans="8:9" x14ac:dyDescent="0.35">
      <c r="H39" s="17" t="s">
        <v>60</v>
      </c>
      <c r="I39" s="80">
        <f>I36/F111</f>
        <v>2.1428571428571428</v>
      </c>
    </row>
    <row r="40" spans="8:9" x14ac:dyDescent="0.35">
      <c r="H40" s="17" t="s">
        <v>61</v>
      </c>
      <c r="I40" s="80">
        <f>I36/F85</f>
        <v>3</v>
      </c>
    </row>
    <row r="41" spans="8:9" ht="15" thickBot="1" x14ac:dyDescent="0.4">
      <c r="H41" s="38" t="s">
        <v>62</v>
      </c>
      <c r="I41" s="81">
        <f>I36/F98</f>
        <v>1.5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GB98kVKG4vpKoKQFuod26LV1n/jM8JadAj6YZ0QkvUUC3rhME8j0/o+Be6OEhbceO1W0gHSW7EflkvH44IgAgQ==" saltValue="uRUc3HyKWCalJe30zJOLF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1174750</xdr:colOff>
                    <xdr:row>1</xdr:row>
                    <xdr:rowOff>19050</xdr:rowOff>
                  </from>
                  <to>
                    <xdr:col>7</xdr:col>
                    <xdr:colOff>3251200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51">
    <tabColor theme="7" tint="0.39997558519241921"/>
  </sheetPr>
  <dimension ref="A2:M115"/>
  <sheetViews>
    <sheetView showGridLines="0" zoomScale="90" zoomScaleNormal="90" workbookViewId="0"/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501</v>
      </c>
    </row>
    <row r="5" spans="1:13" ht="15" customHeight="1" thickBot="1" x14ac:dyDescent="0.4"/>
    <row r="6" spans="1:13" ht="23.25" customHeight="1" thickBot="1" x14ac:dyDescent="0.4">
      <c r="A6" s="284" t="s">
        <v>489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490</v>
      </c>
      <c r="C9" s="14">
        <v>700</v>
      </c>
      <c r="D9" s="96" t="s">
        <v>12</v>
      </c>
      <c r="E9" s="186">
        <v>112957</v>
      </c>
      <c r="F9" s="115">
        <f>Tabla1345681091113923252627281112[[#This Row],[PRECIO]]/Tabla1345681091113923252627281112[[#This Row],[CANTIDAD]]</f>
        <v>161.36714285714285</v>
      </c>
      <c r="H9" s="9" t="s">
        <v>13</v>
      </c>
      <c r="I9" s="10">
        <f>F26</f>
        <v>19273.870000000003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/>
      <c r="C10" s="13"/>
      <c r="D10" s="14"/>
      <c r="E10" s="186"/>
      <c r="F10" s="115"/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0.06</v>
      </c>
    </row>
    <row r="11" spans="1:13" ht="15" customHeight="1" thickBot="1" x14ac:dyDescent="0.4">
      <c r="A11" s="288"/>
      <c r="B11" s="12"/>
      <c r="C11" s="14"/>
      <c r="D11" s="14"/>
      <c r="E11" s="186"/>
      <c r="F11" s="115"/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187"/>
      <c r="F12" s="115"/>
      <c r="H12" s="25" t="s">
        <v>23</v>
      </c>
      <c r="I12" s="26">
        <f>I9-I10</f>
        <v>14297.203333333335</v>
      </c>
      <c r="J12" s="27">
        <f>(I9-I10)/I10*100%</f>
        <v>2.8728472873409245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289"/>
      <c r="B13" s="29"/>
      <c r="C13" s="22"/>
      <c r="D13" s="22"/>
      <c r="E13" s="188"/>
      <c r="F13" s="115"/>
      <c r="H13" s="30" t="s">
        <v>26</v>
      </c>
      <c r="I13" s="31">
        <f>I9-I11</f>
        <v>12267.203333333335</v>
      </c>
      <c r="J13" s="32">
        <f>(I9-I11)/I11*100%</f>
        <v>1.7507901998097051</v>
      </c>
      <c r="L13" s="17" t="s">
        <v>27</v>
      </c>
      <c r="M13" s="19">
        <f>D17+D18+D16+D19+30</f>
        <v>90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0.16</v>
      </c>
    </row>
    <row r="15" spans="1:13" ht="24.75" customHeight="1" thickBot="1" x14ac:dyDescent="0.4">
      <c r="A15" s="33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336"/>
      <c r="B16" s="44" t="str">
        <f>B9</f>
        <v>WHISKY SINGLETON TAILFIRE</v>
      </c>
      <c r="C16" s="45" t="str">
        <f>D9</f>
        <v>ML</v>
      </c>
      <c r="D16" s="189">
        <v>60</v>
      </c>
      <c r="E16" s="45">
        <f>VLOOKUP(B16,Tabla1345681091113923252627281112[],5,FALSE)</f>
        <v>161.36714285714285</v>
      </c>
      <c r="F16" s="47">
        <f>E16*D16</f>
        <v>9682.028571428571</v>
      </c>
      <c r="H16" s="48" t="s">
        <v>13</v>
      </c>
      <c r="I16" s="49">
        <f>F26</f>
        <v>19273.870000000003</v>
      </c>
      <c r="L16" s="290" t="s">
        <v>35</v>
      </c>
      <c r="M16" s="291"/>
    </row>
    <row r="17" spans="1:13" ht="15" customHeight="1" x14ac:dyDescent="0.35">
      <c r="A17" s="336"/>
      <c r="B17" s="50"/>
      <c r="C17" s="51"/>
      <c r="D17" s="190"/>
      <c r="E17" s="51"/>
      <c r="F17" s="53"/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336"/>
      <c r="B18" s="50"/>
      <c r="C18" s="51"/>
      <c r="D18" s="19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336"/>
      <c r="B19" s="50"/>
      <c r="C19" s="51"/>
      <c r="D19" s="190"/>
      <c r="E19" s="51"/>
      <c r="F19" s="53"/>
      <c r="H19" s="58" t="s">
        <v>40</v>
      </c>
      <c r="I19" s="26">
        <f>I16-I17</f>
        <v>13153.870000000003</v>
      </c>
      <c r="J19" s="27">
        <f>(I16-I17)/I17*100%</f>
        <v>2.1493251633986934</v>
      </c>
      <c r="L19" s="17" t="s">
        <v>20</v>
      </c>
      <c r="M19" s="19">
        <v>782</v>
      </c>
    </row>
    <row r="20" spans="1:13" ht="15.75" customHeight="1" thickBot="1" x14ac:dyDescent="0.4">
      <c r="A20" s="336"/>
      <c r="B20" s="50"/>
      <c r="C20" s="51"/>
      <c r="D20" s="190"/>
      <c r="E20" s="51"/>
      <c r="F20" s="53"/>
      <c r="H20" s="63" t="s">
        <v>41</v>
      </c>
      <c r="I20" s="31">
        <f>I16-I18</f>
        <v>7473.8700000000026</v>
      </c>
      <c r="J20" s="32">
        <f>(I16-I18)/I18*100%</f>
        <v>0.63337881355932224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336"/>
      <c r="B21" s="338" t="s">
        <v>43</v>
      </c>
      <c r="C21" s="339"/>
      <c r="D21" s="340" t="s">
        <v>44</v>
      </c>
      <c r="E21" s="341"/>
      <c r="F21" s="65">
        <f>SUM(F16:F20)</f>
        <v>9682.028571428571</v>
      </c>
    </row>
    <row r="22" spans="1:13" ht="16.5" customHeight="1" thickBot="1" x14ac:dyDescent="0.4">
      <c r="A22" s="336"/>
      <c r="B22" s="304" t="s">
        <v>491</v>
      </c>
      <c r="C22" s="305"/>
      <c r="D22" s="342" t="s">
        <v>46</v>
      </c>
      <c r="E22" s="343"/>
      <c r="F22" s="66">
        <f>F21*5%</f>
        <v>484.10142857142858</v>
      </c>
      <c r="H22" s="290" t="s">
        <v>47</v>
      </c>
      <c r="I22" s="291"/>
    </row>
    <row r="23" spans="1:13" ht="15" customHeight="1" x14ac:dyDescent="0.35">
      <c r="A23" s="336"/>
      <c r="B23" s="306"/>
      <c r="C23" s="307"/>
      <c r="D23" s="344" t="s">
        <v>48</v>
      </c>
      <c r="E23" s="345"/>
      <c r="F23" s="67">
        <f>SUM(F21:F22)</f>
        <v>10166.129999999999</v>
      </c>
      <c r="H23" s="9" t="s">
        <v>13</v>
      </c>
      <c r="I23" s="10">
        <f>F26</f>
        <v>19273.870000000003</v>
      </c>
    </row>
    <row r="24" spans="1:13" ht="15" customHeight="1" thickBot="1" x14ac:dyDescent="0.4">
      <c r="A24" s="336"/>
      <c r="B24" s="306"/>
      <c r="C24" s="307"/>
      <c r="D24" s="346" t="s">
        <v>49</v>
      </c>
      <c r="E24" s="347"/>
      <c r="F24" s="191">
        <v>32000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336"/>
      <c r="B25" s="306"/>
      <c r="C25" s="307"/>
      <c r="D25" s="348" t="s">
        <v>51</v>
      </c>
      <c r="E25" s="349"/>
      <c r="F25" s="120">
        <f>F24*8%</f>
        <v>2560</v>
      </c>
      <c r="H25" s="30" t="s">
        <v>52</v>
      </c>
      <c r="I25" s="70">
        <f>I23-I24</f>
        <v>10977.203333333337</v>
      </c>
      <c r="J25" s="71">
        <f>(I23-I24)/I23*100%</f>
        <v>0.56953810175814901</v>
      </c>
    </row>
    <row r="26" spans="1:13" ht="15.75" customHeight="1" thickBot="1" x14ac:dyDescent="0.4">
      <c r="A26" s="336"/>
      <c r="B26" s="306"/>
      <c r="C26" s="307"/>
      <c r="D26" s="342" t="s">
        <v>53</v>
      </c>
      <c r="E26" s="343"/>
      <c r="F26" s="67">
        <f>F24-F23-F25</f>
        <v>19273.870000000003</v>
      </c>
    </row>
    <row r="27" spans="1:13" ht="15.75" customHeight="1" thickBot="1" x14ac:dyDescent="0.4">
      <c r="A27" s="336"/>
      <c r="B27" s="306"/>
      <c r="C27" s="307"/>
      <c r="D27" s="342" t="s">
        <v>54</v>
      </c>
      <c r="E27" s="343"/>
      <c r="F27" s="72">
        <f>IFERROR(F23/F24,0)</f>
        <v>0.31769156249999997</v>
      </c>
      <c r="G27" s="73"/>
      <c r="H27" s="293" t="s">
        <v>55</v>
      </c>
      <c r="I27" s="294"/>
    </row>
    <row r="28" spans="1:13" ht="15.75" customHeight="1" thickBot="1" x14ac:dyDescent="0.4">
      <c r="A28" s="337"/>
      <c r="B28" s="308"/>
      <c r="C28" s="309"/>
      <c r="D28" s="350" t="s">
        <v>56</v>
      </c>
      <c r="E28" s="351"/>
      <c r="F28" s="74">
        <f>IFERROR(F26/F24,0)</f>
        <v>0.60230843750000007</v>
      </c>
      <c r="G28" s="73"/>
      <c r="H28" s="9" t="s">
        <v>57</v>
      </c>
      <c r="I28" s="10">
        <f>F26</f>
        <v>19273.870000000003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3.8728472873409245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2.7507901998097055</v>
      </c>
    </row>
    <row r="31" spans="1:13" x14ac:dyDescent="0.35">
      <c r="H31" s="17" t="s">
        <v>60</v>
      </c>
      <c r="I31" s="80">
        <f>I28/F113</f>
        <v>2.3230859783045403</v>
      </c>
    </row>
    <row r="32" spans="1:13" x14ac:dyDescent="0.35">
      <c r="H32" s="17" t="s">
        <v>61</v>
      </c>
      <c r="I32" s="80">
        <f>I28/F87</f>
        <v>3.1493251633986934</v>
      </c>
    </row>
    <row r="33" spans="8:9" ht="15" thickBot="1" x14ac:dyDescent="0.4">
      <c r="H33" s="38" t="s">
        <v>62</v>
      </c>
      <c r="I33" s="81">
        <f>I28/F100</f>
        <v>1.6333788135593224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32000</v>
      </c>
    </row>
    <row r="37" spans="8:9" x14ac:dyDescent="0.35">
      <c r="H37" s="17" t="s">
        <v>58</v>
      </c>
      <c r="I37" s="80">
        <f>I36/F60</f>
        <v>4</v>
      </c>
    </row>
    <row r="38" spans="8:9" x14ac:dyDescent="0.35">
      <c r="H38" s="17" t="s">
        <v>59</v>
      </c>
      <c r="I38" s="80">
        <f>I36/F72</f>
        <v>2.6666666666666665</v>
      </c>
    </row>
    <row r="39" spans="8:9" x14ac:dyDescent="0.35">
      <c r="H39" s="17" t="s">
        <v>60</v>
      </c>
      <c r="I39" s="80">
        <f>I36/F111</f>
        <v>2.2857142857142856</v>
      </c>
    </row>
    <row r="40" spans="8:9" x14ac:dyDescent="0.35">
      <c r="H40" s="17" t="s">
        <v>61</v>
      </c>
      <c r="I40" s="80">
        <f>I36/F85</f>
        <v>3.2</v>
      </c>
    </row>
    <row r="41" spans="8:9" ht="15" thickBot="1" x14ac:dyDescent="0.4">
      <c r="H41" s="38" t="s">
        <v>62</v>
      </c>
      <c r="I41" s="81">
        <f>I36/F98</f>
        <v>1.6</v>
      </c>
    </row>
    <row r="47" spans="8:9" ht="3.75" customHeight="1" x14ac:dyDescent="0.35"/>
    <row r="49" spans="1:6" ht="15" customHeight="1" x14ac:dyDescent="0.35"/>
    <row r="53" spans="1:6" ht="15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Rdk5T55JKjQ6eGGjlbs+FIoIT1gvR8cxfZ2SspHw3SKviT/m+ga8i6qXDG19FFIwKByOhGrYK5zscET7/+6dww==" saltValue="A5XnJTJUVCHoivwREjOmKQ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5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1123950</xdr:colOff>
                    <xdr:row>0</xdr:row>
                    <xdr:rowOff>184150</xdr:rowOff>
                  </from>
                  <to>
                    <xdr:col>7</xdr:col>
                    <xdr:colOff>3200400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43">
    <tabColor theme="7" tint="0.39997558519241921"/>
  </sheetPr>
  <dimension ref="A2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400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500</v>
      </c>
    </row>
    <row r="5" spans="1:13" ht="15" customHeight="1" thickBot="1" x14ac:dyDescent="0.4"/>
    <row r="6" spans="1:13" ht="23.25" customHeight="1" thickBot="1" x14ac:dyDescent="0.4">
      <c r="A6" s="284" t="s">
        <v>197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196</v>
      </c>
      <c r="C9" s="14">
        <v>750</v>
      </c>
      <c r="D9" s="96" t="s">
        <v>12</v>
      </c>
      <c r="E9" s="186">
        <v>127034</v>
      </c>
      <c r="F9" s="115">
        <f>Tabla1345681091113923252627293031323334353854[[#This Row],[PRECIO]]/Tabla1345681091113923252627293031323334353854[[#This Row],[CANTIDAD]]</f>
        <v>169.37866666666667</v>
      </c>
      <c r="H9" s="9" t="s">
        <v>13</v>
      </c>
      <c r="I9" s="10">
        <f>F26</f>
        <v>18769.144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/>
      <c r="C10" s="13"/>
      <c r="D10" s="14"/>
      <c r="E10" s="186"/>
      <c r="F10" s="115"/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0.06</v>
      </c>
    </row>
    <row r="11" spans="1:13" ht="15" customHeight="1" thickBot="1" x14ac:dyDescent="0.4">
      <c r="A11" s="288"/>
      <c r="B11" s="12"/>
      <c r="C11" s="14"/>
      <c r="D11" s="14"/>
      <c r="E11" s="186"/>
      <c r="F11" s="115"/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187"/>
      <c r="F12" s="115"/>
      <c r="H12" s="25" t="s">
        <v>23</v>
      </c>
      <c r="I12" s="26">
        <f>I9-I10</f>
        <v>13792.477333333332</v>
      </c>
      <c r="J12" s="27">
        <f>(I9-I10)/I10*100%</f>
        <v>2.7714288010716674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289"/>
      <c r="B13" s="29"/>
      <c r="C13" s="22"/>
      <c r="D13" s="22"/>
      <c r="E13" s="188"/>
      <c r="F13" s="115"/>
      <c r="H13" s="30" t="s">
        <v>26</v>
      </c>
      <c r="I13" s="31">
        <f>I9-I11</f>
        <v>11762.477333333332</v>
      </c>
      <c r="J13" s="32">
        <f>(I9-I11)/I11*100%</f>
        <v>1.6787550903901045</v>
      </c>
      <c r="L13" s="17" t="s">
        <v>27</v>
      </c>
      <c r="M13" s="19">
        <f>D17+D18+D16+D19+30</f>
        <v>90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0.16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ZACAPA 23</v>
      </c>
      <c r="C16" s="45" t="str">
        <f>D9</f>
        <v>ML</v>
      </c>
      <c r="D16" s="189">
        <v>60</v>
      </c>
      <c r="E16" s="45">
        <f>VLOOKUP(B16,Tabla1345681091113923252627293031323334353854[],5,FALSE)</f>
        <v>169.37866666666667</v>
      </c>
      <c r="F16" s="47">
        <f>E16*D16</f>
        <v>10162.720000000001</v>
      </c>
      <c r="H16" s="48" t="s">
        <v>13</v>
      </c>
      <c r="I16" s="49">
        <f>F26</f>
        <v>18769.144</v>
      </c>
      <c r="L16" s="290" t="s">
        <v>35</v>
      </c>
      <c r="M16" s="291"/>
    </row>
    <row r="17" spans="1:13" ht="15" customHeight="1" x14ac:dyDescent="0.35">
      <c r="A17" s="296"/>
      <c r="B17" s="50"/>
      <c r="C17" s="51"/>
      <c r="D17" s="190"/>
      <c r="E17" s="51"/>
      <c r="F17" s="53"/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/>
      <c r="C18" s="51"/>
      <c r="D18" s="19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/>
      <c r="C19" s="51"/>
      <c r="D19" s="190"/>
      <c r="E19" s="51"/>
      <c r="F19" s="53"/>
      <c r="H19" s="58" t="s">
        <v>40</v>
      </c>
      <c r="I19" s="26">
        <f>I16-I17</f>
        <v>12649.144</v>
      </c>
      <c r="J19" s="27">
        <f>(I16-I17)/I17*100%</f>
        <v>2.0668535947712421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/>
      <c r="C20" s="51"/>
      <c r="D20" s="190"/>
      <c r="E20" s="51"/>
      <c r="F20" s="53"/>
      <c r="H20" s="63" t="s">
        <v>41</v>
      </c>
      <c r="I20" s="31">
        <f>I16-I18</f>
        <v>6969.1440000000002</v>
      </c>
      <c r="J20" s="32">
        <f>(I16-I18)/I18*100%</f>
        <v>0.59060542372881353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10162.720000000001</v>
      </c>
    </row>
    <row r="22" spans="1:13" ht="16.5" customHeight="1" thickBot="1" x14ac:dyDescent="0.4">
      <c r="A22" s="296"/>
      <c r="B22" s="304" t="s">
        <v>226</v>
      </c>
      <c r="C22" s="305"/>
      <c r="D22" s="310" t="s">
        <v>46</v>
      </c>
      <c r="E22" s="311"/>
      <c r="F22" s="66">
        <f>F21*5%</f>
        <v>508.13600000000008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10670.856000000002</v>
      </c>
      <c r="H23" s="9" t="s">
        <v>13</v>
      </c>
      <c r="I23" s="10">
        <f>F26</f>
        <v>18769.144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32000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2560</v>
      </c>
      <c r="H25" s="30" t="s">
        <v>52</v>
      </c>
      <c r="I25" s="70">
        <f>I23-I24</f>
        <v>10472.477333333334</v>
      </c>
      <c r="J25" s="71">
        <f>(I23-I24)/I23*100%</f>
        <v>0.55796243735640438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18769.144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0.33346425000000007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0.58653575000000002</v>
      </c>
      <c r="G28" s="73"/>
      <c r="H28" s="9" t="s">
        <v>57</v>
      </c>
      <c r="I28" s="10">
        <f>F26</f>
        <v>18769.144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3.7714288010716674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2.6787550903901045</v>
      </c>
    </row>
    <row r="31" spans="1:13" x14ac:dyDescent="0.35">
      <c r="H31" s="17" t="s">
        <v>60</v>
      </c>
      <c r="I31" s="80">
        <f>I28/F113</f>
        <v>2.2622511852149461</v>
      </c>
    </row>
    <row r="32" spans="1:13" x14ac:dyDescent="0.35">
      <c r="H32" s="17" t="s">
        <v>61</v>
      </c>
      <c r="I32" s="80">
        <f>I28/F87</f>
        <v>3.0668535947712421</v>
      </c>
    </row>
    <row r="33" spans="8:9" ht="15" thickBot="1" x14ac:dyDescent="0.4">
      <c r="H33" s="38" t="s">
        <v>62</v>
      </c>
      <c r="I33" s="81">
        <f>I28/F100</f>
        <v>1.5906054237288136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32000</v>
      </c>
    </row>
    <row r="37" spans="8:9" x14ac:dyDescent="0.35">
      <c r="H37" s="17" t="s">
        <v>58</v>
      </c>
      <c r="I37" s="80">
        <f>I36/F60</f>
        <v>4</v>
      </c>
    </row>
    <row r="38" spans="8:9" x14ac:dyDescent="0.35">
      <c r="H38" s="17" t="s">
        <v>59</v>
      </c>
      <c r="I38" s="80">
        <f>I36/F72</f>
        <v>2.6666666666666665</v>
      </c>
    </row>
    <row r="39" spans="8:9" x14ac:dyDescent="0.35">
      <c r="H39" s="17" t="s">
        <v>60</v>
      </c>
      <c r="I39" s="80">
        <f>I36/F111</f>
        <v>2.2857142857142856</v>
      </c>
    </row>
    <row r="40" spans="8:9" x14ac:dyDescent="0.35">
      <c r="H40" s="17" t="s">
        <v>61</v>
      </c>
      <c r="I40" s="80">
        <f>I36/F85</f>
        <v>3.2</v>
      </c>
    </row>
    <row r="41" spans="8:9" ht="15" thickBot="1" x14ac:dyDescent="0.4">
      <c r="H41" s="38" t="s">
        <v>62</v>
      </c>
      <c r="I41" s="81">
        <f>I36/F98</f>
        <v>1.6</v>
      </c>
    </row>
    <row r="47" spans="8:9" ht="3.75" customHeight="1" x14ac:dyDescent="0.35"/>
    <row r="49" spans="1:6" ht="15" customHeight="1" x14ac:dyDescent="0.35"/>
    <row r="53" spans="1:6" ht="15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ZYomK7gsvCDBSkYMuzOWddeSpCyAnVYsWVBSDA0A3aKz16snwMu239skdPCbiPiwE1vbGQcMMhdIB4pHvTMYyg==" saltValue="dKqKz7CC6tem7+U6Vnl5J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5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850900</xdr:colOff>
                    <xdr:row>1</xdr:row>
                    <xdr:rowOff>50800</xdr:rowOff>
                  </from>
                  <to>
                    <xdr:col>7</xdr:col>
                    <xdr:colOff>2927350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42">
    <tabColor theme="4" tint="0.39997558519241921"/>
  </sheetPr>
  <dimension ref="A2:M115"/>
  <sheetViews>
    <sheetView showGridLines="0" zoomScale="90" zoomScaleNormal="90" workbookViewId="0"/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400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284" t="s">
        <v>195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193</v>
      </c>
      <c r="C9" s="14">
        <v>750</v>
      </c>
      <c r="D9" s="96" t="s">
        <v>12</v>
      </c>
      <c r="E9" s="186">
        <v>127034</v>
      </c>
      <c r="F9" s="115">
        <f>Tabla1345681091113923252627284347484953[[#This Row],[PRECIO]]/Tabla1345681091113923252627284347484953[[#This Row],[CANTIDAD]]</f>
        <v>169.37866666666667</v>
      </c>
      <c r="H9" s="9" t="s">
        <v>13</v>
      </c>
      <c r="I9" s="10">
        <f>F26</f>
        <v>16829.182999999997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87</v>
      </c>
      <c r="C10" s="13">
        <v>1000</v>
      </c>
      <c r="D10" s="14" t="s">
        <v>22</v>
      </c>
      <c r="E10" s="186">
        <v>3500</v>
      </c>
      <c r="F10" s="115">
        <f>Tabla1345681091113923252627284347484953[[#This Row],[PRECIO]]/Tabla1345681091113923252627284347484953[[#This Row],[CANTIDAD]]</f>
        <v>3.5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4.4999999999999998E-2</v>
      </c>
    </row>
    <row r="11" spans="1:13" ht="15" customHeight="1" thickBot="1" x14ac:dyDescent="0.4">
      <c r="A11" s="288"/>
      <c r="B11" s="12" t="s">
        <v>95</v>
      </c>
      <c r="C11" s="14">
        <v>1000</v>
      </c>
      <c r="D11" s="14" t="s">
        <v>12</v>
      </c>
      <c r="E11" s="186">
        <v>13200</v>
      </c>
      <c r="F11" s="115">
        <f>Tabla1345681091113923252627284347484953[[#This Row],[PRECIO]]/Tabla1345681091113923252627284347484953[[#This Row],[CANTIDAD]]</f>
        <v>13.2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 t="s">
        <v>143</v>
      </c>
      <c r="C12" s="22">
        <v>200</v>
      </c>
      <c r="D12" s="22" t="s">
        <v>12</v>
      </c>
      <c r="E12" s="187">
        <v>20000</v>
      </c>
      <c r="F12" s="115">
        <f>Tabla1345681091113923252627284347484953[[#This Row],[PRECIO]]/Tabla1345681091113923252627284347484953[[#This Row],[CANTIDAD]]</f>
        <v>100</v>
      </c>
      <c r="H12" s="25" t="s">
        <v>23</v>
      </c>
      <c r="I12" s="26">
        <f>I9-I10</f>
        <v>11852.516333333329</v>
      </c>
      <c r="J12" s="27">
        <f>(I9-I10)/I10*100%</f>
        <v>2.381617481580709</v>
      </c>
      <c r="L12" s="17" t="s">
        <v>24</v>
      </c>
      <c r="M12" s="28">
        <f>M9*M10*M11</f>
        <v>14.075999999999999</v>
      </c>
    </row>
    <row r="13" spans="1:13" ht="15.75" customHeight="1" thickBot="1" x14ac:dyDescent="0.4">
      <c r="A13" s="289"/>
      <c r="B13" s="29" t="s">
        <v>224</v>
      </c>
      <c r="C13" s="22">
        <v>500</v>
      </c>
      <c r="D13" s="22" t="s">
        <v>22</v>
      </c>
      <c r="E13" s="188">
        <v>3500</v>
      </c>
      <c r="F13" s="115">
        <f>Tabla1345681091113923252627284347484953[[#This Row],[PRECIO]]/Tabla1345681091113923252627284347484953[[#This Row],[CANTIDAD]]</f>
        <v>7</v>
      </c>
      <c r="H13" s="30" t="s">
        <v>26</v>
      </c>
      <c r="I13" s="31">
        <f>I9-I11</f>
        <v>9822.5163333333294</v>
      </c>
      <c r="J13" s="32">
        <f>(I9-I11)/I11*100%</f>
        <v>1.4018814938154132</v>
      </c>
      <c r="L13" s="17" t="s">
        <v>27</v>
      </c>
      <c r="M13" s="19">
        <f>D17+D18+D16+D19+30</f>
        <v>124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0.10650887573964497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 xml:space="preserve"> ZACAPA 23</v>
      </c>
      <c r="C16" s="45" t="str">
        <f>D9</f>
        <v>ML</v>
      </c>
      <c r="D16" s="189">
        <v>45</v>
      </c>
      <c r="E16" s="45">
        <f>VLOOKUP(B16,Tabla1345681091113923252627284347484953[],5,FALSE)</f>
        <v>169.37866666666667</v>
      </c>
      <c r="F16" s="47">
        <f>E16*D16</f>
        <v>7622.04</v>
      </c>
      <c r="H16" s="48" t="s">
        <v>13</v>
      </c>
      <c r="I16" s="49">
        <f>F26</f>
        <v>16829.182999999997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AZÚCAR(ALMÍBAR 50/50)</v>
      </c>
      <c r="C17" s="51" t="s">
        <v>12</v>
      </c>
      <c r="D17" s="190">
        <v>15</v>
      </c>
      <c r="E17" s="51">
        <f>VLOOKUP(B17,Tabla1345681091113923252627284347484953[],5,FALSE)</f>
        <v>3.5</v>
      </c>
      <c r="F17" s="53">
        <f>E17*D17</f>
        <v>52.5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ZUMO DE LIMÓN</v>
      </c>
      <c r="C18" s="51" t="str">
        <f>D11</f>
        <v>ML</v>
      </c>
      <c r="D18" s="190">
        <v>30</v>
      </c>
      <c r="E18" s="51">
        <f>VLOOKUP(B18,Tabla1345681091113923252627284347484953[],5,FALSE)</f>
        <v>13.2</v>
      </c>
      <c r="F18" s="53">
        <f>E18*D18</f>
        <v>396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 t="str">
        <f>B12</f>
        <v>GOTAS AMARGAS</v>
      </c>
      <c r="C19" s="51" t="str">
        <f>D12</f>
        <v>ML</v>
      </c>
      <c r="D19" s="190">
        <v>4</v>
      </c>
      <c r="E19" s="51">
        <f>VLOOKUP(B19,Tabla1345681091113923252627284347484953[],5,FALSE)</f>
        <v>100</v>
      </c>
      <c r="F19" s="53">
        <f>E19*D19</f>
        <v>400</v>
      </c>
      <c r="H19" s="58" t="s">
        <v>40</v>
      </c>
      <c r="I19" s="26">
        <f>I16-I17</f>
        <v>10709.182999999997</v>
      </c>
      <c r="J19" s="27">
        <f>(I16-I17)/I17*100%</f>
        <v>1.7498665032679734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 t="str">
        <f>B13</f>
        <v>LIMÓN TAHITI</v>
      </c>
      <c r="C20" s="51" t="str">
        <f>D13</f>
        <v>GR</v>
      </c>
      <c r="D20" s="190">
        <v>5</v>
      </c>
      <c r="E20" s="51">
        <f>VLOOKUP(B20,Tabla1345681091113923252627284347484953[],5,FALSE)</f>
        <v>7</v>
      </c>
      <c r="F20" s="53">
        <f>E20*D20</f>
        <v>35</v>
      </c>
      <c r="H20" s="63" t="s">
        <v>41</v>
      </c>
      <c r="I20" s="31">
        <f>I16-I18</f>
        <v>5029.1829999999973</v>
      </c>
      <c r="J20" s="32">
        <f>(I16-I18)/I18*100%</f>
        <v>0.42620194915254211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8505.5400000000009</v>
      </c>
    </row>
    <row r="22" spans="1:13" ht="16.5" customHeight="1" thickBot="1" x14ac:dyDescent="0.4">
      <c r="A22" s="296"/>
      <c r="B22" s="304" t="s">
        <v>225</v>
      </c>
      <c r="C22" s="305"/>
      <c r="D22" s="310" t="s">
        <v>46</v>
      </c>
      <c r="E22" s="311"/>
      <c r="F22" s="66">
        <f>F21*5%</f>
        <v>425.27700000000004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8930.8170000000009</v>
      </c>
      <c r="H23" s="9" t="s">
        <v>13</v>
      </c>
      <c r="I23" s="10">
        <f>F26</f>
        <v>16829.182999999997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28000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2240</v>
      </c>
      <c r="H25" s="30" t="s">
        <v>52</v>
      </c>
      <c r="I25" s="70">
        <f>I23-I24</f>
        <v>8532.5163333333312</v>
      </c>
      <c r="J25" s="71">
        <f>(I23-I24)/I23*100%</f>
        <v>0.50700716329089368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16829.182999999997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0.31895775000000004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0.60104224999999989</v>
      </c>
      <c r="G28" s="73"/>
      <c r="H28" s="9" t="s">
        <v>57</v>
      </c>
      <c r="I28" s="10">
        <f>F26</f>
        <v>16829.182999999997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3.3816174815807094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2.4018814938154134</v>
      </c>
    </row>
    <row r="31" spans="1:13" x14ac:dyDescent="0.35">
      <c r="H31" s="17" t="s">
        <v>60</v>
      </c>
      <c r="I31" s="80">
        <f>I28/F113</f>
        <v>2.0284270389714742</v>
      </c>
    </row>
    <row r="32" spans="1:13" x14ac:dyDescent="0.35">
      <c r="H32" s="17" t="s">
        <v>61</v>
      </c>
      <c r="I32" s="80">
        <f>I28/F87</f>
        <v>2.7498665032679734</v>
      </c>
    </row>
    <row r="33" spans="8:9" ht="15" thickBot="1" x14ac:dyDescent="0.4">
      <c r="H33" s="38" t="s">
        <v>62</v>
      </c>
      <c r="I33" s="81">
        <f>I28/F100</f>
        <v>1.4262019491525422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28000</v>
      </c>
    </row>
    <row r="37" spans="8:9" x14ac:dyDescent="0.35">
      <c r="H37" s="17" t="s">
        <v>58</v>
      </c>
      <c r="I37" s="80">
        <f>I36/F60</f>
        <v>3.5</v>
      </c>
    </row>
    <row r="38" spans="8:9" x14ac:dyDescent="0.35">
      <c r="H38" s="17" t="s">
        <v>59</v>
      </c>
      <c r="I38" s="80">
        <f>I36/F72</f>
        <v>2.3333333333333335</v>
      </c>
    </row>
    <row r="39" spans="8:9" x14ac:dyDescent="0.35">
      <c r="H39" s="17" t="s">
        <v>60</v>
      </c>
      <c r="I39" s="80">
        <f>I36/F111</f>
        <v>2</v>
      </c>
    </row>
    <row r="40" spans="8:9" x14ac:dyDescent="0.35">
      <c r="H40" s="17" t="s">
        <v>61</v>
      </c>
      <c r="I40" s="80">
        <f>I36/F85</f>
        <v>2.8</v>
      </c>
    </row>
    <row r="41" spans="8:9" ht="15" thickBot="1" x14ac:dyDescent="0.4">
      <c r="H41" s="38" t="s">
        <v>62</v>
      </c>
      <c r="I41" s="81">
        <f>I36/F98</f>
        <v>1.4</v>
      </c>
    </row>
    <row r="47" spans="8:9" ht="3.75" customHeight="1" x14ac:dyDescent="0.35"/>
    <row r="49" spans="1:6" ht="15" customHeight="1" x14ac:dyDescent="0.35"/>
    <row r="53" spans="1:6" ht="15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ht="15" customHeight="1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ht="15" customHeight="1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ht="15" customHeight="1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nCGZoHInXbzelFSsE1C/AGFdeD7ax+UKPc1EVikqIQ4wFDZvuYfElggFlPz/C/0Exv21w8VITJlZlx8H2PuMGw==" saltValue="tbDF+1XGI7og8kzzuQ4y3A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755650</xdr:colOff>
                    <xdr:row>0</xdr:row>
                    <xdr:rowOff>171450</xdr:rowOff>
                  </from>
                  <to>
                    <xdr:col>7</xdr:col>
                    <xdr:colOff>2832100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41">
    <tabColor theme="4" tint="-0.249977111117893"/>
  </sheetPr>
  <dimension ref="A2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400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499</v>
      </c>
    </row>
    <row r="5" spans="1:13" ht="15" customHeight="1" thickBot="1" x14ac:dyDescent="0.4"/>
    <row r="6" spans="1:13" ht="23.25" customHeight="1" thickBot="1" x14ac:dyDescent="0.4">
      <c r="A6" s="284" t="s">
        <v>194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193</v>
      </c>
      <c r="C9" s="14">
        <v>750</v>
      </c>
      <c r="D9" s="96" t="s">
        <v>12</v>
      </c>
      <c r="E9" s="186">
        <v>127034</v>
      </c>
      <c r="F9" s="115">
        <f>Tabla13456810911139232526272843474849[[#This Row],[PRECIO]]/Tabla13456810911139232526272843474849[[#This Row],[CANTIDAD]]</f>
        <v>169.37866666666667</v>
      </c>
      <c r="H9" s="9" t="s">
        <v>13</v>
      </c>
      <c r="I9" s="10">
        <f>F26</f>
        <v>20915.371272727272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176</v>
      </c>
      <c r="C10" s="13">
        <v>1000</v>
      </c>
      <c r="D10" s="14" t="s">
        <v>22</v>
      </c>
      <c r="E10" s="186">
        <v>3500</v>
      </c>
      <c r="F10" s="115">
        <f>Tabla13456810911139232526272843474849[[#This Row],[PRECIO]]/Tabla13456810911139232526272843474849[[#This Row],[CANTIDAD]]</f>
        <v>3.5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0.06</v>
      </c>
    </row>
    <row r="11" spans="1:13" ht="15" customHeight="1" thickBot="1" x14ac:dyDescent="0.4">
      <c r="A11" s="288"/>
      <c r="B11" s="12" t="s">
        <v>121</v>
      </c>
      <c r="C11" s="14">
        <v>330</v>
      </c>
      <c r="D11" s="14" t="s">
        <v>12</v>
      </c>
      <c r="E11" s="186">
        <v>1800</v>
      </c>
      <c r="F11" s="115">
        <f>Tabla13456810911139232526272843474849[[#This Row],[PRECIO]]/Tabla13456810911139232526272843474849[[#This Row],[CANTIDAD]]</f>
        <v>5.4545454545454541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 t="s">
        <v>143</v>
      </c>
      <c r="C12" s="22">
        <v>200</v>
      </c>
      <c r="D12" s="22" t="s">
        <v>12</v>
      </c>
      <c r="E12" s="187">
        <v>20000</v>
      </c>
      <c r="F12" s="115">
        <f>Tabla13456810911139232526272843474849[[#This Row],[PRECIO]]/Tabla13456810911139232526272843474849[[#This Row],[CANTIDAD]]</f>
        <v>100</v>
      </c>
      <c r="H12" s="25" t="s">
        <v>23</v>
      </c>
      <c r="I12" s="26">
        <f>I9-I10</f>
        <v>15938.704606060604</v>
      </c>
      <c r="J12" s="27">
        <f>(I9-I10)/I10*100%</f>
        <v>3.2026867929123783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289"/>
      <c r="B13" s="29" t="s">
        <v>91</v>
      </c>
      <c r="C13" s="22">
        <v>500</v>
      </c>
      <c r="D13" s="22" t="s">
        <v>22</v>
      </c>
      <c r="E13" s="188">
        <v>2500</v>
      </c>
      <c r="F13" s="115">
        <f>Tabla13456810911139232526272843474849[[#This Row],[PRECIO]]/Tabla13456810911139232526272843474849[[#This Row],[CANTIDAD]]</f>
        <v>5</v>
      </c>
      <c r="H13" s="30" t="s">
        <v>26</v>
      </c>
      <c r="I13" s="31">
        <f>I9-I11</f>
        <v>13908.704606060604</v>
      </c>
      <c r="J13" s="32">
        <f>(I9-I11)/I11*100%</f>
        <v>1.9850672606175934</v>
      </c>
      <c r="L13" s="17" t="s">
        <v>27</v>
      </c>
      <c r="M13" s="19">
        <f>D17+D18+D16+D19+30</f>
        <v>134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0.12371134020618557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 xml:space="preserve"> ZACAPA 23</v>
      </c>
      <c r="C16" s="45" t="str">
        <f>D9</f>
        <v>ML</v>
      </c>
      <c r="D16" s="189">
        <v>60</v>
      </c>
      <c r="E16" s="45">
        <f>VLOOKUP(B16,Tabla13456810911139232526272843474849[],5,FALSE)</f>
        <v>169.37866666666667</v>
      </c>
      <c r="F16" s="47">
        <f>E16*D16</f>
        <v>10162.720000000001</v>
      </c>
      <c r="H16" s="48" t="s">
        <v>13</v>
      </c>
      <c r="I16" s="49">
        <f>F26</f>
        <v>20915.371272727272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AZÚCAR</v>
      </c>
      <c r="C17" s="51" t="str">
        <f>D10</f>
        <v>GR</v>
      </c>
      <c r="D17" s="190">
        <v>30</v>
      </c>
      <c r="E17" s="51">
        <f>VLOOKUP(B17,Tabla13456810911139232526272843474849[],5,FALSE)</f>
        <v>3.5</v>
      </c>
      <c r="F17" s="53">
        <f>E17*D17</f>
        <v>105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SODA</v>
      </c>
      <c r="C18" s="51" t="str">
        <f>D11</f>
        <v>ML</v>
      </c>
      <c r="D18" s="190">
        <v>10</v>
      </c>
      <c r="E18" s="51">
        <f>VLOOKUP(B18,Tabla13456810911139232526272843474849[],5,FALSE)</f>
        <v>5.4545454545454541</v>
      </c>
      <c r="F18" s="53">
        <f>E18*D18</f>
        <v>54.54545454545454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 t="str">
        <f>B12</f>
        <v>GOTAS AMARGAS</v>
      </c>
      <c r="C19" s="51" t="str">
        <f>D12</f>
        <v>ML</v>
      </c>
      <c r="D19" s="190">
        <v>4</v>
      </c>
      <c r="E19" s="51">
        <f>VLOOKUP(B19,Tabla13456810911139232526272843474849[],5,FALSE)</f>
        <v>100</v>
      </c>
      <c r="F19" s="53">
        <f>E19*D19</f>
        <v>400</v>
      </c>
      <c r="H19" s="58" t="s">
        <v>40</v>
      </c>
      <c r="I19" s="26">
        <f>I16-I17</f>
        <v>14795.371272727272</v>
      </c>
      <c r="J19" s="27">
        <f>(I16-I17)/I17*100%</f>
        <v>2.4175443256090312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 t="str">
        <f>B13</f>
        <v>NARANJA</v>
      </c>
      <c r="C20" s="51" t="str">
        <f>D13</f>
        <v>GR</v>
      </c>
      <c r="D20" s="190">
        <v>5</v>
      </c>
      <c r="E20" s="51">
        <f>VLOOKUP(B20,Tabla13456810911139232526272843474849[],5,FALSE)</f>
        <v>5</v>
      </c>
      <c r="F20" s="53">
        <f>E20*D20</f>
        <v>25</v>
      </c>
      <c r="H20" s="63" t="s">
        <v>41</v>
      </c>
      <c r="I20" s="31">
        <f>I16-I18</f>
        <v>9115.3712727272723</v>
      </c>
      <c r="J20" s="32">
        <f>(I16-I18)/I18*100%</f>
        <v>0.7724890909090909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10747.265454545455</v>
      </c>
    </row>
    <row r="22" spans="1:13" ht="16.5" customHeight="1" thickBot="1" x14ac:dyDescent="0.4">
      <c r="A22" s="296"/>
      <c r="B22" s="304" t="s">
        <v>223</v>
      </c>
      <c r="C22" s="305"/>
      <c r="D22" s="310" t="s">
        <v>46</v>
      </c>
      <c r="E22" s="311"/>
      <c r="F22" s="66">
        <f>F21*5%</f>
        <v>537.36327272727283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11284.628727272728</v>
      </c>
      <c r="H23" s="9" t="s">
        <v>13</v>
      </c>
      <c r="I23" s="10">
        <f>F26</f>
        <v>20915.371272727272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35000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2800</v>
      </c>
      <c r="H25" s="30" t="s">
        <v>52</v>
      </c>
      <c r="I25" s="70">
        <f>I23-I24</f>
        <v>12618.704606060606</v>
      </c>
      <c r="J25" s="71">
        <f>(I23-I24)/I23*100%</f>
        <v>0.60332204681036883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20915.371272727272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0.32241796363636366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0.59758203636363638</v>
      </c>
      <c r="G28" s="73"/>
      <c r="H28" s="9" t="s">
        <v>57</v>
      </c>
      <c r="I28" s="10">
        <f>F26</f>
        <v>20915.371272727272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4.2026867929123783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2.9850672606175936</v>
      </c>
    </row>
    <row r="31" spans="1:13" x14ac:dyDescent="0.35">
      <c r="H31" s="17" t="s">
        <v>60</v>
      </c>
      <c r="I31" s="80">
        <f>I28/F113</f>
        <v>2.5209366740932833</v>
      </c>
    </row>
    <row r="32" spans="1:13" x14ac:dyDescent="0.35">
      <c r="H32" s="17" t="s">
        <v>61</v>
      </c>
      <c r="I32" s="80">
        <f>I28/F87</f>
        <v>3.4175443256090312</v>
      </c>
    </row>
    <row r="33" spans="8:9" ht="15" thickBot="1" x14ac:dyDescent="0.4">
      <c r="H33" s="38" t="s">
        <v>62</v>
      </c>
      <c r="I33" s="81">
        <f>I28/F100</f>
        <v>1.7724890909090909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35000</v>
      </c>
    </row>
    <row r="37" spans="8:9" x14ac:dyDescent="0.35">
      <c r="H37" s="17" t="s">
        <v>58</v>
      </c>
      <c r="I37" s="80">
        <f>I36/F60</f>
        <v>4.375</v>
      </c>
    </row>
    <row r="38" spans="8:9" x14ac:dyDescent="0.35">
      <c r="H38" s="17" t="s">
        <v>59</v>
      </c>
      <c r="I38" s="80">
        <f>I36/F72</f>
        <v>2.9166666666666665</v>
      </c>
    </row>
    <row r="39" spans="8:9" x14ac:dyDescent="0.35">
      <c r="H39" s="17" t="s">
        <v>60</v>
      </c>
      <c r="I39" s="80">
        <f>I36/F111</f>
        <v>2.5</v>
      </c>
    </row>
    <row r="40" spans="8:9" x14ac:dyDescent="0.35">
      <c r="H40" s="17" t="s">
        <v>61</v>
      </c>
      <c r="I40" s="80">
        <f>I36/F85</f>
        <v>3.5</v>
      </c>
    </row>
    <row r="41" spans="8:9" ht="15" thickBot="1" x14ac:dyDescent="0.4">
      <c r="H41" s="38" t="s">
        <v>62</v>
      </c>
      <c r="I41" s="81">
        <f>I36/F98</f>
        <v>1.75</v>
      </c>
    </row>
    <row r="47" spans="8:9" ht="3.75" customHeight="1" x14ac:dyDescent="0.35"/>
    <row r="49" spans="1:6" ht="15" customHeight="1" x14ac:dyDescent="0.35"/>
    <row r="53" spans="1:6" ht="15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91tB/4wfNnfgG6+5VXmwLLMGxGCXUrNpbJ7CSq+OpBhHH7b5XPmcUR/CIEp6OTu/Vfb4t3Gl4DyVnHWh/vWP9g==" saltValue="gXVpnElHCqWVCandwwCy6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7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1003300</xdr:colOff>
                    <xdr:row>0</xdr:row>
                    <xdr:rowOff>165100</xdr:rowOff>
                  </from>
                  <to>
                    <xdr:col>7</xdr:col>
                    <xdr:colOff>3079750</xdr:colOff>
                    <xdr:row>3</xdr:row>
                    <xdr:rowOff>69850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53">
    <tabColor theme="4" tint="0.39997558519241921"/>
  </sheetPr>
  <dimension ref="A2:M115"/>
  <sheetViews>
    <sheetView showGridLines="0" topLeftCell="A49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400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284" t="s">
        <v>492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96" t="s">
        <v>493</v>
      </c>
      <c r="C9" s="14">
        <v>750</v>
      </c>
      <c r="D9" s="14" t="s">
        <v>12</v>
      </c>
      <c r="E9" s="236">
        <v>72950</v>
      </c>
      <c r="F9" s="108">
        <f>Tabla13456810911131516346121719202113[[#This Row],[PRECIO]]/Tabla13456810911131516346121719202113[[#This Row],[CANTIDAD]]</f>
        <v>97.266666666666666</v>
      </c>
      <c r="H9" s="9" t="s">
        <v>13</v>
      </c>
      <c r="I9" s="10">
        <f>F26</f>
        <v>12662.45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96" t="s">
        <v>95</v>
      </c>
      <c r="C10" s="14">
        <v>1000</v>
      </c>
      <c r="D10" s="14" t="s">
        <v>12</v>
      </c>
      <c r="E10" s="236">
        <v>13200</v>
      </c>
      <c r="F10" s="108">
        <f>Tabla13456810911131516346121719202113[[#This Row],[PRECIO]]/Tabla13456810911131516346121719202113[[#This Row],[CANTIDAD]]</f>
        <v>13.2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96" t="s">
        <v>21</v>
      </c>
      <c r="C11" s="14">
        <v>1000</v>
      </c>
      <c r="D11" s="14" t="s">
        <v>12</v>
      </c>
      <c r="E11" s="236">
        <v>3500</v>
      </c>
      <c r="F11" s="108">
        <f>Tabla13456810911131516346121719202113[[#This Row],[PRECIO]]/Tabla13456810911131516346121719202113[[#This Row],[CANTIDAD]]</f>
        <v>3.5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96" t="s">
        <v>128</v>
      </c>
      <c r="C12" s="14">
        <v>500</v>
      </c>
      <c r="D12" s="14" t="s">
        <v>494</v>
      </c>
      <c r="E12" s="236">
        <v>5000</v>
      </c>
      <c r="F12" s="108">
        <f>Tabla13456810911131516346121719202113[[#This Row],[PRECIO]]/Tabla13456810911131516346121719202113[[#This Row],[CANTIDAD]]</f>
        <v>10</v>
      </c>
      <c r="H12" s="25" t="s">
        <v>23</v>
      </c>
      <c r="I12" s="26">
        <f>I9-I10</f>
        <v>7685.7833333333338</v>
      </c>
      <c r="J12" s="27">
        <f>(I9-I10)/I10*100%</f>
        <v>1.5443636972538513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7"/>
      <c r="C13" s="6"/>
      <c r="D13" s="6"/>
      <c r="E13" s="232"/>
      <c r="F13" s="107"/>
      <c r="H13" s="30" t="s">
        <v>26</v>
      </c>
      <c r="I13" s="31">
        <f>I9-I11</f>
        <v>5655.7833333333338</v>
      </c>
      <c r="J13" s="32">
        <f>(I9-I11)/I11*100%</f>
        <v>0.80720028544243583</v>
      </c>
      <c r="L13" s="17" t="s">
        <v>27</v>
      </c>
      <c r="M13" s="19">
        <f>D17+D18+D16+D19+30</f>
        <v>150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</v>
      </c>
    </row>
    <row r="15" spans="1:13" ht="24.75" customHeight="1" thickBot="1" x14ac:dyDescent="0.4">
      <c r="A15" s="295" t="s">
        <v>29</v>
      </c>
      <c r="B15" s="109" t="s">
        <v>30</v>
      </c>
      <c r="C15" s="110" t="s">
        <v>31</v>
      </c>
      <c r="D15" s="111" t="s">
        <v>5</v>
      </c>
      <c r="E15" s="110" t="s">
        <v>32</v>
      </c>
      <c r="F15" s="112" t="s">
        <v>33</v>
      </c>
      <c r="H15" s="298" t="s">
        <v>34</v>
      </c>
      <c r="I15" s="299"/>
    </row>
    <row r="16" spans="1:13" ht="15" customHeight="1" thickBot="1" x14ac:dyDescent="0.4">
      <c r="A16" s="296"/>
      <c r="B16" s="50" t="str">
        <f>B9</f>
        <v>ZACAPA AMBAR</v>
      </c>
      <c r="C16" s="51" t="str">
        <f>D9</f>
        <v>ML</v>
      </c>
      <c r="D16" s="229">
        <v>50</v>
      </c>
      <c r="E16" s="51">
        <f>VLOOKUP(B16,Tabla13456810911131516346121719202113[],5,FALSE)</f>
        <v>97.266666666666666</v>
      </c>
      <c r="F16" s="53">
        <f>E16*D16</f>
        <v>4863.333333333333</v>
      </c>
      <c r="H16" s="48" t="s">
        <v>13</v>
      </c>
      <c r="I16" s="49">
        <f>F26</f>
        <v>12662.45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ZUMO DE LIMÓN</v>
      </c>
      <c r="C17" s="51" t="str">
        <f>D10</f>
        <v>ML</v>
      </c>
      <c r="D17" s="230">
        <v>30</v>
      </c>
      <c r="E17" s="51">
        <f>VLOOKUP(B17,Tabla13456810911131516346121719202113[],5,FALSE)</f>
        <v>13.2</v>
      </c>
      <c r="F17" s="53">
        <f>E17*D17</f>
        <v>396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AZÚCAR (ALMÍBAR 50/50)</v>
      </c>
      <c r="C18" s="51" t="str">
        <f>D11</f>
        <v>ML</v>
      </c>
      <c r="D18" s="230">
        <v>30</v>
      </c>
      <c r="E18" s="113">
        <f>VLOOKUP(B18,Tabla13456810911131516346121719202113[],5,FALSE)</f>
        <v>3.5</v>
      </c>
      <c r="F18" s="53">
        <f>E18*D18</f>
        <v>105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 t="str">
        <f>B12</f>
        <v xml:space="preserve">HIERBABUENA </v>
      </c>
      <c r="C19" s="55" t="str">
        <f>D12</f>
        <v xml:space="preserve">GR </v>
      </c>
      <c r="D19" s="230">
        <v>10</v>
      </c>
      <c r="E19" s="113">
        <f>VLOOKUP(B19,Tabla13456810911131516346121719202113[],5,FALSE)</f>
        <v>10</v>
      </c>
      <c r="F19" s="53">
        <f>E19*D19</f>
        <v>100</v>
      </c>
      <c r="H19" s="58" t="s">
        <v>40</v>
      </c>
      <c r="I19" s="26">
        <f>I16-I17</f>
        <v>6542.4500000000007</v>
      </c>
      <c r="J19" s="27">
        <f>(I16-I17)/I17*100%</f>
        <v>1.0690277777777779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1"/>
      <c r="E20" s="60"/>
      <c r="F20" s="62"/>
      <c r="H20" s="63" t="s">
        <v>41</v>
      </c>
      <c r="I20" s="31">
        <f>I16-I18</f>
        <v>862.45000000000073</v>
      </c>
      <c r="J20" s="32">
        <f>(I16-I18)/I18*100%</f>
        <v>7.3088983050847517E-2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5464.333333333333</v>
      </c>
    </row>
    <row r="22" spans="1:13" ht="16.5" customHeight="1" thickBot="1" x14ac:dyDescent="0.4">
      <c r="A22" s="296"/>
      <c r="B22" s="304" t="s">
        <v>495</v>
      </c>
      <c r="C22" s="305"/>
      <c r="D22" s="310" t="s">
        <v>46</v>
      </c>
      <c r="E22" s="311"/>
      <c r="F22" s="66">
        <f>F21*5%</f>
        <v>273.21666666666664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5737.5499999999993</v>
      </c>
      <c r="H23" s="9" t="s">
        <v>13</v>
      </c>
      <c r="I23" s="10">
        <f>F26</f>
        <v>12662.45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1600</v>
      </c>
      <c r="H25" s="30" t="s">
        <v>52</v>
      </c>
      <c r="I25" s="70">
        <f>I23-I24</f>
        <v>4365.7833333333347</v>
      </c>
      <c r="J25" s="71">
        <f>(I23-I24)/I23*100%</f>
        <v>0.34478188133681353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12662.45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0.28687749999999995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0.63312250000000003</v>
      </c>
      <c r="G28" s="73"/>
      <c r="H28" s="9" t="s">
        <v>57</v>
      </c>
      <c r="I28" s="10">
        <f>F26</f>
        <v>12662.45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2.5443636972538513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1.8072002854424358</v>
      </c>
    </row>
    <row r="31" spans="1:13" x14ac:dyDescent="0.35">
      <c r="H31" s="17" t="s">
        <v>60</v>
      </c>
      <c r="I31" s="80">
        <f>I28/F113</f>
        <v>1.526209321012455</v>
      </c>
    </row>
    <row r="32" spans="1:13" x14ac:dyDescent="0.35">
      <c r="H32" s="17" t="s">
        <v>61</v>
      </c>
      <c r="I32" s="80">
        <f>I28/F87</f>
        <v>2.0690277777777779</v>
      </c>
    </row>
    <row r="33" spans="8:9" ht="15" thickBot="1" x14ac:dyDescent="0.4">
      <c r="H33" s="38" t="s">
        <v>62</v>
      </c>
      <c r="I33" s="81">
        <f>I28/F100</f>
        <v>1.0730889830508474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20000</v>
      </c>
    </row>
    <row r="37" spans="8:9" x14ac:dyDescent="0.35">
      <c r="H37" s="17" t="s">
        <v>58</v>
      </c>
      <c r="I37" s="80">
        <f>I36/F60</f>
        <v>2.5</v>
      </c>
    </row>
    <row r="38" spans="8:9" x14ac:dyDescent="0.35">
      <c r="H38" s="17" t="s">
        <v>59</v>
      </c>
      <c r="I38" s="80">
        <f>I36/F72</f>
        <v>1.6666666666666667</v>
      </c>
    </row>
    <row r="39" spans="8:9" x14ac:dyDescent="0.35">
      <c r="H39" s="17" t="s">
        <v>60</v>
      </c>
      <c r="I39" s="80">
        <f>I36/F111</f>
        <v>1.4285714285714286</v>
      </c>
    </row>
    <row r="40" spans="8:9" x14ac:dyDescent="0.35">
      <c r="H40" s="17" t="s">
        <v>61</v>
      </c>
      <c r="I40" s="80">
        <f>I36/F85</f>
        <v>2</v>
      </c>
    </row>
    <row r="41" spans="8:9" ht="15" thickBot="1" x14ac:dyDescent="0.4">
      <c r="H41" s="38" t="s">
        <v>62</v>
      </c>
      <c r="I41" s="81">
        <f>I36/F98</f>
        <v>1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eIPfWiyqb08zDDnEVHjkTLqrAMq4XddpIqPU0nkihJ1oOk66f02+6j/o84qPDSnNO5CsbjeNUMfAfyu0P9fcZQ==" saltValue="SrPuP6NKqaQVAiTMuByTpA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5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831850</xdr:colOff>
                    <xdr:row>0</xdr:row>
                    <xdr:rowOff>146050</xdr:rowOff>
                  </from>
                  <to>
                    <xdr:col>7</xdr:col>
                    <xdr:colOff>2908300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54">
    <tabColor theme="5" tint="0.39997558519241921"/>
  </sheetPr>
  <dimension ref="A2:M115"/>
  <sheetViews>
    <sheetView showGridLines="0" zoomScale="90" zoomScaleNormal="90" workbookViewId="0"/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421</v>
      </c>
    </row>
    <row r="3" spans="1:13" ht="15.5" x14ac:dyDescent="0.35">
      <c r="B3" s="216" t="s">
        <v>374</v>
      </c>
      <c r="C3" s="198" t="s">
        <v>422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284" t="s">
        <v>0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335" t="s">
        <v>3</v>
      </c>
      <c r="B8" s="93" t="s">
        <v>4</v>
      </c>
      <c r="C8" s="93" t="s">
        <v>5</v>
      </c>
      <c r="D8" s="94" t="s">
        <v>6</v>
      </c>
      <c r="E8" s="93" t="s">
        <v>7</v>
      </c>
      <c r="F8" s="9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336"/>
      <c r="B9" s="12" t="s">
        <v>11</v>
      </c>
      <c r="C9" s="14">
        <v>750</v>
      </c>
      <c r="D9" s="96" t="s">
        <v>12</v>
      </c>
      <c r="E9" s="236">
        <v>90348</v>
      </c>
      <c r="F9" s="97">
        <f>Tabla1345681014[[#This Row],[PRECIO]]/Tabla1345681014[[#This Row],[CANTIDAD]]</f>
        <v>120.464</v>
      </c>
      <c r="H9" s="9" t="s">
        <v>13</v>
      </c>
      <c r="I9" s="10">
        <f>F26</f>
        <v>15207.071818181819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336"/>
      <c r="B10" s="12" t="s">
        <v>15</v>
      </c>
      <c r="C10" s="98">
        <v>330</v>
      </c>
      <c r="D10" s="14" t="s">
        <v>12</v>
      </c>
      <c r="E10" s="236">
        <v>3000</v>
      </c>
      <c r="F10" s="97">
        <f>Tabla1345681014[[#This Row],[PRECIO]]/Tabla1345681014[[#This Row],[CANTIDAD]]</f>
        <v>9.0909090909090917</v>
      </c>
      <c r="H10" s="17" t="s">
        <v>16</v>
      </c>
      <c r="I10" s="18">
        <f>F62</f>
        <v>5380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336"/>
      <c r="B11" s="12" t="s">
        <v>25</v>
      </c>
      <c r="C11" s="14">
        <v>500</v>
      </c>
      <c r="D11" s="14" t="s">
        <v>22</v>
      </c>
      <c r="E11" s="236">
        <v>3500</v>
      </c>
      <c r="F11" s="97">
        <f>Tabla1345681014[[#This Row],[PRECIO]]/Tabla1345681014[[#This Row],[CANTIDAD]]</f>
        <v>7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336"/>
      <c r="B12" s="21"/>
      <c r="C12" s="22"/>
      <c r="D12" s="22"/>
      <c r="E12" s="237"/>
      <c r="F12" s="99"/>
      <c r="H12" s="25" t="s">
        <v>23</v>
      </c>
      <c r="I12" s="26">
        <f>I9-I10</f>
        <v>9827.0718181818193</v>
      </c>
      <c r="J12" s="27">
        <f>(I9-I10)/I10*100%</f>
        <v>1.8265932747549849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7"/>
      <c r="B13" s="100"/>
      <c r="C13" s="101"/>
      <c r="D13" s="101"/>
      <c r="E13" s="238"/>
      <c r="F13" s="102"/>
      <c r="H13" s="30" t="s">
        <v>26</v>
      </c>
      <c r="I13" s="31">
        <f>I9-I11</f>
        <v>8200.4051515151514</v>
      </c>
      <c r="J13" s="32">
        <f>(I9-I11)/I11*100%</f>
        <v>1.1703718103970244</v>
      </c>
      <c r="L13" s="17" t="s">
        <v>27</v>
      </c>
      <c r="M13" s="19">
        <f>D17+D18+D16+D19+30</f>
        <v>235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7.0175438596491224E-2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6" thickBot="1" x14ac:dyDescent="0.4">
      <c r="A16" s="296"/>
      <c r="B16" s="44" t="str">
        <f>B9</f>
        <v>OLD PARR 12</v>
      </c>
      <c r="C16" s="45" t="str">
        <f>D9</f>
        <v>ML</v>
      </c>
      <c r="D16" s="189">
        <v>50</v>
      </c>
      <c r="E16" s="45">
        <f>VLOOKUP(B16,Tabla1345681014[],5,FALSE)</f>
        <v>120.464</v>
      </c>
      <c r="F16" s="47">
        <f>E16*D16</f>
        <v>6023.2</v>
      </c>
      <c r="H16" s="48" t="s">
        <v>13</v>
      </c>
      <c r="I16" s="49">
        <f>F26</f>
        <v>15207.071818181819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CERVEZA DORADA</v>
      </c>
      <c r="C17" s="51" t="str">
        <f>D10</f>
        <v>ML</v>
      </c>
      <c r="D17" s="190">
        <v>150</v>
      </c>
      <c r="E17" s="51">
        <f>VLOOKUP(B17,Tabla1345681014[],5,FALSE)</f>
        <v>9.0909090909090917</v>
      </c>
      <c r="F17" s="53">
        <f>E17*D17</f>
        <v>1363.6363636363637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LIMON TAHITÍ</v>
      </c>
      <c r="C18" s="51" t="str">
        <f>D11</f>
        <v>GR</v>
      </c>
      <c r="D18" s="190">
        <v>5</v>
      </c>
      <c r="E18" s="51">
        <f>VLOOKUP(B18,Tabla1345681014[],5,FALSE)</f>
        <v>7</v>
      </c>
      <c r="F18" s="53">
        <f>E18*D18</f>
        <v>35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/>
      <c r="C19" s="55"/>
      <c r="D19" s="234"/>
      <c r="E19" s="55"/>
      <c r="F19" s="57"/>
      <c r="H19" s="58" t="s">
        <v>40</v>
      </c>
      <c r="I19" s="26">
        <f>I16-I17</f>
        <v>9087.0718181818193</v>
      </c>
      <c r="J19" s="27">
        <f>(I16-I17)/I17*100%</f>
        <v>1.4848156565656567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5"/>
      <c r="E20" s="60"/>
      <c r="F20" s="62"/>
      <c r="H20" s="63" t="s">
        <v>41</v>
      </c>
      <c r="I20" s="31">
        <f>I16-I18</f>
        <v>3407.0718181818193</v>
      </c>
      <c r="J20" s="32">
        <f>(I16-I18)/I18*100%</f>
        <v>0.28873489984591688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7421.8363636363638</v>
      </c>
    </row>
    <row r="22" spans="1:13" ht="16.5" customHeight="1" thickBot="1" x14ac:dyDescent="0.4">
      <c r="A22" s="296"/>
      <c r="B22" s="304" t="s">
        <v>496</v>
      </c>
      <c r="C22" s="305"/>
      <c r="D22" s="310" t="s">
        <v>46</v>
      </c>
      <c r="E22" s="311"/>
      <c r="F22" s="66">
        <f>F21*5%</f>
        <v>371.09181818181821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7792.9281818181817</v>
      </c>
      <c r="H23" s="9" t="s">
        <v>13</v>
      </c>
      <c r="I23" s="10">
        <f>F26</f>
        <v>15207.071818181819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2000</v>
      </c>
      <c r="H25" s="30" t="s">
        <v>52</v>
      </c>
      <c r="I25" s="70">
        <f>I23-I24</f>
        <v>6910.4051515151532</v>
      </c>
      <c r="J25" s="71">
        <f>(I23-I24)/I23*100%</f>
        <v>0.45442049818249441</v>
      </c>
    </row>
    <row r="26" spans="1:13" ht="15.75" customHeight="1" thickBot="1" x14ac:dyDescent="0.4">
      <c r="A26" s="296"/>
      <c r="B26" s="306"/>
      <c r="C26" s="307"/>
      <c r="D26" s="342" t="s">
        <v>53</v>
      </c>
      <c r="E26" s="343"/>
      <c r="F26" s="67">
        <f>F24-F23-F25</f>
        <v>15207.071818181819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0.31171712727272727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0.60828287272727277</v>
      </c>
      <c r="G28" s="73"/>
      <c r="H28" s="9" t="s">
        <v>57</v>
      </c>
      <c r="I28" s="10">
        <f>F26</f>
        <v>15207.071818181819</v>
      </c>
    </row>
    <row r="29" spans="1:13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2.8265932747549849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2.1703718103970244</v>
      </c>
    </row>
    <row r="31" spans="1:13" x14ac:dyDescent="0.35">
      <c r="H31" s="17" t="s">
        <v>60</v>
      </c>
      <c r="I31" s="80">
        <f>I28/F113</f>
        <v>1.8329134373059648</v>
      </c>
    </row>
    <row r="32" spans="1:13" x14ac:dyDescent="0.35">
      <c r="H32" s="17" t="s">
        <v>61</v>
      </c>
      <c r="I32" s="80">
        <f>I28/F87</f>
        <v>2.4848156565656567</v>
      </c>
    </row>
    <row r="33" spans="8:9" ht="15" thickBot="1" x14ac:dyDescent="0.4">
      <c r="H33" s="38" t="s">
        <v>62</v>
      </c>
      <c r="I33" s="81">
        <f>I28/F100</f>
        <v>1.2887348998459169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25000</v>
      </c>
    </row>
    <row r="37" spans="8:9" x14ac:dyDescent="0.35">
      <c r="H37" s="17" t="s">
        <v>58</v>
      </c>
      <c r="I37" s="80">
        <f>I36/F60</f>
        <v>3.125</v>
      </c>
    </row>
    <row r="38" spans="8:9" x14ac:dyDescent="0.35">
      <c r="H38" s="17" t="s">
        <v>59</v>
      </c>
      <c r="I38" s="80">
        <f>I36/F72</f>
        <v>2.0833333333333335</v>
      </c>
    </row>
    <row r="39" spans="8:9" x14ac:dyDescent="0.35">
      <c r="H39" s="17" t="s">
        <v>60</v>
      </c>
      <c r="I39" s="80">
        <f>I36/F111</f>
        <v>1.7857142857142858</v>
      </c>
    </row>
    <row r="40" spans="8:9" x14ac:dyDescent="0.35">
      <c r="H40" s="17" t="s">
        <v>61</v>
      </c>
      <c r="I40" s="80">
        <f>I36/F85</f>
        <v>2.5</v>
      </c>
    </row>
    <row r="41" spans="8:9" ht="15" thickBot="1" x14ac:dyDescent="0.4">
      <c r="H41" s="38" t="s">
        <v>62</v>
      </c>
      <c r="I41" s="81">
        <f>I36/F98</f>
        <v>1.25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v>1800</v>
      </c>
      <c r="C56" s="88" t="s">
        <v>12</v>
      </c>
      <c r="D56" s="193">
        <v>330</v>
      </c>
      <c r="E56" s="90">
        <f>B56/D56</f>
        <v>5.4545454545454541</v>
      </c>
      <c r="F56" s="91">
        <f>E56*D56</f>
        <v>1799.9999999999998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1799.9999999999998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180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1979.9999999999998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x14ac:dyDescent="0.35">
      <c r="A62" s="329"/>
      <c r="B62" s="330"/>
      <c r="C62" s="331"/>
      <c r="D62" s="310" t="s">
        <v>53</v>
      </c>
      <c r="E62" s="311"/>
      <c r="F62" s="67">
        <f>F60-F59-F61</f>
        <v>5380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0.24749999999999997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0.67249999999999999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sBFiVbVkZKs3vrJUSC7VGy2ojzCjzAvyYzDvvmc/89nz5tVkD/Qr74sxBbtvXwu144rU9HHBff0wYpjGUYkyEA==" saltValue="DVrbMMTrvZT6OlX8pzyAJA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C10 D16:D20 F24" name="FINAL"/>
    <protectedRange sqref="E9:E13 C10 D16:D20 F24" name="EDITABLES FINAL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3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895350</xdr:colOff>
                    <xdr:row>0</xdr:row>
                    <xdr:rowOff>190500</xdr:rowOff>
                  </from>
                  <to>
                    <xdr:col>7</xdr:col>
                    <xdr:colOff>2971800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4">
    <tabColor theme="4" tint="0.39997558519241921"/>
  </sheetPr>
  <dimension ref="A1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32.7265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x14ac:dyDescent="0.35"/>
    <row r="2" spans="1:13" ht="15" customHeight="1" x14ac:dyDescent="0.35">
      <c r="B2" s="216" t="s">
        <v>473</v>
      </c>
      <c r="C2" s="198" t="s">
        <v>421</v>
      </c>
    </row>
    <row r="3" spans="1:13" ht="15" customHeight="1" x14ac:dyDescent="0.35">
      <c r="B3" s="216" t="s">
        <v>374</v>
      </c>
      <c r="C3" s="198" t="s">
        <v>422</v>
      </c>
    </row>
    <row r="4" spans="1:13" ht="15" customHeight="1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284" t="s">
        <v>93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11</v>
      </c>
      <c r="C9" s="14">
        <v>750</v>
      </c>
      <c r="D9" s="96" t="s">
        <v>12</v>
      </c>
      <c r="E9" s="236">
        <v>90348</v>
      </c>
      <c r="F9" s="16">
        <f>Tabla13456914[[#This Row],[PRECIO]]/Tabla13456914[[#This Row],[CANTIDAD]]</f>
        <v>120.464</v>
      </c>
      <c r="H9" s="9" t="s">
        <v>13</v>
      </c>
      <c r="I9" s="10">
        <f>F26</f>
        <v>15194.614999999998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18</v>
      </c>
      <c r="C10" s="13">
        <v>1000</v>
      </c>
      <c r="D10" s="14" t="s">
        <v>12</v>
      </c>
      <c r="E10" s="236">
        <v>13600</v>
      </c>
      <c r="F10" s="16">
        <f>Tabla13456914[[#This Row],[PRECIO]]/Tabla13456914[[#This Row],[CANTIDAD]]</f>
        <v>13.6</v>
      </c>
      <c r="H10" s="17" t="s">
        <v>16</v>
      </c>
      <c r="I10" s="18">
        <f>F62</f>
        <v>5380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12" t="s">
        <v>90</v>
      </c>
      <c r="C11" s="14">
        <v>1000</v>
      </c>
      <c r="D11" s="14" t="s">
        <v>12</v>
      </c>
      <c r="E11" s="236">
        <v>10000</v>
      </c>
      <c r="F11" s="16">
        <f>Tabla13456914[[#This Row],[PRECIO]]/Tabla13456914[[#This Row],[CANTIDAD]]</f>
        <v>10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 t="s">
        <v>21</v>
      </c>
      <c r="C12" s="22">
        <v>1000</v>
      </c>
      <c r="D12" s="22" t="s">
        <v>22</v>
      </c>
      <c r="E12" s="237">
        <v>3500</v>
      </c>
      <c r="F12" s="24">
        <f>Tabla13456914[[#This Row],[PRECIO]]/Tabla13456914[[#This Row],[CANTIDAD]]</f>
        <v>3.5</v>
      </c>
      <c r="H12" s="25" t="s">
        <v>23</v>
      </c>
      <c r="I12" s="26">
        <f>I9-I10</f>
        <v>9814.614999999998</v>
      </c>
      <c r="J12" s="27">
        <f>(I9-I10)/I10*100%</f>
        <v>1.8242778810408917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29" t="s">
        <v>91</v>
      </c>
      <c r="C13" s="22">
        <v>500</v>
      </c>
      <c r="D13" s="22" t="s">
        <v>22</v>
      </c>
      <c r="E13" s="239">
        <v>2500</v>
      </c>
      <c r="F13" s="24">
        <f>Tabla13456914[[#This Row],[PRECIO]]/Tabla13456914[[#This Row],[CANTIDAD]]</f>
        <v>5</v>
      </c>
      <c r="H13" s="30" t="s">
        <v>26</v>
      </c>
      <c r="I13" s="31">
        <f>I9-I11</f>
        <v>8187.948333333331</v>
      </c>
      <c r="J13" s="32">
        <f>(I9-I11)/I11*100%</f>
        <v>1.168593958135109</v>
      </c>
      <c r="L13" s="17" t="s">
        <v>27</v>
      </c>
      <c r="M13" s="19">
        <f>D17+D18+D16+D19+30</f>
        <v>215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7.5471698113207544E-2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OLD PARR 12</v>
      </c>
      <c r="C16" s="45" t="str">
        <f>D9</f>
        <v>ML</v>
      </c>
      <c r="D16" s="189">
        <v>50</v>
      </c>
      <c r="E16" s="45">
        <f>VLOOKUP(B16,Tabla13456914[],5,FALSE)</f>
        <v>120.464</v>
      </c>
      <c r="F16" s="47">
        <f>E16*D16</f>
        <v>6023.2</v>
      </c>
      <c r="H16" s="48" t="s">
        <v>13</v>
      </c>
      <c r="I16" s="49">
        <f>F26</f>
        <v>15194.614999999998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ZUMO LIMÓN</v>
      </c>
      <c r="C17" s="51" t="str">
        <f>D10</f>
        <v>ML</v>
      </c>
      <c r="D17" s="190">
        <v>30</v>
      </c>
      <c r="E17" s="51">
        <f>VLOOKUP(B17,Tabla13456914[],5,FALSE)</f>
        <v>13.6</v>
      </c>
      <c r="F17" s="53">
        <f>E17*D17</f>
        <v>408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ZUMO NARANJA</v>
      </c>
      <c r="C18" s="51" t="str">
        <f>D11</f>
        <v>ML</v>
      </c>
      <c r="D18" s="190">
        <v>90</v>
      </c>
      <c r="E18" s="51">
        <f>VLOOKUP(B18,Tabla13456914[],5,FALSE)</f>
        <v>10</v>
      </c>
      <c r="F18" s="53">
        <f>E18*D18</f>
        <v>900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 t="str">
        <f>B12</f>
        <v>AZÚCAR (ALMÍBAR 50/50)</v>
      </c>
      <c r="C19" s="55" t="s">
        <v>12</v>
      </c>
      <c r="D19" s="234">
        <v>15</v>
      </c>
      <c r="E19" s="55">
        <f>VLOOKUP(B19,Tabla13456914[],5,FALSE)</f>
        <v>3.5</v>
      </c>
      <c r="F19" s="57">
        <f>E19*D19</f>
        <v>52.5</v>
      </c>
      <c r="H19" s="58" t="s">
        <v>40</v>
      </c>
      <c r="I19" s="26">
        <f>I16-I17</f>
        <v>9074.614999999998</v>
      </c>
      <c r="J19" s="27">
        <f>(I16-I17)/I17*100%</f>
        <v>1.4827802287581695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 t="str">
        <f>B13</f>
        <v>NARANJA</v>
      </c>
      <c r="C20" s="60" t="s">
        <v>22</v>
      </c>
      <c r="D20" s="235">
        <v>10</v>
      </c>
      <c r="E20" s="60">
        <f>VLOOKUP(B20,Tabla13456914[],5,FALSE)</f>
        <v>5</v>
      </c>
      <c r="F20" s="62">
        <f>E20*D20</f>
        <v>50</v>
      </c>
      <c r="H20" s="63" t="s">
        <v>41</v>
      </c>
      <c r="I20" s="31">
        <f>I16-I18</f>
        <v>3394.614999999998</v>
      </c>
      <c r="J20" s="32">
        <f>(I16-I18)/I18*100%</f>
        <v>0.28767923728813544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7433.7</v>
      </c>
    </row>
    <row r="22" spans="1:13" ht="16.5" customHeight="1" thickBot="1" x14ac:dyDescent="0.4">
      <c r="A22" s="296"/>
      <c r="B22" s="304" t="s">
        <v>92</v>
      </c>
      <c r="C22" s="305"/>
      <c r="D22" s="310" t="s">
        <v>46</v>
      </c>
      <c r="E22" s="311"/>
      <c r="F22" s="66">
        <f>F21*5%</f>
        <v>371.685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7805.3850000000002</v>
      </c>
      <c r="H23" s="9" t="s">
        <v>13</v>
      </c>
      <c r="I23" s="10">
        <f>F26</f>
        <v>15194.614999999998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2000</v>
      </c>
      <c r="H25" s="30" t="s">
        <v>52</v>
      </c>
      <c r="I25" s="70">
        <f>I23-I24</f>
        <v>6897.9483333333319</v>
      </c>
      <c r="J25" s="71">
        <f>(I23-I24)/I23*100%</f>
        <v>0.45397322231154474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15194.614999999998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0.31221540000000003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0.6077845999999999</v>
      </c>
      <c r="G28" s="73"/>
      <c r="H28" s="9" t="s">
        <v>57</v>
      </c>
      <c r="I28" s="10">
        <f>F26</f>
        <v>15194.614999999998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2.8242778810408917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2.168593958135109</v>
      </c>
    </row>
    <row r="31" spans="1:13" x14ac:dyDescent="0.35">
      <c r="H31" s="17" t="s">
        <v>60</v>
      </c>
      <c r="I31" s="80">
        <f>I28/F113</f>
        <v>1.8314120128565687</v>
      </c>
    </row>
    <row r="32" spans="1:13" x14ac:dyDescent="0.35">
      <c r="H32" s="17" t="s">
        <v>61</v>
      </c>
      <c r="I32" s="80">
        <f>I28/F87</f>
        <v>2.4827802287581697</v>
      </c>
    </row>
    <row r="33" spans="8:9" ht="15" thickBot="1" x14ac:dyDescent="0.4">
      <c r="H33" s="38" t="s">
        <v>62</v>
      </c>
      <c r="I33" s="81">
        <f>I28/F100</f>
        <v>1.2876792372881354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25000</v>
      </c>
    </row>
    <row r="37" spans="8:9" x14ac:dyDescent="0.35">
      <c r="H37" s="17" t="s">
        <v>58</v>
      </c>
      <c r="I37" s="80">
        <f>I36/F60</f>
        <v>3.125</v>
      </c>
    </row>
    <row r="38" spans="8:9" x14ac:dyDescent="0.35">
      <c r="H38" s="17" t="s">
        <v>59</v>
      </c>
      <c r="I38" s="80">
        <f>I36/F72</f>
        <v>2.0833333333333335</v>
      </c>
    </row>
    <row r="39" spans="8:9" x14ac:dyDescent="0.35">
      <c r="H39" s="17" t="s">
        <v>60</v>
      </c>
      <c r="I39" s="80">
        <f>I36/F111</f>
        <v>1.7857142857142858</v>
      </c>
    </row>
    <row r="40" spans="8:9" x14ac:dyDescent="0.35">
      <c r="H40" s="17" t="s">
        <v>61</v>
      </c>
      <c r="I40" s="80">
        <f>I36/F85</f>
        <v>2.5</v>
      </c>
    </row>
    <row r="41" spans="8:9" ht="15" thickBot="1" x14ac:dyDescent="0.4">
      <c r="H41" s="38" t="s">
        <v>62</v>
      </c>
      <c r="I41" s="81">
        <f>I36/F98</f>
        <v>1.25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v>1800</v>
      </c>
      <c r="C56" s="88" t="s">
        <v>12</v>
      </c>
      <c r="D56" s="193">
        <v>330</v>
      </c>
      <c r="E56" s="90">
        <f>B56/D56</f>
        <v>5.4545454545454541</v>
      </c>
      <c r="F56" s="91">
        <f>E56*D56</f>
        <v>1799.9999999999998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1799.9999999999998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180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1979.9999999999998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5380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0.24749999999999997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0.67249999999999999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704850</xdr:colOff>
                    <xdr:row>0</xdr:row>
                    <xdr:rowOff>171450</xdr:rowOff>
                  </from>
                  <to>
                    <xdr:col>7</xdr:col>
                    <xdr:colOff>2781300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">
    <tabColor theme="4" tint="-0.249977111117893"/>
  </sheetPr>
  <dimension ref="A2:M115"/>
  <sheetViews>
    <sheetView showGridLines="0" zoomScale="90" zoomScaleNormal="90" workbookViewId="0"/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421</v>
      </c>
    </row>
    <row r="3" spans="1:13" ht="15.5" x14ac:dyDescent="0.35">
      <c r="B3" s="216" t="s">
        <v>374</v>
      </c>
      <c r="C3" s="198" t="s">
        <v>422</v>
      </c>
    </row>
    <row r="4" spans="1:13" ht="15.5" x14ac:dyDescent="0.35">
      <c r="B4" s="216" t="s">
        <v>475</v>
      </c>
      <c r="C4" s="217" t="s">
        <v>499</v>
      </c>
    </row>
    <row r="5" spans="1:13" ht="15" customHeight="1" thickBot="1" x14ac:dyDescent="0.4"/>
    <row r="6" spans="1:13" ht="23.25" customHeight="1" thickBot="1" x14ac:dyDescent="0.4">
      <c r="A6" s="284" t="s">
        <v>0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335" t="s">
        <v>3</v>
      </c>
      <c r="B8" s="93" t="s">
        <v>4</v>
      </c>
      <c r="C8" s="93" t="s">
        <v>5</v>
      </c>
      <c r="D8" s="94" t="s">
        <v>6</v>
      </c>
      <c r="E8" s="93" t="s">
        <v>7</v>
      </c>
      <c r="F8" s="9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336"/>
      <c r="B9" s="12" t="s">
        <v>11</v>
      </c>
      <c r="C9" s="14">
        <v>750</v>
      </c>
      <c r="D9" s="96" t="s">
        <v>12</v>
      </c>
      <c r="E9" s="236">
        <v>90348</v>
      </c>
      <c r="F9" s="97">
        <f>Tabla13456810[[#This Row],[PRECIO]]/Tabla13456810[[#This Row],[CANTIDAD]]</f>
        <v>120.464</v>
      </c>
      <c r="H9" s="9" t="s">
        <v>13</v>
      </c>
      <c r="I9" s="10">
        <f>F26</f>
        <v>17660.996818181819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336"/>
      <c r="B10" s="12" t="s">
        <v>15</v>
      </c>
      <c r="C10" s="98">
        <v>330</v>
      </c>
      <c r="D10" s="14" t="s">
        <v>12</v>
      </c>
      <c r="E10" s="236">
        <v>3000</v>
      </c>
      <c r="F10" s="97">
        <f>Tabla13456810[[#This Row],[PRECIO]]/Tabla13456810[[#This Row],[CANTIDAD]]</f>
        <v>9.0909090909090917</v>
      </c>
      <c r="H10" s="17" t="s">
        <v>16</v>
      </c>
      <c r="I10" s="18">
        <f>F62</f>
        <v>5380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336"/>
      <c r="B11" s="12" t="s">
        <v>18</v>
      </c>
      <c r="C11" s="14">
        <v>1000</v>
      </c>
      <c r="D11" s="14" t="s">
        <v>12</v>
      </c>
      <c r="E11" s="236">
        <v>13600</v>
      </c>
      <c r="F11" s="97">
        <f>Tabla13456810[[#This Row],[PRECIO]]/Tabla13456810[[#This Row],[CANTIDAD]]</f>
        <v>13.6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336"/>
      <c r="B12" s="21" t="s">
        <v>21</v>
      </c>
      <c r="C12" s="22">
        <v>1000</v>
      </c>
      <c r="D12" s="22" t="s">
        <v>22</v>
      </c>
      <c r="E12" s="237">
        <v>3500</v>
      </c>
      <c r="F12" s="99">
        <f>Tabla13456810[[#This Row],[PRECIO]]/Tabla13456810[[#This Row],[CANTIDAD]]</f>
        <v>3.5</v>
      </c>
      <c r="H12" s="25" t="s">
        <v>23</v>
      </c>
      <c r="I12" s="26">
        <f>I9-I10</f>
        <v>12280.996818181819</v>
      </c>
      <c r="J12" s="27">
        <f>(I9-I10)/I10*100%</f>
        <v>2.2827131632308211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337"/>
      <c r="B13" s="100" t="s">
        <v>25</v>
      </c>
      <c r="C13" s="101">
        <v>500</v>
      </c>
      <c r="D13" s="101" t="s">
        <v>22</v>
      </c>
      <c r="E13" s="238">
        <v>3500</v>
      </c>
      <c r="F13" s="102">
        <f>Tabla13456810[[#This Row],[PRECIO]]/Tabla13456810[[#This Row],[CANTIDAD]]</f>
        <v>7</v>
      </c>
      <c r="H13" s="30" t="s">
        <v>26</v>
      </c>
      <c r="I13" s="31">
        <f>I9-I11</f>
        <v>10654.330151515151</v>
      </c>
      <c r="J13" s="32">
        <f>(I9-I11)/I11*100%</f>
        <v>1.5205989750021622</v>
      </c>
      <c r="L13" s="17" t="s">
        <v>27</v>
      </c>
      <c r="M13" s="19">
        <f>D17+D18+D16+D19+30</f>
        <v>260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6.4516129032258063E-2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6" thickBot="1" x14ac:dyDescent="0.4">
      <c r="A16" s="296"/>
      <c r="B16" s="44" t="str">
        <f>B9</f>
        <v>OLD PARR 12</v>
      </c>
      <c r="C16" s="45" t="str">
        <f>D9</f>
        <v>ML</v>
      </c>
      <c r="D16" s="189">
        <v>50</v>
      </c>
      <c r="E16" s="45">
        <f>VLOOKUP(B16,Tabla13456810[],5,FALSE)</f>
        <v>120.464</v>
      </c>
      <c r="F16" s="47">
        <f>E16*D16</f>
        <v>6023.2</v>
      </c>
      <c r="H16" s="48" t="s">
        <v>13</v>
      </c>
      <c r="I16" s="49">
        <f>F26</f>
        <v>17660.996818181819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CERVEZA DORADA</v>
      </c>
      <c r="C17" s="51" t="str">
        <f>D10</f>
        <v>ML</v>
      </c>
      <c r="D17" s="190">
        <v>150</v>
      </c>
      <c r="E17" s="51">
        <f>VLOOKUP(B17,Tabla13456810[],5,FALSE)</f>
        <v>9.0909090909090917</v>
      </c>
      <c r="F17" s="53">
        <f>E17*D17</f>
        <v>1363.6363636363637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ZUMO LIMÓN</v>
      </c>
      <c r="C18" s="51" t="str">
        <f>D11</f>
        <v>ML</v>
      </c>
      <c r="D18" s="190">
        <v>15</v>
      </c>
      <c r="E18" s="51">
        <f>VLOOKUP(B18,Tabla13456810[],5,FALSE)</f>
        <v>13.6</v>
      </c>
      <c r="F18" s="53">
        <f>E18*D18</f>
        <v>204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 t="str">
        <f>B12</f>
        <v>AZÚCAR (ALMÍBAR 50/50)</v>
      </c>
      <c r="C19" s="55" t="s">
        <v>12</v>
      </c>
      <c r="D19" s="234">
        <v>15</v>
      </c>
      <c r="E19" s="55">
        <f>VLOOKUP(B19,Tabla13456810[],5,FALSE)</f>
        <v>3.5</v>
      </c>
      <c r="F19" s="57">
        <f>E19*D19</f>
        <v>52.5</v>
      </c>
      <c r="H19" s="58" t="s">
        <v>40</v>
      </c>
      <c r="I19" s="26">
        <f>I16-I17</f>
        <v>11540.996818181819</v>
      </c>
      <c r="J19" s="27">
        <f>(I16-I17)/I17*100%</f>
        <v>1.8857837938205586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 t="str">
        <f>B13</f>
        <v>LIMON TAHITÍ</v>
      </c>
      <c r="C20" s="60" t="s">
        <v>22</v>
      </c>
      <c r="D20" s="235">
        <v>10</v>
      </c>
      <c r="E20" s="60">
        <f>VLOOKUP(B20,Tabla13456810[],5,FALSE)</f>
        <v>7</v>
      </c>
      <c r="F20" s="62">
        <f>E20*D20</f>
        <v>70</v>
      </c>
      <c r="H20" s="63" t="s">
        <v>41</v>
      </c>
      <c r="I20" s="31">
        <f>I16-I18</f>
        <v>5860.9968181818185</v>
      </c>
      <c r="J20" s="32">
        <f>(I16-I18)/I18*100%</f>
        <v>0.49669464560862869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7713.3363636363638</v>
      </c>
    </row>
    <row r="22" spans="1:13" ht="16.5" customHeight="1" thickBot="1" x14ac:dyDescent="0.4">
      <c r="A22" s="296"/>
      <c r="B22" s="304" t="s">
        <v>45</v>
      </c>
      <c r="C22" s="305"/>
      <c r="D22" s="310" t="s">
        <v>46</v>
      </c>
      <c r="E22" s="311"/>
      <c r="F22" s="66">
        <f>F21*5%</f>
        <v>385.6668181818182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8099.0031818181824</v>
      </c>
      <c r="H23" s="9" t="s">
        <v>13</v>
      </c>
      <c r="I23" s="10">
        <f>F26</f>
        <v>17660.996818181819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28000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2240</v>
      </c>
      <c r="H25" s="30" t="s">
        <v>52</v>
      </c>
      <c r="I25" s="70">
        <f>I23-I24</f>
        <v>9364.3301515151525</v>
      </c>
      <c r="J25" s="71">
        <f>(I23-I24)/I23*100%</f>
        <v>0.53022659184642784</v>
      </c>
    </row>
    <row r="26" spans="1:13" ht="15.75" customHeight="1" thickBot="1" x14ac:dyDescent="0.4">
      <c r="A26" s="296"/>
      <c r="B26" s="306"/>
      <c r="C26" s="307"/>
      <c r="D26" s="342" t="s">
        <v>53</v>
      </c>
      <c r="E26" s="343"/>
      <c r="F26" s="67">
        <f>F24-F23-F25</f>
        <v>17660.996818181819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0.28925011363636366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0.63074988636363638</v>
      </c>
      <c r="G28" s="73"/>
      <c r="H28" s="9" t="s">
        <v>57</v>
      </c>
      <c r="I28" s="10">
        <f>F26</f>
        <v>17660.996818181819</v>
      </c>
    </row>
    <row r="29" spans="1:13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3.2827131632308211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2.5205989750021622</v>
      </c>
    </row>
    <row r="31" spans="1:13" x14ac:dyDescent="0.35">
      <c r="H31" s="17" t="s">
        <v>60</v>
      </c>
      <c r="I31" s="80">
        <f>I28/F113</f>
        <v>2.1286858358596006</v>
      </c>
    </row>
    <row r="32" spans="1:13" x14ac:dyDescent="0.35">
      <c r="H32" s="17" t="s">
        <v>61</v>
      </c>
      <c r="I32" s="80">
        <f>I28/F87</f>
        <v>2.8857837938205586</v>
      </c>
    </row>
    <row r="33" spans="8:9" ht="15" thickBot="1" x14ac:dyDescent="0.4">
      <c r="H33" s="38" t="s">
        <v>62</v>
      </c>
      <c r="I33" s="81">
        <f>I28/F100</f>
        <v>1.4966946456086287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28000</v>
      </c>
    </row>
    <row r="37" spans="8:9" x14ac:dyDescent="0.35">
      <c r="H37" s="17" t="s">
        <v>58</v>
      </c>
      <c r="I37" s="80">
        <f>I36/F60</f>
        <v>3.5</v>
      </c>
    </row>
    <row r="38" spans="8:9" x14ac:dyDescent="0.35">
      <c r="H38" s="17" t="s">
        <v>59</v>
      </c>
      <c r="I38" s="80">
        <f>I36/F72</f>
        <v>2.3333333333333335</v>
      </c>
    </row>
    <row r="39" spans="8:9" x14ac:dyDescent="0.35">
      <c r="H39" s="17" t="s">
        <v>60</v>
      </c>
      <c r="I39" s="80">
        <f>I36/F111</f>
        <v>2</v>
      </c>
    </row>
    <row r="40" spans="8:9" x14ac:dyDescent="0.35">
      <c r="H40" s="17" t="s">
        <v>61</v>
      </c>
      <c r="I40" s="80">
        <f>I36/F85</f>
        <v>2.8</v>
      </c>
    </row>
    <row r="41" spans="8:9" ht="15" thickBot="1" x14ac:dyDescent="0.4">
      <c r="H41" s="38" t="s">
        <v>62</v>
      </c>
      <c r="I41" s="81">
        <f>I36/F98</f>
        <v>1.4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v>1800</v>
      </c>
      <c r="C56" s="88" t="s">
        <v>12</v>
      </c>
      <c r="D56" s="193">
        <v>330</v>
      </c>
      <c r="E56" s="90">
        <f>B56/D56</f>
        <v>5.4545454545454541</v>
      </c>
      <c r="F56" s="91">
        <f>E56*D56</f>
        <v>1799.9999999999998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1799.9999999999998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180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1979.9999999999998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5380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0.24749999999999997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0.67249999999999999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LcND5ycrOa8DtQpiYWyqHXFbEB9+pLgFORVC75pYjf0dWAGMslvSGjCGe79GbDa+fUbmapYjnWIyO3HbZwf8aw==" saltValue="CrATaREkfQqpgzPV6ijX4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C10 D16:D20 F24" name="FINAL"/>
    <protectedRange sqref="E9:E13 C10 D16:D20 F24" name="EDITABLES FINAL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704850</xdr:colOff>
                    <xdr:row>0</xdr:row>
                    <xdr:rowOff>184150</xdr:rowOff>
                  </from>
                  <to>
                    <xdr:col>7</xdr:col>
                    <xdr:colOff>2794000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55">
    <tabColor rgb="FF009900"/>
  </sheetPr>
  <dimension ref="A2:M115"/>
  <sheetViews>
    <sheetView showGridLines="0" zoomScale="90" zoomScaleNormal="90" workbookViewId="0">
      <selection activeCell="D16" sqref="D16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421</v>
      </c>
    </row>
    <row r="3" spans="1:13" ht="15.5" x14ac:dyDescent="0.35">
      <c r="B3" s="216" t="s">
        <v>374</v>
      </c>
      <c r="C3" s="198" t="s">
        <v>422</v>
      </c>
    </row>
    <row r="4" spans="1:13" ht="15.5" x14ac:dyDescent="0.35">
      <c r="B4" s="216" t="s">
        <v>475</v>
      </c>
      <c r="C4" s="217" t="s">
        <v>502</v>
      </c>
    </row>
    <row r="5" spans="1:13" ht="15" customHeight="1" thickBot="1" x14ac:dyDescent="0.4"/>
    <row r="6" spans="1:13" ht="23.25" customHeight="1" thickBot="1" x14ac:dyDescent="0.4">
      <c r="A6" s="284" t="s">
        <v>0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335" t="s">
        <v>3</v>
      </c>
      <c r="B8" s="93" t="s">
        <v>4</v>
      </c>
      <c r="C8" s="93" t="s">
        <v>5</v>
      </c>
      <c r="D8" s="94" t="s">
        <v>6</v>
      </c>
      <c r="E8" s="93" t="s">
        <v>7</v>
      </c>
      <c r="F8" s="9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336"/>
      <c r="B9" s="12" t="s">
        <v>11</v>
      </c>
      <c r="C9" s="14">
        <v>750</v>
      </c>
      <c r="D9" s="96" t="s">
        <v>12</v>
      </c>
      <c r="E9" s="236">
        <v>90348</v>
      </c>
      <c r="F9" s="97">
        <f>Tabla134568101416[[#This Row],[PRECIO]]/Tabla134568101416[[#This Row],[CANTIDAD]]</f>
        <v>120.464</v>
      </c>
      <c r="H9" s="9" t="s">
        <v>13</v>
      </c>
      <c r="I9" s="10">
        <f>F26</f>
        <v>98334.6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336"/>
      <c r="B10" s="12"/>
      <c r="C10" s="14"/>
      <c r="D10" s="14"/>
      <c r="E10" s="236"/>
      <c r="F10" s="97"/>
      <c r="H10" s="17" t="s">
        <v>16</v>
      </c>
      <c r="I10" s="18">
        <f>F62</f>
        <v>5380</v>
      </c>
      <c r="J10" s="292"/>
      <c r="L10" s="17" t="s">
        <v>17</v>
      </c>
      <c r="M10" s="19">
        <f>D16/1000</f>
        <v>0.75</v>
      </c>
    </row>
    <row r="11" spans="1:13" ht="15" customHeight="1" thickBot="1" x14ac:dyDescent="0.4">
      <c r="A11" s="336"/>
      <c r="B11" s="12"/>
      <c r="C11" s="14"/>
      <c r="D11" s="14"/>
      <c r="E11" s="236"/>
      <c r="F11" s="97"/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336"/>
      <c r="B12" s="21"/>
      <c r="C12" s="22"/>
      <c r="D12" s="22"/>
      <c r="E12" s="237"/>
      <c r="F12" s="99"/>
      <c r="H12" s="25" t="s">
        <v>23</v>
      </c>
      <c r="I12" s="26">
        <f>I9-I10</f>
        <v>92954.6</v>
      </c>
      <c r="J12" s="27">
        <f>(I9-I10)/I10*100%</f>
        <v>17.277806691449815</v>
      </c>
      <c r="L12" s="17" t="s">
        <v>24</v>
      </c>
      <c r="M12" s="28">
        <f>M9*M10*M11</f>
        <v>234.60000000000002</v>
      </c>
    </row>
    <row r="13" spans="1:13" ht="15.75" customHeight="1" thickBot="1" x14ac:dyDescent="0.4">
      <c r="A13" s="337"/>
      <c r="B13" s="100"/>
      <c r="C13" s="101"/>
      <c r="D13" s="101"/>
      <c r="E13" s="238"/>
      <c r="F13" s="102"/>
      <c r="H13" s="30" t="s">
        <v>26</v>
      </c>
      <c r="I13" s="31">
        <f>I9-I11</f>
        <v>91327.933333333334</v>
      </c>
      <c r="J13" s="32">
        <f>(I9-I11)/I11*100%</f>
        <v>13.034433872502378</v>
      </c>
      <c r="L13" s="17" t="s">
        <v>27</v>
      </c>
      <c r="M13" s="19">
        <f>D17+D18+D16+D19+30</f>
        <v>780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0.19607843137254902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52" t="s">
        <v>34</v>
      </c>
      <c r="I15" s="353"/>
    </row>
    <row r="16" spans="1:13" ht="16" thickBot="1" x14ac:dyDescent="0.4">
      <c r="A16" s="296"/>
      <c r="B16" s="44" t="str">
        <f>B9</f>
        <v>OLD PARR 12</v>
      </c>
      <c r="C16" s="45" t="str">
        <f>D9</f>
        <v>ML</v>
      </c>
      <c r="D16" s="189">
        <v>750</v>
      </c>
      <c r="E16" s="45">
        <f>VLOOKUP(B16,Tabla134568101416[],5,FALSE)</f>
        <v>120.464</v>
      </c>
      <c r="F16" s="47">
        <f>E16*D16</f>
        <v>90348</v>
      </c>
      <c r="H16" s="48" t="s">
        <v>13</v>
      </c>
      <c r="I16" s="49">
        <f>F26</f>
        <v>98334.6</v>
      </c>
      <c r="L16" s="290" t="s">
        <v>35</v>
      </c>
      <c r="M16" s="291"/>
    </row>
    <row r="17" spans="1:13" ht="15" customHeight="1" x14ac:dyDescent="0.35">
      <c r="A17" s="296"/>
      <c r="B17" s="50"/>
      <c r="C17" s="51"/>
      <c r="D17" s="190"/>
      <c r="E17" s="51"/>
      <c r="F17" s="53"/>
      <c r="H17" s="17" t="s">
        <v>36</v>
      </c>
      <c r="I17" s="18">
        <f>F87</f>
        <v>35100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/>
      <c r="C18" s="51"/>
      <c r="D18" s="190"/>
      <c r="E18" s="51"/>
      <c r="F18" s="53"/>
      <c r="H18" s="17" t="s">
        <v>38</v>
      </c>
      <c r="I18" s="18">
        <f>F100</f>
        <v>55500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/>
      <c r="C19" s="55"/>
      <c r="D19" s="234"/>
      <c r="E19" s="55"/>
      <c r="F19" s="57"/>
      <c r="H19" s="58" t="s">
        <v>40</v>
      </c>
      <c r="I19" s="26">
        <f>I16-I17</f>
        <v>63234.600000000006</v>
      </c>
      <c r="J19" s="27">
        <f>(I16-I17)/I17*100%</f>
        <v>1.8015555555555558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5"/>
      <c r="E20" s="60"/>
      <c r="F20" s="62"/>
      <c r="H20" s="63" t="s">
        <v>41</v>
      </c>
      <c r="I20" s="31">
        <f>I16-I18</f>
        <v>42834.600000000006</v>
      </c>
      <c r="J20" s="32">
        <f>(I16-I18)/I18*100%</f>
        <v>0.77179459459459465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90348</v>
      </c>
    </row>
    <row r="22" spans="1:13" ht="16.5" customHeight="1" thickBot="1" x14ac:dyDescent="0.4">
      <c r="A22" s="296"/>
      <c r="B22" s="304"/>
      <c r="C22" s="305"/>
      <c r="D22" s="310" t="s">
        <v>46</v>
      </c>
      <c r="E22" s="311"/>
      <c r="F22" s="66">
        <f>F21*5%</f>
        <v>4517.4000000000005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94865.4</v>
      </c>
      <c r="H23" s="9" t="s">
        <v>13</v>
      </c>
      <c r="I23" s="10">
        <f>F26</f>
        <v>98334.6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210000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16800</v>
      </c>
      <c r="H25" s="30" t="s">
        <v>52</v>
      </c>
      <c r="I25" s="70">
        <f>I23-I24</f>
        <v>90037.933333333334</v>
      </c>
      <c r="J25" s="71">
        <f>(I23-I24)/I23*100%</f>
        <v>0.91562820546718382</v>
      </c>
    </row>
    <row r="26" spans="1:13" ht="15.75" customHeight="1" thickBot="1" x14ac:dyDescent="0.4">
      <c r="A26" s="296"/>
      <c r="B26" s="306"/>
      <c r="C26" s="307"/>
      <c r="D26" s="342" t="s">
        <v>53</v>
      </c>
      <c r="E26" s="343"/>
      <c r="F26" s="67">
        <f>F24-F23-F25</f>
        <v>98334.6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0.45173999999999997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0.46826000000000001</v>
      </c>
      <c r="G28" s="73"/>
      <c r="H28" s="9" t="s">
        <v>57</v>
      </c>
      <c r="I28" s="10">
        <f>F26</f>
        <v>98334.6</v>
      </c>
    </row>
    <row r="29" spans="1:13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18.277806691449815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14.03443387250238</v>
      </c>
    </row>
    <row r="31" spans="1:13" x14ac:dyDescent="0.35">
      <c r="H31" s="17" t="s">
        <v>60</v>
      </c>
      <c r="I31" s="80">
        <f>I28/F113</f>
        <v>11.852302129369226</v>
      </c>
    </row>
    <row r="32" spans="1:13" x14ac:dyDescent="0.35">
      <c r="H32" s="17" t="s">
        <v>61</v>
      </c>
      <c r="I32" s="80">
        <f>I28/F87</f>
        <v>2.8015555555555558</v>
      </c>
    </row>
    <row r="33" spans="8:9" ht="15" thickBot="1" x14ac:dyDescent="0.4">
      <c r="H33" s="38" t="s">
        <v>62</v>
      </c>
      <c r="I33" s="81">
        <f>I28/F100</f>
        <v>1.7717945945945948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210000</v>
      </c>
    </row>
    <row r="37" spans="8:9" x14ac:dyDescent="0.35">
      <c r="H37" s="17" t="s">
        <v>58</v>
      </c>
      <c r="I37" s="80">
        <f>I36/F60</f>
        <v>26.25</v>
      </c>
    </row>
    <row r="38" spans="8:9" x14ac:dyDescent="0.35">
      <c r="H38" s="17" t="s">
        <v>59</v>
      </c>
      <c r="I38" s="80">
        <f>I36/F72</f>
        <v>17.5</v>
      </c>
    </row>
    <row r="39" spans="8:9" x14ac:dyDescent="0.35">
      <c r="H39" s="17" t="s">
        <v>60</v>
      </c>
      <c r="I39" s="80">
        <f>I36/F111</f>
        <v>15</v>
      </c>
    </row>
    <row r="40" spans="8:9" x14ac:dyDescent="0.35">
      <c r="H40" s="17" t="s">
        <v>61</v>
      </c>
      <c r="I40" s="80">
        <f>I36/F85</f>
        <v>2.625</v>
      </c>
    </row>
    <row r="41" spans="8:9" ht="15" thickBot="1" x14ac:dyDescent="0.4">
      <c r="H41" s="38" t="s">
        <v>62</v>
      </c>
      <c r="I41" s="81">
        <f>I36/F98</f>
        <v>1.4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v>1800</v>
      </c>
      <c r="C56" s="88" t="s">
        <v>12</v>
      </c>
      <c r="D56" s="193">
        <v>330</v>
      </c>
      <c r="E56" s="90">
        <f>B56/D56</f>
        <v>5.4545454545454541</v>
      </c>
      <c r="F56" s="91">
        <f>E56*D56</f>
        <v>1799.9999999999998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1799.9999999999998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180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1979.9999999999998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5380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0.24749999999999997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0.67249999999999999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750</v>
      </c>
      <c r="E81" s="90">
        <f>B81/750</f>
        <v>46.666666666666664</v>
      </c>
      <c r="F81" s="91">
        <f>E81*D81</f>
        <v>35000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35000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3500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38500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80000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6400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35100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0.48125000000000001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0.43874999999999997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750</v>
      </c>
      <c r="E94" s="90">
        <f>B94/750</f>
        <v>100</v>
      </c>
      <c r="F94" s="91">
        <f>E94*D94</f>
        <v>75000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75000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7500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82500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150000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12000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55500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0.55000000000000004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0.37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gv7/vAYiBKto7dQ1Ncg1zLqruB6uiFpqPWIfOfU5Hn+BggZaVKcvBA/6cwnlr40IU+vgNdU7mqmRQ3GJA/oDvw==" saltValue="X+AJkXl01wT3KFJHUgQl0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C10 D16:D20 F24" name="FINAL"/>
    <protectedRange sqref="E9:E13 C10 D16:D20 F24" name="EDITABLES FINAL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7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717550</xdr:colOff>
                    <xdr:row>1</xdr:row>
                    <xdr:rowOff>0</xdr:rowOff>
                  </from>
                  <to>
                    <xdr:col>7</xdr:col>
                    <xdr:colOff>2800350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44">
    <tabColor theme="7" tint="0.39997558519241921"/>
  </sheetPr>
  <dimension ref="A2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426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500</v>
      </c>
    </row>
    <row r="5" spans="1:13" ht="15" customHeight="1" thickBot="1" x14ac:dyDescent="0.4"/>
    <row r="6" spans="1:13" ht="23.25" customHeight="1" thickBot="1" x14ac:dyDescent="0.4">
      <c r="A6" s="284" t="s">
        <v>162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161</v>
      </c>
      <c r="C9" s="14">
        <v>750</v>
      </c>
      <c r="D9" s="96" t="s">
        <v>12</v>
      </c>
      <c r="E9" s="186">
        <v>189392</v>
      </c>
      <c r="F9" s="115">
        <f>Tabla1345681091113923252627293031323334[[#This Row],[PRECIO]]/Tabla1345681091113923252627293031323334[[#This Row],[CANTIDAD]]</f>
        <v>252.52266666666668</v>
      </c>
      <c r="H9" s="9" t="s">
        <v>13</v>
      </c>
      <c r="I9" s="10">
        <f>F26</f>
        <v>25491.072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/>
      <c r="C10" s="13"/>
      <c r="D10" s="14"/>
      <c r="E10" s="186"/>
      <c r="F10" s="115"/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0.06</v>
      </c>
    </row>
    <row r="11" spans="1:13" ht="15" customHeight="1" thickBot="1" x14ac:dyDescent="0.4">
      <c r="A11" s="288"/>
      <c r="B11" s="12"/>
      <c r="C11" s="14"/>
      <c r="D11" s="14"/>
      <c r="E11" s="186"/>
      <c r="F11" s="115"/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187"/>
      <c r="F12" s="115"/>
      <c r="H12" s="25" t="s">
        <v>23</v>
      </c>
      <c r="I12" s="26">
        <f>I9-I10</f>
        <v>20514.405333333332</v>
      </c>
      <c r="J12" s="27">
        <f>(I9-I10)/I10*100%</f>
        <v>4.1221176155391825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289"/>
      <c r="B13" s="29"/>
      <c r="C13" s="22"/>
      <c r="D13" s="22"/>
      <c r="E13" s="188"/>
      <c r="F13" s="115"/>
      <c r="H13" s="30" t="s">
        <v>26</v>
      </c>
      <c r="I13" s="31">
        <f>I9-I11</f>
        <v>18484.405333333332</v>
      </c>
      <c r="J13" s="32">
        <f>(I9-I11)/I11*100%</f>
        <v>2.6381168411037104</v>
      </c>
      <c r="L13" s="17" t="s">
        <v>27</v>
      </c>
      <c r="M13" s="19">
        <f>D17+D18+D16+D19+30</f>
        <v>90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0.16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OLD PARR 18</v>
      </c>
      <c r="C16" s="45" t="str">
        <f>D9</f>
        <v>ML</v>
      </c>
      <c r="D16" s="189">
        <v>60</v>
      </c>
      <c r="E16" s="45">
        <f>VLOOKUP(B16,Tabla1345681091113923252627293031323334[],5,FALSE)</f>
        <v>252.52266666666668</v>
      </c>
      <c r="F16" s="47">
        <f>E16*D16</f>
        <v>15151.36</v>
      </c>
      <c r="H16" s="48" t="s">
        <v>13</v>
      </c>
      <c r="I16" s="49">
        <f>F26</f>
        <v>25491.072</v>
      </c>
      <c r="L16" s="290" t="s">
        <v>35</v>
      </c>
      <c r="M16" s="291"/>
    </row>
    <row r="17" spans="1:13" ht="15" customHeight="1" x14ac:dyDescent="0.35">
      <c r="A17" s="296"/>
      <c r="B17" s="50"/>
      <c r="C17" s="51"/>
      <c r="D17" s="190"/>
      <c r="E17" s="51"/>
      <c r="F17" s="53"/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/>
      <c r="C18" s="51"/>
      <c r="D18" s="19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/>
      <c r="C19" s="51"/>
      <c r="D19" s="190"/>
      <c r="E19" s="51"/>
      <c r="F19" s="53"/>
      <c r="H19" s="58" t="s">
        <v>40</v>
      </c>
      <c r="I19" s="26">
        <f>I16-I17</f>
        <v>19371.072</v>
      </c>
      <c r="J19" s="27">
        <f>(I16-I17)/I17*100%</f>
        <v>3.1652078431372548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/>
      <c r="C20" s="51"/>
      <c r="D20" s="190"/>
      <c r="E20" s="51"/>
      <c r="F20" s="53"/>
      <c r="H20" s="63" t="s">
        <v>41</v>
      </c>
      <c r="I20" s="31">
        <f>I16-I18</f>
        <v>13691.072</v>
      </c>
      <c r="J20" s="32">
        <f>(I16-I18)/I18*100%</f>
        <v>1.1602603389830508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15151.36</v>
      </c>
    </row>
    <row r="22" spans="1:13" ht="16.5" customHeight="1" thickBot="1" x14ac:dyDescent="0.4">
      <c r="A22" s="296"/>
      <c r="B22" s="304" t="s">
        <v>209</v>
      </c>
      <c r="C22" s="305"/>
      <c r="D22" s="310" t="s">
        <v>46</v>
      </c>
      <c r="E22" s="311"/>
      <c r="F22" s="66">
        <f>F21*5%</f>
        <v>757.5680000000001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15908.928</v>
      </c>
      <c r="H23" s="9" t="s">
        <v>13</v>
      </c>
      <c r="I23" s="10">
        <f>F26</f>
        <v>25491.072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45000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3600</v>
      </c>
      <c r="H25" s="30" t="s">
        <v>52</v>
      </c>
      <c r="I25" s="70">
        <f>I23-I24</f>
        <v>17194.405333333336</v>
      </c>
      <c r="J25" s="71">
        <f>(I23-I24)/I23*100%</f>
        <v>0.67452656888393459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25491.072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0.35353173333333332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0.56646826666666672</v>
      </c>
      <c r="G28" s="73"/>
      <c r="H28" s="9" t="s">
        <v>57</v>
      </c>
      <c r="I28" s="10">
        <f>F26</f>
        <v>25491.072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5.1221176155391825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3.6381168411037108</v>
      </c>
    </row>
    <row r="31" spans="1:13" x14ac:dyDescent="0.35">
      <c r="H31" s="17" t="s">
        <v>60</v>
      </c>
      <c r="I31" s="80">
        <f>I28/F113</f>
        <v>3.0724474085978306</v>
      </c>
    </row>
    <row r="32" spans="1:13" x14ac:dyDescent="0.35">
      <c r="H32" s="17" t="s">
        <v>61</v>
      </c>
      <c r="I32" s="80">
        <f>I28/F87</f>
        <v>4.1652078431372548</v>
      </c>
    </row>
    <row r="33" spans="8:9" ht="15" thickBot="1" x14ac:dyDescent="0.4">
      <c r="H33" s="38" t="s">
        <v>62</v>
      </c>
      <c r="I33" s="81">
        <f>I28/F100</f>
        <v>2.160260338983051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45000</v>
      </c>
    </row>
    <row r="37" spans="8:9" x14ac:dyDescent="0.35">
      <c r="H37" s="17" t="s">
        <v>58</v>
      </c>
      <c r="I37" s="80">
        <f>I36/F60</f>
        <v>5.625</v>
      </c>
    </row>
    <row r="38" spans="8:9" x14ac:dyDescent="0.35">
      <c r="H38" s="17" t="s">
        <v>59</v>
      </c>
      <c r="I38" s="80">
        <f>I36/F72</f>
        <v>3.75</v>
      </c>
    </row>
    <row r="39" spans="8:9" x14ac:dyDescent="0.35">
      <c r="H39" s="17" t="s">
        <v>60</v>
      </c>
      <c r="I39" s="80">
        <f>I36/F111</f>
        <v>3.2142857142857144</v>
      </c>
    </row>
    <row r="40" spans="8:9" x14ac:dyDescent="0.35">
      <c r="H40" s="17" t="s">
        <v>61</v>
      </c>
      <c r="I40" s="80">
        <f>I36/F85</f>
        <v>4.5</v>
      </c>
    </row>
    <row r="41" spans="8:9" ht="15" thickBot="1" x14ac:dyDescent="0.4">
      <c r="H41" s="38" t="s">
        <v>62</v>
      </c>
      <c r="I41" s="81">
        <f>I36/F98</f>
        <v>2.25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3ReKLtectP3b5eBZ6bmWlqtd/GwvN5nfOcHMDaTWBXj+t+WQzO9xe1k3IfbtJLSYzVqorFDCIVn7ZvDBbawJhw==" saltValue="nqyaL9HQPqGB0snpWuP0u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1085850</xdr:colOff>
                    <xdr:row>1</xdr:row>
                    <xdr:rowOff>12700</xdr:rowOff>
                  </from>
                  <to>
                    <xdr:col>7</xdr:col>
                    <xdr:colOff>3175000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56">
    <tabColor rgb="FF009900"/>
  </sheetPr>
  <dimension ref="A2:M115"/>
  <sheetViews>
    <sheetView showGridLines="0" zoomScale="90" zoomScaleNormal="90" workbookViewId="0">
      <selection activeCell="B29" sqref="B29"/>
    </sheetView>
  </sheetViews>
  <sheetFormatPr baseColWidth="10" defaultColWidth="11.36328125" defaultRowHeight="14.5" x14ac:dyDescent="0.35"/>
  <cols>
    <col min="1" max="1" width="20.26953125" bestFit="1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426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502</v>
      </c>
    </row>
    <row r="5" spans="1:13" ht="15" customHeight="1" thickBot="1" x14ac:dyDescent="0.4"/>
    <row r="6" spans="1:13" ht="23.25" customHeight="1" thickBot="1" x14ac:dyDescent="0.4">
      <c r="A6" s="284" t="s">
        <v>162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161</v>
      </c>
      <c r="C9" s="14">
        <v>750</v>
      </c>
      <c r="D9" s="96" t="s">
        <v>12</v>
      </c>
      <c r="E9" s="186">
        <v>189392</v>
      </c>
      <c r="F9" s="115">
        <f>Tabla134568109111392325262729303132333417[[#This Row],[PRECIO]]/Tabla134568109111392325262729303132333417[[#This Row],[CANTIDAD]]</f>
        <v>252.52266666666668</v>
      </c>
      <c r="H9" s="9" t="s">
        <v>13</v>
      </c>
      <c r="I9" s="10">
        <f>F26</f>
        <v>159938.4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/>
      <c r="C10" s="13"/>
      <c r="D10" s="14"/>
      <c r="E10" s="186"/>
      <c r="F10" s="115"/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0.75</v>
      </c>
    </row>
    <row r="11" spans="1:13" ht="15" customHeight="1" thickBot="1" x14ac:dyDescent="0.4">
      <c r="A11" s="288"/>
      <c r="B11" s="12"/>
      <c r="C11" s="14"/>
      <c r="D11" s="14"/>
      <c r="E11" s="186"/>
      <c r="F11" s="115"/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187"/>
      <c r="F12" s="115"/>
      <c r="H12" s="25" t="s">
        <v>23</v>
      </c>
      <c r="I12" s="26">
        <f>I9-I10</f>
        <v>154961.73333333334</v>
      </c>
      <c r="J12" s="27">
        <f>(I9-I10)/I10*100%</f>
        <v>31.137655726724713</v>
      </c>
      <c r="L12" s="17" t="s">
        <v>24</v>
      </c>
      <c r="M12" s="28">
        <f>M9*M10*M11</f>
        <v>234.60000000000002</v>
      </c>
    </row>
    <row r="13" spans="1:13" ht="15.75" customHeight="1" thickBot="1" x14ac:dyDescent="0.4">
      <c r="A13" s="289"/>
      <c r="B13" s="29"/>
      <c r="C13" s="22"/>
      <c r="D13" s="22"/>
      <c r="E13" s="188"/>
      <c r="F13" s="115"/>
      <c r="H13" s="30" t="s">
        <v>26</v>
      </c>
      <c r="I13" s="31">
        <f>I9-I11</f>
        <v>152931.73333333334</v>
      </c>
      <c r="J13" s="32">
        <f>(I9-I11)/I11*100%</f>
        <v>21.826603235014272</v>
      </c>
      <c r="L13" s="17" t="s">
        <v>27</v>
      </c>
      <c r="M13" s="19">
        <f>D17+D18+D16+D19+30</f>
        <v>780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0.19607843137254902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52" t="s">
        <v>34</v>
      </c>
      <c r="I15" s="353"/>
    </row>
    <row r="16" spans="1:13" ht="15" customHeight="1" thickBot="1" x14ac:dyDescent="0.4">
      <c r="A16" s="296"/>
      <c r="B16" s="44" t="str">
        <f>B9</f>
        <v>OLD PARR 18</v>
      </c>
      <c r="C16" s="45" t="str">
        <f>D9</f>
        <v>ML</v>
      </c>
      <c r="D16" s="189">
        <v>750</v>
      </c>
      <c r="E16" s="45">
        <f>VLOOKUP(B16,Tabla134568109111392325262729303132333417[],5,FALSE)</f>
        <v>252.52266666666668</v>
      </c>
      <c r="F16" s="47">
        <f>E16*D16</f>
        <v>189392</v>
      </c>
      <c r="H16" s="48" t="s">
        <v>13</v>
      </c>
      <c r="I16" s="49">
        <f>F26</f>
        <v>159938.4</v>
      </c>
      <c r="L16" s="290" t="s">
        <v>35</v>
      </c>
      <c r="M16" s="291"/>
    </row>
    <row r="17" spans="1:13" ht="15" customHeight="1" x14ac:dyDescent="0.35">
      <c r="A17" s="296"/>
      <c r="B17" s="50"/>
      <c r="C17" s="51"/>
      <c r="D17" s="190"/>
      <c r="E17" s="51"/>
      <c r="F17" s="53"/>
      <c r="H17" s="17" t="s">
        <v>36</v>
      </c>
      <c r="I17" s="18">
        <f>F87</f>
        <v>35100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/>
      <c r="C18" s="51"/>
      <c r="D18" s="190"/>
      <c r="E18" s="51"/>
      <c r="F18" s="53"/>
      <c r="H18" s="17" t="s">
        <v>38</v>
      </c>
      <c r="I18" s="18">
        <f>F100</f>
        <v>111000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/>
      <c r="C19" s="51"/>
      <c r="D19" s="190"/>
      <c r="E19" s="51"/>
      <c r="F19" s="53"/>
      <c r="H19" s="58" t="s">
        <v>40</v>
      </c>
      <c r="I19" s="26">
        <f>I16-I17</f>
        <v>124838.39999999999</v>
      </c>
      <c r="J19" s="27">
        <f>(I16-I17)/I17*100%</f>
        <v>3.5566495726495724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/>
      <c r="C20" s="51"/>
      <c r="D20" s="190"/>
      <c r="E20" s="51"/>
      <c r="F20" s="53"/>
      <c r="H20" s="63" t="s">
        <v>41</v>
      </c>
      <c r="I20" s="31">
        <f>I16-I18</f>
        <v>48938.399999999994</v>
      </c>
      <c r="J20" s="32">
        <f>(I16-I18)/I18*100%</f>
        <v>0.44088648648648643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189392</v>
      </c>
    </row>
    <row r="22" spans="1:13" ht="16.5" customHeight="1" thickBot="1" x14ac:dyDescent="0.4">
      <c r="A22" s="296"/>
      <c r="B22" s="304"/>
      <c r="C22" s="305"/>
      <c r="D22" s="310" t="s">
        <v>46</v>
      </c>
      <c r="E22" s="311"/>
      <c r="F22" s="66">
        <f>F21*5%</f>
        <v>9469.6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198861.6</v>
      </c>
      <c r="H23" s="9" t="s">
        <v>13</v>
      </c>
      <c r="I23" s="10">
        <f>F26</f>
        <v>159938.4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390000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31200</v>
      </c>
      <c r="H25" s="30" t="s">
        <v>52</v>
      </c>
      <c r="I25" s="70">
        <f>I23-I24</f>
        <v>151641.73333333334</v>
      </c>
      <c r="J25" s="71">
        <f>(I23-I24)/I23*100%</f>
        <v>0.94812586179012259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159938.4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0.50990153846153852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0.41009846153846152</v>
      </c>
      <c r="G28" s="73"/>
      <c r="H28" s="9" t="s">
        <v>57</v>
      </c>
      <c r="I28" s="10">
        <f>F26</f>
        <v>159938.4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32.137655726724709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22.826603235014272</v>
      </c>
    </row>
    <row r="31" spans="1:13" x14ac:dyDescent="0.35">
      <c r="H31" s="17" t="s">
        <v>60</v>
      </c>
      <c r="I31" s="80">
        <f>I28/F113</f>
        <v>19.277428686219366</v>
      </c>
    </row>
    <row r="32" spans="1:13" x14ac:dyDescent="0.35">
      <c r="H32" s="17" t="s">
        <v>61</v>
      </c>
      <c r="I32" s="80">
        <f>I28/F87</f>
        <v>4.5566495726495724</v>
      </c>
    </row>
    <row r="33" spans="8:9" ht="15" thickBot="1" x14ac:dyDescent="0.4">
      <c r="H33" s="38" t="s">
        <v>62</v>
      </c>
      <c r="I33" s="81">
        <f>I28/F100</f>
        <v>1.4408864864864865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390000</v>
      </c>
    </row>
    <row r="37" spans="8:9" x14ac:dyDescent="0.35">
      <c r="H37" s="17" t="s">
        <v>58</v>
      </c>
      <c r="I37" s="80">
        <f>I36/F60</f>
        <v>48.75</v>
      </c>
    </row>
    <row r="38" spans="8:9" x14ac:dyDescent="0.35">
      <c r="H38" s="17" t="s">
        <v>59</v>
      </c>
      <c r="I38" s="80">
        <f>I36/F72</f>
        <v>32.5</v>
      </c>
    </row>
    <row r="39" spans="8:9" x14ac:dyDescent="0.35">
      <c r="H39" s="17" t="s">
        <v>60</v>
      </c>
      <c r="I39" s="80">
        <f>I36/F111</f>
        <v>27.857142857142858</v>
      </c>
    </row>
    <row r="40" spans="8:9" x14ac:dyDescent="0.35">
      <c r="H40" s="17" t="s">
        <v>61</v>
      </c>
      <c r="I40" s="80">
        <f>I36/F85</f>
        <v>4.875</v>
      </c>
    </row>
    <row r="41" spans="8:9" ht="15" thickBot="1" x14ac:dyDescent="0.4">
      <c r="H41" s="38" t="s">
        <v>62</v>
      </c>
      <c r="I41" s="81">
        <f>I36/F98</f>
        <v>1.3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750</v>
      </c>
      <c r="E81" s="90">
        <f>B81/750</f>
        <v>46.666666666666664</v>
      </c>
      <c r="F81" s="91">
        <f>E81*D81</f>
        <v>35000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35000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3500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38500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80000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6400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35100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0.48125000000000001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0.43874999999999997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150000</v>
      </c>
      <c r="C94" s="88" t="s">
        <v>12</v>
      </c>
      <c r="D94" s="89">
        <v>750</v>
      </c>
      <c r="E94" s="90">
        <f>B94/750</f>
        <v>200</v>
      </c>
      <c r="F94" s="91">
        <f>E94*D94</f>
        <v>150000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150000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15000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165000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300000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24000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111000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0.55000000000000004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0.37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63SjvjRdWtZsEzlB5gchLhqUfQS6eOgQmiHtqaSXA8UgtXvmRjCfB++soqCczRa9qMmv1vzX6cl4QHpGWOhzcw==" saltValue="F8R1TCWOFV8Md7b90Rwur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793750</xdr:colOff>
                    <xdr:row>1</xdr:row>
                    <xdr:rowOff>38100</xdr:rowOff>
                  </from>
                  <to>
                    <xdr:col>7</xdr:col>
                    <xdr:colOff>2876550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57">
    <tabColor theme="7" tint="0.39997558519241921"/>
  </sheetPr>
  <dimension ref="A2:M115"/>
  <sheetViews>
    <sheetView showGridLines="0" zoomScale="90" zoomScaleNormal="90" workbookViewId="0"/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430</v>
      </c>
    </row>
    <row r="3" spans="1:13" ht="15.5" x14ac:dyDescent="0.35">
      <c r="B3" s="216" t="s">
        <v>374</v>
      </c>
      <c r="C3" s="217" t="s">
        <v>476</v>
      </c>
    </row>
    <row r="4" spans="1:13" ht="15.5" x14ac:dyDescent="0.35">
      <c r="B4" s="216" t="s">
        <v>475</v>
      </c>
      <c r="C4" s="217" t="s">
        <v>500</v>
      </c>
    </row>
    <row r="5" spans="1:13" ht="15" customHeight="1" thickBot="1" x14ac:dyDescent="0.4"/>
    <row r="6" spans="1:13" ht="23.25" customHeight="1" thickBot="1" x14ac:dyDescent="0.4">
      <c r="A6" s="284" t="s">
        <v>96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94</v>
      </c>
      <c r="C9" s="14">
        <v>750</v>
      </c>
      <c r="D9" s="96" t="s">
        <v>12</v>
      </c>
      <c r="E9" s="236">
        <v>39043</v>
      </c>
      <c r="F9" s="16">
        <f>Tabla13456914220[[#This Row],[PRECIO]]/Tabla13456914220[[#This Row],[CANTIDAD]]</f>
        <v>52.057333333333332</v>
      </c>
      <c r="H9" s="9" t="s">
        <v>13</v>
      </c>
      <c r="I9" s="10">
        <f>F26</f>
        <v>10520.387999999999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/>
      <c r="C10" s="13"/>
      <c r="D10" s="14"/>
      <c r="E10" s="236"/>
      <c r="F10" s="16"/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0.06</v>
      </c>
    </row>
    <row r="11" spans="1:13" ht="15" customHeight="1" thickBot="1" x14ac:dyDescent="0.4">
      <c r="A11" s="288"/>
      <c r="B11" s="12"/>
      <c r="C11" s="14"/>
      <c r="D11" s="14"/>
      <c r="E11" s="236"/>
      <c r="F11" s="16"/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237"/>
      <c r="F12" s="24"/>
      <c r="H12" s="25" t="s">
        <v>23</v>
      </c>
      <c r="I12" s="26">
        <f>I9-I10</f>
        <v>5543.721333333332</v>
      </c>
      <c r="J12" s="27">
        <f>(I9-I10)/I10*100%</f>
        <v>1.1139426657736098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289"/>
      <c r="B13" s="29"/>
      <c r="C13" s="22"/>
      <c r="D13" s="22"/>
      <c r="E13" s="239"/>
      <c r="F13" s="24"/>
      <c r="H13" s="30" t="s">
        <v>26</v>
      </c>
      <c r="I13" s="31">
        <f>I9-I11</f>
        <v>3513.721333333332</v>
      </c>
      <c r="J13" s="32">
        <f>(I9-I11)/I11*100%</f>
        <v>0.50148258801141754</v>
      </c>
      <c r="L13" s="17" t="s">
        <v>27</v>
      </c>
      <c r="M13" s="19">
        <f>D17+D18+D16+D19+30</f>
        <v>90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0.16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WHISKY BLACK &amp; WHITE</v>
      </c>
      <c r="C16" s="45" t="str">
        <f>D9</f>
        <v>ML</v>
      </c>
      <c r="D16" s="189">
        <v>60</v>
      </c>
      <c r="E16" s="45">
        <f>VLOOKUP(B16,Tabla13456914220[],5,FALSE)</f>
        <v>52.057333333333332</v>
      </c>
      <c r="F16" s="47">
        <f>E16*D16</f>
        <v>3123.44</v>
      </c>
      <c r="H16" s="48" t="s">
        <v>13</v>
      </c>
      <c r="I16" s="49">
        <f>F26</f>
        <v>10520.387999999999</v>
      </c>
      <c r="L16" s="290" t="s">
        <v>35</v>
      </c>
      <c r="M16" s="291"/>
    </row>
    <row r="17" spans="1:13" ht="15" customHeight="1" x14ac:dyDescent="0.35">
      <c r="A17" s="296"/>
      <c r="B17" s="50"/>
      <c r="C17" s="51"/>
      <c r="D17" s="190"/>
      <c r="E17" s="51"/>
      <c r="F17" s="53"/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/>
      <c r="C18" s="51"/>
      <c r="D18" s="19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/>
      <c r="C19" s="55"/>
      <c r="D19" s="234"/>
      <c r="E19" s="55"/>
      <c r="F19" s="57"/>
      <c r="H19" s="58" t="s">
        <v>40</v>
      </c>
      <c r="I19" s="26">
        <f>I16-I17</f>
        <v>4400.387999999999</v>
      </c>
      <c r="J19" s="27">
        <f>(I16-I17)/I17*100%</f>
        <v>0.71901764705882332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5"/>
      <c r="E20" s="60"/>
      <c r="F20" s="62"/>
      <c r="H20" s="63" t="s">
        <v>41</v>
      </c>
      <c r="I20" s="31">
        <f>I16-I18</f>
        <v>-1279.612000000001</v>
      </c>
      <c r="J20" s="32">
        <f>(I16-I18)/I18*100%</f>
        <v>-0.10844169491525432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3123.44</v>
      </c>
    </row>
    <row r="22" spans="1:13" ht="16.5" customHeight="1" thickBot="1" x14ac:dyDescent="0.4">
      <c r="A22" s="296"/>
      <c r="B22" s="304" t="s">
        <v>506</v>
      </c>
      <c r="C22" s="305"/>
      <c r="D22" s="310" t="s">
        <v>46</v>
      </c>
      <c r="E22" s="311"/>
      <c r="F22" s="66">
        <f>F21*5%</f>
        <v>156.17200000000003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3279.6120000000001</v>
      </c>
      <c r="H23" s="9" t="s">
        <v>13</v>
      </c>
      <c r="I23" s="10">
        <f>F26</f>
        <v>10520.387999999999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15000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1200</v>
      </c>
      <c r="H25" s="30" t="s">
        <v>52</v>
      </c>
      <c r="I25" s="70">
        <f>I23-I24</f>
        <v>2223.721333333333</v>
      </c>
      <c r="J25" s="71">
        <f>(I23-I24)/I23*100%</f>
        <v>0.2113725590095473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10520.387999999999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0.2186408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0.70135919999999996</v>
      </c>
      <c r="G28" s="73"/>
      <c r="H28" s="9" t="s">
        <v>57</v>
      </c>
      <c r="I28" s="10">
        <f>F26</f>
        <v>10520.387999999999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2.1139426657736098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1.5014825880114175</v>
      </c>
    </row>
    <row r="31" spans="1:13" x14ac:dyDescent="0.35">
      <c r="H31" s="17" t="s">
        <v>60</v>
      </c>
      <c r="I31" s="80">
        <f>I28/F113</f>
        <v>1.2680258738449177</v>
      </c>
    </row>
    <row r="32" spans="1:13" x14ac:dyDescent="0.35">
      <c r="H32" s="17" t="s">
        <v>61</v>
      </c>
      <c r="I32" s="80">
        <f>I28/F87</f>
        <v>1.7190176470588234</v>
      </c>
    </row>
    <row r="33" spans="8:9" ht="15" thickBot="1" x14ac:dyDescent="0.4">
      <c r="H33" s="38" t="s">
        <v>62</v>
      </c>
      <c r="I33" s="81">
        <f>I28/F100</f>
        <v>0.89155830508474565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15000</v>
      </c>
    </row>
    <row r="37" spans="8:9" x14ac:dyDescent="0.35">
      <c r="H37" s="17" t="s">
        <v>58</v>
      </c>
      <c r="I37" s="80">
        <f>I36/F60</f>
        <v>1.875</v>
      </c>
    </row>
    <row r="38" spans="8:9" x14ac:dyDescent="0.35">
      <c r="H38" s="17" t="s">
        <v>59</v>
      </c>
      <c r="I38" s="80">
        <f>I36/F72</f>
        <v>1.25</v>
      </c>
    </row>
    <row r="39" spans="8:9" x14ac:dyDescent="0.35">
      <c r="H39" s="17" t="s">
        <v>60</v>
      </c>
      <c r="I39" s="80">
        <f>I36/F111</f>
        <v>1.0714285714285714</v>
      </c>
    </row>
    <row r="40" spans="8:9" x14ac:dyDescent="0.35">
      <c r="H40" s="17" t="s">
        <v>61</v>
      </c>
      <c r="I40" s="80">
        <f>I36/F85</f>
        <v>1.5</v>
      </c>
    </row>
    <row r="41" spans="8:9" ht="15" thickBot="1" x14ac:dyDescent="0.4">
      <c r="H41" s="38" t="s">
        <v>62</v>
      </c>
      <c r="I41" s="81">
        <f>I36/F98</f>
        <v>0.75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908050</xdr:colOff>
                    <xdr:row>1</xdr:row>
                    <xdr:rowOff>0</xdr:rowOff>
                  </from>
                  <to>
                    <xdr:col>7</xdr:col>
                    <xdr:colOff>2990850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5">
    <tabColor theme="4" tint="0.39997558519241921"/>
  </sheetPr>
  <dimension ref="A2:M115"/>
  <sheetViews>
    <sheetView showGridLines="0" zoomScale="90" zoomScaleNormal="90" workbookViewId="0">
      <selection activeCell="E11" sqref="E11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430</v>
      </c>
    </row>
    <row r="3" spans="1:13" ht="15.5" x14ac:dyDescent="0.35">
      <c r="B3" s="216" t="s">
        <v>374</v>
      </c>
      <c r="C3" s="217" t="s">
        <v>476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284" t="s">
        <v>96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94</v>
      </c>
      <c r="C9" s="14">
        <v>750</v>
      </c>
      <c r="D9" s="96" t="s">
        <v>12</v>
      </c>
      <c r="E9" s="236">
        <v>39043</v>
      </c>
      <c r="F9" s="16">
        <f>Tabla134569142[[#This Row],[PRECIO]]/Tabla134569142[[#This Row],[CANTIDAD]]</f>
        <v>52.057333333333332</v>
      </c>
      <c r="H9" s="9" t="s">
        <v>13</v>
      </c>
      <c r="I9" s="10">
        <f>F26</f>
        <v>10831.376363636364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15</v>
      </c>
      <c r="C10" s="13">
        <v>330</v>
      </c>
      <c r="D10" s="14" t="s">
        <v>12</v>
      </c>
      <c r="E10" s="236">
        <v>2500</v>
      </c>
      <c r="F10" s="16">
        <f>Tabla134569142[[#This Row],[PRECIO]]/Tabla134569142[[#This Row],[CANTIDAD]]</f>
        <v>7.5757575757575761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12" t="s">
        <v>99</v>
      </c>
      <c r="C11" s="14">
        <v>500</v>
      </c>
      <c r="D11" s="14" t="s">
        <v>22</v>
      </c>
      <c r="E11" s="236">
        <v>3500</v>
      </c>
      <c r="F11" s="16">
        <f>Tabla134569142[[#This Row],[PRECIO]]/Tabla134569142[[#This Row],[CANTIDAD]]</f>
        <v>7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237"/>
      <c r="F12" s="24"/>
      <c r="H12" s="25" t="s">
        <v>23</v>
      </c>
      <c r="I12" s="26">
        <f>I9-I10</f>
        <v>5854.7096969696968</v>
      </c>
      <c r="J12" s="27">
        <f>(I9-I10)/I10*100%</f>
        <v>1.1764319551848017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29"/>
      <c r="C13" s="22"/>
      <c r="D13" s="22"/>
      <c r="E13" s="239"/>
      <c r="F13" s="24"/>
      <c r="H13" s="30" t="s">
        <v>26</v>
      </c>
      <c r="I13" s="31">
        <f>I9-I11</f>
        <v>3824.7096969696968</v>
      </c>
      <c r="J13" s="32">
        <f>(I9-I11)/I11*100%</f>
        <v>0.54586722601851045</v>
      </c>
      <c r="L13" s="17" t="s">
        <v>27</v>
      </c>
      <c r="M13" s="19">
        <f>D17+D18+D16+D19+30</f>
        <v>110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0.125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WHISKY BLACK &amp; WHITE</v>
      </c>
      <c r="C16" s="45" t="str">
        <f>D9</f>
        <v>ML</v>
      </c>
      <c r="D16" s="189">
        <v>50</v>
      </c>
      <c r="E16" s="45">
        <f>VLOOKUP(B16,Tabla134569142[],5,FALSE)</f>
        <v>52.057333333333332</v>
      </c>
      <c r="F16" s="47">
        <f>E16*D16</f>
        <v>2602.8666666666668</v>
      </c>
      <c r="H16" s="48" t="s">
        <v>13</v>
      </c>
      <c r="I16" s="49">
        <f>F26</f>
        <v>10831.376363636364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CERVEZA DORADA</v>
      </c>
      <c r="C17" s="51" t="str">
        <f>D10</f>
        <v>ML</v>
      </c>
      <c r="D17" s="190">
        <v>25</v>
      </c>
      <c r="E17" s="51">
        <f>VLOOKUP(B17,Tabla134569142[],5,FALSE)</f>
        <v>7.5757575757575761</v>
      </c>
      <c r="F17" s="53">
        <f>E17*D17</f>
        <v>189.39393939393941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LIMÓN TAHITÍ</v>
      </c>
      <c r="C18" s="51" t="str">
        <f>D11</f>
        <v>GR</v>
      </c>
      <c r="D18" s="190">
        <v>5</v>
      </c>
      <c r="E18" s="51">
        <f>VLOOKUP(B18,Tabla134569142[],5,FALSE)</f>
        <v>7</v>
      </c>
      <c r="F18" s="53">
        <f>E18*D18</f>
        <v>35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/>
      <c r="C19" s="55"/>
      <c r="D19" s="234"/>
      <c r="E19" s="55"/>
      <c r="F19" s="57"/>
      <c r="H19" s="58" t="s">
        <v>40</v>
      </c>
      <c r="I19" s="26">
        <f>I16-I17</f>
        <v>4711.3763636363637</v>
      </c>
      <c r="J19" s="27">
        <f>(I16-I17)/I17*100%</f>
        <v>0.7698327391562686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5"/>
      <c r="E20" s="60"/>
      <c r="F20" s="62"/>
      <c r="H20" s="63" t="s">
        <v>41</v>
      </c>
      <c r="I20" s="31">
        <f>I16-I18</f>
        <v>-968.62363636363625</v>
      </c>
      <c r="J20" s="32">
        <f>(I16-I18)/I18*100%</f>
        <v>-8.2086748844375959E-2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2827.2606060606063</v>
      </c>
    </row>
    <row r="22" spans="1:13" ht="16.5" customHeight="1" thickBot="1" x14ac:dyDescent="0.4">
      <c r="A22" s="296"/>
      <c r="B22" s="304" t="s">
        <v>551</v>
      </c>
      <c r="C22" s="305"/>
      <c r="D22" s="310" t="s">
        <v>46</v>
      </c>
      <c r="E22" s="311"/>
      <c r="F22" s="66">
        <f>F21*5%</f>
        <v>141.36303030303031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2968.6236363636367</v>
      </c>
      <c r="H23" s="9" t="s">
        <v>13</v>
      </c>
      <c r="I23" s="10">
        <f>F26</f>
        <v>10831.376363636364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15000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1200</v>
      </c>
      <c r="H25" s="30" t="s">
        <v>52</v>
      </c>
      <c r="I25" s="70">
        <f>I23-I24</f>
        <v>2534.7096969696977</v>
      </c>
      <c r="J25" s="71">
        <f>(I23-I24)/I23*100%</f>
        <v>0.23401547613831897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10831.376363636364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0.19790824242424246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0.72209175757575761</v>
      </c>
      <c r="G28" s="73"/>
      <c r="H28" s="9" t="s">
        <v>57</v>
      </c>
      <c r="I28" s="10">
        <f>F26</f>
        <v>10831.376363636364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2.1764319551848015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1.5458672260185105</v>
      </c>
    </row>
    <row r="31" spans="1:13" x14ac:dyDescent="0.35">
      <c r="H31" s="17" t="s">
        <v>60</v>
      </c>
      <c r="I31" s="80">
        <f>I28/F113</f>
        <v>1.3055094050184448</v>
      </c>
    </row>
    <row r="32" spans="1:13" x14ac:dyDescent="0.35">
      <c r="H32" s="17" t="s">
        <v>61</v>
      </c>
      <c r="I32" s="80">
        <f>I28/F87</f>
        <v>1.7698327391562685</v>
      </c>
    </row>
    <row r="33" spans="8:9" ht="15" thickBot="1" x14ac:dyDescent="0.4">
      <c r="H33" s="38" t="s">
        <v>62</v>
      </c>
      <c r="I33" s="81">
        <f>I28/F100</f>
        <v>0.91791325115562405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15000</v>
      </c>
    </row>
    <row r="37" spans="8:9" x14ac:dyDescent="0.35">
      <c r="H37" s="17" t="s">
        <v>58</v>
      </c>
      <c r="I37" s="80">
        <f>I36/F60</f>
        <v>1.875</v>
      </c>
    </row>
    <row r="38" spans="8:9" x14ac:dyDescent="0.35">
      <c r="H38" s="17" t="s">
        <v>59</v>
      </c>
      <c r="I38" s="80">
        <f>I36/F72</f>
        <v>1.25</v>
      </c>
    </row>
    <row r="39" spans="8:9" x14ac:dyDescent="0.35">
      <c r="H39" s="17" t="s">
        <v>60</v>
      </c>
      <c r="I39" s="80">
        <f>I36/F111</f>
        <v>1.0714285714285714</v>
      </c>
    </row>
    <row r="40" spans="8:9" x14ac:dyDescent="0.35">
      <c r="H40" s="17" t="s">
        <v>61</v>
      </c>
      <c r="I40" s="80">
        <f>I36/F85</f>
        <v>1.5</v>
      </c>
    </row>
    <row r="41" spans="8:9" ht="15" thickBot="1" x14ac:dyDescent="0.4">
      <c r="H41" s="38" t="s">
        <v>62</v>
      </c>
      <c r="I41" s="81">
        <f>I36/F98</f>
        <v>0.75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fHFl9J7TdSh1i/WuD2rQB/GDr1aMN1NuG/JzGV8KNshrILpr/fH9b0i5olzIA/xizh2umKS97S96nTDEs4RF/A==" saltValue="qGSGIl5yxHINDM6MUB8MVA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1257300</xdr:colOff>
                    <xdr:row>1</xdr:row>
                    <xdr:rowOff>12700</xdr:rowOff>
                  </from>
                  <to>
                    <xdr:col>7</xdr:col>
                    <xdr:colOff>3333750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52">
    <tabColor rgb="FF009900"/>
  </sheetPr>
  <dimension ref="A1:M115"/>
  <sheetViews>
    <sheetView showGridLines="0" zoomScale="90" zoomScaleNormal="90" workbookViewId="0">
      <selection activeCell="B29" sqref="B2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x14ac:dyDescent="0.35"/>
    <row r="2" spans="1:13" ht="15" customHeight="1" x14ac:dyDescent="0.35">
      <c r="B2" s="216" t="s">
        <v>473</v>
      </c>
      <c r="C2" s="198" t="s">
        <v>430</v>
      </c>
    </row>
    <row r="3" spans="1:13" ht="15" customHeight="1" x14ac:dyDescent="0.35">
      <c r="B3" s="216" t="s">
        <v>374</v>
      </c>
      <c r="C3" s="217" t="s">
        <v>476</v>
      </c>
    </row>
    <row r="4" spans="1:13" ht="15" customHeight="1" x14ac:dyDescent="0.35">
      <c r="B4" s="216" t="s">
        <v>475</v>
      </c>
      <c r="C4" s="217" t="s">
        <v>503</v>
      </c>
    </row>
    <row r="5" spans="1:13" ht="15" customHeight="1" thickBot="1" x14ac:dyDescent="0.4"/>
    <row r="6" spans="1:13" ht="23.25" customHeight="1" thickBot="1" x14ac:dyDescent="0.4">
      <c r="A6" s="284" t="s">
        <v>504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335" t="s">
        <v>3</v>
      </c>
      <c r="B8" s="93" t="s">
        <v>4</v>
      </c>
      <c r="C8" s="93" t="s">
        <v>5</v>
      </c>
      <c r="D8" s="94" t="s">
        <v>6</v>
      </c>
      <c r="E8" s="93" t="s">
        <v>7</v>
      </c>
      <c r="F8" s="9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336"/>
      <c r="B9" s="12" t="s">
        <v>364</v>
      </c>
      <c r="C9" s="14">
        <v>375</v>
      </c>
      <c r="D9" s="96" t="s">
        <v>12</v>
      </c>
      <c r="E9" s="236">
        <v>22522</v>
      </c>
      <c r="F9" s="97">
        <f>Tabla1345681035[[#This Row],[PRECIO]]/Tabla1345681035[[#This Row],[CANTIDAD]]</f>
        <v>60.058666666666667</v>
      </c>
      <c r="H9" s="9" t="s">
        <v>13</v>
      </c>
      <c r="I9" s="10">
        <f>F26</f>
        <v>31551.9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336"/>
      <c r="B10" s="12"/>
      <c r="C10" s="13"/>
      <c r="D10" s="14"/>
      <c r="E10" s="236"/>
      <c r="F10" s="97"/>
      <c r="H10" s="17" t="s">
        <v>16</v>
      </c>
      <c r="I10" s="18">
        <f>F62</f>
        <v>5380</v>
      </c>
      <c r="J10" s="292"/>
      <c r="L10" s="17" t="s">
        <v>17</v>
      </c>
      <c r="M10" s="19">
        <f>D16/1000</f>
        <v>0.375</v>
      </c>
    </row>
    <row r="11" spans="1:13" ht="15" customHeight="1" thickBot="1" x14ac:dyDescent="0.4">
      <c r="A11" s="336"/>
      <c r="B11" s="12"/>
      <c r="C11" s="14"/>
      <c r="D11" s="14"/>
      <c r="E11" s="236"/>
      <c r="F11" s="97"/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336"/>
      <c r="B12" s="21"/>
      <c r="C12" s="22"/>
      <c r="D12" s="22"/>
      <c r="E12" s="237"/>
      <c r="F12" s="99"/>
      <c r="H12" s="25" t="s">
        <v>23</v>
      </c>
      <c r="I12" s="26">
        <f>I9-I10</f>
        <v>26171.9</v>
      </c>
      <c r="J12" s="27">
        <f>(I9-I10)/I10*100%</f>
        <v>4.8646654275092942</v>
      </c>
      <c r="L12" s="17" t="s">
        <v>24</v>
      </c>
      <c r="M12" s="28">
        <f>M9*M10*M11</f>
        <v>117.30000000000001</v>
      </c>
    </row>
    <row r="13" spans="1:13" ht="15.75" customHeight="1" thickBot="1" x14ac:dyDescent="0.4">
      <c r="A13" s="337"/>
      <c r="B13" s="100"/>
      <c r="C13" s="101"/>
      <c r="D13" s="101"/>
      <c r="E13" s="238"/>
      <c r="F13" s="102"/>
      <c r="H13" s="30" t="s">
        <v>26</v>
      </c>
      <c r="I13" s="31">
        <f>I9-I11</f>
        <v>24545.233333333334</v>
      </c>
      <c r="J13" s="32">
        <f>(I9-I11)/I11*100%</f>
        <v>3.503125594671741</v>
      </c>
      <c r="L13" s="17" t="s">
        <v>27</v>
      </c>
      <c r="M13" s="19">
        <f>D17+D18+D16+D19+30</f>
        <v>405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0.19230769230769232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52" t="s">
        <v>34</v>
      </c>
      <c r="I15" s="353"/>
    </row>
    <row r="16" spans="1:13" ht="16" thickBot="1" x14ac:dyDescent="0.4">
      <c r="A16" s="296"/>
      <c r="B16" s="44" t="str">
        <f>B9</f>
        <v>BLACK &amp; WHITE</v>
      </c>
      <c r="C16" s="45" t="str">
        <f>D9</f>
        <v>ML</v>
      </c>
      <c r="D16" s="189">
        <v>375</v>
      </c>
      <c r="E16" s="45">
        <f>VLOOKUP(B16,Tabla1345681035[],5,FALSE)</f>
        <v>60.058666666666667</v>
      </c>
      <c r="F16" s="47">
        <f>E16*D16</f>
        <v>22522</v>
      </c>
      <c r="H16" s="48" t="s">
        <v>13</v>
      </c>
      <c r="I16" s="49">
        <f>F26</f>
        <v>31551.9</v>
      </c>
      <c r="L16" s="290" t="s">
        <v>35</v>
      </c>
      <c r="M16" s="291"/>
    </row>
    <row r="17" spans="1:13" ht="15" customHeight="1" x14ac:dyDescent="0.35">
      <c r="A17" s="296"/>
      <c r="B17" s="50"/>
      <c r="C17" s="51"/>
      <c r="D17" s="190"/>
      <c r="E17" s="51"/>
      <c r="F17" s="53"/>
      <c r="H17" s="17" t="s">
        <v>36</v>
      </c>
      <c r="I17" s="18">
        <f>F87</f>
        <v>21600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/>
      <c r="C18" s="51"/>
      <c r="D18" s="190"/>
      <c r="E18" s="51"/>
      <c r="F18" s="53"/>
      <c r="H18" s="17" t="s">
        <v>38</v>
      </c>
      <c r="I18" s="18">
        <f>F100</f>
        <v>49750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/>
      <c r="C19" s="55"/>
      <c r="D19" s="234"/>
      <c r="E19" s="55"/>
      <c r="F19" s="57"/>
      <c r="H19" s="58" t="s">
        <v>40</v>
      </c>
      <c r="I19" s="26">
        <f>I16-I17</f>
        <v>9951.9000000000015</v>
      </c>
      <c r="J19" s="27">
        <f>(I16-I17)/I17*100%</f>
        <v>0.46073611111111118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5"/>
      <c r="E20" s="60"/>
      <c r="F20" s="62"/>
      <c r="H20" s="63" t="s">
        <v>41</v>
      </c>
      <c r="I20" s="31">
        <f>I16-I18</f>
        <v>-18198.099999999999</v>
      </c>
      <c r="J20" s="32">
        <f>(I16-I18)/I18*100%</f>
        <v>-0.3657909547738693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22522</v>
      </c>
    </row>
    <row r="22" spans="1:13" ht="16.5" customHeight="1" thickBot="1" x14ac:dyDescent="0.4">
      <c r="A22" s="296"/>
      <c r="B22" s="304"/>
      <c r="C22" s="305"/>
      <c r="D22" s="310" t="s">
        <v>46</v>
      </c>
      <c r="E22" s="311"/>
      <c r="F22" s="66">
        <f>F21*5%</f>
        <v>1126.1000000000001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23648.1</v>
      </c>
      <c r="H23" s="9" t="s">
        <v>13</v>
      </c>
      <c r="I23" s="10">
        <f>F26</f>
        <v>31551.9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60000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4800</v>
      </c>
      <c r="H25" s="30" t="s">
        <v>52</v>
      </c>
      <c r="I25" s="70">
        <f>I23-I24</f>
        <v>23255.233333333337</v>
      </c>
      <c r="J25" s="71">
        <f>(I23-I24)/I23*100%</f>
        <v>0.73704700298027492</v>
      </c>
    </row>
    <row r="26" spans="1:13" ht="15.75" customHeight="1" thickBot="1" x14ac:dyDescent="0.4">
      <c r="A26" s="296"/>
      <c r="B26" s="306"/>
      <c r="C26" s="307"/>
      <c r="D26" s="342" t="s">
        <v>53</v>
      </c>
      <c r="E26" s="343"/>
      <c r="F26" s="67">
        <f>F24-F23-F25</f>
        <v>31551.9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0.39413499999999996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0.52586500000000003</v>
      </c>
      <c r="G28" s="73"/>
      <c r="H28" s="9" t="s">
        <v>57</v>
      </c>
      <c r="I28" s="10">
        <f>F26</f>
        <v>31551.9</v>
      </c>
    </row>
    <row r="29" spans="1:13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5.8646654275092942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4.503125594671741</v>
      </c>
    </row>
    <row r="31" spans="1:13" x14ac:dyDescent="0.35">
      <c r="H31" s="17" t="s">
        <v>60</v>
      </c>
      <c r="I31" s="80">
        <f>I28/F113</f>
        <v>3.8029610285255129</v>
      </c>
    </row>
    <row r="32" spans="1:13" x14ac:dyDescent="0.35">
      <c r="H32" s="17" t="s">
        <v>61</v>
      </c>
      <c r="I32" s="80">
        <f>I28/F87</f>
        <v>1.4607361111111112</v>
      </c>
    </row>
    <row r="33" spans="8:9" ht="15" thickBot="1" x14ac:dyDescent="0.4">
      <c r="H33" s="38" t="s">
        <v>62</v>
      </c>
      <c r="I33" s="81">
        <f>I28/F100</f>
        <v>0.63420904522613064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60000</v>
      </c>
    </row>
    <row r="37" spans="8:9" x14ac:dyDescent="0.35">
      <c r="H37" s="17" t="s">
        <v>58</v>
      </c>
      <c r="I37" s="80">
        <f>I36/F60</f>
        <v>7.5</v>
      </c>
    </row>
    <row r="38" spans="8:9" x14ac:dyDescent="0.35">
      <c r="H38" s="17" t="s">
        <v>59</v>
      </c>
      <c r="I38" s="80">
        <f>I36/F72</f>
        <v>5</v>
      </c>
    </row>
    <row r="39" spans="8:9" x14ac:dyDescent="0.35">
      <c r="H39" s="17" t="s">
        <v>60</v>
      </c>
      <c r="I39" s="80">
        <f>I36/F111</f>
        <v>4.2857142857142856</v>
      </c>
    </row>
    <row r="40" spans="8:9" x14ac:dyDescent="0.35">
      <c r="H40" s="17" t="s">
        <v>61</v>
      </c>
      <c r="I40" s="80">
        <f>I36/F85</f>
        <v>1.3333333333333333</v>
      </c>
    </row>
    <row r="41" spans="8:9" ht="15" thickBot="1" x14ac:dyDescent="0.4">
      <c r="H41" s="38" t="s">
        <v>62</v>
      </c>
      <c r="I41" s="81">
        <f>I36/F98</f>
        <v>0.8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v>1800</v>
      </c>
      <c r="C56" s="88" t="s">
        <v>12</v>
      </c>
      <c r="D56" s="193">
        <v>330</v>
      </c>
      <c r="E56" s="90">
        <f>B56/D56</f>
        <v>5.4545454545454541</v>
      </c>
      <c r="F56" s="91">
        <f>E56*D56</f>
        <v>1799.9999999999998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1799.9999999999998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180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1979.9999999999998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5380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0.24749999999999997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0.67249999999999999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18000</v>
      </c>
      <c r="C81" s="88" t="s">
        <v>12</v>
      </c>
      <c r="D81" s="89">
        <v>750</v>
      </c>
      <c r="E81" s="90">
        <f>B81/750</f>
        <v>24</v>
      </c>
      <c r="F81" s="91">
        <f>E81*D81</f>
        <v>18000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18000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1800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19800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45000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3600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21600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0.44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0.48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35000</v>
      </c>
      <c r="C94" s="88" t="s">
        <v>12</v>
      </c>
      <c r="D94" s="89">
        <v>375</v>
      </c>
      <c r="E94" s="90">
        <f>B94/750</f>
        <v>46.666666666666664</v>
      </c>
      <c r="F94" s="91">
        <f>E94*D94</f>
        <v>17500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17500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1750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19250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75000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6000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49750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0.25666666666666665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0.66333333333333333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QCuSDfLtqOVyPCYIBdX+oL7lTEJObCIzxnOUm2BDSMlwJM2Q980OcqALvnUgeOhRdXEJPEUxPkiRIOd/+xd7qA==" saltValue="EXPVeQq9o7docKrTOm4V9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C10 D16:D20 F24" name="FINAL"/>
    <protectedRange sqref="E9:E13 C10 D16:D20 F24" name="EDITABLES FINAL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1181100</xdr:colOff>
                    <xdr:row>1</xdr:row>
                    <xdr:rowOff>57150</xdr:rowOff>
                  </from>
                  <to>
                    <xdr:col>7</xdr:col>
                    <xdr:colOff>3270250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58">
    <tabColor rgb="FF009900"/>
  </sheetPr>
  <dimension ref="A1:M115"/>
  <sheetViews>
    <sheetView showGridLines="0" zoomScale="90" zoomScaleNormal="90" workbookViewId="0">
      <selection activeCell="D56" sqref="D56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x14ac:dyDescent="0.35"/>
    <row r="2" spans="1:13" ht="15" customHeight="1" x14ac:dyDescent="0.35">
      <c r="B2" s="216" t="s">
        <v>473</v>
      </c>
      <c r="C2" s="198" t="s">
        <v>430</v>
      </c>
    </row>
    <row r="3" spans="1:13" ht="15" customHeight="1" x14ac:dyDescent="0.35">
      <c r="B3" s="216" t="s">
        <v>374</v>
      </c>
      <c r="C3" s="217" t="s">
        <v>476</v>
      </c>
    </row>
    <row r="4" spans="1:13" ht="15" customHeight="1" x14ac:dyDescent="0.35">
      <c r="B4" s="216" t="s">
        <v>475</v>
      </c>
      <c r="C4" s="217" t="s">
        <v>502</v>
      </c>
    </row>
    <row r="5" spans="1:13" ht="15" customHeight="1" thickBot="1" x14ac:dyDescent="0.4"/>
    <row r="6" spans="1:13" ht="23.25" customHeight="1" thickBot="1" x14ac:dyDescent="0.4">
      <c r="A6" s="284" t="s">
        <v>474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335" t="s">
        <v>3</v>
      </c>
      <c r="B8" s="93" t="s">
        <v>4</v>
      </c>
      <c r="C8" s="93" t="s">
        <v>5</v>
      </c>
      <c r="D8" s="94" t="s">
        <v>6</v>
      </c>
      <c r="E8" s="93" t="s">
        <v>7</v>
      </c>
      <c r="F8" s="9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336"/>
      <c r="B9" s="12" t="s">
        <v>364</v>
      </c>
      <c r="C9" s="13">
        <v>750</v>
      </c>
      <c r="D9" s="96" t="s">
        <v>12</v>
      </c>
      <c r="E9" s="236">
        <v>39043</v>
      </c>
      <c r="F9" s="97">
        <f>Tabla134568103518[[#This Row],[PRECIO]]/Tabla134568103518[[#This Row],[CANTIDAD]]</f>
        <v>52.057333333333332</v>
      </c>
      <c r="H9" s="9" t="s">
        <v>13</v>
      </c>
      <c r="I9" s="10">
        <f>F26</f>
        <v>32604.85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336"/>
      <c r="B10" s="12"/>
      <c r="C10" s="13"/>
      <c r="D10" s="14"/>
      <c r="E10" s="236"/>
      <c r="F10" s="97"/>
      <c r="H10" s="17" t="s">
        <v>16</v>
      </c>
      <c r="I10" s="18">
        <f>F62</f>
        <v>5380</v>
      </c>
      <c r="J10" s="292"/>
      <c r="L10" s="17" t="s">
        <v>17</v>
      </c>
      <c r="M10" s="19">
        <f>D16/1000</f>
        <v>0.75</v>
      </c>
    </row>
    <row r="11" spans="1:13" ht="15" customHeight="1" thickBot="1" x14ac:dyDescent="0.4">
      <c r="A11" s="336"/>
      <c r="B11" s="12"/>
      <c r="C11" s="14"/>
      <c r="D11" s="14"/>
      <c r="E11" s="236"/>
      <c r="F11" s="97"/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336"/>
      <c r="B12" s="21"/>
      <c r="C12" s="22"/>
      <c r="D12" s="22"/>
      <c r="E12" s="237"/>
      <c r="F12" s="99"/>
      <c r="H12" s="25" t="s">
        <v>23</v>
      </c>
      <c r="I12" s="26">
        <f>I9-I10</f>
        <v>27224.85</v>
      </c>
      <c r="J12" s="27">
        <f>(I9-I10)/I10*100%</f>
        <v>5.0603810408921932</v>
      </c>
      <c r="L12" s="17" t="s">
        <v>24</v>
      </c>
      <c r="M12" s="28">
        <f>M9*M10*M11</f>
        <v>234.60000000000002</v>
      </c>
    </row>
    <row r="13" spans="1:13" ht="15.75" customHeight="1" thickBot="1" x14ac:dyDescent="0.4">
      <c r="A13" s="337"/>
      <c r="B13" s="100"/>
      <c r="C13" s="101"/>
      <c r="D13" s="101"/>
      <c r="E13" s="238"/>
      <c r="F13" s="102"/>
      <c r="H13" s="30" t="s">
        <v>26</v>
      </c>
      <c r="I13" s="31">
        <f>I9-I11</f>
        <v>25598.183333333331</v>
      </c>
      <c r="J13" s="32">
        <f>(I9-I11)/I11*100%</f>
        <v>3.6534039010466217</v>
      </c>
      <c r="L13" s="17" t="s">
        <v>27</v>
      </c>
      <c r="M13" s="19">
        <f>D17+D18+D16+D19+30</f>
        <v>780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0.19607843137254902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52" t="s">
        <v>34</v>
      </c>
      <c r="I15" s="353"/>
    </row>
    <row r="16" spans="1:13" ht="16" thickBot="1" x14ac:dyDescent="0.4">
      <c r="A16" s="296"/>
      <c r="B16" s="44" t="str">
        <f>B9</f>
        <v>BLACK &amp; WHITE</v>
      </c>
      <c r="C16" s="45" t="str">
        <f>D9</f>
        <v>ML</v>
      </c>
      <c r="D16" s="189">
        <v>750</v>
      </c>
      <c r="E16" s="45">
        <f>VLOOKUP(B16,Tabla134568103518[],5,FALSE)</f>
        <v>52.057333333333332</v>
      </c>
      <c r="F16" s="47">
        <f>E16*D16</f>
        <v>39043</v>
      </c>
      <c r="H16" s="48" t="s">
        <v>13</v>
      </c>
      <c r="I16" s="49">
        <f>F26</f>
        <v>32604.85</v>
      </c>
      <c r="L16" s="290" t="s">
        <v>35</v>
      </c>
      <c r="M16" s="291"/>
    </row>
    <row r="17" spans="1:13" ht="15" customHeight="1" x14ac:dyDescent="0.35">
      <c r="A17" s="296"/>
      <c r="B17" s="50"/>
      <c r="C17" s="51"/>
      <c r="D17" s="190"/>
      <c r="E17" s="51"/>
      <c r="F17" s="53"/>
      <c r="H17" s="17" t="s">
        <v>36</v>
      </c>
      <c r="I17" s="18">
        <f>F87</f>
        <v>46100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/>
      <c r="C18" s="51"/>
      <c r="D18" s="190"/>
      <c r="E18" s="51"/>
      <c r="F18" s="53"/>
      <c r="H18" s="17" t="s">
        <v>38</v>
      </c>
      <c r="I18" s="18">
        <f>F100</f>
        <v>55500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/>
      <c r="C19" s="55"/>
      <c r="D19" s="234"/>
      <c r="E19" s="55"/>
      <c r="F19" s="57"/>
      <c r="H19" s="58" t="s">
        <v>40</v>
      </c>
      <c r="I19" s="26">
        <f>I16-I17</f>
        <v>-13495.150000000001</v>
      </c>
      <c r="J19" s="27">
        <f>(I16-I17)/I17*100%</f>
        <v>-0.29273644251626901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5"/>
      <c r="E20" s="60"/>
      <c r="F20" s="62"/>
      <c r="H20" s="63" t="s">
        <v>41</v>
      </c>
      <c r="I20" s="31">
        <f>I16-I18</f>
        <v>-22895.15</v>
      </c>
      <c r="J20" s="32">
        <f>(I16-I18)/I18*100%</f>
        <v>-0.41252522522522528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39043</v>
      </c>
    </row>
    <row r="22" spans="1:13" ht="16.5" customHeight="1" thickBot="1" x14ac:dyDescent="0.4">
      <c r="A22" s="296"/>
      <c r="B22" s="304"/>
      <c r="C22" s="305"/>
      <c r="D22" s="310" t="s">
        <v>46</v>
      </c>
      <c r="E22" s="311"/>
      <c r="F22" s="66">
        <f>F21*5%</f>
        <v>1952.15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40995.15</v>
      </c>
      <c r="H23" s="9" t="s">
        <v>13</v>
      </c>
      <c r="I23" s="10">
        <f>F26</f>
        <v>32604.85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80000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6400</v>
      </c>
      <c r="H25" s="30" t="s">
        <v>52</v>
      </c>
      <c r="I25" s="70">
        <f>I23-I24</f>
        <v>24308.183333333334</v>
      </c>
      <c r="J25" s="71">
        <f>(I23-I24)/I23*100%</f>
        <v>0.74553887944073771</v>
      </c>
    </row>
    <row r="26" spans="1:13" ht="15.75" customHeight="1" thickBot="1" x14ac:dyDescent="0.4">
      <c r="A26" s="296"/>
      <c r="B26" s="306"/>
      <c r="C26" s="307"/>
      <c r="D26" s="342" t="s">
        <v>53</v>
      </c>
      <c r="E26" s="343"/>
      <c r="F26" s="67">
        <f>F24-F23-F25</f>
        <v>32604.85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0.51243937500000003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0.40756062499999995</v>
      </c>
      <c r="G28" s="73"/>
      <c r="H28" s="9" t="s">
        <v>57</v>
      </c>
      <c r="I28" s="10">
        <f>F26</f>
        <v>32604.85</v>
      </c>
    </row>
    <row r="29" spans="1:13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6.0603810408921932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4.6534039010466222</v>
      </c>
    </row>
    <row r="31" spans="1:13" x14ac:dyDescent="0.35">
      <c r="H31" s="17" t="s">
        <v>60</v>
      </c>
      <c r="I31" s="80">
        <f>I28/F113</f>
        <v>3.9298734431498596</v>
      </c>
    </row>
    <row r="32" spans="1:13" x14ac:dyDescent="0.35">
      <c r="H32" s="17" t="s">
        <v>61</v>
      </c>
      <c r="I32" s="80">
        <f>I28/F87</f>
        <v>0.70726355748373104</v>
      </c>
    </row>
    <row r="33" spans="8:9" ht="15" thickBot="1" x14ac:dyDescent="0.4">
      <c r="H33" s="38" t="s">
        <v>62</v>
      </c>
      <c r="I33" s="81">
        <f>I28/F100</f>
        <v>0.58747477477477472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80000</v>
      </c>
    </row>
    <row r="37" spans="8:9" x14ac:dyDescent="0.35">
      <c r="H37" s="17" t="s">
        <v>58</v>
      </c>
      <c r="I37" s="80">
        <f>I36/F60</f>
        <v>10</v>
      </c>
    </row>
    <row r="38" spans="8:9" x14ac:dyDescent="0.35">
      <c r="H38" s="17" t="s">
        <v>59</v>
      </c>
      <c r="I38" s="80">
        <f>I36/F72</f>
        <v>6.666666666666667</v>
      </c>
    </row>
    <row r="39" spans="8:9" x14ac:dyDescent="0.35">
      <c r="H39" s="17" t="s">
        <v>60</v>
      </c>
      <c r="I39" s="80">
        <f>I36/F111</f>
        <v>5.7142857142857144</v>
      </c>
    </row>
    <row r="40" spans="8:9" x14ac:dyDescent="0.35">
      <c r="H40" s="17" t="s">
        <v>61</v>
      </c>
      <c r="I40" s="80">
        <f>I36/F85</f>
        <v>1</v>
      </c>
    </row>
    <row r="41" spans="8:9" ht="15" thickBot="1" x14ac:dyDescent="0.4">
      <c r="H41" s="38" t="s">
        <v>62</v>
      </c>
      <c r="I41" s="81">
        <f>I36/F98</f>
        <v>0.53333333333333333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v>1800</v>
      </c>
      <c r="C56" s="88" t="s">
        <v>12</v>
      </c>
      <c r="D56" s="193">
        <v>330</v>
      </c>
      <c r="E56" s="90">
        <f>B56/D56</f>
        <v>5.4545454545454541</v>
      </c>
      <c r="F56" s="91">
        <f>E56*D56</f>
        <v>1799.9999999999998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1799.9999999999998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180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1979.9999999999998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5380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0.24749999999999997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0.67249999999999999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25000</v>
      </c>
      <c r="C81" s="88" t="s">
        <v>12</v>
      </c>
      <c r="D81" s="89">
        <v>750</v>
      </c>
      <c r="E81" s="90">
        <f>B81/750</f>
        <v>33.333333333333336</v>
      </c>
      <c r="F81" s="91">
        <f>E81*D81</f>
        <v>25000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25000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2500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27500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80000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6400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46100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0.34375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0.57625000000000004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750</v>
      </c>
      <c r="E94" s="90">
        <f>B94/750</f>
        <v>100</v>
      </c>
      <c r="F94" s="91">
        <f>E94*D94</f>
        <v>75000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75000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7500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82500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150000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12000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55500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0.55000000000000004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0.37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oQe31ij57B+7xN6Z3ZJ/KYMz9gHpEZ6ELCkQtLdG+4RL7B0KJJr1dbQ+kC8ChjCzZAZJQhId30IeRFLWOW7jxw==" saltValue="20htNCVKuwk/Hf4AHFqP4Q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C10 D16:D20 F24" name="FINAL"/>
    <protectedRange sqref="E9:E13 C10 D16:D20 F24" name="EDITABLES FINAL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5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1060450</xdr:colOff>
                    <xdr:row>1</xdr:row>
                    <xdr:rowOff>0</xdr:rowOff>
                  </from>
                  <to>
                    <xdr:col>7</xdr:col>
                    <xdr:colOff>3136900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59">
    <tabColor theme="7" tint="0.39997558519241921"/>
  </sheetPr>
  <dimension ref="A2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217" t="s">
        <v>510</v>
      </c>
    </row>
    <row r="4" spans="1:13" ht="15.5" x14ac:dyDescent="0.35">
      <c r="B4" s="216" t="s">
        <v>475</v>
      </c>
      <c r="C4" s="217" t="s">
        <v>500</v>
      </c>
    </row>
    <row r="5" spans="1:13" ht="15" customHeight="1" thickBot="1" x14ac:dyDescent="0.4"/>
    <row r="6" spans="1:13" ht="23.25" customHeight="1" thickBot="1" x14ac:dyDescent="0.4">
      <c r="A6" s="284" t="s">
        <v>508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507</v>
      </c>
      <c r="C9" s="14">
        <v>750</v>
      </c>
      <c r="D9" s="96" t="s">
        <v>12</v>
      </c>
      <c r="E9" s="236">
        <v>96435</v>
      </c>
      <c r="F9" s="16">
        <f>Tabla134568109112324[[#This Row],[PRECIO]]/Tabla134568109112324[[#This Row],[CANTIDAD]]</f>
        <v>128.58000000000001</v>
      </c>
      <c r="H9" s="9" t="s">
        <v>13</v>
      </c>
      <c r="I9" s="10">
        <f>F26</f>
        <v>14899.46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/>
      <c r="C10" s="13"/>
      <c r="D10" s="14"/>
      <c r="E10" s="236"/>
      <c r="F10" s="16"/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0.06</v>
      </c>
    </row>
    <row r="11" spans="1:13" ht="15" customHeight="1" thickBot="1" x14ac:dyDescent="0.4">
      <c r="A11" s="288"/>
      <c r="B11" s="12"/>
      <c r="C11" s="14"/>
      <c r="D11" s="14"/>
      <c r="E11" s="236"/>
      <c r="F11" s="16"/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237"/>
      <c r="F12" s="24"/>
      <c r="H12" s="25" t="s">
        <v>23</v>
      </c>
      <c r="I12" s="26">
        <f>I9-I10</f>
        <v>9922.7933333333312</v>
      </c>
      <c r="J12" s="27">
        <f>(I9-I10)/I10*100%</f>
        <v>1.9938633623576685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289"/>
      <c r="B13" s="29"/>
      <c r="C13" s="22"/>
      <c r="D13" s="22"/>
      <c r="E13" s="239"/>
      <c r="F13" s="24"/>
      <c r="H13" s="30" t="s">
        <v>26</v>
      </c>
      <c r="I13" s="31">
        <f>I9-I11</f>
        <v>7892.7933333333322</v>
      </c>
      <c r="J13" s="32">
        <f>(I9-I11)/I11*100%</f>
        <v>1.1264690770694574</v>
      </c>
      <c r="L13" s="17" t="s">
        <v>27</v>
      </c>
      <c r="M13" s="19">
        <f>D17+D18+D16+D19+30</f>
        <v>90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0.16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WHISKY BUCHANAN'S 12</v>
      </c>
      <c r="C16" s="45" t="str">
        <f>D9</f>
        <v>ML</v>
      </c>
      <c r="D16" s="189">
        <v>60</v>
      </c>
      <c r="E16" s="45">
        <f>VLOOKUP(B16,Tabla134568109112324[],5,FALSE)</f>
        <v>128.58000000000001</v>
      </c>
      <c r="F16" s="47">
        <f>E16*D16</f>
        <v>7714.8000000000011</v>
      </c>
      <c r="H16" s="48" t="s">
        <v>13</v>
      </c>
      <c r="I16" s="49">
        <f>F26</f>
        <v>14899.46</v>
      </c>
      <c r="L16" s="290" t="s">
        <v>35</v>
      </c>
      <c r="M16" s="291"/>
    </row>
    <row r="17" spans="1:13" ht="15" customHeight="1" x14ac:dyDescent="0.35">
      <c r="A17" s="296"/>
      <c r="B17" s="50"/>
      <c r="C17" s="51"/>
      <c r="D17" s="190"/>
      <c r="E17" s="51"/>
      <c r="F17" s="53"/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/>
      <c r="C18" s="51"/>
      <c r="D18" s="19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/>
      <c r="C19" s="55"/>
      <c r="D19" s="234"/>
      <c r="E19" s="55"/>
      <c r="F19" s="57"/>
      <c r="H19" s="58" t="s">
        <v>40</v>
      </c>
      <c r="I19" s="26">
        <f>I16-I17</f>
        <v>8779.4599999999991</v>
      </c>
      <c r="J19" s="27">
        <f>(I16-I17)/I17*100%</f>
        <v>1.4345522875816992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5"/>
      <c r="E20" s="60"/>
      <c r="F20" s="62"/>
      <c r="H20" s="63" t="s">
        <v>41</v>
      </c>
      <c r="I20" s="31">
        <f>I16-I18</f>
        <v>3099.4599999999991</v>
      </c>
      <c r="J20" s="32">
        <f>(I16-I18)/I18*100%</f>
        <v>0.26266610169491517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7714.8000000000011</v>
      </c>
    </row>
    <row r="22" spans="1:13" ht="16.5" customHeight="1" thickBot="1" x14ac:dyDescent="0.4">
      <c r="A22" s="296"/>
      <c r="B22" s="304" t="s">
        <v>509</v>
      </c>
      <c r="C22" s="305"/>
      <c r="D22" s="310" t="s">
        <v>46</v>
      </c>
      <c r="E22" s="311"/>
      <c r="F22" s="66">
        <f>F21*5%</f>
        <v>385.74000000000007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8100.5400000000009</v>
      </c>
      <c r="H23" s="9" t="s">
        <v>13</v>
      </c>
      <c r="I23" s="10">
        <f>F26</f>
        <v>14899.46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2000</v>
      </c>
      <c r="H25" s="30" t="s">
        <v>52</v>
      </c>
      <c r="I25" s="70">
        <f>I23-I24</f>
        <v>6602.7933333333331</v>
      </c>
      <c r="J25" s="71">
        <f>(I23-I24)/I23*100%</f>
        <v>0.44315655287730787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14899.46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0.32402160000000002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0.59597840000000002</v>
      </c>
      <c r="G28" s="73"/>
      <c r="H28" s="9" t="s">
        <v>57</v>
      </c>
      <c r="I28" s="10">
        <f>F26</f>
        <v>14899.46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2.9938633623576689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2.1264690770694576</v>
      </c>
    </row>
    <row r="31" spans="1:13" x14ac:dyDescent="0.35">
      <c r="H31" s="17" t="s">
        <v>60</v>
      </c>
      <c r="I31" s="80">
        <f>I28/F113</f>
        <v>1.795836882282041</v>
      </c>
    </row>
    <row r="32" spans="1:13" x14ac:dyDescent="0.35">
      <c r="H32" s="17" t="s">
        <v>61</v>
      </c>
      <c r="I32" s="80">
        <f>I28/F87</f>
        <v>2.4345522875816994</v>
      </c>
    </row>
    <row r="33" spans="8:9" ht="15" thickBot="1" x14ac:dyDescent="0.4">
      <c r="H33" s="38" t="s">
        <v>62</v>
      </c>
      <c r="I33" s="81">
        <f>I28/F100</f>
        <v>1.2626661016949152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25000</v>
      </c>
    </row>
    <row r="37" spans="8:9" x14ac:dyDescent="0.35">
      <c r="H37" s="17" t="s">
        <v>58</v>
      </c>
      <c r="I37" s="80">
        <f>I36/F60</f>
        <v>3.125</v>
      </c>
    </row>
    <row r="38" spans="8:9" x14ac:dyDescent="0.35">
      <c r="H38" s="17" t="s">
        <v>59</v>
      </c>
      <c r="I38" s="80">
        <f>I36/F72</f>
        <v>2.0833333333333335</v>
      </c>
    </row>
    <row r="39" spans="8:9" x14ac:dyDescent="0.35">
      <c r="H39" s="17" t="s">
        <v>60</v>
      </c>
      <c r="I39" s="80">
        <f>I36/F111</f>
        <v>1.7857142857142858</v>
      </c>
    </row>
    <row r="40" spans="8:9" x14ac:dyDescent="0.35">
      <c r="H40" s="17" t="s">
        <v>61</v>
      </c>
      <c r="I40" s="80">
        <f>I36/F85</f>
        <v>2.5</v>
      </c>
    </row>
    <row r="41" spans="8:9" ht="15" thickBot="1" x14ac:dyDescent="0.4">
      <c r="H41" s="38" t="s">
        <v>62</v>
      </c>
      <c r="I41" s="81">
        <f>I36/F98</f>
        <v>1.25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pfyCp4w4PK95e/uTFPzvjldsJ3/MYF3kBDTS4S4GqD6tDELHlJmpZLYO+V1y8PMlXiQ8e5RBNXXiwf+EwhB8zA==" saltValue="+SqtAI4DhipqcCWBOp5Us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7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1009650</xdr:colOff>
                    <xdr:row>1</xdr:row>
                    <xdr:rowOff>12700</xdr:rowOff>
                  </from>
                  <to>
                    <xdr:col>7</xdr:col>
                    <xdr:colOff>3098800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60">
    <tabColor theme="5" tint="0.39997558519241921"/>
  </sheetPr>
  <dimension ref="A2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217" t="s">
        <v>510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284" t="s">
        <v>552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507</v>
      </c>
      <c r="C9" s="14">
        <v>750</v>
      </c>
      <c r="D9" s="96" t="s">
        <v>12</v>
      </c>
      <c r="E9" s="236">
        <v>96435</v>
      </c>
      <c r="F9" s="16">
        <f>Tabla1345681091123[[#This Row],[PRECIO]]/Tabla1345681091123[[#This Row],[CANTIDAD]]</f>
        <v>128.58000000000001</v>
      </c>
      <c r="H9" s="9" t="s">
        <v>13</v>
      </c>
      <c r="I9" s="10">
        <f>F26</f>
        <v>15771.8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98</v>
      </c>
      <c r="C10" s="13">
        <v>1500</v>
      </c>
      <c r="D10" s="14" t="s">
        <v>12</v>
      </c>
      <c r="E10" s="236">
        <v>4200</v>
      </c>
      <c r="F10" s="16">
        <f>Tabla1345681091123[[#This Row],[PRECIO]]/Tabla1345681091123[[#This Row],[CANTIDAD]]</f>
        <v>2.8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12" t="s">
        <v>99</v>
      </c>
      <c r="C11" s="14">
        <v>500</v>
      </c>
      <c r="D11" s="14" t="s">
        <v>22</v>
      </c>
      <c r="E11" s="236">
        <v>3500</v>
      </c>
      <c r="F11" s="16">
        <f>Tabla1345681091123[[#This Row],[PRECIO]]/Tabla1345681091123[[#This Row],[CANTIDAD]]</f>
        <v>7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237"/>
      <c r="F12" s="24"/>
      <c r="H12" s="25" t="s">
        <v>23</v>
      </c>
      <c r="I12" s="26">
        <f>I9-I10</f>
        <v>10795.133333333331</v>
      </c>
      <c r="J12" s="27">
        <f>(I9-I10)/I10*100%</f>
        <v>2.1691493636972532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29"/>
      <c r="C13" s="22"/>
      <c r="D13" s="22"/>
      <c r="E13" s="239"/>
      <c r="F13" s="24"/>
      <c r="H13" s="30" t="s">
        <v>26</v>
      </c>
      <c r="I13" s="31">
        <f>I9-I11</f>
        <v>8765.1333333333314</v>
      </c>
      <c r="J13" s="32">
        <f>(I9-I11)/I11*100%</f>
        <v>1.2509705042816361</v>
      </c>
      <c r="L13" s="17" t="s">
        <v>27</v>
      </c>
      <c r="M13" s="19">
        <f>D17+D18+D16+D19+30</f>
        <v>235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7.0175438596491224E-2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WHISKY BUCHANAN'S 12</v>
      </c>
      <c r="C16" s="45" t="str">
        <f>D9</f>
        <v>ML</v>
      </c>
      <c r="D16" s="189">
        <v>50</v>
      </c>
      <c r="E16" s="45">
        <f>VLOOKUP(B16,Tabla1345681091123[],5,FALSE)</f>
        <v>128.58000000000001</v>
      </c>
      <c r="F16" s="47">
        <f>E16*D16</f>
        <v>6429.0000000000009</v>
      </c>
      <c r="H16" s="48" t="s">
        <v>13</v>
      </c>
      <c r="I16" s="49">
        <f>F26</f>
        <v>15771.8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 xml:space="preserve">GASEOSA DE LIMÓN </v>
      </c>
      <c r="C17" s="51" t="str">
        <f>D10</f>
        <v>ML</v>
      </c>
      <c r="D17" s="190">
        <v>150</v>
      </c>
      <c r="E17" s="51">
        <f>VLOOKUP(B17,Tabla1345681091123[],5,FALSE)</f>
        <v>2.8</v>
      </c>
      <c r="F17" s="53">
        <f>E17*D17</f>
        <v>420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LIMÓN TAHITÍ</v>
      </c>
      <c r="C18" s="51" t="str">
        <f>D11</f>
        <v>GR</v>
      </c>
      <c r="D18" s="190">
        <v>5</v>
      </c>
      <c r="E18" s="51">
        <f>VLOOKUP(B18,Tabla1345681091123[],5,FALSE)</f>
        <v>7</v>
      </c>
      <c r="F18" s="53">
        <f>E18*D18</f>
        <v>35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/>
      <c r="C19" s="55"/>
      <c r="D19" s="234"/>
      <c r="E19" s="55"/>
      <c r="F19" s="57"/>
      <c r="H19" s="58" t="s">
        <v>40</v>
      </c>
      <c r="I19" s="26">
        <f>I16-I17</f>
        <v>9651.7999999999993</v>
      </c>
      <c r="J19" s="27">
        <f>(I16-I17)/I17*100%</f>
        <v>1.5770915032679738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5"/>
      <c r="E20" s="60"/>
      <c r="F20" s="62"/>
      <c r="H20" s="63" t="s">
        <v>41</v>
      </c>
      <c r="I20" s="31">
        <f>I16-I18</f>
        <v>3971.7999999999993</v>
      </c>
      <c r="J20" s="32">
        <f>(I16-I18)/I18*100%</f>
        <v>0.33659322033898298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6884.0000000000009</v>
      </c>
    </row>
    <row r="22" spans="1:13" ht="16.5" customHeight="1" thickBot="1" x14ac:dyDescent="0.4">
      <c r="A22" s="296"/>
      <c r="B22" s="304" t="s">
        <v>553</v>
      </c>
      <c r="C22" s="305"/>
      <c r="D22" s="310" t="s">
        <v>46</v>
      </c>
      <c r="E22" s="311"/>
      <c r="F22" s="66">
        <f>F21*5%</f>
        <v>344.20000000000005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7228.2000000000007</v>
      </c>
      <c r="H23" s="9" t="s">
        <v>13</v>
      </c>
      <c r="I23" s="10">
        <f>F26</f>
        <v>15771.8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2000</v>
      </c>
      <c r="H25" s="30" t="s">
        <v>52</v>
      </c>
      <c r="I25" s="70">
        <f>I23-I24</f>
        <v>7475.1333333333332</v>
      </c>
      <c r="J25" s="71">
        <f>(I23-I24)/I23*100%</f>
        <v>0.4739556254411883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15771.8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0.28912800000000005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0.63087199999999999</v>
      </c>
      <c r="G28" s="73"/>
      <c r="H28" s="9" t="s">
        <v>57</v>
      </c>
      <c r="I28" s="10">
        <f>F26</f>
        <v>15771.8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3.1691493636972536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2.2509705042816361</v>
      </c>
    </row>
    <row r="31" spans="1:13" x14ac:dyDescent="0.35">
      <c r="H31" s="17" t="s">
        <v>60</v>
      </c>
      <c r="I31" s="80">
        <f>I28/F113</f>
        <v>1.900980313378867</v>
      </c>
    </row>
    <row r="32" spans="1:13" x14ac:dyDescent="0.35">
      <c r="H32" s="17" t="s">
        <v>61</v>
      </c>
      <c r="I32" s="80">
        <f>I28/F87</f>
        <v>2.5770915032679738</v>
      </c>
    </row>
    <row r="33" spans="8:9" ht="15" thickBot="1" x14ac:dyDescent="0.4">
      <c r="H33" s="38" t="s">
        <v>62</v>
      </c>
      <c r="I33" s="81">
        <f>I28/F100</f>
        <v>1.336593220338983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25000</v>
      </c>
    </row>
    <row r="37" spans="8:9" x14ac:dyDescent="0.35">
      <c r="H37" s="17" t="s">
        <v>58</v>
      </c>
      <c r="I37" s="80">
        <f>I36/F60</f>
        <v>3.125</v>
      </c>
    </row>
    <row r="38" spans="8:9" x14ac:dyDescent="0.35">
      <c r="H38" s="17" t="s">
        <v>59</v>
      </c>
      <c r="I38" s="80">
        <f>I36/F72</f>
        <v>2.0833333333333335</v>
      </c>
    </row>
    <row r="39" spans="8:9" x14ac:dyDescent="0.35">
      <c r="H39" s="17" t="s">
        <v>60</v>
      </c>
      <c r="I39" s="80">
        <f>I36/F111</f>
        <v>1.7857142857142858</v>
      </c>
    </row>
    <row r="40" spans="8:9" x14ac:dyDescent="0.35">
      <c r="H40" s="17" t="s">
        <v>61</v>
      </c>
      <c r="I40" s="80">
        <f>I36/F85</f>
        <v>2.5</v>
      </c>
    </row>
    <row r="41" spans="8:9" ht="15" thickBot="1" x14ac:dyDescent="0.4">
      <c r="H41" s="38" t="s">
        <v>62</v>
      </c>
      <c r="I41" s="81">
        <f>I36/F98</f>
        <v>1.25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+WWTfAlV3woVcp/8DKXzgPednlcQlC8t9BOw+lnj2AS7aFZePpKWDdVa32f0w8PF8QUQGS9V9GjPnAc/gdkQAw==" saltValue="sm+AQ3rJ8qE8BUwZdlpNF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3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1181100</xdr:colOff>
                    <xdr:row>1</xdr:row>
                    <xdr:rowOff>12700</xdr:rowOff>
                  </from>
                  <to>
                    <xdr:col>7</xdr:col>
                    <xdr:colOff>3270250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6">
    <tabColor theme="4" tint="0.39997558519241921"/>
  </sheetPr>
  <dimension ref="A2:M115"/>
  <sheetViews>
    <sheetView showGridLines="0" zoomScale="90" zoomScaleNormal="90" workbookViewId="0"/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217" t="s">
        <v>510</v>
      </c>
    </row>
    <row r="4" spans="1:13" ht="15.5" x14ac:dyDescent="0.35">
      <c r="B4" s="216" t="s">
        <v>475</v>
      </c>
      <c r="C4" s="217" t="s">
        <v>505</v>
      </c>
    </row>
    <row r="5" spans="1:13" ht="15" customHeight="1" thickBot="1" x14ac:dyDescent="0.4"/>
    <row r="6" spans="1:13" ht="23.25" customHeight="1" thickBot="1" x14ac:dyDescent="0.4">
      <c r="A6" s="284" t="s">
        <v>84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" t="s">
        <v>4</v>
      </c>
      <c r="C8" s="2" t="s">
        <v>5</v>
      </c>
      <c r="D8" s="3" t="s">
        <v>6</v>
      </c>
      <c r="E8" s="2" t="s">
        <v>7</v>
      </c>
      <c r="F8" s="4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5" t="s">
        <v>85</v>
      </c>
      <c r="C9" s="6">
        <v>750</v>
      </c>
      <c r="D9" s="7" t="s">
        <v>12</v>
      </c>
      <c r="E9" s="240">
        <v>96435</v>
      </c>
      <c r="F9" s="8">
        <f>Tabla134568108[[#This Row],[PRECIO]]/Tabla134568108[[#This Row],[CANTIDAD]]</f>
        <v>128.58000000000001</v>
      </c>
      <c r="H9" s="9" t="s">
        <v>13</v>
      </c>
      <c r="I9" s="10">
        <f>F26</f>
        <v>17568.424999999999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86</v>
      </c>
      <c r="C10" s="13">
        <v>1000</v>
      </c>
      <c r="D10" s="14" t="s">
        <v>12</v>
      </c>
      <c r="E10" s="236">
        <v>10000</v>
      </c>
      <c r="F10" s="16">
        <f>Tabla134568108[[#This Row],[PRECIO]]/Tabla134568108[[#This Row],[CANTIDAD]]</f>
        <v>10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12" t="s">
        <v>87</v>
      </c>
      <c r="C11" s="14">
        <v>1000</v>
      </c>
      <c r="D11" s="14" t="s">
        <v>22</v>
      </c>
      <c r="E11" s="236">
        <v>3500</v>
      </c>
      <c r="F11" s="16">
        <f>Tabla134568108[[#This Row],[PRECIO]]/Tabla134568108[[#This Row],[CANTIDAD]]</f>
        <v>3.5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 t="s">
        <v>88</v>
      </c>
      <c r="C12" s="22">
        <v>250</v>
      </c>
      <c r="D12" s="22" t="s">
        <v>22</v>
      </c>
      <c r="E12" s="237">
        <v>3000</v>
      </c>
      <c r="F12" s="24">
        <f>Tabla134568108[[#This Row],[PRECIO]]/Tabla134568108[[#This Row],[CANTIDAD]]</f>
        <v>12</v>
      </c>
      <c r="H12" s="25" t="s">
        <v>23</v>
      </c>
      <c r="I12" s="26">
        <f>I9-I10</f>
        <v>12591.758333333331</v>
      </c>
      <c r="J12" s="27">
        <f>(I9-I10)/I10*100%</f>
        <v>2.5301590756865364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29"/>
      <c r="C13" s="22"/>
      <c r="D13" s="22"/>
      <c r="E13" s="241"/>
      <c r="F13" s="24"/>
      <c r="H13" s="30" t="s">
        <v>26</v>
      </c>
      <c r="I13" s="31">
        <f>I9-I11</f>
        <v>10561.758333333331</v>
      </c>
      <c r="J13" s="32">
        <f>(I9-I11)/I11*100%</f>
        <v>1.5073870123691719</v>
      </c>
      <c r="L13" s="17" t="s">
        <v>27</v>
      </c>
      <c r="M13" s="19">
        <f>D17+D18+D16+D19+30</f>
        <v>215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7.5471698113207544E-2</v>
      </c>
    </row>
    <row r="15" spans="1:13" ht="24.5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6" thickBot="1" x14ac:dyDescent="0.4">
      <c r="A16" s="296"/>
      <c r="B16" s="44" t="str">
        <f>B9</f>
        <v>WHISKY BUCHANA'NS 12</v>
      </c>
      <c r="C16" s="45" t="str">
        <f>D9</f>
        <v>ML</v>
      </c>
      <c r="D16" s="189">
        <v>50</v>
      </c>
      <c r="E16" s="45">
        <f>VLOOKUP(B16,Tabla134568108[],5,FALSE)</f>
        <v>128.58000000000001</v>
      </c>
      <c r="F16" s="47">
        <f>E16*D16</f>
        <v>6429.0000000000009</v>
      </c>
      <c r="H16" s="48" t="s">
        <v>13</v>
      </c>
      <c r="I16" s="49">
        <f>F26</f>
        <v>17568.424999999999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ZUMO DE MANDARINA</v>
      </c>
      <c r="C17" s="51" t="str">
        <f>D10</f>
        <v>ML</v>
      </c>
      <c r="D17" s="190">
        <v>60</v>
      </c>
      <c r="E17" s="51">
        <f>VLOOKUP(B17,Tabla134568108[],5,FALSE)</f>
        <v>10</v>
      </c>
      <c r="F17" s="53">
        <f>E17*D17</f>
        <v>600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AZÚCAR(ALMÍBAR 50/50)</v>
      </c>
      <c r="C18" s="51" t="s">
        <v>12</v>
      </c>
      <c r="D18" s="190">
        <v>15</v>
      </c>
      <c r="E18" s="51">
        <f>VLOOKUP(B18,Tabla134568108[],5,FALSE)</f>
        <v>3.5</v>
      </c>
      <c r="F18" s="53">
        <f>E18*D18</f>
        <v>52.5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 t="str">
        <f>B12</f>
        <v>MANZANA VERDE</v>
      </c>
      <c r="C19" s="55" t="s">
        <v>22</v>
      </c>
      <c r="D19" s="234">
        <v>60</v>
      </c>
      <c r="E19" s="55">
        <f>VLOOKUP(B19,Tabla134568108[],5,FALSE)</f>
        <v>12</v>
      </c>
      <c r="F19" s="57">
        <f>E19*D19</f>
        <v>720</v>
      </c>
      <c r="H19" s="58" t="s">
        <v>40</v>
      </c>
      <c r="I19" s="26">
        <f>I16-I17</f>
        <v>11448.424999999999</v>
      </c>
      <c r="J19" s="27">
        <f>(I16-I17)/I17*100%</f>
        <v>1.8706576797385619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5"/>
      <c r="E20" s="60"/>
      <c r="F20" s="62"/>
      <c r="H20" s="63" t="s">
        <v>41</v>
      </c>
      <c r="I20" s="31">
        <f>I16-I18</f>
        <v>5768.4249999999993</v>
      </c>
      <c r="J20" s="32">
        <f>(I16-I18)/I18*100%</f>
        <v>0.48884957627118636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7801.5000000000009</v>
      </c>
    </row>
    <row r="22" spans="1:13" ht="16" thickBot="1" x14ac:dyDescent="0.4">
      <c r="A22" s="296"/>
      <c r="B22" s="304" t="s">
        <v>89</v>
      </c>
      <c r="C22" s="305"/>
      <c r="D22" s="310" t="s">
        <v>46</v>
      </c>
      <c r="E22" s="311"/>
      <c r="F22" s="66">
        <f>F21*5%</f>
        <v>390.07500000000005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8191.5750000000007</v>
      </c>
      <c r="H23" s="9" t="s">
        <v>13</v>
      </c>
      <c r="I23" s="10">
        <f>F26</f>
        <v>17568.424999999999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28000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2240</v>
      </c>
      <c r="H25" s="30" t="s">
        <v>52</v>
      </c>
      <c r="I25" s="70">
        <f>I23-I24</f>
        <v>9271.7583333333332</v>
      </c>
      <c r="J25" s="71">
        <f>(I23-I24)/I23*100%</f>
        <v>0.5277512544996682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17568.424999999999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0.29255625000000002</v>
      </c>
      <c r="G27" s="73"/>
      <c r="H27" s="293" t="s">
        <v>55</v>
      </c>
      <c r="I27" s="294"/>
    </row>
    <row r="28" spans="1:13" ht="15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0.62744374999999997</v>
      </c>
      <c r="G28" s="73"/>
      <c r="H28" s="9" t="s">
        <v>57</v>
      </c>
      <c r="I28" s="10">
        <f>F26</f>
        <v>17568.424999999999</v>
      </c>
    </row>
    <row r="29" spans="1:13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3.5301590756865369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2.5073870123691719</v>
      </c>
    </row>
    <row r="31" spans="1:13" x14ac:dyDescent="0.35">
      <c r="H31" s="17" t="s">
        <v>60</v>
      </c>
      <c r="I31" s="80">
        <f>I28/F113</f>
        <v>2.1175281237444756</v>
      </c>
    </row>
    <row r="32" spans="1:13" x14ac:dyDescent="0.35">
      <c r="H32" s="17" t="s">
        <v>61</v>
      </c>
      <c r="I32" s="80">
        <f>I28/F87</f>
        <v>2.8706576797385619</v>
      </c>
    </row>
    <row r="33" spans="8:9" ht="15" thickBot="1" x14ac:dyDescent="0.4">
      <c r="H33" s="38" t="s">
        <v>62</v>
      </c>
      <c r="I33" s="81">
        <f>I28/F100</f>
        <v>1.4888495762711864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28000</v>
      </c>
    </row>
    <row r="37" spans="8:9" x14ac:dyDescent="0.35">
      <c r="H37" s="17" t="s">
        <v>58</v>
      </c>
      <c r="I37" s="80">
        <f>I36/F60</f>
        <v>3.5</v>
      </c>
    </row>
    <row r="38" spans="8:9" x14ac:dyDescent="0.35">
      <c r="H38" s="17" t="s">
        <v>59</v>
      </c>
      <c r="I38" s="80">
        <f>I36/F72</f>
        <v>2.3333333333333335</v>
      </c>
    </row>
    <row r="39" spans="8:9" x14ac:dyDescent="0.35">
      <c r="H39" s="17" t="s">
        <v>60</v>
      </c>
      <c r="I39" s="80">
        <f>I36/F111</f>
        <v>2</v>
      </c>
    </row>
    <row r="40" spans="8:9" x14ac:dyDescent="0.35">
      <c r="H40" s="17" t="s">
        <v>61</v>
      </c>
      <c r="I40" s="80">
        <f>I36/F85</f>
        <v>2.8</v>
      </c>
    </row>
    <row r="41" spans="8:9" ht="15" thickBot="1" x14ac:dyDescent="0.4">
      <c r="H41" s="38" t="s">
        <v>62</v>
      </c>
      <c r="I41" s="81">
        <f>I36/F98</f>
        <v>1.4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formatCells="0" formatRows="0" selectLockedCells="1"/>
  <protectedRanges>
    <protectedRange sqref="E9:E13 D16:D20 F24 B56 D56 F60 B68 D68 F72 B81 D81 F85 B94 D94 F98 B107 D107 F111" name="PRUEBA FINAL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1136650</xdr:colOff>
                    <xdr:row>1</xdr:row>
                    <xdr:rowOff>50800</xdr:rowOff>
                  </from>
                  <to>
                    <xdr:col>7</xdr:col>
                    <xdr:colOff>3213100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61">
    <tabColor theme="7" tint="0.39997558519241921"/>
  </sheetPr>
  <dimension ref="A2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217" t="s">
        <v>510</v>
      </c>
    </row>
    <row r="4" spans="1:13" ht="15.5" x14ac:dyDescent="0.35">
      <c r="B4" s="216" t="s">
        <v>475</v>
      </c>
      <c r="C4" s="217" t="s">
        <v>500</v>
      </c>
    </row>
    <row r="5" spans="1:13" ht="15" customHeight="1" thickBot="1" x14ac:dyDescent="0.4"/>
    <row r="6" spans="1:13" ht="23.25" customHeight="1" thickBot="1" x14ac:dyDescent="0.4">
      <c r="A6" s="284" t="s">
        <v>513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97</v>
      </c>
      <c r="C9" s="14">
        <v>750</v>
      </c>
      <c r="D9" s="96" t="s">
        <v>12</v>
      </c>
      <c r="E9" s="236">
        <v>115237</v>
      </c>
      <c r="F9" s="16">
        <f>Tabla1345681091125[[#This Row],[PRECIO]]/Tabla1345681091125[[#This Row],[CANTIDAD]]</f>
        <v>153.64933333333335</v>
      </c>
      <c r="H9" s="9" t="s">
        <v>13</v>
      </c>
      <c r="I9" s="10">
        <f>F26</f>
        <v>17920.091999999997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/>
      <c r="C10" s="13"/>
      <c r="D10" s="14"/>
      <c r="E10" s="236"/>
      <c r="F10" s="16"/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0.06</v>
      </c>
    </row>
    <row r="11" spans="1:13" ht="15" customHeight="1" thickBot="1" x14ac:dyDescent="0.4">
      <c r="A11" s="288"/>
      <c r="B11" s="12"/>
      <c r="C11" s="14"/>
      <c r="D11" s="14"/>
      <c r="E11" s="236"/>
      <c r="F11" s="16"/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237"/>
      <c r="F12" s="24"/>
      <c r="H12" s="25" t="s">
        <v>23</v>
      </c>
      <c r="I12" s="26">
        <f>I9-I10</f>
        <v>12943.425333333329</v>
      </c>
      <c r="J12" s="27">
        <f>(I9-I10)/I10*100%</f>
        <v>2.6008222371064962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289"/>
      <c r="B13" s="29"/>
      <c r="C13" s="22"/>
      <c r="D13" s="22"/>
      <c r="E13" s="239"/>
      <c r="F13" s="24"/>
      <c r="H13" s="30" t="s">
        <v>26</v>
      </c>
      <c r="I13" s="31">
        <f>I9-I11</f>
        <v>10913.425333333329</v>
      </c>
      <c r="J13" s="32">
        <f>(I9-I11)/I11*100%</f>
        <v>1.5575773549000944</v>
      </c>
      <c r="L13" s="17" t="s">
        <v>27</v>
      </c>
      <c r="M13" s="19">
        <f>D17+D18+D16+D19+30</f>
        <v>90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0.16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WHISKY BUCHANAN'S MASTER</v>
      </c>
      <c r="C16" s="45" t="str">
        <f>D9</f>
        <v>ML</v>
      </c>
      <c r="D16" s="189">
        <v>60</v>
      </c>
      <c r="E16" s="45">
        <f>VLOOKUP(B16,Tabla1345681091125[],5,FALSE)</f>
        <v>153.64933333333335</v>
      </c>
      <c r="F16" s="47">
        <f>E16*D16</f>
        <v>9218.9600000000009</v>
      </c>
      <c r="H16" s="48" t="s">
        <v>13</v>
      </c>
      <c r="I16" s="49">
        <f>F26</f>
        <v>17920.091999999997</v>
      </c>
      <c r="L16" s="290" t="s">
        <v>35</v>
      </c>
      <c r="M16" s="291"/>
    </row>
    <row r="17" spans="1:13" ht="15" customHeight="1" x14ac:dyDescent="0.35">
      <c r="A17" s="296"/>
      <c r="B17" s="50"/>
      <c r="C17" s="51"/>
      <c r="D17" s="190"/>
      <c r="E17" s="51"/>
      <c r="F17" s="53"/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/>
      <c r="C18" s="51"/>
      <c r="D18" s="19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/>
      <c r="C19" s="55"/>
      <c r="D19" s="234"/>
      <c r="E19" s="55"/>
      <c r="F19" s="57"/>
      <c r="H19" s="58" t="s">
        <v>40</v>
      </c>
      <c r="I19" s="26">
        <f>I16-I17</f>
        <v>11800.091999999997</v>
      </c>
      <c r="J19" s="27">
        <f>(I16-I17)/I17*100%</f>
        <v>1.9281196078431369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5"/>
      <c r="E20" s="60"/>
      <c r="F20" s="62"/>
      <c r="H20" s="63" t="s">
        <v>41</v>
      </c>
      <c r="I20" s="31">
        <f>I16-I18</f>
        <v>6120.0919999999969</v>
      </c>
      <c r="J20" s="32">
        <f>(I16-I18)/I18*100%</f>
        <v>0.51865186440677935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9218.9600000000009</v>
      </c>
    </row>
    <row r="22" spans="1:13" ht="16.5" customHeight="1" thickBot="1" x14ac:dyDescent="0.4">
      <c r="A22" s="296"/>
      <c r="B22" s="304" t="s">
        <v>511</v>
      </c>
      <c r="C22" s="305"/>
      <c r="D22" s="310" t="s">
        <v>46</v>
      </c>
      <c r="E22" s="311"/>
      <c r="F22" s="66">
        <f>F21*5%</f>
        <v>460.94800000000009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9679.9080000000013</v>
      </c>
      <c r="H23" s="9" t="s">
        <v>13</v>
      </c>
      <c r="I23" s="10">
        <f>F26</f>
        <v>17920.091999999997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30000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2400</v>
      </c>
      <c r="H25" s="30" t="s">
        <v>52</v>
      </c>
      <c r="I25" s="70">
        <f>I23-I24</f>
        <v>9623.4253333333309</v>
      </c>
      <c r="J25" s="71">
        <f>(I23-I24)/I23*100%</f>
        <v>0.53701874596030719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17920.091999999997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0.32266360000000005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0.59733639999999988</v>
      </c>
      <c r="G28" s="73"/>
      <c r="H28" s="9" t="s">
        <v>57</v>
      </c>
      <c r="I28" s="10">
        <f>F26</f>
        <v>17920.091999999997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3.6008222371064962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2.5575773549000944</v>
      </c>
    </row>
    <row r="31" spans="1:13" x14ac:dyDescent="0.35">
      <c r="H31" s="17" t="s">
        <v>60</v>
      </c>
      <c r="I31" s="80">
        <f>I28/F113</f>
        <v>2.1599146645239049</v>
      </c>
    </row>
    <row r="32" spans="1:13" x14ac:dyDescent="0.35">
      <c r="H32" s="17" t="s">
        <v>61</v>
      </c>
      <c r="I32" s="80">
        <f>I28/F87</f>
        <v>2.9281196078431369</v>
      </c>
    </row>
    <row r="33" spans="8:9" ht="15" thickBot="1" x14ac:dyDescent="0.4">
      <c r="H33" s="38" t="s">
        <v>62</v>
      </c>
      <c r="I33" s="81">
        <f>I28/F100</f>
        <v>1.5186518644067795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30000</v>
      </c>
    </row>
    <row r="37" spans="8:9" x14ac:dyDescent="0.35">
      <c r="H37" s="17" t="s">
        <v>58</v>
      </c>
      <c r="I37" s="80">
        <f>I36/F60</f>
        <v>3.75</v>
      </c>
    </row>
    <row r="38" spans="8:9" x14ac:dyDescent="0.35">
      <c r="H38" s="17" t="s">
        <v>59</v>
      </c>
      <c r="I38" s="80">
        <f>I36/F72</f>
        <v>2.5</v>
      </c>
    </row>
    <row r="39" spans="8:9" x14ac:dyDescent="0.35">
      <c r="H39" s="17" t="s">
        <v>60</v>
      </c>
      <c r="I39" s="80">
        <f>I36/F111</f>
        <v>2.1428571428571428</v>
      </c>
    </row>
    <row r="40" spans="8:9" x14ac:dyDescent="0.35">
      <c r="H40" s="17" t="s">
        <v>61</v>
      </c>
      <c r="I40" s="80">
        <f>I36/F85</f>
        <v>3</v>
      </c>
    </row>
    <row r="41" spans="8:9" ht="15" thickBot="1" x14ac:dyDescent="0.4">
      <c r="H41" s="38" t="s">
        <v>62</v>
      </c>
      <c r="I41" s="81">
        <f>I36/F98</f>
        <v>1.5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V39DrY8NH2hr6r2xDX3YMZA1lQf6rVidKwO/04kHW6zUjxXNTbmm74EZ8/gAN/9W9mUBeexmpnA7oJxqUHjC9g==" saltValue="bQTue+rhVHlTcFNY2jejB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05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1250950</xdr:colOff>
                    <xdr:row>0</xdr:row>
                    <xdr:rowOff>184150</xdr:rowOff>
                  </from>
                  <to>
                    <xdr:col>7</xdr:col>
                    <xdr:colOff>3327400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9">
    <tabColor theme="5" tint="0.39997558519241921"/>
  </sheetPr>
  <dimension ref="A2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217" t="s">
        <v>510</v>
      </c>
    </row>
    <row r="4" spans="1:13" ht="15.5" x14ac:dyDescent="0.35">
      <c r="B4" s="216" t="s">
        <v>475</v>
      </c>
      <c r="C4" s="217" t="s">
        <v>512</v>
      </c>
    </row>
    <row r="5" spans="1:13" ht="15" customHeight="1" thickBot="1" x14ac:dyDescent="0.4"/>
    <row r="6" spans="1:13" ht="23.25" customHeight="1" thickBot="1" x14ac:dyDescent="0.4">
      <c r="A6" s="284" t="s">
        <v>100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97</v>
      </c>
      <c r="C9" s="14">
        <v>750</v>
      </c>
      <c r="D9" s="96" t="s">
        <v>12</v>
      </c>
      <c r="E9" s="236">
        <v>115237</v>
      </c>
      <c r="F9" s="16">
        <f>Tabla13456810911[[#This Row],[PRECIO]]/Tabla13456810911[[#This Row],[CANTIDAD]]</f>
        <v>153.64933333333335</v>
      </c>
      <c r="H9" s="9" t="s">
        <v>13</v>
      </c>
      <c r="I9" s="10">
        <f>F26</f>
        <v>17215.66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98</v>
      </c>
      <c r="C10" s="13">
        <v>1500</v>
      </c>
      <c r="D10" s="14" t="s">
        <v>12</v>
      </c>
      <c r="E10" s="236">
        <v>4200</v>
      </c>
      <c r="F10" s="16">
        <f>Tabla13456810911[[#This Row],[PRECIO]]/Tabla13456810911[[#This Row],[CANTIDAD]]</f>
        <v>2.8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12" t="s">
        <v>99</v>
      </c>
      <c r="C11" s="14">
        <v>500</v>
      </c>
      <c r="D11" s="14" t="s">
        <v>22</v>
      </c>
      <c r="E11" s="236">
        <v>3500</v>
      </c>
      <c r="F11" s="16">
        <f>Tabla13456810911[[#This Row],[PRECIO]]/Tabla13456810911[[#This Row],[CANTIDAD]]</f>
        <v>7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237"/>
      <c r="F12" s="24"/>
      <c r="H12" s="25" t="s">
        <v>23</v>
      </c>
      <c r="I12" s="26">
        <f>I9-I10</f>
        <v>12238.993333333332</v>
      </c>
      <c r="J12" s="27">
        <f>(I9-I10)/I10*100%</f>
        <v>2.4592752846617545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29"/>
      <c r="C13" s="22"/>
      <c r="D13" s="22"/>
      <c r="E13" s="239"/>
      <c r="F13" s="24"/>
      <c r="H13" s="30" t="s">
        <v>26</v>
      </c>
      <c r="I13" s="31">
        <f>I9-I11</f>
        <v>10208.993333333332</v>
      </c>
      <c r="J13" s="32">
        <f>(I9-I11)/I11*100%</f>
        <v>1.4570399619410084</v>
      </c>
      <c r="L13" s="17" t="s">
        <v>27</v>
      </c>
      <c r="M13" s="19">
        <f>D17+D18+D16+D19+30</f>
        <v>235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7.0175438596491224E-2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WHISKY BUCHANAN'S MASTER</v>
      </c>
      <c r="C16" s="45" t="str">
        <f>D9</f>
        <v>ML</v>
      </c>
      <c r="D16" s="189">
        <v>50</v>
      </c>
      <c r="E16" s="45">
        <f>VLOOKUP(B16,Tabla13456810911[],5,FALSE)</f>
        <v>153.64933333333335</v>
      </c>
      <c r="F16" s="47">
        <f>E16*D16</f>
        <v>7682.4666666666672</v>
      </c>
      <c r="H16" s="48" t="s">
        <v>13</v>
      </c>
      <c r="I16" s="49">
        <f>F26</f>
        <v>17215.66</v>
      </c>
      <c r="L16" s="290" t="s">
        <v>35</v>
      </c>
      <c r="M16" s="291"/>
    </row>
    <row r="17" spans="1:13" ht="15" customHeight="1" x14ac:dyDescent="0.35">
      <c r="A17" s="296"/>
      <c r="B17" s="50" t="s">
        <v>98</v>
      </c>
      <c r="C17" s="51" t="str">
        <f>D10</f>
        <v>ML</v>
      </c>
      <c r="D17" s="190">
        <v>150</v>
      </c>
      <c r="E17" s="51">
        <f>VLOOKUP(B17,Tabla13456810911[],5,FALSE)</f>
        <v>2.8</v>
      </c>
      <c r="F17" s="53">
        <f>E17*D17</f>
        <v>420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">
        <v>99</v>
      </c>
      <c r="C18" s="51" t="str">
        <f>D11</f>
        <v>GR</v>
      </c>
      <c r="D18" s="190">
        <v>5</v>
      </c>
      <c r="E18" s="51">
        <f>VLOOKUP(B18,Tabla13456810911[],5,FALSE)</f>
        <v>7</v>
      </c>
      <c r="F18" s="53">
        <f>E18*D18</f>
        <v>35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/>
      <c r="C19" s="55"/>
      <c r="D19" s="234"/>
      <c r="E19" s="55"/>
      <c r="F19" s="57"/>
      <c r="H19" s="58" t="s">
        <v>40</v>
      </c>
      <c r="I19" s="26">
        <f>I16-I17</f>
        <v>11095.66</v>
      </c>
      <c r="J19" s="27">
        <f>(I16-I17)/I17*100%</f>
        <v>1.8130163398692811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5"/>
      <c r="E20" s="60"/>
      <c r="F20" s="62"/>
      <c r="H20" s="63" t="s">
        <v>41</v>
      </c>
      <c r="I20" s="31">
        <f>I16-I18</f>
        <v>5415.66</v>
      </c>
      <c r="J20" s="32">
        <f>(I16-I18)/I18*100%</f>
        <v>0.45895423728813556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8137.4666666666672</v>
      </c>
    </row>
    <row r="22" spans="1:13" ht="16.5" customHeight="1" thickBot="1" x14ac:dyDescent="0.4">
      <c r="A22" s="296"/>
      <c r="B22" s="304" t="s">
        <v>554</v>
      </c>
      <c r="C22" s="305"/>
      <c r="D22" s="310" t="s">
        <v>46</v>
      </c>
      <c r="E22" s="311"/>
      <c r="F22" s="66">
        <f>F21*5%</f>
        <v>406.87333333333339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8544.34</v>
      </c>
      <c r="H23" s="9" t="s">
        <v>13</v>
      </c>
      <c r="I23" s="10">
        <f>F26</f>
        <v>17215.66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28000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2240</v>
      </c>
      <c r="H25" s="30" t="s">
        <v>52</v>
      </c>
      <c r="I25" s="70">
        <f>I23-I24</f>
        <v>8918.9933333333338</v>
      </c>
      <c r="J25" s="71">
        <f>(I23-I24)/I23*100%</f>
        <v>0.51807443533000386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17215.66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0.30515500000000001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0.61484499999999997</v>
      </c>
      <c r="G28" s="73"/>
      <c r="H28" s="9" t="s">
        <v>57</v>
      </c>
      <c r="I28" s="10">
        <f>F26</f>
        <v>17215.66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3.4592752846617545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2.4570399619410086</v>
      </c>
    </row>
    <row r="31" spans="1:13" x14ac:dyDescent="0.35">
      <c r="H31" s="17" t="s">
        <v>60</v>
      </c>
      <c r="I31" s="80">
        <f>I28/F113</f>
        <v>2.0750092406588991</v>
      </c>
    </row>
    <row r="32" spans="1:13" x14ac:dyDescent="0.35">
      <c r="H32" s="17" t="s">
        <v>61</v>
      </c>
      <c r="I32" s="80">
        <f>I28/F87</f>
        <v>2.8130163398692809</v>
      </c>
    </row>
    <row r="33" spans="8:9" ht="15" thickBot="1" x14ac:dyDescent="0.4">
      <c r="H33" s="38" t="s">
        <v>62</v>
      </c>
      <c r="I33" s="81">
        <f>I28/F100</f>
        <v>1.4589542372881357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28000</v>
      </c>
    </row>
    <row r="37" spans="8:9" x14ac:dyDescent="0.35">
      <c r="H37" s="17" t="s">
        <v>58</v>
      </c>
      <c r="I37" s="80">
        <f>I36/F60</f>
        <v>3.5</v>
      </c>
    </row>
    <row r="38" spans="8:9" x14ac:dyDescent="0.35">
      <c r="H38" s="17" t="s">
        <v>59</v>
      </c>
      <c r="I38" s="80">
        <f>I36/F72</f>
        <v>2.3333333333333335</v>
      </c>
    </row>
    <row r="39" spans="8:9" x14ac:dyDescent="0.35">
      <c r="H39" s="17" t="s">
        <v>60</v>
      </c>
      <c r="I39" s="80">
        <f>I36/F111</f>
        <v>2</v>
      </c>
    </row>
    <row r="40" spans="8:9" x14ac:dyDescent="0.35">
      <c r="H40" s="17" t="s">
        <v>61</v>
      </c>
      <c r="I40" s="80">
        <f>I36/F85</f>
        <v>2.8</v>
      </c>
    </row>
    <row r="41" spans="8:9" ht="15" thickBot="1" x14ac:dyDescent="0.4">
      <c r="H41" s="38" t="s">
        <v>62</v>
      </c>
      <c r="I41" s="81">
        <f>I36/F98</f>
        <v>1.4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tSVmlhMkqQcG9dk1ROj9W5WlrpmKI7KTdNBE1ecHFl6o4HlwqjhQhIYFHpHal8p8tthlPV4NZgJvCKTP48OL7A==" saltValue="e2KCW5Oz60/mq1EIuwSdd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1276350</xdr:colOff>
                    <xdr:row>1</xdr:row>
                    <xdr:rowOff>19050</xdr:rowOff>
                  </from>
                  <to>
                    <xdr:col>7</xdr:col>
                    <xdr:colOff>3365500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62">
    <tabColor theme="7" tint="0.39997558519241921"/>
  </sheetPr>
  <dimension ref="A2:M115"/>
  <sheetViews>
    <sheetView showGridLines="0" zoomScale="90" zoomScaleNormal="90" workbookViewId="0"/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439</v>
      </c>
    </row>
    <row r="3" spans="1:13" ht="15.5" x14ac:dyDescent="0.35">
      <c r="B3" s="216" t="s">
        <v>374</v>
      </c>
      <c r="C3" s="217" t="s">
        <v>510</v>
      </c>
    </row>
    <row r="4" spans="1:13" ht="15.5" x14ac:dyDescent="0.35">
      <c r="B4" s="216" t="s">
        <v>475</v>
      </c>
      <c r="C4" s="217" t="s">
        <v>500</v>
      </c>
    </row>
    <row r="5" spans="1:13" ht="15" customHeight="1" thickBot="1" x14ac:dyDescent="0.4"/>
    <row r="6" spans="1:13" ht="23.25" customHeight="1" thickBot="1" x14ac:dyDescent="0.4">
      <c r="A6" s="284" t="s">
        <v>514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515</v>
      </c>
      <c r="C9" s="14">
        <v>750</v>
      </c>
      <c r="D9" s="96" t="s">
        <v>12</v>
      </c>
      <c r="E9" s="236">
        <v>186870</v>
      </c>
      <c r="F9" s="16">
        <f>Tabla134568109112529[[#This Row],[PRECIO]]/Tabla134568109112529[[#This Row],[CANTIDAD]]</f>
        <v>249.16</v>
      </c>
      <c r="H9" s="9" t="s">
        <v>13</v>
      </c>
      <c r="I9" s="10">
        <f>F26</f>
        <v>25702.92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/>
      <c r="C10" s="13"/>
      <c r="D10" s="14"/>
      <c r="E10" s="236"/>
      <c r="F10" s="16"/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0.06</v>
      </c>
    </row>
    <row r="11" spans="1:13" ht="15" customHeight="1" thickBot="1" x14ac:dyDescent="0.4">
      <c r="A11" s="288"/>
      <c r="B11" s="12"/>
      <c r="C11" s="14"/>
      <c r="D11" s="14"/>
      <c r="E11" s="236"/>
      <c r="F11" s="16"/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237"/>
      <c r="F12" s="24"/>
      <c r="H12" s="25" t="s">
        <v>23</v>
      </c>
      <c r="I12" s="26">
        <f>I9-I10</f>
        <v>20726.25333333333</v>
      </c>
      <c r="J12" s="27">
        <f>(I9-I10)/I10*100%</f>
        <v>4.1646858673811114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289"/>
      <c r="B13" s="29"/>
      <c r="C13" s="22"/>
      <c r="D13" s="22"/>
      <c r="E13" s="239"/>
      <c r="F13" s="24"/>
      <c r="H13" s="30" t="s">
        <v>26</v>
      </c>
      <c r="I13" s="31">
        <f>I9-I11</f>
        <v>18696.25333333333</v>
      </c>
      <c r="J13" s="32">
        <f>(I9-I11)/I11*100%</f>
        <v>2.668352045670789</v>
      </c>
      <c r="L13" s="17" t="s">
        <v>27</v>
      </c>
      <c r="M13" s="19">
        <f>D17+D18+D16+D19+30</f>
        <v>90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0.16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WHISKY BUCHANAN'S 18</v>
      </c>
      <c r="C16" s="45" t="str">
        <f>D9</f>
        <v>ML</v>
      </c>
      <c r="D16" s="189">
        <v>60</v>
      </c>
      <c r="E16" s="45">
        <f>VLOOKUP(B16,Tabla134568109112529[],5,FALSE)</f>
        <v>249.16</v>
      </c>
      <c r="F16" s="47">
        <f>E16*D16</f>
        <v>14949.6</v>
      </c>
      <c r="H16" s="48" t="s">
        <v>13</v>
      </c>
      <c r="I16" s="49">
        <f>F26</f>
        <v>25702.92</v>
      </c>
      <c r="L16" s="290" t="s">
        <v>35</v>
      </c>
      <c r="M16" s="291"/>
    </row>
    <row r="17" spans="1:13" ht="15" customHeight="1" x14ac:dyDescent="0.35">
      <c r="A17" s="296"/>
      <c r="B17" s="50"/>
      <c r="C17" s="51"/>
      <c r="D17" s="190"/>
      <c r="E17" s="51"/>
      <c r="F17" s="53"/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/>
      <c r="C18" s="51"/>
      <c r="D18" s="19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/>
      <c r="C19" s="55"/>
      <c r="D19" s="234"/>
      <c r="E19" s="55"/>
      <c r="F19" s="57"/>
      <c r="H19" s="58" t="s">
        <v>40</v>
      </c>
      <c r="I19" s="26">
        <f>I16-I17</f>
        <v>19582.919999999998</v>
      </c>
      <c r="J19" s="27">
        <f>(I16-I17)/I17*100%</f>
        <v>3.1998235294117645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5"/>
      <c r="E20" s="60"/>
      <c r="F20" s="62"/>
      <c r="H20" s="63" t="s">
        <v>41</v>
      </c>
      <c r="I20" s="31">
        <f>I16-I18</f>
        <v>13902.919999999998</v>
      </c>
      <c r="J20" s="32">
        <f>(I16-I18)/I18*100%</f>
        <v>1.1782135593220338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14949.6</v>
      </c>
    </row>
    <row r="22" spans="1:13" ht="16.5" customHeight="1" thickBot="1" x14ac:dyDescent="0.4">
      <c r="A22" s="296"/>
      <c r="B22" s="304" t="s">
        <v>517</v>
      </c>
      <c r="C22" s="305"/>
      <c r="D22" s="310" t="s">
        <v>46</v>
      </c>
      <c r="E22" s="311"/>
      <c r="F22" s="66">
        <f>F21*5%</f>
        <v>747.48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15697.08</v>
      </c>
      <c r="H23" s="9" t="s">
        <v>13</v>
      </c>
      <c r="I23" s="10">
        <f>F26</f>
        <v>25702.92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45000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3600</v>
      </c>
      <c r="H25" s="30" t="s">
        <v>52</v>
      </c>
      <c r="I25" s="70">
        <f>I23-I24</f>
        <v>17406.253333333334</v>
      </c>
      <c r="J25" s="71">
        <f>(I23-I24)/I23*100%</f>
        <v>0.67720917830866434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25702.92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0.34882400000000002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0.57117599999999991</v>
      </c>
      <c r="G28" s="73"/>
      <c r="H28" s="9" t="s">
        <v>57</v>
      </c>
      <c r="I28" s="10">
        <f>F26</f>
        <v>25702.92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5.1646858673811114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3.6683520456707894</v>
      </c>
    </row>
    <row r="31" spans="1:13" x14ac:dyDescent="0.35">
      <c r="H31" s="17" t="s">
        <v>60</v>
      </c>
      <c r="I31" s="80">
        <f>I28/F113</f>
        <v>3.0979815186822015</v>
      </c>
    </row>
    <row r="32" spans="1:13" x14ac:dyDescent="0.35">
      <c r="H32" s="17" t="s">
        <v>61</v>
      </c>
      <c r="I32" s="80">
        <f>I28/F87</f>
        <v>4.1998235294117645</v>
      </c>
    </row>
    <row r="33" spans="8:9" ht="15" thickBot="1" x14ac:dyDescent="0.4">
      <c r="H33" s="38" t="s">
        <v>62</v>
      </c>
      <c r="I33" s="81">
        <f>I28/F100</f>
        <v>2.1782135593220335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45000</v>
      </c>
    </row>
    <row r="37" spans="8:9" x14ac:dyDescent="0.35">
      <c r="H37" s="17" t="s">
        <v>58</v>
      </c>
      <c r="I37" s="80">
        <f>I36/F60</f>
        <v>5.625</v>
      </c>
    </row>
    <row r="38" spans="8:9" x14ac:dyDescent="0.35">
      <c r="H38" s="17" t="s">
        <v>59</v>
      </c>
      <c r="I38" s="80">
        <f>I36/F72</f>
        <v>3.75</v>
      </c>
    </row>
    <row r="39" spans="8:9" x14ac:dyDescent="0.35">
      <c r="H39" s="17" t="s">
        <v>60</v>
      </c>
      <c r="I39" s="80">
        <f>I36/F111</f>
        <v>3.2142857142857144</v>
      </c>
    </row>
    <row r="40" spans="8:9" x14ac:dyDescent="0.35">
      <c r="H40" s="17" t="s">
        <v>61</v>
      </c>
      <c r="I40" s="80">
        <f>I36/F85</f>
        <v>4.5</v>
      </c>
    </row>
    <row r="41" spans="8:9" ht="15" thickBot="1" x14ac:dyDescent="0.4">
      <c r="H41" s="38" t="s">
        <v>62</v>
      </c>
      <c r="I41" s="81">
        <f>I36/F98</f>
        <v>2.25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JVtTEQT2Z0spiY6DCZA6C/El4p29kL0E5iJ5uDP0R2t6E1ZKpciLQr76m+F+sySE2BL6cPcNQTjLOieqe2hiRg==" saltValue="im1Ie6ph0VixsBppaMtFJ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5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774700</xdr:colOff>
                    <xdr:row>1</xdr:row>
                    <xdr:rowOff>69850</xdr:rowOff>
                  </from>
                  <to>
                    <xdr:col>7</xdr:col>
                    <xdr:colOff>2851150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63">
    <tabColor theme="4" tint="0.39997558519241921"/>
  </sheetPr>
  <dimension ref="A2:M115"/>
  <sheetViews>
    <sheetView showGridLines="0" zoomScale="85" zoomScaleNormal="85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439</v>
      </c>
    </row>
    <row r="3" spans="1:13" ht="15.5" x14ac:dyDescent="0.35">
      <c r="B3" s="216" t="s">
        <v>374</v>
      </c>
      <c r="C3" s="217" t="s">
        <v>510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284" t="s">
        <v>519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515</v>
      </c>
      <c r="C9" s="14">
        <v>750</v>
      </c>
      <c r="D9" s="96" t="s">
        <v>12</v>
      </c>
      <c r="E9" s="15">
        <v>186870</v>
      </c>
      <c r="F9" s="16">
        <f>Tabla13456810911252930[[#This Row],[PRECIO]]/Tabla13456810911252930[[#This Row],[CANTIDAD]]</f>
        <v>249.16</v>
      </c>
      <c r="H9" s="9" t="s">
        <v>13</v>
      </c>
      <c r="I9" s="10">
        <f>F26</f>
        <v>6317.8499999999985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516</v>
      </c>
      <c r="C10" s="13">
        <v>750</v>
      </c>
      <c r="D10" s="14" t="s">
        <v>12</v>
      </c>
      <c r="E10" s="15">
        <v>70000</v>
      </c>
      <c r="F10" s="16">
        <f>Tabla13456810911252930[[#This Row],[PRECIO]]/Tabla13456810911252930[[#This Row],[CANTIDAD]]</f>
        <v>93.333333333333329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12" t="s">
        <v>121</v>
      </c>
      <c r="C11" s="14">
        <v>350</v>
      </c>
      <c r="D11" s="14" t="s">
        <v>12</v>
      </c>
      <c r="E11" s="15">
        <v>2500</v>
      </c>
      <c r="F11" s="16">
        <f>Tabla13456810911252930[[#This Row],[PRECIO]]/Tabla13456810911252930[[#This Row],[CANTIDAD]]</f>
        <v>7.1428571428571432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 t="s">
        <v>91</v>
      </c>
      <c r="C12" s="22">
        <v>500</v>
      </c>
      <c r="D12" s="22" t="s">
        <v>22</v>
      </c>
      <c r="E12" s="23">
        <v>2500</v>
      </c>
      <c r="F12" s="16">
        <f>Tabla13456810911252930[[#This Row],[PRECIO]]/Tabla13456810911252930[[#This Row],[CANTIDAD]]</f>
        <v>5</v>
      </c>
      <c r="H12" s="25" t="s">
        <v>23</v>
      </c>
      <c r="I12" s="26">
        <f>I9-I10</f>
        <v>1341.1833333333316</v>
      </c>
      <c r="J12" s="27">
        <f>(I9-I10)/I10*100%</f>
        <v>0.26949430676490249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29"/>
      <c r="C13" s="22"/>
      <c r="D13" s="22"/>
      <c r="E13" s="106"/>
      <c r="F13" s="24"/>
      <c r="H13" s="30" t="s">
        <v>26</v>
      </c>
      <c r="I13" s="31">
        <f>I9-I11</f>
        <v>-688.81666666666843</v>
      </c>
      <c r="J13" s="32">
        <f>(I9-I11)/I11*100%</f>
        <v>-9.8308753568030691E-2</v>
      </c>
      <c r="L13" s="17" t="s">
        <v>27</v>
      </c>
      <c r="M13" s="19">
        <f>D17+D18+D16+D19+30</f>
        <v>260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6.4516129032258063E-2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WHISKY BUCHANAN'S 18</v>
      </c>
      <c r="C16" s="45" t="str">
        <f>D9</f>
        <v>ML</v>
      </c>
      <c r="D16" s="46">
        <v>50</v>
      </c>
      <c r="E16" s="45">
        <f>VLOOKUP(B16,Tabla13456810911252930[],5,FALSE)</f>
        <v>249.16</v>
      </c>
      <c r="F16" s="47">
        <f>E16*D16</f>
        <v>12458</v>
      </c>
      <c r="H16" s="48" t="s">
        <v>13</v>
      </c>
      <c r="I16" s="49">
        <f>F26</f>
        <v>6317.8499999999985</v>
      </c>
      <c r="L16" s="290" t="s">
        <v>35</v>
      </c>
      <c r="M16" s="291"/>
    </row>
    <row r="17" spans="1:13" ht="15" customHeight="1" thickBot="1" x14ac:dyDescent="0.4">
      <c r="A17" s="296"/>
      <c r="B17" s="50" t="str">
        <f>B10</f>
        <v>APEROL</v>
      </c>
      <c r="C17" s="51" t="str">
        <f>D10</f>
        <v>ML</v>
      </c>
      <c r="D17" s="52">
        <v>25</v>
      </c>
      <c r="E17" s="51">
        <f>VLOOKUP(B17,Tabla13456810911252930[],5,FALSE)</f>
        <v>93.333333333333329</v>
      </c>
      <c r="F17" s="47">
        <f>E17*D17</f>
        <v>2333.333333333333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SODA</v>
      </c>
      <c r="C18" s="51" t="str">
        <f>D11</f>
        <v>ML</v>
      </c>
      <c r="D18" s="52">
        <v>150</v>
      </c>
      <c r="E18" s="51">
        <f>VLOOKUP(B18,Tabla13456810911252930[],5,FALSE)</f>
        <v>7.1428571428571432</v>
      </c>
      <c r="F18" s="47">
        <f>E18*D18</f>
        <v>1071.4285714285716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 t="str">
        <f>B12</f>
        <v>NARANJA</v>
      </c>
      <c r="C19" s="55" t="str">
        <f>D12</f>
        <v>GR</v>
      </c>
      <c r="D19" s="56">
        <v>5</v>
      </c>
      <c r="E19" s="51">
        <f>VLOOKUP(B19,Tabla13456810911252930[],5,FALSE)</f>
        <v>5</v>
      </c>
      <c r="F19" s="47">
        <f>E19*D19</f>
        <v>25</v>
      </c>
      <c r="H19" s="58" t="s">
        <v>40</v>
      </c>
      <c r="I19" s="26">
        <f>I16-I17</f>
        <v>197.84999999999854</v>
      </c>
      <c r="J19" s="27">
        <f>(I16-I17)/I17*100%</f>
        <v>3.2328431372548781E-2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61"/>
      <c r="E20" s="60"/>
      <c r="F20" s="62"/>
      <c r="H20" s="63" t="s">
        <v>41</v>
      </c>
      <c r="I20" s="31">
        <f>I16-I18</f>
        <v>-5482.1500000000015</v>
      </c>
      <c r="J20" s="32">
        <f>(I16-I18)/I18*100%</f>
        <v>-0.46458898305084756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15887.761904761905</v>
      </c>
    </row>
    <row r="22" spans="1:13" ht="16.5" customHeight="1" thickBot="1" x14ac:dyDescent="0.4">
      <c r="A22" s="296"/>
      <c r="B22" s="304" t="s">
        <v>518</v>
      </c>
      <c r="C22" s="305"/>
      <c r="D22" s="310" t="s">
        <v>46</v>
      </c>
      <c r="E22" s="311"/>
      <c r="F22" s="66">
        <f>F21*5%</f>
        <v>794.38809523809527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16682.150000000001</v>
      </c>
      <c r="H23" s="9" t="s">
        <v>13</v>
      </c>
      <c r="I23" s="10">
        <f>F26</f>
        <v>6317.8499999999985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68">
        <v>25000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2000</v>
      </c>
      <c r="H25" s="30" t="s">
        <v>52</v>
      </c>
      <c r="I25" s="70">
        <f>I23-I24</f>
        <v>-1978.8166666666675</v>
      </c>
      <c r="J25" s="71">
        <f>(I23-I24)/I23*100%</f>
        <v>-0.31321045397827868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6317.8499999999985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0.66728600000000005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0.25271399999999994</v>
      </c>
      <c r="G28" s="73"/>
      <c r="H28" s="9" t="s">
        <v>57</v>
      </c>
      <c r="I28" s="10">
        <f>F26</f>
        <v>6317.8499999999985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1.2694943067649025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0.9016912464319693</v>
      </c>
    </row>
    <row r="31" spans="1:13" x14ac:dyDescent="0.35">
      <c r="H31" s="17" t="s">
        <v>60</v>
      </c>
      <c r="I31" s="80">
        <f>I28/F113</f>
        <v>0.76149256729610271</v>
      </c>
    </row>
    <row r="32" spans="1:13" x14ac:dyDescent="0.35">
      <c r="H32" s="17" t="s">
        <v>61</v>
      </c>
      <c r="I32" s="80">
        <f>I28/F87</f>
        <v>1.0323284313725487</v>
      </c>
    </row>
    <row r="33" spans="8:9" ht="15" thickBot="1" x14ac:dyDescent="0.4">
      <c r="H33" s="38" t="s">
        <v>62</v>
      </c>
      <c r="I33" s="81">
        <f>I28/F100</f>
        <v>0.53541101694915239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25000</v>
      </c>
    </row>
    <row r="37" spans="8:9" x14ac:dyDescent="0.35">
      <c r="H37" s="17" t="s">
        <v>58</v>
      </c>
      <c r="I37" s="80">
        <f>I36/F60</f>
        <v>3.125</v>
      </c>
    </row>
    <row r="38" spans="8:9" x14ac:dyDescent="0.35">
      <c r="H38" s="17" t="s">
        <v>59</v>
      </c>
      <c r="I38" s="80">
        <f>I36/F72</f>
        <v>2.0833333333333335</v>
      </c>
    </row>
    <row r="39" spans="8:9" x14ac:dyDescent="0.35">
      <c r="H39" s="17" t="s">
        <v>60</v>
      </c>
      <c r="I39" s="80">
        <f>I36/F111</f>
        <v>1.7857142857142858</v>
      </c>
    </row>
    <row r="40" spans="8:9" x14ac:dyDescent="0.35">
      <c r="H40" s="17" t="s">
        <v>61</v>
      </c>
      <c r="I40" s="80">
        <f>I36/F85</f>
        <v>2.5</v>
      </c>
    </row>
    <row r="41" spans="8:9" ht="15" thickBot="1" x14ac:dyDescent="0.4">
      <c r="H41" s="38" t="s">
        <v>62</v>
      </c>
      <c r="I41" s="81">
        <f>I36/F98</f>
        <v>1.25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SyfjWN0XCsq2e2JkKlqoQ6d92ECdAAS0l1SBo6Aem5ujQ64ZYPfDKFXYs9VO4j7/vTfgiHTaLqoD1Pw5zV+wew==" saltValue="B6dUHn/dQ1HAB/RKA1jB2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09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1022350</xdr:colOff>
                    <xdr:row>1</xdr:row>
                    <xdr:rowOff>31750</xdr:rowOff>
                  </from>
                  <to>
                    <xdr:col>7</xdr:col>
                    <xdr:colOff>3086100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10">
    <tabColor theme="5" tint="0.39997558519241921"/>
  </sheetPr>
  <dimension ref="A1:M115"/>
  <sheetViews>
    <sheetView showGridLines="0" zoomScale="90" zoomScaleNormal="90" workbookViewId="0"/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x14ac:dyDescent="0.35">
      <c r="A1" s="249"/>
    </row>
    <row r="2" spans="1:13" ht="15.5" x14ac:dyDescent="0.35">
      <c r="B2" s="216" t="s">
        <v>473</v>
      </c>
      <c r="C2" s="198" t="s">
        <v>443</v>
      </c>
    </row>
    <row r="3" spans="1:13" ht="15.5" x14ac:dyDescent="0.35">
      <c r="B3" s="216" t="s">
        <v>374</v>
      </c>
      <c r="C3" s="217" t="s">
        <v>520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284" t="s">
        <v>104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101</v>
      </c>
      <c r="C9" s="14">
        <v>750</v>
      </c>
      <c r="D9" s="96" t="s">
        <v>12</v>
      </c>
      <c r="E9" s="236">
        <v>59237</v>
      </c>
      <c r="F9" s="16">
        <f>Tabla1345681091113[[#This Row],[PRECIO]]/Tabla1345681091113[[#This Row],[CANTIDAD]]</f>
        <v>78.98266666666666</v>
      </c>
      <c r="H9" s="9" t="s">
        <v>13</v>
      </c>
      <c r="I9" s="10">
        <f>F26</f>
        <v>8684.0690909090918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102</v>
      </c>
      <c r="C10" s="13">
        <v>330</v>
      </c>
      <c r="D10" s="14" t="s">
        <v>12</v>
      </c>
      <c r="E10" s="236">
        <v>1800</v>
      </c>
      <c r="F10" s="16">
        <f>Tabla1345681091113[[#This Row],[PRECIO]]/Tabla1345681091113[[#This Row],[CANTIDAD]]</f>
        <v>5.4545454545454541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12" t="s">
        <v>99</v>
      </c>
      <c r="C11" s="14">
        <v>500</v>
      </c>
      <c r="D11" s="14" t="s">
        <v>22</v>
      </c>
      <c r="E11" s="236">
        <v>3500</v>
      </c>
      <c r="F11" s="16">
        <f>Tabla1345681091113[[#This Row],[PRECIO]]/Tabla1345681091113[[#This Row],[CANTIDAD]]</f>
        <v>7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237"/>
      <c r="F12" s="24"/>
      <c r="H12" s="25" t="s">
        <v>23</v>
      </c>
      <c r="I12" s="26">
        <f>I9-I10</f>
        <v>3707.4024242424248</v>
      </c>
      <c r="J12" s="27">
        <f>(I9-I10)/I10*100%</f>
        <v>0.7449569506180358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29"/>
      <c r="C13" s="22"/>
      <c r="D13" s="22"/>
      <c r="E13" s="239"/>
      <c r="F13" s="24"/>
      <c r="H13" s="30" t="s">
        <v>26</v>
      </c>
      <c r="I13" s="31">
        <f>I9-I11</f>
        <v>1677.4024242424248</v>
      </c>
      <c r="J13" s="32">
        <f>(I9-I11)/I11*100%</f>
        <v>0.23940091687570286</v>
      </c>
      <c r="L13" s="17" t="s">
        <v>27</v>
      </c>
      <c r="M13" s="19">
        <f>D17+D18+D16+D19+30</f>
        <v>245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6.7796610169491525E-2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GIN GORDON'S LONDON  DRY</v>
      </c>
      <c r="C16" s="45" t="str">
        <f>D9</f>
        <v>ML</v>
      </c>
      <c r="D16" s="189">
        <v>50</v>
      </c>
      <c r="E16" s="45">
        <f>VLOOKUP(B16,Tabla1345681091113[],5,FALSE)</f>
        <v>78.98266666666666</v>
      </c>
      <c r="F16" s="47">
        <f>E16*D16</f>
        <v>3949.1333333333332</v>
      </c>
      <c r="H16" s="48" t="s">
        <v>13</v>
      </c>
      <c r="I16" s="49">
        <f>F26</f>
        <v>8684.0690909090918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AGUA TONICA</v>
      </c>
      <c r="C17" s="51" t="str">
        <f>D10</f>
        <v>ML</v>
      </c>
      <c r="D17" s="190">
        <v>150</v>
      </c>
      <c r="E17" s="51">
        <f>VLOOKUP(B17,Tabla1345681091113[],5,FALSE)</f>
        <v>5.4545454545454541</v>
      </c>
      <c r="F17" s="53">
        <f>E17*D17</f>
        <v>818.18181818181813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LIMÓN TAHITÍ</v>
      </c>
      <c r="C18" s="51" t="str">
        <f>D11</f>
        <v>GR</v>
      </c>
      <c r="D18" s="190">
        <v>15</v>
      </c>
      <c r="E18" s="51">
        <f>VLOOKUP(B18,Tabla1345681091113[],5,FALSE)</f>
        <v>7</v>
      </c>
      <c r="F18" s="53">
        <f>E18*D18</f>
        <v>105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/>
      <c r="C19" s="55"/>
      <c r="D19" s="234"/>
      <c r="E19" s="55"/>
      <c r="F19" s="57"/>
      <c r="H19" s="58" t="s">
        <v>40</v>
      </c>
      <c r="I19" s="26">
        <f>I16-I17</f>
        <v>2564.0690909090918</v>
      </c>
      <c r="J19" s="27">
        <f>(I16-I17)/I17*100%</f>
        <v>0.41896553773024375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5"/>
      <c r="E20" s="60"/>
      <c r="F20" s="62"/>
      <c r="H20" s="63" t="s">
        <v>41</v>
      </c>
      <c r="I20" s="31">
        <f>I16-I18</f>
        <v>-3115.9309090909082</v>
      </c>
      <c r="J20" s="32">
        <f>(I16-I18)/I18*100%</f>
        <v>-0.26406194144838208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4872.3151515151512</v>
      </c>
    </row>
    <row r="22" spans="1:13" ht="16.5" customHeight="1" thickBot="1" x14ac:dyDescent="0.4">
      <c r="A22" s="296"/>
      <c r="B22" s="304" t="s">
        <v>103</v>
      </c>
      <c r="C22" s="305"/>
      <c r="D22" s="310" t="s">
        <v>46</v>
      </c>
      <c r="E22" s="311"/>
      <c r="F22" s="66">
        <f>F21*5%</f>
        <v>243.61575757575758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5115.9309090909092</v>
      </c>
      <c r="H23" s="9" t="s">
        <v>13</v>
      </c>
      <c r="I23" s="10">
        <f>F26</f>
        <v>8684.0690909090918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15000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1200</v>
      </c>
      <c r="H25" s="30" t="s">
        <v>52</v>
      </c>
      <c r="I25" s="70">
        <f>I23-I24</f>
        <v>387.4024242424257</v>
      </c>
      <c r="J25" s="71">
        <f>(I23-I24)/I23*100%</f>
        <v>4.4610702677155979E-2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8684.0690909090918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0.34106206060606059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0.57893793939393945</v>
      </c>
      <c r="G28" s="73"/>
      <c r="H28" s="9" t="s">
        <v>57</v>
      </c>
      <c r="I28" s="10">
        <f>F26</f>
        <v>8684.0690909090918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1.7449569506180358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1.2394009168757028</v>
      </c>
    </row>
    <row r="31" spans="1:13" x14ac:dyDescent="0.35">
      <c r="H31" s="17" t="s">
        <v>60</v>
      </c>
      <c r="I31" s="80">
        <f>I28/F113</f>
        <v>1.046693743379963</v>
      </c>
    </row>
    <row r="32" spans="1:13" x14ac:dyDescent="0.35">
      <c r="H32" s="17" t="s">
        <v>61</v>
      </c>
      <c r="I32" s="80">
        <f>I28/F87</f>
        <v>1.4189655377302437</v>
      </c>
    </row>
    <row r="33" spans="8:9" ht="15" thickBot="1" x14ac:dyDescent="0.4">
      <c r="H33" s="38" t="s">
        <v>62</v>
      </c>
      <c r="I33" s="81">
        <f>I28/F100</f>
        <v>0.73593805855161798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15000</v>
      </c>
    </row>
    <row r="37" spans="8:9" x14ac:dyDescent="0.35">
      <c r="H37" s="17" t="s">
        <v>58</v>
      </c>
      <c r="I37" s="80">
        <f>I36/F60</f>
        <v>1.875</v>
      </c>
    </row>
    <row r="38" spans="8:9" x14ac:dyDescent="0.35">
      <c r="H38" s="17" t="s">
        <v>59</v>
      </c>
      <c r="I38" s="80">
        <f>I36/F72</f>
        <v>1.25</v>
      </c>
    </row>
    <row r="39" spans="8:9" x14ac:dyDescent="0.35">
      <c r="H39" s="17" t="s">
        <v>60</v>
      </c>
      <c r="I39" s="80">
        <f>I36/F111</f>
        <v>1.0714285714285714</v>
      </c>
    </row>
    <row r="40" spans="8:9" x14ac:dyDescent="0.35">
      <c r="H40" s="17" t="s">
        <v>61</v>
      </c>
      <c r="I40" s="80">
        <f>I36/F85</f>
        <v>1.5</v>
      </c>
    </row>
    <row r="41" spans="8:9" ht="15" thickBot="1" x14ac:dyDescent="0.4">
      <c r="H41" s="38" t="s">
        <v>62</v>
      </c>
      <c r="I41" s="81">
        <f>I36/F98</f>
        <v>0.75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scrYYGWkbWKLRHsb9MzcHm1jv1eWsHHvUbj0J49LmnjfZv4nyRE/Wc/uHV85PMjGWpbT90mdAeVDV+LJsKuiww==" saltValue="IZk5H5UoI/c2o5jnnmYL9A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381000</xdr:colOff>
                    <xdr:row>2</xdr:row>
                    <xdr:rowOff>57150</xdr:rowOff>
                  </from>
                  <to>
                    <xdr:col>7</xdr:col>
                    <xdr:colOff>3517900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11">
    <tabColor theme="5" tint="0.39997558519241921"/>
  </sheetPr>
  <dimension ref="A2:M115"/>
  <sheetViews>
    <sheetView showGridLines="0" zoomScale="90" zoomScaleNormal="90" workbookViewId="0"/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217" t="s">
        <v>521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284" t="s">
        <v>105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106</v>
      </c>
      <c r="C9" s="14">
        <v>700</v>
      </c>
      <c r="D9" s="96" t="s">
        <v>12</v>
      </c>
      <c r="E9" s="236">
        <v>63475</v>
      </c>
      <c r="F9" s="16">
        <f>Tabla13456810911131521[[#This Row],[PRECIO]]/Tabla13456810911131521[[#This Row],[CANTIDAD]]</f>
        <v>90.678571428571431</v>
      </c>
      <c r="H9" s="9" t="s">
        <v>13</v>
      </c>
      <c r="I9" s="10">
        <f>F26</f>
        <v>12675.284090909092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107</v>
      </c>
      <c r="C10" s="13">
        <v>330</v>
      </c>
      <c r="D10" s="14" t="s">
        <v>12</v>
      </c>
      <c r="E10" s="236">
        <v>1800</v>
      </c>
      <c r="F10" s="16">
        <f>Tabla13456810911131521[[#This Row],[PRECIO]]/Tabla13456810911131521[[#This Row],[CANTIDAD]]</f>
        <v>5.4545454545454541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12" t="s">
        <v>108</v>
      </c>
      <c r="C11" s="14">
        <v>500</v>
      </c>
      <c r="D11" s="14" t="s">
        <v>22</v>
      </c>
      <c r="E11" s="236">
        <v>2000</v>
      </c>
      <c r="F11" s="16">
        <f>Tabla13456810911131521[[#This Row],[PRECIO]]/Tabla13456810911131521[[#This Row],[CANTIDAD]]</f>
        <v>4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237"/>
      <c r="F12" s="24"/>
      <c r="H12" s="25" t="s">
        <v>23</v>
      </c>
      <c r="I12" s="26">
        <f>I9-I10</f>
        <v>7698.6174242424249</v>
      </c>
      <c r="J12" s="27">
        <f>(I9-I10)/I10*100%</f>
        <v>1.5469425500822018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29"/>
      <c r="C13" s="22"/>
      <c r="D13" s="22"/>
      <c r="E13" s="239"/>
      <c r="F13" s="24"/>
      <c r="H13" s="30" t="s">
        <v>26</v>
      </c>
      <c r="I13" s="31">
        <f>I9-I11</f>
        <v>5668.6174242424249</v>
      </c>
      <c r="J13" s="32">
        <f>(I9-I11)/I11*100%</f>
        <v>0.80903198252746311</v>
      </c>
      <c r="L13" s="17" t="s">
        <v>27</v>
      </c>
      <c r="M13" s="19">
        <f>D17+D18+D16+D19+30</f>
        <v>255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6.5573770491803282E-2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 xml:space="preserve">GIN GORDON'S CUCUMBER </v>
      </c>
      <c r="C16" s="45" t="str">
        <f>D9</f>
        <v>ML</v>
      </c>
      <c r="D16" s="189">
        <v>50</v>
      </c>
      <c r="E16" s="45">
        <f>VLOOKUP(B16,Tabla13456810911131521[],5,FALSE)</f>
        <v>90.678571428571431</v>
      </c>
      <c r="F16" s="47">
        <f>E16*D16</f>
        <v>4533.9285714285716</v>
      </c>
      <c r="H16" s="48" t="s">
        <v>13</v>
      </c>
      <c r="I16" s="49">
        <f>F26</f>
        <v>12675.284090909092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AGUA TÓNICA</v>
      </c>
      <c r="C17" s="51" t="str">
        <f>D10</f>
        <v>ML</v>
      </c>
      <c r="D17" s="190">
        <v>150</v>
      </c>
      <c r="E17" s="51">
        <f>VLOOKUP(B17,Tabla13456810911131521[],5,FALSE)</f>
        <v>5.4545454545454541</v>
      </c>
      <c r="F17" s="53">
        <f>E17*D17</f>
        <v>818.18181818181813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PEPINO</v>
      </c>
      <c r="C18" s="51" t="str">
        <f>D11</f>
        <v>GR</v>
      </c>
      <c r="D18" s="190">
        <v>25</v>
      </c>
      <c r="E18" s="51">
        <f>VLOOKUP(B18,Tabla13456810911131521[],5,FALSE)</f>
        <v>4</v>
      </c>
      <c r="F18" s="53">
        <f>E18*D18</f>
        <v>100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/>
      <c r="C19" s="55"/>
      <c r="D19" s="234"/>
      <c r="E19" s="55"/>
      <c r="F19" s="57"/>
      <c r="H19" s="58" t="s">
        <v>40</v>
      </c>
      <c r="I19" s="26">
        <f>I16-I17</f>
        <v>6555.2840909090919</v>
      </c>
      <c r="J19" s="27">
        <f>(I16-I17)/I17*100%</f>
        <v>1.0711248514557339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5"/>
      <c r="E20" s="60"/>
      <c r="F20" s="62"/>
      <c r="H20" s="63" t="s">
        <v>41</v>
      </c>
      <c r="I20" s="31">
        <f>I16-I18</f>
        <v>875.2840909090919</v>
      </c>
      <c r="J20" s="32">
        <f>(I16-I18)/I18*100%</f>
        <v>7.4176617873651859E-2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5452.1103896103896</v>
      </c>
    </row>
    <row r="22" spans="1:13" ht="16.5" customHeight="1" thickBot="1" x14ac:dyDescent="0.4">
      <c r="A22" s="296"/>
      <c r="B22" s="304" t="s">
        <v>109</v>
      </c>
      <c r="C22" s="305"/>
      <c r="D22" s="310" t="s">
        <v>46</v>
      </c>
      <c r="E22" s="311"/>
      <c r="F22" s="66">
        <f>F21*5%</f>
        <v>272.60551948051949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5724.715909090909</v>
      </c>
      <c r="H23" s="9" t="s">
        <v>13</v>
      </c>
      <c r="I23" s="10">
        <f>F26</f>
        <v>12675.284090909092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1600</v>
      </c>
      <c r="H25" s="30" t="s">
        <v>52</v>
      </c>
      <c r="I25" s="70">
        <f>I23-I24</f>
        <v>4378.6174242424258</v>
      </c>
      <c r="J25" s="71">
        <f>(I23-I24)/I23*100%</f>
        <v>0.34544530858940176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12675.284090909092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0.28623579545454547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0.63376420454545457</v>
      </c>
      <c r="G28" s="73"/>
      <c r="H28" s="9" t="s">
        <v>57</v>
      </c>
      <c r="I28" s="10">
        <f>F26</f>
        <v>12675.284090909092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2.5469425500822021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1.809031982527463</v>
      </c>
    </row>
    <row r="31" spans="1:13" x14ac:dyDescent="0.35">
      <c r="H31" s="17" t="s">
        <v>60</v>
      </c>
      <c r="I31" s="80">
        <f>I28/F113</f>
        <v>1.5277562182694768</v>
      </c>
    </row>
    <row r="32" spans="1:13" x14ac:dyDescent="0.35">
      <c r="H32" s="17" t="s">
        <v>61</v>
      </c>
      <c r="I32" s="80">
        <f>I28/F87</f>
        <v>2.0711248514557341</v>
      </c>
    </row>
    <row r="33" spans="8:9" ht="15" thickBot="1" x14ac:dyDescent="0.4">
      <c r="H33" s="38" t="s">
        <v>62</v>
      </c>
      <c r="I33" s="81">
        <f>I28/F100</f>
        <v>1.0741766178736518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20000</v>
      </c>
    </row>
    <row r="37" spans="8:9" x14ac:dyDescent="0.35">
      <c r="H37" s="17" t="s">
        <v>58</v>
      </c>
      <c r="I37" s="80">
        <f>I36/F60</f>
        <v>2.5</v>
      </c>
    </row>
    <row r="38" spans="8:9" x14ac:dyDescent="0.35">
      <c r="H38" s="17" t="s">
        <v>59</v>
      </c>
      <c r="I38" s="80">
        <f>I36/F72</f>
        <v>1.6666666666666667</v>
      </c>
    </row>
    <row r="39" spans="8:9" x14ac:dyDescent="0.35">
      <c r="H39" s="17" t="s">
        <v>60</v>
      </c>
      <c r="I39" s="80">
        <f>I36/F111</f>
        <v>1.4285714285714286</v>
      </c>
    </row>
    <row r="40" spans="8:9" x14ac:dyDescent="0.35">
      <c r="H40" s="17" t="s">
        <v>61</v>
      </c>
      <c r="I40" s="80">
        <f>I36/F85</f>
        <v>2</v>
      </c>
    </row>
    <row r="41" spans="8:9" ht="15" thickBot="1" x14ac:dyDescent="0.4">
      <c r="H41" s="38" t="s">
        <v>62</v>
      </c>
      <c r="I41" s="81">
        <f>I36/F98</f>
        <v>1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uo6oP88rqzddeLbVU13v+fmWgCprJcoOh+Bvu3Q8WuIHF7k6338oSkGshd0sLBy8pYyHTZhLUlEWaZkqKRO78g==" saltValue="8g0YzeXUuyZOYKgbaB7PCQ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1295400</xdr:colOff>
                    <xdr:row>0</xdr:row>
                    <xdr:rowOff>184150</xdr:rowOff>
                  </from>
                  <to>
                    <xdr:col>7</xdr:col>
                    <xdr:colOff>3384550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12">
    <tabColor theme="5" tint="0.39997558519241921"/>
  </sheetPr>
  <dimension ref="A1:M115"/>
  <sheetViews>
    <sheetView showGridLines="0" zoomScale="90" zoomScaleNormal="90" workbookViewId="0"/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x14ac:dyDescent="0.35">
      <c r="A1" s="249" t="s">
        <v>615</v>
      </c>
    </row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217" t="s">
        <v>521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284" t="s">
        <v>113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110</v>
      </c>
      <c r="C9" s="14">
        <v>700</v>
      </c>
      <c r="D9" s="96" t="s">
        <v>12</v>
      </c>
      <c r="E9" s="236">
        <v>80000</v>
      </c>
      <c r="F9" s="16">
        <f>Tabla13456810911131516[[#This Row],[PRECIO]]/Tabla13456810911131516[[#This Row],[CANTIDAD]]</f>
        <v>114.28571428571429</v>
      </c>
      <c r="H9" s="9" t="s">
        <v>13</v>
      </c>
      <c r="I9" s="10">
        <f>F26</f>
        <v>13144.659090909092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102</v>
      </c>
      <c r="C10" s="13">
        <v>330</v>
      </c>
      <c r="D10" s="14" t="s">
        <v>12</v>
      </c>
      <c r="E10" s="236">
        <v>1800</v>
      </c>
      <c r="F10" s="16">
        <f>Tabla13456810911131516[[#This Row],[PRECIO]]/Tabla13456810911131516[[#This Row],[CANTIDAD]]</f>
        <v>5.4545454545454541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12" t="s">
        <v>111</v>
      </c>
      <c r="C11" s="14">
        <v>500</v>
      </c>
      <c r="D11" s="14" t="s">
        <v>22</v>
      </c>
      <c r="E11" s="236">
        <v>4500</v>
      </c>
      <c r="F11" s="16">
        <f>Tabla13456810911131516[[#This Row],[PRECIO]]/Tabla13456810911131516[[#This Row],[CANTIDAD]]</f>
        <v>9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237"/>
      <c r="F12" s="24"/>
      <c r="H12" s="25" t="s">
        <v>23</v>
      </c>
      <c r="I12" s="26">
        <f>I9-I10</f>
        <v>8167.9924242424249</v>
      </c>
      <c r="J12" s="27">
        <f>(I9-I10)/I10*100%</f>
        <v>1.6412576873896365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29"/>
      <c r="C13" s="22"/>
      <c r="D13" s="22"/>
      <c r="E13" s="239"/>
      <c r="F13" s="24"/>
      <c r="H13" s="30" t="s">
        <v>26</v>
      </c>
      <c r="I13" s="31">
        <f>I9-I11</f>
        <v>6137.9924242424249</v>
      </c>
      <c r="J13" s="32">
        <f>(I9-I11)/I11*100%</f>
        <v>0.87602175417351447</v>
      </c>
      <c r="L13" s="17" t="s">
        <v>27</v>
      </c>
      <c r="M13" s="19">
        <f>D17+D18+D16+D19+30</f>
        <v>255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6.5573770491803282E-2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GIN GORDON'S PINK</v>
      </c>
      <c r="C16" s="45" t="str">
        <f>D9</f>
        <v>ML</v>
      </c>
      <c r="D16" s="189">
        <v>50</v>
      </c>
      <c r="E16" s="45">
        <f>VLOOKUP(B16,Tabla13456810911131516[],5,FALSE)</f>
        <v>114.28571428571429</v>
      </c>
      <c r="F16" s="47">
        <f>E16*D16</f>
        <v>5714.2857142857147</v>
      </c>
      <c r="H16" s="48" t="s">
        <v>13</v>
      </c>
      <c r="I16" s="49">
        <f>F26</f>
        <v>13144.659090909092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AGUA TONICA</v>
      </c>
      <c r="C17" s="51" t="str">
        <f>D10</f>
        <v>ML</v>
      </c>
      <c r="D17" s="190">
        <v>150</v>
      </c>
      <c r="E17" s="51">
        <f>VLOOKUP(B17,Tabla13456810911131516[],5,FALSE)</f>
        <v>5.4545454545454541</v>
      </c>
      <c r="F17" s="53">
        <f>E17*D17</f>
        <v>818.18181818181813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FRESA</v>
      </c>
      <c r="C18" s="51" t="str">
        <f>D11</f>
        <v>GR</v>
      </c>
      <c r="D18" s="190">
        <v>25</v>
      </c>
      <c r="E18" s="51">
        <f>VLOOKUP(B18,Tabla13456810911131516[],5,FALSE)</f>
        <v>9</v>
      </c>
      <c r="F18" s="53">
        <f>E18*D18</f>
        <v>225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/>
      <c r="C19" s="55"/>
      <c r="D19" s="234"/>
      <c r="E19" s="55"/>
      <c r="F19" s="57"/>
      <c r="H19" s="58" t="s">
        <v>40</v>
      </c>
      <c r="I19" s="26">
        <f>I16-I17</f>
        <v>7024.6590909090919</v>
      </c>
      <c r="J19" s="27">
        <f>(I16-I17)/I17*100%</f>
        <v>1.1478201128936425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5"/>
      <c r="E20" s="60"/>
      <c r="F20" s="62"/>
      <c r="H20" s="63" t="s">
        <v>41</v>
      </c>
      <c r="I20" s="31">
        <f>I16-I18</f>
        <v>1344.6590909090919</v>
      </c>
      <c r="J20" s="32">
        <f>(I16-I18)/I18*100%</f>
        <v>0.11395416024653321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6757.4675324675327</v>
      </c>
    </row>
    <row r="22" spans="1:13" ht="16.5" customHeight="1" thickBot="1" x14ac:dyDescent="0.4">
      <c r="A22" s="296"/>
      <c r="B22" s="304" t="s">
        <v>112</v>
      </c>
      <c r="C22" s="305"/>
      <c r="D22" s="310" t="s">
        <v>46</v>
      </c>
      <c r="E22" s="311"/>
      <c r="F22" s="66">
        <f>F21*5%</f>
        <v>337.87337662337666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7095.340909090909</v>
      </c>
      <c r="H23" s="9" t="s">
        <v>13</v>
      </c>
      <c r="I23" s="10">
        <f>F26</f>
        <v>13144.659090909092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22000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1760</v>
      </c>
      <c r="H25" s="30" t="s">
        <v>52</v>
      </c>
      <c r="I25" s="70">
        <f>I23-I24</f>
        <v>4847.9924242424258</v>
      </c>
      <c r="J25" s="71">
        <f>(I23-I24)/I23*100%</f>
        <v>0.36881842204605519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13144.659090909092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0.32251549586776856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0.59748450413223142</v>
      </c>
      <c r="G28" s="73"/>
      <c r="H28" s="9" t="s">
        <v>57</v>
      </c>
      <c r="I28" s="10">
        <f>F26</f>
        <v>13144.659090909092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2.6412576873896367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1.8760217541735145</v>
      </c>
    </row>
    <row r="31" spans="1:13" x14ac:dyDescent="0.35">
      <c r="H31" s="17" t="s">
        <v>60</v>
      </c>
      <c r="I31" s="80">
        <f>I28/F113</f>
        <v>1.58433014354067</v>
      </c>
    </row>
    <row r="32" spans="1:13" x14ac:dyDescent="0.35">
      <c r="H32" s="17" t="s">
        <v>61</v>
      </c>
      <c r="I32" s="80">
        <f>I28/F87</f>
        <v>2.1478201128936423</v>
      </c>
    </row>
    <row r="33" spans="8:9" ht="15" thickBot="1" x14ac:dyDescent="0.4">
      <c r="H33" s="38" t="s">
        <v>62</v>
      </c>
      <c r="I33" s="81">
        <f>I28/F100</f>
        <v>1.1139541602465333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22000</v>
      </c>
    </row>
    <row r="37" spans="8:9" x14ac:dyDescent="0.35">
      <c r="H37" s="17" t="s">
        <v>58</v>
      </c>
      <c r="I37" s="80">
        <f>I36/F60</f>
        <v>2.75</v>
      </c>
    </row>
    <row r="38" spans="8:9" x14ac:dyDescent="0.35">
      <c r="H38" s="17" t="s">
        <v>59</v>
      </c>
      <c r="I38" s="80">
        <f>I36/F72</f>
        <v>1.8333333333333333</v>
      </c>
    </row>
    <row r="39" spans="8:9" x14ac:dyDescent="0.35">
      <c r="H39" s="17" t="s">
        <v>60</v>
      </c>
      <c r="I39" s="80">
        <f>I36/F111</f>
        <v>1.5714285714285714</v>
      </c>
    </row>
    <row r="40" spans="8:9" x14ac:dyDescent="0.35">
      <c r="H40" s="17" t="s">
        <v>61</v>
      </c>
      <c r="I40" s="80">
        <f>I36/F85</f>
        <v>2.2000000000000002</v>
      </c>
    </row>
    <row r="41" spans="8:9" ht="15" thickBot="1" x14ac:dyDescent="0.4">
      <c r="H41" s="38" t="s">
        <v>62</v>
      </c>
      <c r="I41" s="81">
        <f>I36/F98</f>
        <v>1.1000000000000001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LJ/E3ilU8sqqssy9G92KJu+a24paO4qZ12Q3JlNaz5TD7oCOnUkxc7ntVkXLSA9Q/ToZv9vk6rFM1A+4QkIWtw==" saltValue="Z4CjuCwRCRvTL1qQd5WIn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hyperlinks>
    <hyperlink ref="A1" location="PORTADA!A1" display="VOLVER A PORTADA" xr:uid="{00000000-0004-0000-2C00-000000000000}"/>
  </hyperlink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13">
    <tabColor theme="5" tint="0.39997558519241921"/>
  </sheetPr>
  <dimension ref="A2:M115"/>
  <sheetViews>
    <sheetView showGridLines="0" tabSelected="1" topLeftCell="A9" zoomScale="90" zoomScaleNormal="90" workbookViewId="0">
      <selection activeCell="E12" sqref="E12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453</v>
      </c>
    </row>
    <row r="3" spans="1:13" ht="15.5" x14ac:dyDescent="0.35">
      <c r="B3" s="216" t="s">
        <v>374</v>
      </c>
      <c r="C3" s="198" t="s">
        <v>422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284" t="s">
        <v>523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114</v>
      </c>
      <c r="C9" s="14">
        <v>750</v>
      </c>
      <c r="D9" s="14" t="s">
        <v>12</v>
      </c>
      <c r="E9" s="233">
        <v>43391</v>
      </c>
      <c r="F9" s="16">
        <f>Tabla134568109111315163[[#This Row],[PRECIO]]/Tabla134568109111315163[[#This Row],[CANTIDAD]]</f>
        <v>57.854666666666667</v>
      </c>
      <c r="H9" s="9" t="s">
        <v>13</v>
      </c>
      <c r="I9" s="10">
        <f>F26</f>
        <v>9564.130000000001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115</v>
      </c>
      <c r="C10" s="14">
        <v>350</v>
      </c>
      <c r="D10" s="14" t="s">
        <v>12</v>
      </c>
      <c r="E10" s="233">
        <v>2500</v>
      </c>
      <c r="F10" s="16">
        <f>Tabla134568109111315163[[#This Row],[PRECIO]]/Tabla134568109111315163[[#This Row],[CANTIDAD]]</f>
        <v>7.1428571428571432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12" t="s">
        <v>99</v>
      </c>
      <c r="C11" s="14">
        <v>500</v>
      </c>
      <c r="D11" s="14" t="s">
        <v>22</v>
      </c>
      <c r="E11" s="233">
        <v>3500</v>
      </c>
      <c r="F11" s="16">
        <f>Tabla134568109111315163[[#This Row],[PRECIO]]/Tabla134568109111315163[[#This Row],[CANTIDAD]]</f>
        <v>7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237"/>
      <c r="F12" s="24"/>
      <c r="H12" s="25" t="s">
        <v>23</v>
      </c>
      <c r="I12" s="26">
        <f>I9-I10</f>
        <v>4587.463333333334</v>
      </c>
      <c r="J12" s="27">
        <f>(I9-I10)/I10*100%</f>
        <v>0.92179437374413942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29"/>
      <c r="C13" s="22"/>
      <c r="D13" s="22"/>
      <c r="E13" s="239"/>
      <c r="F13" s="24"/>
      <c r="H13" s="30" t="s">
        <v>26</v>
      </c>
      <c r="I13" s="31">
        <f>I9-I11</f>
        <v>2557.463333333334</v>
      </c>
      <c r="J13" s="32">
        <f>(I9-I11)/I11*100%</f>
        <v>0.3650042816365367</v>
      </c>
      <c r="L13" s="17" t="s">
        <v>27</v>
      </c>
      <c r="M13" s="19">
        <f>D17+D18+D16+D19+30</f>
        <v>240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6.8965517241379309E-2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WHISKY JW RED LABEL</v>
      </c>
      <c r="C16" s="45" t="str">
        <f>D9</f>
        <v>ML</v>
      </c>
      <c r="D16" s="190">
        <v>50</v>
      </c>
      <c r="E16" s="45">
        <f>VLOOKUP(B16,Tabla134568109111315163[],5,FALSE)</f>
        <v>57.854666666666667</v>
      </c>
      <c r="F16" s="47">
        <f>E16*D16</f>
        <v>2892.7333333333331</v>
      </c>
      <c r="H16" s="48" t="s">
        <v>13</v>
      </c>
      <c r="I16" s="49">
        <f>F26</f>
        <v>9564.130000000001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GASEOSA DE LIMA</v>
      </c>
      <c r="C17" s="51" t="str">
        <f>D10</f>
        <v>ML</v>
      </c>
      <c r="D17" s="190">
        <v>150</v>
      </c>
      <c r="E17" s="51">
        <f>VLOOKUP(B17,Tabla134568109111315163[],5,FALSE)</f>
        <v>7.1428571428571432</v>
      </c>
      <c r="F17" s="53">
        <f>E17*D17</f>
        <v>1071.4285714285716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LIMÓN TAHITÍ</v>
      </c>
      <c r="C18" s="51" t="str">
        <f>D11</f>
        <v>GR</v>
      </c>
      <c r="D18" s="190">
        <v>10</v>
      </c>
      <c r="E18" s="51">
        <f>VLOOKUP(B18,Tabla134568109111315163[],5,FALSE)</f>
        <v>7</v>
      </c>
      <c r="F18" s="53">
        <f>E18*D18</f>
        <v>70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/>
      <c r="C19" s="55"/>
      <c r="D19" s="234"/>
      <c r="E19" s="55"/>
      <c r="F19" s="57"/>
      <c r="H19" s="58" t="s">
        <v>40</v>
      </c>
      <c r="I19" s="26">
        <f>I16-I17</f>
        <v>3444.130000000001</v>
      </c>
      <c r="J19" s="27">
        <f>(I16-I17)/I17*100%</f>
        <v>0.56276633986928126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5"/>
      <c r="E20" s="60"/>
      <c r="F20" s="62"/>
      <c r="H20" s="63" t="s">
        <v>41</v>
      </c>
      <c r="I20" s="31">
        <f>I16-I18</f>
        <v>-2235.869999999999</v>
      </c>
      <c r="J20" s="32">
        <f>(I16-I18)/I18*100%</f>
        <v>-0.18948050847457618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4034.1619047619047</v>
      </c>
    </row>
    <row r="22" spans="1:13" ht="16.5" customHeight="1" thickBot="1" x14ac:dyDescent="0.4">
      <c r="A22" s="296"/>
      <c r="B22" s="304" t="s">
        <v>116</v>
      </c>
      <c r="C22" s="305"/>
      <c r="D22" s="310" t="s">
        <v>46</v>
      </c>
      <c r="E22" s="311"/>
      <c r="F22" s="66">
        <f>F21*5%</f>
        <v>201.70809523809524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4235.87</v>
      </c>
      <c r="H23" s="9" t="s">
        <v>13</v>
      </c>
      <c r="I23" s="10">
        <f>F26</f>
        <v>9564.130000000001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15000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1200</v>
      </c>
      <c r="H25" s="30" t="s">
        <v>52</v>
      </c>
      <c r="I25" s="70">
        <f>I23-I24</f>
        <v>1267.463333333335</v>
      </c>
      <c r="J25" s="71">
        <f>(I23-I24)/I23*100%</f>
        <v>0.13252259571266126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9564.130000000001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0.28239133333333333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0.63760866666666671</v>
      </c>
      <c r="G28" s="73"/>
      <c r="H28" s="9" t="s">
        <v>57</v>
      </c>
      <c r="I28" s="10">
        <f>F26</f>
        <v>9564.130000000001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1.9217943737441394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1.3650042816365366</v>
      </c>
    </row>
    <row r="31" spans="1:13" x14ac:dyDescent="0.35">
      <c r="H31" s="17" t="s">
        <v>60</v>
      </c>
      <c r="I31" s="80">
        <f>I28/F113</f>
        <v>1.1527677782241865</v>
      </c>
    </row>
    <row r="32" spans="1:13" x14ac:dyDescent="0.35">
      <c r="H32" s="17" t="s">
        <v>61</v>
      </c>
      <c r="I32" s="80">
        <f>I28/F87</f>
        <v>1.5627663398692813</v>
      </c>
    </row>
    <row r="33" spans="8:9" ht="15" thickBot="1" x14ac:dyDescent="0.4">
      <c r="H33" s="38" t="s">
        <v>62</v>
      </c>
      <c r="I33" s="81">
        <f>I28/F100</f>
        <v>0.8105194915254238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15000</v>
      </c>
    </row>
    <row r="37" spans="8:9" x14ac:dyDescent="0.35">
      <c r="H37" s="17" t="s">
        <v>58</v>
      </c>
      <c r="I37" s="80">
        <f>I36/F60</f>
        <v>1.875</v>
      </c>
    </row>
    <row r="38" spans="8:9" x14ac:dyDescent="0.35">
      <c r="H38" s="17" t="s">
        <v>59</v>
      </c>
      <c r="I38" s="80">
        <f>I36/F72</f>
        <v>1.25</v>
      </c>
    </row>
    <row r="39" spans="8:9" x14ac:dyDescent="0.35">
      <c r="H39" s="17" t="s">
        <v>60</v>
      </c>
      <c r="I39" s="80">
        <f>I36/F111</f>
        <v>1.0714285714285714</v>
      </c>
    </row>
    <row r="40" spans="8:9" x14ac:dyDescent="0.35">
      <c r="H40" s="17" t="s">
        <v>61</v>
      </c>
      <c r="I40" s="80">
        <f>I36/F85</f>
        <v>1.5</v>
      </c>
    </row>
    <row r="41" spans="8:9" ht="15" thickBot="1" x14ac:dyDescent="0.4">
      <c r="H41" s="38" t="s">
        <v>62</v>
      </c>
      <c r="I41" s="81">
        <f>I36/F98</f>
        <v>0.75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mGRV0O3GCwGELNjpSfotX43o2dyvKx4Q33p/mqCSvV/xnvDkaoAXhDMVuF2OP6LlLQGFC6a1AYRdGe8vsc1WRQ==" saltValue="M0Uou/lNBWuYNi7OdkGp4A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1047750</xdr:colOff>
                    <xdr:row>1</xdr:row>
                    <xdr:rowOff>69850</xdr:rowOff>
                  </from>
                  <to>
                    <xdr:col>7</xdr:col>
                    <xdr:colOff>3124200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14">
    <tabColor theme="5" tint="-0.249977111117893"/>
  </sheetPr>
  <dimension ref="A2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453</v>
      </c>
    </row>
    <row r="3" spans="1:13" ht="15.5" x14ac:dyDescent="0.35">
      <c r="B3" s="216" t="s">
        <v>374</v>
      </c>
      <c r="C3" s="198" t="s">
        <v>422</v>
      </c>
    </row>
    <row r="4" spans="1:13" ht="15.5" x14ac:dyDescent="0.35">
      <c r="B4" s="216" t="s">
        <v>475</v>
      </c>
      <c r="C4" s="217" t="s">
        <v>525</v>
      </c>
    </row>
    <row r="5" spans="1:13" ht="15" customHeight="1" thickBot="1" x14ac:dyDescent="0.4"/>
    <row r="6" spans="1:13" ht="23.25" customHeight="1" thickBot="1" x14ac:dyDescent="0.4">
      <c r="A6" s="284" t="s">
        <v>524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114</v>
      </c>
      <c r="C9" s="14">
        <v>750</v>
      </c>
      <c r="D9" s="14" t="s">
        <v>12</v>
      </c>
      <c r="E9" s="233">
        <v>43391</v>
      </c>
      <c r="F9" s="16">
        <f>Tabla1345681091113151634[[#This Row],[PRECIO]]/Tabla1345681091113151634[[#This Row],[CANTIDAD]]</f>
        <v>57.854666666666667</v>
      </c>
      <c r="H9" s="9" t="s">
        <v>13</v>
      </c>
      <c r="I9" s="10">
        <f>F26</f>
        <v>9564.130000000001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117</v>
      </c>
      <c r="C10" s="14">
        <v>350</v>
      </c>
      <c r="D10" s="14" t="s">
        <v>12</v>
      </c>
      <c r="E10" s="233">
        <v>2500</v>
      </c>
      <c r="F10" s="16">
        <f>Tabla1345681091113151634[[#This Row],[PRECIO]]/Tabla1345681091113151634[[#This Row],[CANTIDAD]]</f>
        <v>7.1428571428571432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12" t="s">
        <v>99</v>
      </c>
      <c r="C11" s="14">
        <v>500</v>
      </c>
      <c r="D11" s="14" t="s">
        <v>22</v>
      </c>
      <c r="E11" s="233">
        <v>3500</v>
      </c>
      <c r="F11" s="16">
        <f>Tabla1345681091113151634[[#This Row],[PRECIO]]/Tabla1345681091113151634[[#This Row],[CANTIDAD]]</f>
        <v>7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237"/>
      <c r="F12" s="24"/>
      <c r="H12" s="25" t="s">
        <v>23</v>
      </c>
      <c r="I12" s="26">
        <f>I9-I10</f>
        <v>4587.463333333334</v>
      </c>
      <c r="J12" s="27">
        <f>(I9-I10)/I10*100%</f>
        <v>0.92179437374413942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29"/>
      <c r="C13" s="22"/>
      <c r="D13" s="22"/>
      <c r="E13" s="239"/>
      <c r="F13" s="24"/>
      <c r="H13" s="30" t="s">
        <v>26</v>
      </c>
      <c r="I13" s="31">
        <f>I9-I11</f>
        <v>2557.463333333334</v>
      </c>
      <c r="J13" s="32">
        <f>(I9-I11)/I11*100%</f>
        <v>0.3650042816365367</v>
      </c>
      <c r="L13" s="17" t="s">
        <v>27</v>
      </c>
      <c r="M13" s="19">
        <f>D17+D18+D16+D19+30</f>
        <v>240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6.8965517241379309E-2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WHISKY JW RED LABEL</v>
      </c>
      <c r="C16" s="45" t="str">
        <f>D9</f>
        <v>ML</v>
      </c>
      <c r="D16" s="190">
        <v>50</v>
      </c>
      <c r="E16" s="45">
        <f>VLOOKUP(B16,Tabla1345681091113151634[],5,FALSE)</f>
        <v>57.854666666666667</v>
      </c>
      <c r="F16" s="47">
        <f>E16*D16</f>
        <v>2892.7333333333331</v>
      </c>
      <c r="H16" s="48" t="s">
        <v>13</v>
      </c>
      <c r="I16" s="49">
        <f>F26</f>
        <v>9564.130000000001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GASEOSA COLOMBIANA</v>
      </c>
      <c r="C17" s="51" t="str">
        <f>D10</f>
        <v>ML</v>
      </c>
      <c r="D17" s="190">
        <v>150</v>
      </c>
      <c r="E17" s="51">
        <f>VLOOKUP(B17,Tabla1345681091113151634[],5,FALSE)</f>
        <v>7.1428571428571432</v>
      </c>
      <c r="F17" s="53">
        <f>E17*D17</f>
        <v>1071.4285714285716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LIMÓN TAHITÍ</v>
      </c>
      <c r="C18" s="51" t="str">
        <f>D11</f>
        <v>GR</v>
      </c>
      <c r="D18" s="190">
        <v>10</v>
      </c>
      <c r="E18" s="51">
        <f>VLOOKUP(B18,Tabla1345681091113151634[],5,FALSE)</f>
        <v>7</v>
      </c>
      <c r="F18" s="53">
        <f>E18*D18</f>
        <v>70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/>
      <c r="C19" s="55"/>
      <c r="D19" s="234"/>
      <c r="E19" s="55"/>
      <c r="F19" s="57"/>
      <c r="H19" s="58" t="s">
        <v>40</v>
      </c>
      <c r="I19" s="26">
        <f>I16-I17</f>
        <v>3444.130000000001</v>
      </c>
      <c r="J19" s="27">
        <f>(I16-I17)/I17*100%</f>
        <v>0.56276633986928126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5"/>
      <c r="E20" s="60"/>
      <c r="F20" s="62"/>
      <c r="H20" s="63" t="s">
        <v>41</v>
      </c>
      <c r="I20" s="31">
        <f>I16-I18</f>
        <v>-2235.869999999999</v>
      </c>
      <c r="J20" s="32">
        <f>(I16-I18)/I18*100%</f>
        <v>-0.18948050847457618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4034.1619047619047</v>
      </c>
    </row>
    <row r="22" spans="1:13" ht="16.5" customHeight="1" thickBot="1" x14ac:dyDescent="0.4">
      <c r="A22" s="296"/>
      <c r="B22" s="304" t="s">
        <v>118</v>
      </c>
      <c r="C22" s="305"/>
      <c r="D22" s="310" t="s">
        <v>46</v>
      </c>
      <c r="E22" s="311"/>
      <c r="F22" s="66">
        <f>F21*5%</f>
        <v>201.70809523809524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4235.87</v>
      </c>
      <c r="H23" s="9" t="s">
        <v>13</v>
      </c>
      <c r="I23" s="10">
        <f>F26</f>
        <v>9564.130000000001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15000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1200</v>
      </c>
      <c r="H25" s="30" t="s">
        <v>52</v>
      </c>
      <c r="I25" s="70">
        <f>I23-I24</f>
        <v>1267.463333333335</v>
      </c>
      <c r="J25" s="71">
        <f>(I23-I24)/I23*100%</f>
        <v>0.13252259571266126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9564.130000000001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0.28239133333333333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0.63760866666666671</v>
      </c>
      <c r="G28" s="73"/>
      <c r="H28" s="9" t="s">
        <v>57</v>
      </c>
      <c r="I28" s="10">
        <f>F26</f>
        <v>9564.130000000001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1.9217943737441394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1.3650042816365366</v>
      </c>
    </row>
    <row r="31" spans="1:13" x14ac:dyDescent="0.35">
      <c r="H31" s="17" t="s">
        <v>60</v>
      </c>
      <c r="I31" s="80">
        <f>I28/F113</f>
        <v>1.1527677782241865</v>
      </c>
    </row>
    <row r="32" spans="1:13" x14ac:dyDescent="0.35">
      <c r="H32" s="17" t="s">
        <v>61</v>
      </c>
      <c r="I32" s="80">
        <f>I28/F87</f>
        <v>1.5627663398692813</v>
      </c>
    </row>
    <row r="33" spans="8:9" ht="15" thickBot="1" x14ac:dyDescent="0.4">
      <c r="H33" s="38" t="s">
        <v>62</v>
      </c>
      <c r="I33" s="81">
        <f>I28/F100</f>
        <v>0.8105194915254238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15000</v>
      </c>
    </row>
    <row r="37" spans="8:9" x14ac:dyDescent="0.35">
      <c r="H37" s="17" t="s">
        <v>58</v>
      </c>
      <c r="I37" s="80">
        <f>I36/F60</f>
        <v>1.875</v>
      </c>
    </row>
    <row r="38" spans="8:9" x14ac:dyDescent="0.35">
      <c r="H38" s="17" t="s">
        <v>59</v>
      </c>
      <c r="I38" s="80">
        <f>I36/F72</f>
        <v>1.25</v>
      </c>
    </row>
    <row r="39" spans="8:9" x14ac:dyDescent="0.35">
      <c r="H39" s="17" t="s">
        <v>60</v>
      </c>
      <c r="I39" s="80">
        <f>I36/F111</f>
        <v>1.0714285714285714</v>
      </c>
    </row>
    <row r="40" spans="8:9" x14ac:dyDescent="0.35">
      <c r="H40" s="17" t="s">
        <v>61</v>
      </c>
      <c r="I40" s="80">
        <f>I36/F85</f>
        <v>1.5</v>
      </c>
    </row>
    <row r="41" spans="8:9" ht="15" thickBot="1" x14ac:dyDescent="0.4">
      <c r="H41" s="38" t="s">
        <v>62</v>
      </c>
      <c r="I41" s="81">
        <f>I36/F98</f>
        <v>0.75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M3JgQmdQnLrmgV2BU/D8Vm7C1LmORYEk99zQOyCFm77XyZU6VOpyWS3OO5E5hL8EbUl8X/2B3y8X1mcdN8wHvA==" saltValue="QEN6RlU6bo5xmAuYsoHSY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1231900</xdr:colOff>
                    <xdr:row>0</xdr:row>
                    <xdr:rowOff>171450</xdr:rowOff>
                  </from>
                  <to>
                    <xdr:col>7</xdr:col>
                    <xdr:colOff>3308350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Hoja64">
    <tabColor rgb="FF009900"/>
  </sheetPr>
  <dimension ref="A2:M115"/>
  <sheetViews>
    <sheetView showGridLines="0" zoomScale="90" zoomScaleNormal="90" workbookViewId="0"/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453</v>
      </c>
    </row>
    <row r="3" spans="1:13" ht="15.5" x14ac:dyDescent="0.35">
      <c r="B3" s="216" t="s">
        <v>374</v>
      </c>
      <c r="C3" s="198" t="s">
        <v>422</v>
      </c>
    </row>
    <row r="4" spans="1:13" ht="15.5" x14ac:dyDescent="0.35">
      <c r="B4" s="216" t="s">
        <v>475</v>
      </c>
      <c r="C4" s="217" t="s">
        <v>502</v>
      </c>
    </row>
    <row r="5" spans="1:13" ht="15" customHeight="1" thickBot="1" x14ac:dyDescent="0.4"/>
    <row r="6" spans="1:13" ht="23.25" customHeight="1" thickBot="1" x14ac:dyDescent="0.4">
      <c r="A6" s="284" t="s">
        <v>526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114</v>
      </c>
      <c r="C9" s="14">
        <v>750</v>
      </c>
      <c r="D9" s="14" t="s">
        <v>12</v>
      </c>
      <c r="E9" s="233">
        <v>43391</v>
      </c>
      <c r="F9" s="16">
        <f>Tabla13456810911131516331[[#This Row],[PRECIO]]/Tabla13456810911131516331[[#This Row],[CANTIDAD]]</f>
        <v>57.854666666666667</v>
      </c>
      <c r="H9" s="9" t="s">
        <v>13</v>
      </c>
      <c r="I9" s="10">
        <f>F26</f>
        <v>37239.449999999997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/>
      <c r="C10" s="14"/>
      <c r="D10" s="14"/>
      <c r="E10" s="233"/>
      <c r="F10" s="16"/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0.75</v>
      </c>
    </row>
    <row r="11" spans="1:13" ht="15" customHeight="1" thickBot="1" x14ac:dyDescent="0.4">
      <c r="A11" s="288"/>
      <c r="B11" s="12"/>
      <c r="C11" s="14"/>
      <c r="D11" s="14"/>
      <c r="E11" s="233"/>
      <c r="F11" s="16"/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237"/>
      <c r="F12" s="24"/>
      <c r="H12" s="25" t="s">
        <v>23</v>
      </c>
      <c r="I12" s="26">
        <f>I9-I10</f>
        <v>32262.783333333329</v>
      </c>
      <c r="J12" s="27">
        <f>(I9-I10)/I10*100%</f>
        <v>6.4828097789685186</v>
      </c>
      <c r="L12" s="17" t="s">
        <v>24</v>
      </c>
      <c r="M12" s="28">
        <f>M9*M10*M11</f>
        <v>234.60000000000002</v>
      </c>
    </row>
    <row r="13" spans="1:13" ht="15.75" customHeight="1" thickBot="1" x14ac:dyDescent="0.4">
      <c r="A13" s="289"/>
      <c r="B13" s="29"/>
      <c r="C13" s="22"/>
      <c r="D13" s="22"/>
      <c r="E13" s="239"/>
      <c r="F13" s="24"/>
      <c r="H13" s="30" t="s">
        <v>26</v>
      </c>
      <c r="I13" s="31">
        <f>I9-I11</f>
        <v>30232.783333333329</v>
      </c>
      <c r="J13" s="32">
        <f>(I9-I11)/I11*100%</f>
        <v>4.3148596574690767</v>
      </c>
      <c r="L13" s="17" t="s">
        <v>27</v>
      </c>
      <c r="M13" s="19">
        <f>D17+D18+D16+D19+30</f>
        <v>780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0.19607843137254902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52" t="s">
        <v>34</v>
      </c>
      <c r="I15" s="353"/>
    </row>
    <row r="16" spans="1:13" ht="15" customHeight="1" thickBot="1" x14ac:dyDescent="0.4">
      <c r="A16" s="296"/>
      <c r="B16" s="44" t="str">
        <f>B9</f>
        <v>WHISKY JW RED LABEL</v>
      </c>
      <c r="C16" s="45" t="str">
        <f>D9</f>
        <v>ML</v>
      </c>
      <c r="D16" s="190">
        <v>750</v>
      </c>
      <c r="E16" s="45">
        <f>VLOOKUP(B16,Tabla13456810911131516331[],5,FALSE)</f>
        <v>57.854666666666667</v>
      </c>
      <c r="F16" s="47">
        <f>E16*D16</f>
        <v>43391</v>
      </c>
      <c r="H16" s="48" t="s">
        <v>13</v>
      </c>
      <c r="I16" s="49">
        <f>F26</f>
        <v>37239.449999999997</v>
      </c>
      <c r="L16" s="290" t="s">
        <v>35</v>
      </c>
      <c r="M16" s="291"/>
    </row>
    <row r="17" spans="1:13" ht="15" customHeight="1" x14ac:dyDescent="0.35">
      <c r="A17" s="296"/>
      <c r="B17" s="50"/>
      <c r="C17" s="51"/>
      <c r="D17" s="190"/>
      <c r="E17" s="51"/>
      <c r="F17" s="53"/>
      <c r="H17" s="17" t="s">
        <v>36</v>
      </c>
      <c r="I17" s="18">
        <f>F87</f>
        <v>35100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/>
      <c r="C18" s="51"/>
      <c r="D18" s="190"/>
      <c r="E18" s="51"/>
      <c r="F18" s="53"/>
      <c r="H18" s="17" t="s">
        <v>38</v>
      </c>
      <c r="I18" s="18">
        <f>F100</f>
        <v>55500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/>
      <c r="C19" s="55"/>
      <c r="D19" s="234"/>
      <c r="E19" s="55"/>
      <c r="F19" s="57"/>
      <c r="H19" s="58" t="s">
        <v>40</v>
      </c>
      <c r="I19" s="26">
        <f>I16-I17</f>
        <v>2139.4499999999971</v>
      </c>
      <c r="J19" s="27">
        <f>(I16-I17)/I17*100%</f>
        <v>6.0952991452991372E-2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5"/>
      <c r="E20" s="60"/>
      <c r="F20" s="62"/>
      <c r="H20" s="63" t="s">
        <v>41</v>
      </c>
      <c r="I20" s="31">
        <f>I16-I18</f>
        <v>-18260.550000000003</v>
      </c>
      <c r="J20" s="32">
        <f>(I16-I18)/I18*100%</f>
        <v>-0.32901891891891899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43391</v>
      </c>
    </row>
    <row r="22" spans="1:13" ht="16.5" customHeight="1" thickBot="1" x14ac:dyDescent="0.4">
      <c r="A22" s="296"/>
      <c r="B22" s="304"/>
      <c r="C22" s="305"/>
      <c r="D22" s="310" t="s">
        <v>46</v>
      </c>
      <c r="E22" s="311"/>
      <c r="F22" s="66">
        <f>F21*5%</f>
        <v>2169.5500000000002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45560.55</v>
      </c>
      <c r="H23" s="9" t="s">
        <v>13</v>
      </c>
      <c r="I23" s="10">
        <f>F26</f>
        <v>37239.449999999997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90000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7200</v>
      </c>
      <c r="H25" s="30" t="s">
        <v>52</v>
      </c>
      <c r="I25" s="70">
        <f>I23-I24</f>
        <v>28942.783333333333</v>
      </c>
      <c r="J25" s="71">
        <f>(I23-I24)/I23*100%</f>
        <v>0.77720759391809857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37239.449999999997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0.50622833333333339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0.41377166666666665</v>
      </c>
      <c r="G28" s="73"/>
      <c r="H28" s="9" t="s">
        <v>57</v>
      </c>
      <c r="I28" s="10">
        <f>F26</f>
        <v>37239.449999999997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7.4828097789685186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5.3148596574690767</v>
      </c>
    </row>
    <row r="31" spans="1:13" x14ac:dyDescent="0.35">
      <c r="H31" s="17" t="s">
        <v>60</v>
      </c>
      <c r="I31" s="80">
        <f>I28/F113</f>
        <v>4.488483326637204</v>
      </c>
    </row>
    <row r="32" spans="1:13" x14ac:dyDescent="0.35">
      <c r="H32" s="17" t="s">
        <v>61</v>
      </c>
      <c r="I32" s="80">
        <f>I28/F87</f>
        <v>1.0609529914529914</v>
      </c>
    </row>
    <row r="33" spans="8:9" ht="15" thickBot="1" x14ac:dyDescent="0.4">
      <c r="H33" s="38" t="s">
        <v>62</v>
      </c>
      <c r="I33" s="81">
        <f>I28/F100</f>
        <v>0.67098108108108101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90000</v>
      </c>
    </row>
    <row r="37" spans="8:9" x14ac:dyDescent="0.35">
      <c r="H37" s="17" t="s">
        <v>58</v>
      </c>
      <c r="I37" s="80">
        <f>I36/F60</f>
        <v>11.25</v>
      </c>
    </row>
    <row r="38" spans="8:9" x14ac:dyDescent="0.35">
      <c r="H38" s="17" t="s">
        <v>59</v>
      </c>
      <c r="I38" s="80">
        <f>I36/F72</f>
        <v>7.5</v>
      </c>
    </row>
    <row r="39" spans="8:9" x14ac:dyDescent="0.35">
      <c r="H39" s="17" t="s">
        <v>60</v>
      </c>
      <c r="I39" s="80">
        <f>I36/F111</f>
        <v>6.4285714285714288</v>
      </c>
    </row>
    <row r="40" spans="8:9" x14ac:dyDescent="0.35">
      <c r="H40" s="17" t="s">
        <v>61</v>
      </c>
      <c r="I40" s="80">
        <f>I36/F85</f>
        <v>1.125</v>
      </c>
    </row>
    <row r="41" spans="8:9" ht="15" thickBot="1" x14ac:dyDescent="0.4">
      <c r="H41" s="38" t="s">
        <v>62</v>
      </c>
      <c r="I41" s="81">
        <f>I36/F98</f>
        <v>0.6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750</v>
      </c>
      <c r="E81" s="90">
        <f>B81/750</f>
        <v>46.666666666666664</v>
      </c>
      <c r="F81" s="91">
        <f>E81*D81</f>
        <v>35000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35000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3500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38500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80000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6400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35100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0.48125000000000001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0.43874999999999997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750</v>
      </c>
      <c r="E94" s="90">
        <f>B94/750</f>
        <v>100</v>
      </c>
      <c r="F94" s="91">
        <f>E94*D94</f>
        <v>75000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75000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7500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82500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150000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12000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55500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0.55000000000000004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0.37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bavBp+kpzCjjJujAPK2ud/fYjz80m0ALXTT1TzaOR+rIEBAkeQfcdWQVHYgYSuLdABvCXFPClu9vMc5dAHAyng==" saltValue="x6Kju6B3CrokhQf3eP2vE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3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889000</xdr:colOff>
                    <xdr:row>0</xdr:row>
                    <xdr:rowOff>146050</xdr:rowOff>
                  </from>
                  <to>
                    <xdr:col>7</xdr:col>
                    <xdr:colOff>2971800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Hoja65">
    <tabColor theme="5" tint="0.39997558519241921"/>
  </sheetPr>
  <dimension ref="A2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284" t="s">
        <v>527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119</v>
      </c>
      <c r="C9" s="14">
        <v>750</v>
      </c>
      <c r="D9" s="14" t="s">
        <v>12</v>
      </c>
      <c r="E9" s="233">
        <v>86000</v>
      </c>
      <c r="F9" s="16">
        <f>Tabla13456810911131516332[[#This Row],[PRECIO]]/Tabla13456810911131516332[[#This Row],[CANTIDAD]]</f>
        <v>114.66666666666667</v>
      </c>
      <c r="H9" s="9" t="s">
        <v>13</v>
      </c>
      <c r="I9" s="10">
        <f>F26</f>
        <v>15781.5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115</v>
      </c>
      <c r="C10" s="14">
        <v>350</v>
      </c>
      <c r="D10" s="14" t="s">
        <v>12</v>
      </c>
      <c r="E10" s="233">
        <v>2500</v>
      </c>
      <c r="F10" s="16">
        <f>Tabla13456810911131516332[[#This Row],[PRECIO]]/Tabla13456810911131516332[[#This Row],[CANTIDAD]]</f>
        <v>7.1428571428571432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12" t="s">
        <v>99</v>
      </c>
      <c r="C11" s="14">
        <v>500</v>
      </c>
      <c r="D11" s="14" t="s">
        <v>22</v>
      </c>
      <c r="E11" s="233">
        <v>3500</v>
      </c>
      <c r="F11" s="16">
        <f>Tabla13456810911131516332[[#This Row],[PRECIO]]/Tabla13456810911131516332[[#This Row],[CANTIDAD]]</f>
        <v>7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237"/>
      <c r="F12" s="24"/>
      <c r="H12" s="25" t="s">
        <v>23</v>
      </c>
      <c r="I12" s="26">
        <f>I9-I10</f>
        <v>10804.833333333332</v>
      </c>
      <c r="J12" s="27">
        <f>(I9-I10)/I10*100%</f>
        <v>2.1710984594775615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29"/>
      <c r="C13" s="22"/>
      <c r="D13" s="22"/>
      <c r="E13" s="239"/>
      <c r="F13" s="24"/>
      <c r="H13" s="30" t="s">
        <v>26</v>
      </c>
      <c r="I13" s="31">
        <f>I9-I11</f>
        <v>8774.8333333333321</v>
      </c>
      <c r="J13" s="32">
        <f>(I9-I11)/I11*100%</f>
        <v>1.2523549000951473</v>
      </c>
      <c r="L13" s="17" t="s">
        <v>27</v>
      </c>
      <c r="M13" s="19">
        <f>D17+D18+D16+D19+30</f>
        <v>240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6.8965517241379309E-2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WHISKY JW BLACK LABEL</v>
      </c>
      <c r="C16" s="45" t="str">
        <f>D9</f>
        <v>ML</v>
      </c>
      <c r="D16" s="190">
        <v>50</v>
      </c>
      <c r="E16" s="45">
        <f>VLOOKUP(B16,Tabla13456810911131516332[],5,FALSE)</f>
        <v>114.66666666666667</v>
      </c>
      <c r="F16" s="47">
        <f>E16*D16</f>
        <v>5733.3333333333339</v>
      </c>
      <c r="H16" s="48" t="s">
        <v>13</v>
      </c>
      <c r="I16" s="49">
        <f>F26</f>
        <v>15781.5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GASEOSA DE LIMA</v>
      </c>
      <c r="C17" s="51" t="str">
        <f>D10</f>
        <v>ML</v>
      </c>
      <c r="D17" s="190">
        <v>150</v>
      </c>
      <c r="E17" s="51">
        <f>VLOOKUP(B17,Tabla13456810911131516332[],5,FALSE)</f>
        <v>7.1428571428571432</v>
      </c>
      <c r="F17" s="53">
        <f>E17*D17</f>
        <v>1071.4285714285716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LIMÓN TAHITÍ</v>
      </c>
      <c r="C18" s="51" t="str">
        <f>D11</f>
        <v>GR</v>
      </c>
      <c r="D18" s="190">
        <v>10</v>
      </c>
      <c r="E18" s="51">
        <f>VLOOKUP(B18,Tabla13456810911131516332[],5,FALSE)</f>
        <v>7</v>
      </c>
      <c r="F18" s="53">
        <f>E18*D18</f>
        <v>70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/>
      <c r="C19" s="55"/>
      <c r="D19" s="234"/>
      <c r="E19" s="55"/>
      <c r="F19" s="57"/>
      <c r="H19" s="58" t="s">
        <v>40</v>
      </c>
      <c r="I19" s="26">
        <f>I16-I17</f>
        <v>9661.5</v>
      </c>
      <c r="J19" s="27">
        <f>(I16-I17)/I17*100%</f>
        <v>1.5786764705882352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5"/>
      <c r="E20" s="60"/>
      <c r="F20" s="62"/>
      <c r="H20" s="63" t="s">
        <v>41</v>
      </c>
      <c r="I20" s="31">
        <f>I16-I18</f>
        <v>3981.5</v>
      </c>
      <c r="J20" s="32">
        <f>(I16-I18)/I18*100%</f>
        <v>0.33741525423728813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6874.7619047619055</v>
      </c>
    </row>
    <row r="22" spans="1:13" ht="16.5" customHeight="1" thickBot="1" x14ac:dyDescent="0.4">
      <c r="A22" s="296"/>
      <c r="B22" s="304" t="s">
        <v>528</v>
      </c>
      <c r="C22" s="305"/>
      <c r="D22" s="310" t="s">
        <v>46</v>
      </c>
      <c r="E22" s="311"/>
      <c r="F22" s="66">
        <f>F21*5%</f>
        <v>343.7380952380953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7218.5000000000009</v>
      </c>
      <c r="H23" s="9" t="s">
        <v>13</v>
      </c>
      <c r="I23" s="10">
        <f>F26</f>
        <v>15781.5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2000</v>
      </c>
      <c r="H25" s="30" t="s">
        <v>52</v>
      </c>
      <c r="I25" s="70">
        <f>I23-I24</f>
        <v>7484.8333333333339</v>
      </c>
      <c r="J25" s="71">
        <f>(I23-I24)/I23*100%</f>
        <v>0.47427895531687952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15781.5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0.28874000000000005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0.63126000000000004</v>
      </c>
      <c r="G28" s="73"/>
      <c r="H28" s="9" t="s">
        <v>57</v>
      </c>
      <c r="I28" s="10">
        <f>F26</f>
        <v>15781.5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3.171098459477562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2.2523549000951473</v>
      </c>
    </row>
    <row r="31" spans="1:13" x14ac:dyDescent="0.35">
      <c r="H31" s="17" t="s">
        <v>60</v>
      </c>
      <c r="I31" s="80">
        <f>I28/F113</f>
        <v>1.9021494576134996</v>
      </c>
    </row>
    <row r="32" spans="1:13" x14ac:dyDescent="0.35">
      <c r="H32" s="17" t="s">
        <v>61</v>
      </c>
      <c r="I32" s="80">
        <f>I28/F87</f>
        <v>2.5786764705882352</v>
      </c>
    </row>
    <row r="33" spans="8:9" ht="15" thickBot="1" x14ac:dyDescent="0.4">
      <c r="H33" s="38" t="s">
        <v>62</v>
      </c>
      <c r="I33" s="81">
        <f>I28/F100</f>
        <v>1.3374152542372881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25000</v>
      </c>
    </row>
    <row r="37" spans="8:9" x14ac:dyDescent="0.35">
      <c r="H37" s="17" t="s">
        <v>58</v>
      </c>
      <c r="I37" s="80">
        <f>I36/F60</f>
        <v>3.125</v>
      </c>
    </row>
    <row r="38" spans="8:9" x14ac:dyDescent="0.35">
      <c r="H38" s="17" t="s">
        <v>59</v>
      </c>
      <c r="I38" s="80">
        <f>I36/F72</f>
        <v>2.0833333333333335</v>
      </c>
    </row>
    <row r="39" spans="8:9" x14ac:dyDescent="0.35">
      <c r="H39" s="17" t="s">
        <v>60</v>
      </c>
      <c r="I39" s="80">
        <f>I36/F111</f>
        <v>1.7857142857142858</v>
      </c>
    </row>
    <row r="40" spans="8:9" x14ac:dyDescent="0.35">
      <c r="H40" s="17" t="s">
        <v>61</v>
      </c>
      <c r="I40" s="80">
        <f>I36/F85</f>
        <v>2.5</v>
      </c>
    </row>
    <row r="41" spans="8:9" ht="15" thickBot="1" x14ac:dyDescent="0.4">
      <c r="H41" s="38" t="s">
        <v>62</v>
      </c>
      <c r="I41" s="81">
        <f>I36/F98</f>
        <v>1.25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zEmhEWCxzxmKljMLvopOLCMhVn3DFgtTCzBQ+ZQQybHhnmJizrooFXdP5559uLQMgHM95/Q7ApeJNzNWNqrtNA==" saltValue="DmY0xZRZmCtsgGLbX5CzEQ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7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1079500</xdr:colOff>
                    <xdr:row>1</xdr:row>
                    <xdr:rowOff>38100</xdr:rowOff>
                  </from>
                  <to>
                    <xdr:col>7</xdr:col>
                    <xdr:colOff>3162300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Hoja16">
    <tabColor theme="5" tint="-0.249977111117893"/>
  </sheetPr>
  <dimension ref="A2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525</v>
      </c>
    </row>
    <row r="5" spans="1:13" ht="15" customHeight="1" thickBot="1" x14ac:dyDescent="0.4"/>
    <row r="6" spans="1:13" ht="23.25" customHeight="1" thickBot="1" x14ac:dyDescent="0.4">
      <c r="A6" s="284" t="s">
        <v>529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96" t="s">
        <v>119</v>
      </c>
      <c r="C9" s="14">
        <v>750</v>
      </c>
      <c r="D9" s="14" t="s">
        <v>12</v>
      </c>
      <c r="E9" s="233">
        <v>86000</v>
      </c>
      <c r="F9" s="108">
        <f>Tabla13456810911131516346[[#This Row],[PRECIO]]/Tabla13456810911131516346[[#This Row],[CANTIDAD]]</f>
        <v>114.66666666666667</v>
      </c>
      <c r="H9" s="9" t="s">
        <v>13</v>
      </c>
      <c r="I9" s="10">
        <f>F26</f>
        <v>15624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96" t="s">
        <v>121</v>
      </c>
      <c r="C10" s="14">
        <v>350</v>
      </c>
      <c r="D10" s="14" t="s">
        <v>12</v>
      </c>
      <c r="E10" s="233">
        <v>2500</v>
      </c>
      <c r="F10" s="108">
        <f>Tabla13456810911131516346[[#This Row],[PRECIO]]/Tabla13456810911131516346[[#This Row],[CANTIDAD]]</f>
        <v>7.1428571428571432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96" t="s">
        <v>99</v>
      </c>
      <c r="C11" s="14">
        <v>500</v>
      </c>
      <c r="D11" s="14" t="s">
        <v>22</v>
      </c>
      <c r="E11" s="233">
        <v>3500</v>
      </c>
      <c r="F11" s="108">
        <f>Tabla13456810911131516346[[#This Row],[PRECIO]]/Tabla13456810911131516346[[#This Row],[CANTIDAD]]</f>
        <v>7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96" t="s">
        <v>86</v>
      </c>
      <c r="C12" s="14">
        <v>1000</v>
      </c>
      <c r="D12" s="14" t="s">
        <v>12</v>
      </c>
      <c r="E12" s="233">
        <v>10000</v>
      </c>
      <c r="F12" s="108">
        <f>Tabla13456810911131516346[[#This Row],[PRECIO]]/Tabla13456810911131516346[[#This Row],[CANTIDAD]]</f>
        <v>10</v>
      </c>
      <c r="H12" s="25" t="s">
        <v>23</v>
      </c>
      <c r="I12" s="26">
        <f>I9-I10</f>
        <v>10647.333333333332</v>
      </c>
      <c r="J12" s="27">
        <f>(I9-I10)/I10*100%</f>
        <v>2.1394507702612184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96"/>
      <c r="C13" s="14"/>
      <c r="D13" s="14"/>
      <c r="E13" s="242"/>
      <c r="F13" s="108"/>
      <c r="H13" s="30" t="s">
        <v>26</v>
      </c>
      <c r="I13" s="31">
        <f>I9-I11</f>
        <v>8617.3333333333321</v>
      </c>
      <c r="J13" s="32">
        <f>(I9-I11)/I11*100%</f>
        <v>1.2298763082778303</v>
      </c>
      <c r="L13" s="17" t="s">
        <v>27</v>
      </c>
      <c r="M13" s="19">
        <f>D17+D18+D16+D19+30</f>
        <v>255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6.5573770491803282E-2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WHISKY JW BLACK LABEL</v>
      </c>
      <c r="C16" s="45" t="str">
        <f>D9</f>
        <v>ML</v>
      </c>
      <c r="D16" s="190">
        <v>50</v>
      </c>
      <c r="E16" s="45">
        <f>VLOOKUP(B16,Tabla13456810911131516346[],5,FALSE)</f>
        <v>114.66666666666667</v>
      </c>
      <c r="F16" s="47">
        <f>E16*D16</f>
        <v>5733.3333333333339</v>
      </c>
      <c r="H16" s="48" t="s">
        <v>13</v>
      </c>
      <c r="I16" s="49">
        <f>F26</f>
        <v>15624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SODA</v>
      </c>
      <c r="C17" s="51" t="str">
        <f>D10</f>
        <v>ML</v>
      </c>
      <c r="D17" s="190">
        <v>150</v>
      </c>
      <c r="E17" s="51">
        <f>VLOOKUP(B17,Tabla13456810911131516346[],5,FALSE)</f>
        <v>7.1428571428571432</v>
      </c>
      <c r="F17" s="53">
        <f>E17*D17</f>
        <v>1071.4285714285716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LIMÓN TAHITÍ</v>
      </c>
      <c r="C18" s="51" t="str">
        <f>D11</f>
        <v>GR</v>
      </c>
      <c r="D18" s="190">
        <v>10</v>
      </c>
      <c r="E18" s="51">
        <f>VLOOKUP(B18,Tabla13456810911131516346[],5,FALSE)</f>
        <v>7</v>
      </c>
      <c r="F18" s="53">
        <f>E18*D18</f>
        <v>70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 t="str">
        <f>B12</f>
        <v>ZUMO DE MANDARINA</v>
      </c>
      <c r="C19" s="55" t="str">
        <f>D12</f>
        <v>ML</v>
      </c>
      <c r="D19" s="190">
        <v>15</v>
      </c>
      <c r="E19" s="51">
        <f>VLOOKUP(B19,Tabla13456810911131516346[],5,FALSE)</f>
        <v>10</v>
      </c>
      <c r="F19" s="53">
        <f>E19*D19</f>
        <v>150</v>
      </c>
      <c r="H19" s="58" t="s">
        <v>40</v>
      </c>
      <c r="I19" s="26">
        <f>I16-I17</f>
        <v>9504</v>
      </c>
      <c r="J19" s="27">
        <f>(I16-I17)/I17*100%</f>
        <v>1.5529411764705883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5"/>
      <c r="E20" s="60"/>
      <c r="F20" s="62"/>
      <c r="H20" s="63" t="s">
        <v>41</v>
      </c>
      <c r="I20" s="31">
        <f>I16-I18</f>
        <v>3824</v>
      </c>
      <c r="J20" s="32">
        <f>(I16-I18)/I18*100%</f>
        <v>0.32406779661016949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7024.7619047619055</v>
      </c>
    </row>
    <row r="22" spans="1:13" ht="16.5" customHeight="1" thickBot="1" x14ac:dyDescent="0.4">
      <c r="A22" s="296"/>
      <c r="B22" s="304" t="s">
        <v>122</v>
      </c>
      <c r="C22" s="305"/>
      <c r="D22" s="310" t="s">
        <v>46</v>
      </c>
      <c r="E22" s="311"/>
      <c r="F22" s="66">
        <f>F21*5%</f>
        <v>351.2380952380953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7376.0000000000009</v>
      </c>
      <c r="H23" s="9" t="s">
        <v>13</v>
      </c>
      <c r="I23" s="10">
        <f>F26</f>
        <v>15624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2000</v>
      </c>
      <c r="H25" s="30" t="s">
        <v>52</v>
      </c>
      <c r="I25" s="70">
        <f>I23-I24</f>
        <v>7327.3333333333339</v>
      </c>
      <c r="J25" s="71">
        <f>(I23-I24)/I23*100%</f>
        <v>0.46897934801160612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15624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0.29504000000000002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0.62495999999999996</v>
      </c>
      <c r="G28" s="73"/>
      <c r="H28" s="9" t="s">
        <v>57</v>
      </c>
      <c r="I28" s="10">
        <f>F26</f>
        <v>15624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3.1394507702612189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2.2298763082778303</v>
      </c>
    </row>
    <row r="31" spans="1:13" x14ac:dyDescent="0.35">
      <c r="H31" s="17" t="s">
        <v>60</v>
      </c>
      <c r="I31" s="80">
        <f>I28/F113</f>
        <v>1.8831659300924066</v>
      </c>
    </row>
    <row r="32" spans="1:13" x14ac:dyDescent="0.35">
      <c r="H32" s="17" t="s">
        <v>61</v>
      </c>
      <c r="I32" s="80">
        <f>I28/F87</f>
        <v>2.552941176470588</v>
      </c>
    </row>
    <row r="33" spans="8:9" ht="15" thickBot="1" x14ac:dyDescent="0.4">
      <c r="H33" s="38" t="s">
        <v>62</v>
      </c>
      <c r="I33" s="81">
        <f>I28/F100</f>
        <v>1.3240677966101695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25000</v>
      </c>
    </row>
    <row r="37" spans="8:9" x14ac:dyDescent="0.35">
      <c r="H37" s="17" t="s">
        <v>58</v>
      </c>
      <c r="I37" s="80">
        <f>I36/F60</f>
        <v>3.125</v>
      </c>
    </row>
    <row r="38" spans="8:9" x14ac:dyDescent="0.35">
      <c r="H38" s="17" t="s">
        <v>59</v>
      </c>
      <c r="I38" s="80">
        <f>I36/F72</f>
        <v>2.0833333333333335</v>
      </c>
    </row>
    <row r="39" spans="8:9" x14ac:dyDescent="0.35">
      <c r="H39" s="17" t="s">
        <v>60</v>
      </c>
      <c r="I39" s="80">
        <f>I36/F111</f>
        <v>1.7857142857142858</v>
      </c>
    </row>
    <row r="40" spans="8:9" x14ac:dyDescent="0.35">
      <c r="H40" s="17" t="s">
        <v>61</v>
      </c>
      <c r="I40" s="80">
        <f>I36/F85</f>
        <v>2.5</v>
      </c>
    </row>
    <row r="41" spans="8:9" ht="15" thickBot="1" x14ac:dyDescent="0.4">
      <c r="H41" s="38" t="s">
        <v>62</v>
      </c>
      <c r="I41" s="81">
        <f>I36/F98</f>
        <v>1.25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rDUT2QXhSZRb+lnqECV8f3aoIRIhg6I2SMlR+WRRjJFpdexWeteVTcwDHeSZTl0nQnU3uf6/GsQg0cHd5fy/8g==" saltValue="nX25uWUuyYjuDD7U/XtW8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1060450</xdr:colOff>
                    <xdr:row>1</xdr:row>
                    <xdr:rowOff>50800</xdr:rowOff>
                  </from>
                  <to>
                    <xdr:col>7</xdr:col>
                    <xdr:colOff>3136900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Hoja15">
    <tabColor theme="4" tint="0.39997558519241921"/>
  </sheetPr>
  <dimension ref="A2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284" t="s">
        <v>530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" t="s">
        <v>4</v>
      </c>
      <c r="C8" s="2" t="s">
        <v>5</v>
      </c>
      <c r="D8" s="3" t="s">
        <v>6</v>
      </c>
      <c r="E8" s="2" t="s">
        <v>7</v>
      </c>
      <c r="F8" s="4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7" t="s">
        <v>119</v>
      </c>
      <c r="C9" s="6">
        <v>750</v>
      </c>
      <c r="D9" s="6" t="s">
        <v>12</v>
      </c>
      <c r="E9" s="243">
        <v>86000</v>
      </c>
      <c r="F9" s="107">
        <f>Tabla1345681091113151634612[[#This Row],[PRECIO]]/Tabla1345681091113151634612[[#This Row],[CANTIDAD]]</f>
        <v>114.66666666666667</v>
      </c>
      <c r="H9" s="9" t="s">
        <v>13</v>
      </c>
      <c r="I9" s="10">
        <f>F26</f>
        <v>16137.375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96" t="s">
        <v>95</v>
      </c>
      <c r="C10" s="14">
        <v>1000</v>
      </c>
      <c r="D10" s="14" t="s">
        <v>12</v>
      </c>
      <c r="E10" s="233">
        <v>12000</v>
      </c>
      <c r="F10" s="108">
        <f>Tabla1345681091113151634612[[#This Row],[PRECIO]]/Tabla1345681091113151634612[[#This Row],[CANTIDAD]]</f>
        <v>12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96" t="s">
        <v>99</v>
      </c>
      <c r="C11" s="14">
        <v>500</v>
      </c>
      <c r="D11" s="14" t="s">
        <v>22</v>
      </c>
      <c r="E11" s="233">
        <v>3500</v>
      </c>
      <c r="F11" s="108">
        <f>Tabla1345681091113151634612[[#This Row],[PRECIO]]/Tabla1345681091113151634612[[#This Row],[CANTIDAD]]</f>
        <v>7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96" t="s">
        <v>87</v>
      </c>
      <c r="C12" s="14">
        <v>1000</v>
      </c>
      <c r="D12" s="14" t="s">
        <v>12</v>
      </c>
      <c r="E12" s="233">
        <v>3500</v>
      </c>
      <c r="F12" s="108">
        <f>Tabla1345681091113151634612[[#This Row],[PRECIO]]/Tabla1345681091113151634612[[#This Row],[CANTIDAD]]</f>
        <v>3.5</v>
      </c>
      <c r="H12" s="25" t="s">
        <v>23</v>
      </c>
      <c r="I12" s="26">
        <f>I9-I10</f>
        <v>11160.708333333332</v>
      </c>
      <c r="J12" s="27">
        <f>(I9-I10)/I10*100%</f>
        <v>2.2426071667782983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96"/>
      <c r="C13" s="14"/>
      <c r="D13" s="14"/>
      <c r="E13" s="242"/>
      <c r="F13" s="108"/>
      <c r="H13" s="30" t="s">
        <v>26</v>
      </c>
      <c r="I13" s="31">
        <f>I9-I11</f>
        <v>9130.7083333333321</v>
      </c>
      <c r="J13" s="32">
        <f>(I9-I11)/I11*100%</f>
        <v>1.3031458135109417</v>
      </c>
      <c r="L13" s="17" t="s">
        <v>27</v>
      </c>
      <c r="M13" s="19">
        <f>D17+D18+D16+D19+30</f>
        <v>185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8.5106382978723402E-2</v>
      </c>
    </row>
    <row r="15" spans="1:13" ht="24.75" customHeight="1" thickBot="1" x14ac:dyDescent="0.4">
      <c r="A15" s="295" t="s">
        <v>29</v>
      </c>
      <c r="B15" s="109" t="s">
        <v>30</v>
      </c>
      <c r="C15" s="110" t="s">
        <v>31</v>
      </c>
      <c r="D15" s="111" t="s">
        <v>5</v>
      </c>
      <c r="E15" s="110" t="s">
        <v>32</v>
      </c>
      <c r="F15" s="112" t="s">
        <v>33</v>
      </c>
      <c r="H15" s="298" t="s">
        <v>34</v>
      </c>
      <c r="I15" s="299"/>
    </row>
    <row r="16" spans="1:13" ht="15" customHeight="1" thickBot="1" x14ac:dyDescent="0.4">
      <c r="A16" s="296"/>
      <c r="B16" s="50" t="str">
        <f>B9</f>
        <v>WHISKY JW BLACK LABEL</v>
      </c>
      <c r="C16" s="51" t="str">
        <f>D9</f>
        <v>ML</v>
      </c>
      <c r="D16" s="190">
        <v>50</v>
      </c>
      <c r="E16" s="51">
        <f>VLOOKUP(B16,Tabla1345681091113151634612[],5,FALSE)</f>
        <v>114.66666666666667</v>
      </c>
      <c r="F16" s="53">
        <f>E16*D16</f>
        <v>5733.3333333333339</v>
      </c>
      <c r="H16" s="48" t="s">
        <v>13</v>
      </c>
      <c r="I16" s="49">
        <f>F26</f>
        <v>16137.375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ZUMO DE LIMÓN</v>
      </c>
      <c r="C17" s="51" t="str">
        <f>D10</f>
        <v>ML</v>
      </c>
      <c r="D17" s="190">
        <v>45</v>
      </c>
      <c r="E17" s="51">
        <f>VLOOKUP(B17,Tabla1345681091113151634612[],5,FALSE)</f>
        <v>12</v>
      </c>
      <c r="F17" s="53">
        <f>E17*D17</f>
        <v>540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LIMÓN TAHITÍ</v>
      </c>
      <c r="C18" s="51" t="str">
        <f>D11</f>
        <v>GR</v>
      </c>
      <c r="D18" s="190">
        <v>15</v>
      </c>
      <c r="E18" s="51">
        <f>VLOOKUP(B18,Tabla1345681091113151634612[],5,FALSE)</f>
        <v>7</v>
      </c>
      <c r="F18" s="53">
        <f>E18*D18</f>
        <v>105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 t="str">
        <f>B12</f>
        <v>AZÚCAR(ALMÍBAR 50/50)</v>
      </c>
      <c r="C19" s="55" t="str">
        <f>D12</f>
        <v>ML</v>
      </c>
      <c r="D19" s="190">
        <v>45</v>
      </c>
      <c r="E19" s="51">
        <f>VLOOKUP(B19,Tabla1345681091113151634612[],5,FALSE)</f>
        <v>3.5</v>
      </c>
      <c r="F19" s="53">
        <f>E19*D19</f>
        <v>157.5</v>
      </c>
      <c r="H19" s="58" t="s">
        <v>40</v>
      </c>
      <c r="I19" s="26">
        <f>I16-I17</f>
        <v>10017.375</v>
      </c>
      <c r="J19" s="27">
        <f>(I16-I17)/I17*100%</f>
        <v>1.6368259803921568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5"/>
      <c r="E20" s="60"/>
      <c r="F20" s="62"/>
      <c r="H20" s="63" t="s">
        <v>41</v>
      </c>
      <c r="I20" s="31">
        <f>I16-I18</f>
        <v>4337.375</v>
      </c>
      <c r="J20" s="32">
        <f>(I16-I18)/I18*100%</f>
        <v>0.36757415254237286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6535.8333333333339</v>
      </c>
    </row>
    <row r="22" spans="1:13" ht="16.5" customHeight="1" thickBot="1" x14ac:dyDescent="0.4">
      <c r="A22" s="296"/>
      <c r="B22" s="304" t="s">
        <v>120</v>
      </c>
      <c r="C22" s="305"/>
      <c r="D22" s="310" t="s">
        <v>46</v>
      </c>
      <c r="E22" s="311"/>
      <c r="F22" s="66">
        <f>F21*5%</f>
        <v>326.79166666666674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6862.6250000000009</v>
      </c>
      <c r="H23" s="9" t="s">
        <v>13</v>
      </c>
      <c r="I23" s="10">
        <f>F26</f>
        <v>16137.375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2000</v>
      </c>
      <c r="H25" s="30" t="s">
        <v>52</v>
      </c>
      <c r="I25" s="70">
        <f>I23-I24</f>
        <v>7840.7083333333339</v>
      </c>
      <c r="J25" s="71">
        <f>(I23-I24)/I23*100%</f>
        <v>0.48587259906480046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16137.375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0.27450500000000005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0.64549500000000004</v>
      </c>
      <c r="G28" s="73"/>
      <c r="H28" s="9" t="s">
        <v>57</v>
      </c>
      <c r="I28" s="10">
        <f>F26</f>
        <v>16137.375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3.2426071667782987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2.3031458135109419</v>
      </c>
    </row>
    <row r="31" spans="1:13" x14ac:dyDescent="0.35">
      <c r="H31" s="17" t="s">
        <v>60</v>
      </c>
      <c r="I31" s="80">
        <f>I28/F113</f>
        <v>1.9450431900361593</v>
      </c>
    </row>
    <row r="32" spans="1:13" x14ac:dyDescent="0.35">
      <c r="H32" s="17" t="s">
        <v>61</v>
      </c>
      <c r="I32" s="80">
        <f>I28/F87</f>
        <v>2.6368259803921568</v>
      </c>
    </row>
    <row r="33" spans="8:9" ht="15" thickBot="1" x14ac:dyDescent="0.4">
      <c r="H33" s="38" t="s">
        <v>62</v>
      </c>
      <c r="I33" s="81">
        <f>I28/F100</f>
        <v>1.3675741525423728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25000</v>
      </c>
    </row>
    <row r="37" spans="8:9" x14ac:dyDescent="0.35">
      <c r="H37" s="17" t="s">
        <v>58</v>
      </c>
      <c r="I37" s="80">
        <f>I36/F60</f>
        <v>3.125</v>
      </c>
    </row>
    <row r="38" spans="8:9" x14ac:dyDescent="0.35">
      <c r="H38" s="17" t="s">
        <v>59</v>
      </c>
      <c r="I38" s="80">
        <f>I36/F72</f>
        <v>2.0833333333333335</v>
      </c>
    </row>
    <row r="39" spans="8:9" x14ac:dyDescent="0.35">
      <c r="H39" s="17" t="s">
        <v>60</v>
      </c>
      <c r="I39" s="80">
        <f>I36/F111</f>
        <v>1.7857142857142858</v>
      </c>
    </row>
    <row r="40" spans="8:9" x14ac:dyDescent="0.35">
      <c r="H40" s="17" t="s">
        <v>61</v>
      </c>
      <c r="I40" s="80">
        <f>I36/F85</f>
        <v>2.5</v>
      </c>
    </row>
    <row r="41" spans="8:9" ht="15" thickBot="1" x14ac:dyDescent="0.4">
      <c r="H41" s="38" t="s">
        <v>62</v>
      </c>
      <c r="I41" s="81">
        <f>I36/F98</f>
        <v>1.25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gF1G86MWN0IVjtp66TRSGEmGeOpTHz7dorEfpY6/yIy/4ZCXItToIPYNX6/K4S5AytoBclY90w5IPUZZgw0GQg==" saltValue="QeIijO6avuWLYzwZRBWf5Q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1047750</xdr:colOff>
                    <xdr:row>1</xdr:row>
                    <xdr:rowOff>12700</xdr:rowOff>
                  </from>
                  <to>
                    <xdr:col>7</xdr:col>
                    <xdr:colOff>3124200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Hoja66">
    <tabColor theme="7" tint="0.39997558519241921"/>
  </sheetPr>
  <dimension ref="A2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500</v>
      </c>
    </row>
    <row r="5" spans="1:13" ht="15" customHeight="1" thickBot="1" x14ac:dyDescent="0.4"/>
    <row r="6" spans="1:13" ht="23.25" customHeight="1" thickBot="1" x14ac:dyDescent="0.4">
      <c r="A6" s="284" t="s">
        <v>531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" t="s">
        <v>4</v>
      </c>
      <c r="C8" s="2" t="s">
        <v>5</v>
      </c>
      <c r="D8" s="3" t="s">
        <v>6</v>
      </c>
      <c r="E8" s="2" t="s">
        <v>7</v>
      </c>
      <c r="F8" s="4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7" t="s">
        <v>532</v>
      </c>
      <c r="C9" s="6">
        <v>750</v>
      </c>
      <c r="D9" s="6" t="s">
        <v>12</v>
      </c>
      <c r="E9" s="243">
        <v>99043</v>
      </c>
      <c r="F9" s="107">
        <f>Tabla134568109111315163461233[[#This Row],[PRECIO]]/Tabla134568109111315163461233[[#This Row],[CANTIDAD]]</f>
        <v>132.05733333333333</v>
      </c>
      <c r="H9" s="9" t="s">
        <v>13</v>
      </c>
      <c r="I9" s="10">
        <f>F26</f>
        <v>19280.387999999999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96"/>
      <c r="C10" s="14"/>
      <c r="D10" s="14"/>
      <c r="E10" s="233"/>
      <c r="F10" s="108"/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0.06</v>
      </c>
    </row>
    <row r="11" spans="1:13" ht="15" customHeight="1" thickBot="1" x14ac:dyDescent="0.4">
      <c r="A11" s="288"/>
      <c r="B11" s="96"/>
      <c r="C11" s="14"/>
      <c r="D11" s="14"/>
      <c r="E11" s="233"/>
      <c r="F11" s="108"/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96"/>
      <c r="C12" s="14"/>
      <c r="D12" s="14"/>
      <c r="E12" s="233"/>
      <c r="F12" s="108"/>
      <c r="H12" s="25" t="s">
        <v>23</v>
      </c>
      <c r="I12" s="26">
        <f>I9-I10</f>
        <v>14303.721333333331</v>
      </c>
      <c r="J12" s="27">
        <f>(I9-I10)/I10*100%</f>
        <v>2.8741569993302072</v>
      </c>
      <c r="L12" s="17" t="s">
        <v>24</v>
      </c>
      <c r="M12" s="28">
        <f>M9*M10*M11</f>
        <v>18.768000000000001</v>
      </c>
    </row>
    <row r="13" spans="1:13" ht="15.75" customHeight="1" thickBot="1" x14ac:dyDescent="0.4">
      <c r="A13" s="289"/>
      <c r="B13" s="96"/>
      <c r="C13" s="14"/>
      <c r="D13" s="14"/>
      <c r="E13" s="242"/>
      <c r="F13" s="108"/>
      <c r="H13" s="30" t="s">
        <v>26</v>
      </c>
      <c r="I13" s="31">
        <f>I9-I11</f>
        <v>12273.721333333331</v>
      </c>
      <c r="J13" s="32">
        <f>(I9-I11)/I11*100%</f>
        <v>1.7517204567078968</v>
      </c>
      <c r="L13" s="17" t="s">
        <v>27</v>
      </c>
      <c r="M13" s="19">
        <f>D17+D18+D16+D19+30</f>
        <v>90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0.16</v>
      </c>
    </row>
    <row r="15" spans="1:13" ht="24.75" customHeight="1" thickBot="1" x14ac:dyDescent="0.4">
      <c r="A15" s="295" t="s">
        <v>29</v>
      </c>
      <c r="B15" s="109" t="s">
        <v>30</v>
      </c>
      <c r="C15" s="110" t="s">
        <v>31</v>
      </c>
      <c r="D15" s="111" t="s">
        <v>5</v>
      </c>
      <c r="E15" s="110" t="s">
        <v>32</v>
      </c>
      <c r="F15" s="112" t="s">
        <v>33</v>
      </c>
      <c r="H15" s="298" t="s">
        <v>34</v>
      </c>
      <c r="I15" s="299"/>
    </row>
    <row r="16" spans="1:13" ht="15" customHeight="1" thickBot="1" x14ac:dyDescent="0.4">
      <c r="A16" s="296"/>
      <c r="B16" s="50" t="str">
        <f>B9</f>
        <v>WHISKY JW DOBLE BLACK</v>
      </c>
      <c r="C16" s="51" t="str">
        <f>D9</f>
        <v>ML</v>
      </c>
      <c r="D16" s="190">
        <v>60</v>
      </c>
      <c r="E16" s="51">
        <f>VLOOKUP(B16,Tabla134568109111315163461233[],5,FALSE)</f>
        <v>132.05733333333333</v>
      </c>
      <c r="F16" s="53">
        <f>E16*D16</f>
        <v>7923.44</v>
      </c>
      <c r="H16" s="48" t="s">
        <v>13</v>
      </c>
      <c r="I16" s="49">
        <f>F26</f>
        <v>19280.387999999999</v>
      </c>
      <c r="L16" s="290" t="s">
        <v>35</v>
      </c>
      <c r="M16" s="291"/>
    </row>
    <row r="17" spans="1:13" ht="15" customHeight="1" x14ac:dyDescent="0.35">
      <c r="A17" s="296"/>
      <c r="B17" s="50"/>
      <c r="C17" s="51"/>
      <c r="D17" s="190"/>
      <c r="E17" s="51"/>
      <c r="F17" s="53"/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/>
      <c r="C18" s="51"/>
      <c r="D18" s="19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/>
      <c r="C19" s="55"/>
      <c r="D19" s="190"/>
      <c r="E19" s="51"/>
      <c r="F19" s="53"/>
      <c r="H19" s="58" t="s">
        <v>40</v>
      </c>
      <c r="I19" s="26">
        <f>I16-I17</f>
        <v>13160.387999999999</v>
      </c>
      <c r="J19" s="27">
        <f>(I16-I17)/I17*100%</f>
        <v>2.1503901960784311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5"/>
      <c r="E20" s="60"/>
      <c r="F20" s="62"/>
      <c r="H20" s="63" t="s">
        <v>41</v>
      </c>
      <c r="I20" s="31">
        <f>I16-I18</f>
        <v>7480.387999999999</v>
      </c>
      <c r="J20" s="32">
        <f>(I16-I18)/I18*100%</f>
        <v>0.63393118644067792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7923.44</v>
      </c>
    </row>
    <row r="22" spans="1:13" ht="16.5" customHeight="1" thickBot="1" x14ac:dyDescent="0.4">
      <c r="A22" s="296"/>
      <c r="B22" s="304" t="s">
        <v>533</v>
      </c>
      <c r="C22" s="305"/>
      <c r="D22" s="310" t="s">
        <v>46</v>
      </c>
      <c r="E22" s="311"/>
      <c r="F22" s="66">
        <f>F21*5%</f>
        <v>396.17200000000003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8319.6119999999992</v>
      </c>
      <c r="H23" s="9" t="s">
        <v>13</v>
      </c>
      <c r="I23" s="10">
        <f>F26</f>
        <v>19280.387999999999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30000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2400</v>
      </c>
      <c r="H25" s="30" t="s">
        <v>52</v>
      </c>
      <c r="I25" s="70">
        <f>I23-I24</f>
        <v>10983.721333333333</v>
      </c>
      <c r="J25" s="71">
        <f>(I23-I24)/I23*100%</f>
        <v>0.56968362531570083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19280.387999999999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0.27732039999999997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0.64267960000000002</v>
      </c>
      <c r="G28" s="73"/>
      <c r="H28" s="9" t="s">
        <v>57</v>
      </c>
      <c r="I28" s="10">
        <f>F26</f>
        <v>19280.387999999999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3.8741569993302072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2.751720456707897</v>
      </c>
    </row>
    <row r="31" spans="1:13" x14ac:dyDescent="0.35">
      <c r="H31" s="17" t="s">
        <v>60</v>
      </c>
      <c r="I31" s="80">
        <f>I28/F113</f>
        <v>2.3238715950180797</v>
      </c>
    </row>
    <row r="32" spans="1:13" x14ac:dyDescent="0.35">
      <c r="H32" s="17" t="s">
        <v>61</v>
      </c>
      <c r="I32" s="80">
        <f>I28/F87</f>
        <v>3.1503901960784311</v>
      </c>
    </row>
    <row r="33" spans="8:9" ht="15" thickBot="1" x14ac:dyDescent="0.4">
      <c r="H33" s="38" t="s">
        <v>62</v>
      </c>
      <c r="I33" s="81">
        <f>I28/F100</f>
        <v>1.6339311864406778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30000</v>
      </c>
    </row>
    <row r="37" spans="8:9" x14ac:dyDescent="0.35">
      <c r="H37" s="17" t="s">
        <v>58</v>
      </c>
      <c r="I37" s="80">
        <f>I36/F60</f>
        <v>3.75</v>
      </c>
    </row>
    <row r="38" spans="8:9" x14ac:dyDescent="0.35">
      <c r="H38" s="17" t="s">
        <v>59</v>
      </c>
      <c r="I38" s="80">
        <f>I36/F72</f>
        <v>2.5</v>
      </c>
    </row>
    <row r="39" spans="8:9" x14ac:dyDescent="0.35">
      <c r="H39" s="17" t="s">
        <v>60</v>
      </c>
      <c r="I39" s="80">
        <f>I36/F111</f>
        <v>2.1428571428571428</v>
      </c>
    </row>
    <row r="40" spans="8:9" x14ac:dyDescent="0.35">
      <c r="H40" s="17" t="s">
        <v>61</v>
      </c>
      <c r="I40" s="80">
        <f>I36/F85</f>
        <v>3</v>
      </c>
    </row>
    <row r="41" spans="8:9" ht="15" thickBot="1" x14ac:dyDescent="0.4">
      <c r="H41" s="38" t="s">
        <v>62</v>
      </c>
      <c r="I41" s="81">
        <f>I36/F98</f>
        <v>1.5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USx9IOE82dYfpx/qUrdR3381mxm4IhZv5eTe2CcqPHq8f2l/rS6DD2nMa+IXyDEd+JZ+3xvAdVUTbxCZnGN4Jw==" saltValue="PH7V5FALBFM+gERPewfIwA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7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1181100</xdr:colOff>
                    <xdr:row>1</xdr:row>
                    <xdr:rowOff>50800</xdr:rowOff>
                  </from>
                  <to>
                    <xdr:col>7</xdr:col>
                    <xdr:colOff>3270250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Hoja17">
    <tabColor theme="5" tint="0.39997558519241921"/>
  </sheetPr>
  <dimension ref="A2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284" t="s">
        <v>198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123</v>
      </c>
      <c r="C9" s="14">
        <v>750</v>
      </c>
      <c r="D9" s="14" t="s">
        <v>12</v>
      </c>
      <c r="E9" s="233">
        <v>69900</v>
      </c>
      <c r="F9" s="108">
        <f>Tabla134568109111315163461217[[#This Row],[PRECIO]]/Tabla134568109111315163461217[[#This Row],[CANTIDAD]]</f>
        <v>93.2</v>
      </c>
      <c r="H9" s="9" t="s">
        <v>13</v>
      </c>
      <c r="I9" s="10">
        <f>F26</f>
        <v>13325.75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107</v>
      </c>
      <c r="C10" s="14">
        <v>330</v>
      </c>
      <c r="D10" s="14" t="s">
        <v>12</v>
      </c>
      <c r="E10" s="233">
        <v>1800</v>
      </c>
      <c r="F10" s="108">
        <f>Tabla134568109111315163461217[[#This Row],[PRECIO]]/Tabla134568109111315163461217[[#This Row],[CANTIDAD]]</f>
        <v>5.4545454545454541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12" t="s">
        <v>91</v>
      </c>
      <c r="C11" s="14">
        <v>500</v>
      </c>
      <c r="D11" s="14" t="s">
        <v>22</v>
      </c>
      <c r="E11" s="233">
        <v>2500</v>
      </c>
      <c r="F11" s="108">
        <f>Tabla134568109111315163461217[[#This Row],[PRECIO]]/Tabla134568109111315163461217[[#This Row],[CANTIDAD]]</f>
        <v>5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96"/>
      <c r="C12" s="14"/>
      <c r="D12" s="14"/>
      <c r="E12" s="233"/>
      <c r="F12" s="108"/>
      <c r="H12" s="25" t="s">
        <v>23</v>
      </c>
      <c r="I12" s="26">
        <f>I9-I10</f>
        <v>8349.0833333333321</v>
      </c>
      <c r="J12" s="27">
        <f>(I9-I10)/I10*100%</f>
        <v>1.6776456798392494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96"/>
      <c r="C13" s="14"/>
      <c r="D13" s="14"/>
      <c r="E13" s="242"/>
      <c r="F13" s="108"/>
      <c r="H13" s="30" t="s">
        <v>26</v>
      </c>
      <c r="I13" s="31">
        <f>I9-I11</f>
        <v>6319.083333333333</v>
      </c>
      <c r="J13" s="32">
        <f>(I9-I11)/I11*100%</f>
        <v>0.90186726926736438</v>
      </c>
      <c r="L13" s="17" t="s">
        <v>27</v>
      </c>
      <c r="M13" s="19">
        <f>D17+D18+D16+D19+30</f>
        <v>435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4.1237113402061855E-2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WHISKY HAIG CLUB</v>
      </c>
      <c r="C16" s="45" t="str">
        <f>D9</f>
        <v>ML</v>
      </c>
      <c r="D16" s="190">
        <v>50</v>
      </c>
      <c r="E16" s="45">
        <f>VLOOKUP(B16,Tabla134568109111315163461217[],5,FALSE)</f>
        <v>93.2</v>
      </c>
      <c r="F16" s="47">
        <f>E16*D16</f>
        <v>4660</v>
      </c>
      <c r="H16" s="48" t="s">
        <v>13</v>
      </c>
      <c r="I16" s="49">
        <f>F26</f>
        <v>13325.75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AGUA TÓNICA</v>
      </c>
      <c r="C17" s="51" t="str">
        <f>D10</f>
        <v>ML</v>
      </c>
      <c r="D17" s="190">
        <v>330</v>
      </c>
      <c r="E17" s="51">
        <f>VLOOKUP(B17,Tabla134568109111315163461217[],5,FALSE)</f>
        <v>5.4545454545454541</v>
      </c>
      <c r="F17" s="53">
        <f>E17*D17</f>
        <v>1799.9999999999998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NARANJA</v>
      </c>
      <c r="C18" s="51" t="str">
        <f>D11</f>
        <v>GR</v>
      </c>
      <c r="D18" s="190">
        <v>25</v>
      </c>
      <c r="E18" s="51">
        <f>VLOOKUP(B18,Tabla134568109111315163461217[],5,FALSE)</f>
        <v>5</v>
      </c>
      <c r="F18" s="53">
        <f>E18*D18</f>
        <v>125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/>
      <c r="C19" s="55"/>
      <c r="D19" s="190"/>
      <c r="E19" s="51"/>
      <c r="F19" s="53"/>
      <c r="H19" s="58" t="s">
        <v>40</v>
      </c>
      <c r="I19" s="26">
        <f>I16-I17</f>
        <v>7205.75</v>
      </c>
      <c r="J19" s="27">
        <f>(I16-I17)/I17*100%</f>
        <v>1.1774101307189542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5"/>
      <c r="E20" s="60"/>
      <c r="F20" s="62"/>
      <c r="H20" s="63" t="s">
        <v>41</v>
      </c>
      <c r="I20" s="31">
        <f>I16-I18</f>
        <v>1525.75</v>
      </c>
      <c r="J20" s="32">
        <f>(I16-I18)/I18*100%</f>
        <v>0.12930084745762713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6585</v>
      </c>
    </row>
    <row r="22" spans="1:13" ht="16.5" customHeight="1" thickBot="1" x14ac:dyDescent="0.4">
      <c r="A22" s="296"/>
      <c r="B22" s="304" t="s">
        <v>124</v>
      </c>
      <c r="C22" s="305"/>
      <c r="D22" s="310" t="s">
        <v>46</v>
      </c>
      <c r="E22" s="311"/>
      <c r="F22" s="66">
        <f>F21*5%</f>
        <v>329.25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6914.25</v>
      </c>
      <c r="H23" s="9" t="s">
        <v>13</v>
      </c>
      <c r="I23" s="10">
        <f>F26</f>
        <v>13325.75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22000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1760</v>
      </c>
      <c r="H25" s="30" t="s">
        <v>52</v>
      </c>
      <c r="I25" s="70">
        <f>I23-I24</f>
        <v>5029.0833333333339</v>
      </c>
      <c r="J25" s="71">
        <f>(I23-I24)/I23*100%</f>
        <v>0.37739589391466399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13325.75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0.31428409090909093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0.60571590909090911</v>
      </c>
      <c r="G28" s="73"/>
      <c r="H28" s="9" t="s">
        <v>57</v>
      </c>
      <c r="I28" s="10">
        <f>F26</f>
        <v>13325.75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2.6776456798392498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1.9018672692673644</v>
      </c>
    </row>
    <row r="31" spans="1:13" x14ac:dyDescent="0.35">
      <c r="H31" s="17" t="s">
        <v>60</v>
      </c>
      <c r="I31" s="80">
        <f>I28/F113</f>
        <v>1.6061570912012857</v>
      </c>
    </row>
    <row r="32" spans="1:13" x14ac:dyDescent="0.35">
      <c r="H32" s="17" t="s">
        <v>61</v>
      </c>
      <c r="I32" s="80">
        <f>I28/F87</f>
        <v>2.1774101307189544</v>
      </c>
    </row>
    <row r="33" spans="8:9" ht="15" thickBot="1" x14ac:dyDescent="0.4">
      <c r="H33" s="38" t="s">
        <v>62</v>
      </c>
      <c r="I33" s="81">
        <f>I28/F100</f>
        <v>1.1293008474576272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22000</v>
      </c>
    </row>
    <row r="37" spans="8:9" x14ac:dyDescent="0.35">
      <c r="H37" s="17" t="s">
        <v>58</v>
      </c>
      <c r="I37" s="80">
        <f>I36/F60</f>
        <v>2.75</v>
      </c>
    </row>
    <row r="38" spans="8:9" x14ac:dyDescent="0.35">
      <c r="H38" s="17" t="s">
        <v>59</v>
      </c>
      <c r="I38" s="80">
        <f>I36/F72</f>
        <v>1.8333333333333333</v>
      </c>
    </row>
    <row r="39" spans="8:9" x14ac:dyDescent="0.35">
      <c r="H39" s="17" t="s">
        <v>60</v>
      </c>
      <c r="I39" s="80">
        <f>I36/F111</f>
        <v>1.5714285714285714</v>
      </c>
    </row>
    <row r="40" spans="8:9" x14ac:dyDescent="0.35">
      <c r="H40" s="17" t="s">
        <v>61</v>
      </c>
      <c r="I40" s="80">
        <f>I36/F85</f>
        <v>2.2000000000000002</v>
      </c>
    </row>
    <row r="41" spans="8:9" ht="15" thickBot="1" x14ac:dyDescent="0.4">
      <c r="H41" s="38" t="s">
        <v>62</v>
      </c>
      <c r="I41" s="81">
        <f>I36/F98</f>
        <v>1.1000000000000001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EYqkUmJEhnFcP89Nyzibd8Ly6z1O3Vc+epDhpyLakSA4gDRC2934d4EPQjW3Ga6xBZOUC2pBRBUUPww2EWzb7Q==" saltValue="3fj2/YjP31UwDSFp/MXc5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1079500</xdr:colOff>
                    <xdr:row>0</xdr:row>
                    <xdr:rowOff>184150</xdr:rowOff>
                  </from>
                  <to>
                    <xdr:col>7</xdr:col>
                    <xdr:colOff>3162300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Hoja18">
    <tabColor theme="8" tint="0.39997558519241921"/>
  </sheetPr>
  <dimension ref="A2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382</v>
      </c>
    </row>
    <row r="3" spans="1:13" ht="15.5" x14ac:dyDescent="0.35">
      <c r="B3" s="216" t="s">
        <v>374</v>
      </c>
      <c r="C3" s="198" t="s">
        <v>383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284" t="s">
        <v>127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96" t="s">
        <v>123</v>
      </c>
      <c r="C9" s="14">
        <v>750</v>
      </c>
      <c r="D9" s="14" t="s">
        <v>12</v>
      </c>
      <c r="E9" s="233">
        <v>69900</v>
      </c>
      <c r="F9" s="108">
        <f>Tabla134568109111315163461217192037[[#This Row],[PRECIO]]/Tabla134568109111315163461217192037[[#This Row],[CANTIDAD]]</f>
        <v>93.2</v>
      </c>
      <c r="H9" s="9" t="s">
        <v>13</v>
      </c>
      <c r="I9" s="10">
        <f>F26</f>
        <v>12586.340909090908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96" t="s">
        <v>107</v>
      </c>
      <c r="C10" s="14">
        <v>330</v>
      </c>
      <c r="D10" s="14" t="s">
        <v>12</v>
      </c>
      <c r="E10" s="233">
        <v>1500</v>
      </c>
      <c r="F10" s="108">
        <f>Tabla134568109111315163461217192037[[#This Row],[PRECIO]]/Tabla134568109111315163461217192037[[#This Row],[CANTIDAD]]</f>
        <v>4.5454545454545459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96" t="s">
        <v>111</v>
      </c>
      <c r="C11" s="14">
        <v>1000</v>
      </c>
      <c r="D11" s="14" t="s">
        <v>22</v>
      </c>
      <c r="E11" s="233">
        <v>5000</v>
      </c>
      <c r="F11" s="108">
        <f>Tabla134568109111315163461217192037[[#This Row],[PRECIO]]/Tabla134568109111315163461217192037[[#This Row],[CANTIDAD]]</f>
        <v>5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96" t="s">
        <v>125</v>
      </c>
      <c r="C12" s="14">
        <v>500</v>
      </c>
      <c r="D12" s="14" t="s">
        <v>22</v>
      </c>
      <c r="E12" s="233">
        <v>4000</v>
      </c>
      <c r="F12" s="108">
        <f>Tabla134568109111315163461217192037[[#This Row],[PRECIO]]/Tabla134568109111315163461217192037[[#This Row],[CANTIDAD]]</f>
        <v>8</v>
      </c>
      <c r="H12" s="25" t="s">
        <v>23</v>
      </c>
      <c r="I12" s="26">
        <f>I9-I10</f>
        <v>7609.6742424242411</v>
      </c>
      <c r="J12" s="27">
        <f>(I9-I10)/I10*100%</f>
        <v>1.5290705108689031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7"/>
      <c r="C13" s="6"/>
      <c r="D13" s="6"/>
      <c r="E13" s="232"/>
      <c r="F13" s="107"/>
      <c r="H13" s="30" t="s">
        <v>26</v>
      </c>
      <c r="I13" s="31">
        <f>I9-I11</f>
        <v>5579.6742424242411</v>
      </c>
      <c r="J13" s="32">
        <f>(I9-I11)/I11*100%</f>
        <v>0.79633790329556242</v>
      </c>
      <c r="L13" s="17" t="s">
        <v>27</v>
      </c>
      <c r="M13" s="19">
        <f>D17+D18+D16+D19+30</f>
        <v>260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6.4516129032258063E-2</v>
      </c>
    </row>
    <row r="15" spans="1:13" ht="24.75" customHeight="1" thickBot="1" x14ac:dyDescent="0.4">
      <c r="A15" s="295" t="s">
        <v>29</v>
      </c>
      <c r="B15" s="109" t="s">
        <v>30</v>
      </c>
      <c r="C15" s="110" t="s">
        <v>31</v>
      </c>
      <c r="D15" s="111" t="s">
        <v>5</v>
      </c>
      <c r="E15" s="110" t="s">
        <v>32</v>
      </c>
      <c r="F15" s="112" t="s">
        <v>33</v>
      </c>
      <c r="H15" s="298" t="s">
        <v>34</v>
      </c>
      <c r="I15" s="299"/>
    </row>
    <row r="16" spans="1:13" ht="15" customHeight="1" thickBot="1" x14ac:dyDescent="0.4">
      <c r="A16" s="296"/>
      <c r="B16" s="50" t="str">
        <f>B9</f>
        <v>WHISKY HAIG CLUB</v>
      </c>
      <c r="C16" s="51" t="str">
        <f>D9</f>
        <v>ML</v>
      </c>
      <c r="D16" s="229">
        <v>50</v>
      </c>
      <c r="E16" s="51">
        <f>VLOOKUP(B16,Tabla134568109111315163461217192037[],5,FALSE)</f>
        <v>93.2</v>
      </c>
      <c r="F16" s="53">
        <f>E16*D16</f>
        <v>4660</v>
      </c>
      <c r="H16" s="48" t="s">
        <v>13</v>
      </c>
      <c r="I16" s="49">
        <f>F26</f>
        <v>12586.340909090908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AGUA TÓNICA</v>
      </c>
      <c r="C17" s="51" t="str">
        <f>D10</f>
        <v>ML</v>
      </c>
      <c r="D17" s="230">
        <v>150</v>
      </c>
      <c r="E17" s="51">
        <f>VLOOKUP(B17,Tabla134568109111315163461217192037[],5,FALSE)</f>
        <v>4.5454545454545459</v>
      </c>
      <c r="F17" s="53">
        <f>E17*D17</f>
        <v>681.81818181818187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FRESA</v>
      </c>
      <c r="C18" s="51" t="str">
        <f>D11</f>
        <v>GR</v>
      </c>
      <c r="D18" s="244">
        <v>15</v>
      </c>
      <c r="E18" s="51">
        <f>VLOOKUP(B18,Tabla134568109111315163461217192037[],5,FALSE)</f>
        <v>5</v>
      </c>
      <c r="F18" s="53">
        <f>E18*D18</f>
        <v>75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 t="str">
        <f>B12</f>
        <v>UVA ISABELA</v>
      </c>
      <c r="C19" s="55" t="str">
        <f>D12</f>
        <v>GR</v>
      </c>
      <c r="D19" s="244">
        <v>15</v>
      </c>
      <c r="E19" s="51">
        <f>VLOOKUP(B19,Tabla134568109111315163461217192037[],5,FALSE)</f>
        <v>8</v>
      </c>
      <c r="F19" s="53">
        <f>E19*D19</f>
        <v>120</v>
      </c>
      <c r="H19" s="58" t="s">
        <v>40</v>
      </c>
      <c r="I19" s="26">
        <f>I16-I17</f>
        <v>6466.3409090909081</v>
      </c>
      <c r="J19" s="27">
        <f>(I16-I17)/I17*100%</f>
        <v>1.0565916518122398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1"/>
      <c r="E20" s="60"/>
      <c r="F20" s="62"/>
      <c r="H20" s="63" t="s">
        <v>41</v>
      </c>
      <c r="I20" s="31">
        <f>I16-I18</f>
        <v>786.3409090909081</v>
      </c>
      <c r="J20" s="32">
        <f>(I16-I18)/I18*100%</f>
        <v>6.6639060092449839E-2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5536.818181818182</v>
      </c>
    </row>
    <row r="22" spans="1:13" ht="16.5" customHeight="1" thickBot="1" x14ac:dyDescent="0.4">
      <c r="A22" s="296"/>
      <c r="B22" s="304" t="s">
        <v>126</v>
      </c>
      <c r="C22" s="305"/>
      <c r="D22" s="310" t="s">
        <v>46</v>
      </c>
      <c r="E22" s="311"/>
      <c r="F22" s="66">
        <f>F21*5%</f>
        <v>276.84090909090912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5813.659090909091</v>
      </c>
      <c r="H23" s="9" t="s">
        <v>13</v>
      </c>
      <c r="I23" s="10">
        <f>F26</f>
        <v>12586.340909090908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20000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1600</v>
      </c>
      <c r="H25" s="30" t="s">
        <v>52</v>
      </c>
      <c r="I25" s="70">
        <f>I23-I24</f>
        <v>4289.674242424242</v>
      </c>
      <c r="J25" s="71">
        <f>(I23-I24)/I23*100%</f>
        <v>0.34081980405646572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12586.340909090908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0.29068295454545456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0.62931704545454537</v>
      </c>
      <c r="G28" s="73"/>
      <c r="H28" s="9" t="s">
        <v>57</v>
      </c>
      <c r="I28" s="10">
        <f>F26</f>
        <v>12586.340909090908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2.5290705108689031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1.7963379032955624</v>
      </c>
    </row>
    <row r="31" spans="1:13" x14ac:dyDescent="0.35">
      <c r="H31" s="17" t="s">
        <v>60</v>
      </c>
      <c r="I31" s="80">
        <f>I28/F113</f>
        <v>1.5170358669052924</v>
      </c>
    </row>
    <row r="32" spans="1:13" x14ac:dyDescent="0.35">
      <c r="H32" s="17" t="s">
        <v>61</v>
      </c>
      <c r="I32" s="80">
        <f>I28/F87</f>
        <v>2.0565916518122398</v>
      </c>
    </row>
    <row r="33" spans="8:9" ht="15" thickBot="1" x14ac:dyDescent="0.4">
      <c r="H33" s="38" t="s">
        <v>62</v>
      </c>
      <c r="I33" s="81">
        <f>I28/F100</f>
        <v>1.0666390600924498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20000</v>
      </c>
    </row>
    <row r="37" spans="8:9" x14ac:dyDescent="0.35">
      <c r="H37" s="17" t="s">
        <v>58</v>
      </c>
      <c r="I37" s="80">
        <f>I36/F60</f>
        <v>2.5</v>
      </c>
    </row>
    <row r="38" spans="8:9" x14ac:dyDescent="0.35">
      <c r="H38" s="17" t="s">
        <v>59</v>
      </c>
      <c r="I38" s="80">
        <f>I36/F72</f>
        <v>1.6666666666666667</v>
      </c>
    </row>
    <row r="39" spans="8:9" x14ac:dyDescent="0.35">
      <c r="H39" s="17" t="s">
        <v>60</v>
      </c>
      <c r="I39" s="80">
        <f>I36/F111</f>
        <v>1.4285714285714286</v>
      </c>
    </row>
    <row r="40" spans="8:9" x14ac:dyDescent="0.35">
      <c r="H40" s="17" t="s">
        <v>61</v>
      </c>
      <c r="I40" s="80">
        <f>I36/F85</f>
        <v>2</v>
      </c>
    </row>
    <row r="41" spans="8:9" ht="15" thickBot="1" x14ac:dyDescent="0.4">
      <c r="H41" s="38" t="s">
        <v>62</v>
      </c>
      <c r="I41" s="81">
        <f>I36/F98</f>
        <v>1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x2e/OicIakWKPGiDLgxpPFxf1QYA94EaqGWNT7ZOUE2g3K6zmYXzwdSYy5F4m2OBIs6SikmevAO7VVW/Mhh+wQ==" saltValue="+cgoG/6yN5VvrkT4y1SQl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1009650</xdr:colOff>
                    <xdr:row>1</xdr:row>
                    <xdr:rowOff>0</xdr:rowOff>
                  </from>
                  <to>
                    <xdr:col>7</xdr:col>
                    <xdr:colOff>3098800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Hoja20">
    <tabColor theme="7" tint="0.39997558519241921"/>
  </sheetPr>
  <dimension ref="A2:M115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465</v>
      </c>
    </row>
    <row r="3" spans="1:13" ht="15.5" x14ac:dyDescent="0.35">
      <c r="B3" s="216" t="s">
        <v>374</v>
      </c>
      <c r="C3" s="217" t="s">
        <v>520</v>
      </c>
    </row>
    <row r="4" spans="1:13" ht="15.5" x14ac:dyDescent="0.35">
      <c r="B4" s="216" t="s">
        <v>475</v>
      </c>
      <c r="C4" s="217" t="s">
        <v>500</v>
      </c>
    </row>
    <row r="5" spans="1:13" ht="15" customHeight="1" thickBot="1" x14ac:dyDescent="0.4"/>
    <row r="6" spans="1:13" ht="23.25" customHeight="1" thickBot="1" x14ac:dyDescent="0.4">
      <c r="A6" s="284" t="s">
        <v>132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129</v>
      </c>
      <c r="C9" s="14">
        <v>750</v>
      </c>
      <c r="D9" s="14" t="s">
        <v>12</v>
      </c>
      <c r="E9" s="233">
        <v>44831</v>
      </c>
      <c r="F9" s="108">
        <f>Tabla13456810911131516346121719202122[[#This Row],[PRECIO]]/Tabla13456810911131516346121719202122[[#This Row],[CANTIDAD]]</f>
        <v>59.774666666666668</v>
      </c>
      <c r="H9" s="9" t="s">
        <v>13</v>
      </c>
      <c r="I9" s="10">
        <f>F26</f>
        <v>5935.83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130</v>
      </c>
      <c r="C10" s="14">
        <v>500</v>
      </c>
      <c r="D10" s="14" t="s">
        <v>22</v>
      </c>
      <c r="E10" s="233">
        <v>6000</v>
      </c>
      <c r="F10" s="108">
        <f>Tabla13456810911131516346121719202122[[#This Row],[PRECIO]]/Tabla13456810911131516346121719202122[[#This Row],[CANTIDAD]]</f>
        <v>12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96"/>
      <c r="C11" s="14"/>
      <c r="D11" s="14"/>
      <c r="E11" s="233"/>
      <c r="F11" s="108"/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96"/>
      <c r="C12" s="14"/>
      <c r="D12" s="14"/>
      <c r="E12" s="233"/>
      <c r="F12" s="108"/>
      <c r="H12" s="25" t="s">
        <v>23</v>
      </c>
      <c r="I12" s="26">
        <f>I9-I10</f>
        <v>959.16333333333296</v>
      </c>
      <c r="J12" s="27">
        <f>(I9-I10)/I10*100%</f>
        <v>0.1927320830542531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7"/>
      <c r="C13" s="6"/>
      <c r="D13" s="6"/>
      <c r="E13" s="232"/>
      <c r="F13" s="107"/>
      <c r="H13" s="30" t="s">
        <v>26</v>
      </c>
      <c r="I13" s="31">
        <f>I9-I11</f>
        <v>-1070.836666666667</v>
      </c>
      <c r="J13" s="32">
        <f>(I9-I11)/I11*100%</f>
        <v>-0.15283111322549958</v>
      </c>
      <c r="L13" s="17" t="s">
        <v>27</v>
      </c>
      <c r="M13" s="19">
        <f>D17+D18+D16+D19+30</f>
        <v>90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0.14285714285714285</v>
      </c>
    </row>
    <row r="15" spans="1:13" ht="24.75" customHeight="1" thickBot="1" x14ac:dyDescent="0.4">
      <c r="A15" s="295" t="s">
        <v>29</v>
      </c>
      <c r="B15" s="109" t="s">
        <v>30</v>
      </c>
      <c r="C15" s="110" t="s">
        <v>31</v>
      </c>
      <c r="D15" s="111" t="s">
        <v>5</v>
      </c>
      <c r="E15" s="110" t="s">
        <v>32</v>
      </c>
      <c r="F15" s="112" t="s">
        <v>33</v>
      </c>
      <c r="H15" s="298" t="s">
        <v>34</v>
      </c>
      <c r="I15" s="299"/>
    </row>
    <row r="16" spans="1:13" ht="15" customHeight="1" thickBot="1" x14ac:dyDescent="0.4">
      <c r="A16" s="296"/>
      <c r="B16" s="50" t="str">
        <f>B9</f>
        <v>CREMA DE WHISKY BAILEY'S</v>
      </c>
      <c r="C16" s="51" t="str">
        <f>D9</f>
        <v>ML</v>
      </c>
      <c r="D16" s="229">
        <v>50</v>
      </c>
      <c r="E16" s="51">
        <f>VLOOKUP(B16,Tabla13456810911131516346121719202122[],5,FALSE)</f>
        <v>59.774666666666668</v>
      </c>
      <c r="F16" s="53">
        <f>E16*D16</f>
        <v>2988.7333333333336</v>
      </c>
      <c r="H16" s="48" t="s">
        <v>13</v>
      </c>
      <c r="I16" s="49">
        <f>F26</f>
        <v>5935.83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MASMELOS</v>
      </c>
      <c r="C17" s="51" t="str">
        <f>D10</f>
        <v>GR</v>
      </c>
      <c r="D17" s="230">
        <v>10</v>
      </c>
      <c r="E17" s="51">
        <f>VLOOKUP(B17,Tabla13456810911131516346121719202122[],5,FALSE)</f>
        <v>12</v>
      </c>
      <c r="F17" s="53">
        <f>E17*D17</f>
        <v>120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/>
      <c r="C18" s="51"/>
      <c r="D18" s="23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4"/>
      <c r="C19" s="55"/>
      <c r="D19" s="230"/>
      <c r="E19" s="113"/>
      <c r="F19" s="53"/>
      <c r="H19" s="58" t="s">
        <v>40</v>
      </c>
      <c r="I19" s="26">
        <f>I16-I17</f>
        <v>-184.17000000000007</v>
      </c>
      <c r="J19" s="27">
        <f>(I16-I17)/I17*100%</f>
        <v>-3.0093137254901973E-2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1"/>
      <c r="E20" s="60"/>
      <c r="F20" s="62"/>
      <c r="H20" s="63" t="s">
        <v>41</v>
      </c>
      <c r="I20" s="31">
        <f>I16-I18</f>
        <v>-5864.17</v>
      </c>
      <c r="J20" s="32">
        <f>(I16-I18)/I18*100%</f>
        <v>-0.4969635593220339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3108.7333333333336</v>
      </c>
    </row>
    <row r="22" spans="1:13" ht="16.5" customHeight="1" thickBot="1" x14ac:dyDescent="0.4">
      <c r="A22" s="296"/>
      <c r="B22" s="304" t="s">
        <v>131</v>
      </c>
      <c r="C22" s="305"/>
      <c r="D22" s="310" t="s">
        <v>46</v>
      </c>
      <c r="E22" s="311"/>
      <c r="F22" s="66">
        <f>F21*5%</f>
        <v>155.4366666666667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3264.17</v>
      </c>
      <c r="H23" s="9" t="s">
        <v>13</v>
      </c>
      <c r="I23" s="10">
        <f>F26</f>
        <v>5935.83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10000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800</v>
      </c>
      <c r="H25" s="30" t="s">
        <v>52</v>
      </c>
      <c r="I25" s="70">
        <f>I23-I24</f>
        <v>-2360.8366666666661</v>
      </c>
      <c r="J25" s="71">
        <f>(I23-I24)/I23*100%</f>
        <v>-0.39772646229199055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5935.83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0.32641700000000001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0.59358299999999997</v>
      </c>
      <c r="G28" s="73"/>
      <c r="H28" s="9" t="s">
        <v>57</v>
      </c>
      <c r="I28" s="10">
        <f>F26</f>
        <v>5935.83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1.1927320830542532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0.84716888677450042</v>
      </c>
    </row>
    <row r="31" spans="1:13" x14ac:dyDescent="0.35">
      <c r="H31" s="17" t="s">
        <v>60</v>
      </c>
      <c r="I31" s="80">
        <f>I28/F113</f>
        <v>0.7154475693049418</v>
      </c>
    </row>
    <row r="32" spans="1:13" x14ac:dyDescent="0.35">
      <c r="H32" s="17" t="s">
        <v>61</v>
      </c>
      <c r="I32" s="80">
        <f>I28/F87</f>
        <v>0.96990686274509808</v>
      </c>
    </row>
    <row r="33" spans="8:9" ht="15" thickBot="1" x14ac:dyDescent="0.4">
      <c r="H33" s="38" t="s">
        <v>62</v>
      </c>
      <c r="I33" s="81">
        <f>I28/F100</f>
        <v>0.50303644067796605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10000</v>
      </c>
    </row>
    <row r="37" spans="8:9" x14ac:dyDescent="0.35">
      <c r="H37" s="17" t="s">
        <v>58</v>
      </c>
      <c r="I37" s="80">
        <f>I36/F60</f>
        <v>1.25</v>
      </c>
    </row>
    <row r="38" spans="8:9" x14ac:dyDescent="0.35">
      <c r="H38" s="17" t="s">
        <v>59</v>
      </c>
      <c r="I38" s="80">
        <f>I36/F72</f>
        <v>0.83333333333333337</v>
      </c>
    </row>
    <row r="39" spans="8:9" x14ac:dyDescent="0.35">
      <c r="H39" s="17" t="s">
        <v>60</v>
      </c>
      <c r="I39" s="80">
        <f>I36/F111</f>
        <v>0.7142857142857143</v>
      </c>
    </row>
    <row r="40" spans="8:9" x14ac:dyDescent="0.35">
      <c r="H40" s="17" t="s">
        <v>61</v>
      </c>
      <c r="I40" s="80">
        <f>I36/F85</f>
        <v>1</v>
      </c>
    </row>
    <row r="41" spans="8:9" ht="15" thickBot="1" x14ac:dyDescent="0.4">
      <c r="H41" s="38" t="s">
        <v>62</v>
      </c>
      <c r="I41" s="81">
        <f>I36/F98</f>
        <v>0.5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XPSixA+fXZDfvlMhGhlSAUGq7reieBs0yPbOvbOwhbo0phhSMm4p28HjsaX/ZmR59OzgaKPpuRj+bbBKWG4ltQ==" saltValue="vgM3QNMtyMBooieKnU0CK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990600</xdr:colOff>
                    <xdr:row>1</xdr:row>
                    <xdr:rowOff>12700</xdr:rowOff>
                  </from>
                  <to>
                    <xdr:col>7</xdr:col>
                    <xdr:colOff>3079750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Hoja21">
    <tabColor theme="5" tint="0.39997558519241921"/>
  </sheetPr>
  <dimension ref="A2:M115"/>
  <sheetViews>
    <sheetView showGridLines="0" zoomScale="90" zoomScaleNormal="90" workbookViewId="0"/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465</v>
      </c>
    </row>
    <row r="3" spans="1:13" ht="15.5" x14ac:dyDescent="0.35">
      <c r="B3" s="216" t="s">
        <v>374</v>
      </c>
      <c r="C3" s="217" t="s">
        <v>520</v>
      </c>
    </row>
    <row r="4" spans="1:13" ht="15.5" x14ac:dyDescent="0.35">
      <c r="B4" s="216" t="s">
        <v>475</v>
      </c>
      <c r="C4" s="217" t="s">
        <v>498</v>
      </c>
    </row>
    <row r="5" spans="1:13" ht="15" customHeight="1" thickBot="1" x14ac:dyDescent="0.4"/>
    <row r="6" spans="1:13" ht="23.25" customHeight="1" thickBot="1" x14ac:dyDescent="0.4">
      <c r="A6" s="284" t="s">
        <v>137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129</v>
      </c>
      <c r="C9" s="14">
        <v>750</v>
      </c>
      <c r="D9" s="14" t="s">
        <v>12</v>
      </c>
      <c r="E9" s="233">
        <v>44831</v>
      </c>
      <c r="F9" s="108">
        <f>Tabla1345681091113151634612171920212224[[#This Row],[PRECIO]]/Tabla1345681091113151634612171920212224[[#This Row],[CANTIDAD]]</f>
        <v>59.774666666666668</v>
      </c>
      <c r="H9" s="9" t="s">
        <v>13</v>
      </c>
      <c r="I9" s="10">
        <f>F26</f>
        <v>7151.08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133</v>
      </c>
      <c r="C10" s="14">
        <v>500</v>
      </c>
      <c r="D10" s="14" t="s">
        <v>22</v>
      </c>
      <c r="E10" s="233">
        <v>15000</v>
      </c>
      <c r="F10" s="108">
        <f>Tabla1345681091113151634612171920212224[[#This Row],[PRECIO]]/Tabla1345681091113151634612171920212224[[#This Row],[CANTIDAD]]</f>
        <v>30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0.05</v>
      </c>
    </row>
    <row r="11" spans="1:13" ht="15" customHeight="1" thickBot="1" x14ac:dyDescent="0.4">
      <c r="A11" s="288"/>
      <c r="B11" s="12" t="s">
        <v>134</v>
      </c>
      <c r="C11" s="14">
        <v>1000</v>
      </c>
      <c r="D11" s="14" t="s">
        <v>12</v>
      </c>
      <c r="E11" s="233">
        <v>2500</v>
      </c>
      <c r="F11" s="108">
        <f>Tabla1345681091113151634612171920212224[[#This Row],[PRECIO]]/Tabla1345681091113151634612171920212224[[#This Row],[CANTIDAD]]</f>
        <v>2.5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96" t="s">
        <v>135</v>
      </c>
      <c r="C12" s="14">
        <v>500</v>
      </c>
      <c r="D12" s="14" t="s">
        <v>22</v>
      </c>
      <c r="E12" s="233">
        <v>20000</v>
      </c>
      <c r="F12" s="108">
        <f>Tabla1345681091113151634612171920212224[[#This Row],[PRECIO]]/Tabla1345681091113151634612171920212224[[#This Row],[CANTIDAD]]</f>
        <v>40</v>
      </c>
      <c r="H12" s="25" t="s">
        <v>23</v>
      </c>
      <c r="I12" s="26">
        <f>I9-I10</f>
        <v>2174.413333333333</v>
      </c>
      <c r="J12" s="27">
        <f>(I9-I10)/I10*100%</f>
        <v>0.43692163429336894</v>
      </c>
      <c r="L12" s="17" t="s">
        <v>24</v>
      </c>
      <c r="M12" s="28">
        <f>M9*M10*M11</f>
        <v>15.640000000000002</v>
      </c>
    </row>
    <row r="13" spans="1:13" ht="15.75" customHeight="1" thickBot="1" x14ac:dyDescent="0.4">
      <c r="A13" s="289"/>
      <c r="B13" s="96"/>
      <c r="C13" s="14"/>
      <c r="D13" s="14"/>
      <c r="E13" s="242"/>
      <c r="F13" s="108"/>
      <c r="H13" s="30" t="s">
        <v>26</v>
      </c>
      <c r="I13" s="31">
        <f>I9-I11</f>
        <v>144.41333333333296</v>
      </c>
      <c r="J13" s="32">
        <f>(I9-I11)/I11*100%</f>
        <v>2.0610846812559414E-2</v>
      </c>
      <c r="L13" s="17" t="s">
        <v>27</v>
      </c>
      <c r="M13" s="19">
        <f>D17+D18+D16+D19+30</f>
        <v>241</v>
      </c>
    </row>
    <row r="14" spans="1:13" ht="16" thickBot="1" x14ac:dyDescent="0.4">
      <c r="A14" s="33"/>
      <c r="B14" s="34"/>
      <c r="C14" s="35"/>
      <c r="D14" s="35"/>
      <c r="E14" s="36"/>
      <c r="F14" s="37"/>
      <c r="L14" s="38" t="s">
        <v>28</v>
      </c>
      <c r="M14" s="39">
        <f>(D16*M9)/(D16+M13)</f>
        <v>6.8728522336769765E-2</v>
      </c>
    </row>
    <row r="15" spans="1:13" ht="24.75" customHeight="1" thickBot="1" x14ac:dyDescent="0.4">
      <c r="A15" s="295" t="s">
        <v>29</v>
      </c>
      <c r="B15" s="109" t="s">
        <v>30</v>
      </c>
      <c r="C15" s="110" t="s">
        <v>31</v>
      </c>
      <c r="D15" s="111" t="s">
        <v>5</v>
      </c>
      <c r="E15" s="110" t="s">
        <v>32</v>
      </c>
      <c r="F15" s="112" t="s">
        <v>33</v>
      </c>
      <c r="H15" s="298" t="s">
        <v>34</v>
      </c>
      <c r="I15" s="299"/>
    </row>
    <row r="16" spans="1:13" ht="15" customHeight="1" thickBot="1" x14ac:dyDescent="0.4">
      <c r="A16" s="296"/>
      <c r="B16" s="50" t="str">
        <f>B9</f>
        <v>CREMA DE WHISKY BAILEY'S</v>
      </c>
      <c r="C16" s="51" t="str">
        <f>D9</f>
        <v>ML</v>
      </c>
      <c r="D16" s="229">
        <v>50</v>
      </c>
      <c r="E16" s="51">
        <f>VLOOKUP(B16,Tabla1345681091113151634612171920212224[],5,FALSE)</f>
        <v>59.774666666666668</v>
      </c>
      <c r="F16" s="53">
        <f>E16*D16</f>
        <v>2988.7333333333336</v>
      </c>
      <c r="H16" s="48" t="s">
        <v>13</v>
      </c>
      <c r="I16" s="49">
        <f>F26</f>
        <v>7151.08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 xml:space="preserve">CAFÉ MOLIDO </v>
      </c>
      <c r="C17" s="51" t="str">
        <f>D10</f>
        <v>GR</v>
      </c>
      <c r="D17" s="230">
        <v>10</v>
      </c>
      <c r="E17" s="51">
        <f>VLOOKUP(B17,Tabla1345681091113151634612171920212224[],5,FALSE)</f>
        <v>30</v>
      </c>
      <c r="F17" s="53">
        <f>E17*D17</f>
        <v>300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LECHE</v>
      </c>
      <c r="C18" s="51" t="str">
        <f>D11</f>
        <v>ML</v>
      </c>
      <c r="D18" s="230">
        <v>150</v>
      </c>
      <c r="E18" s="51">
        <f>VLOOKUP(B18,Tabla1345681091113151634612171920212224[],5,FALSE)</f>
        <v>2.5</v>
      </c>
      <c r="F18" s="53">
        <f>E18*D18</f>
        <v>375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 t="str">
        <f>B12</f>
        <v>CANELA EN POLVO</v>
      </c>
      <c r="C19" s="51" t="str">
        <f>D12</f>
        <v>GR</v>
      </c>
      <c r="D19" s="230">
        <v>1</v>
      </c>
      <c r="E19" s="51">
        <f>VLOOKUP(B19,Tabla1345681091113151634612171920212224[],5,FALSE)</f>
        <v>40</v>
      </c>
      <c r="F19" s="53">
        <f>E19*D19</f>
        <v>40</v>
      </c>
      <c r="H19" s="58" t="s">
        <v>40</v>
      </c>
      <c r="I19" s="26">
        <f>I16-I17</f>
        <v>1031.08</v>
      </c>
      <c r="J19" s="27">
        <f>(I16-I17)/I17*100%</f>
        <v>0.16847712418300653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9"/>
      <c r="C20" s="60"/>
      <c r="D20" s="231"/>
      <c r="E20" s="60"/>
      <c r="F20" s="62"/>
      <c r="H20" s="63" t="s">
        <v>41</v>
      </c>
      <c r="I20" s="31">
        <f>I16-I18</f>
        <v>-4648.92</v>
      </c>
      <c r="J20" s="32">
        <f>(I16-I18)/I18*100%</f>
        <v>-0.39397627118644069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3703.7333333333336</v>
      </c>
    </row>
    <row r="22" spans="1:13" ht="16.5" customHeight="1" thickBot="1" x14ac:dyDescent="0.4">
      <c r="A22" s="296"/>
      <c r="B22" s="304" t="s">
        <v>136</v>
      </c>
      <c r="C22" s="305"/>
      <c r="D22" s="310" t="s">
        <v>46</v>
      </c>
      <c r="E22" s="311"/>
      <c r="F22" s="66">
        <f>F21*5%</f>
        <v>185.1866666666667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3888.92</v>
      </c>
      <c r="H23" s="9" t="s">
        <v>13</v>
      </c>
      <c r="I23" s="10">
        <f>F26</f>
        <v>7151.08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12000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69">
        <f>F24*8%</f>
        <v>960</v>
      </c>
      <c r="H25" s="30" t="s">
        <v>52</v>
      </c>
      <c r="I25" s="70">
        <f>I23-I24</f>
        <v>-1145.5866666666661</v>
      </c>
      <c r="J25" s="71">
        <f>(I23-I24)/I23*100%</f>
        <v>-0.16019771372529271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7151.08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0.32407666666666668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0.59592333333333336</v>
      </c>
      <c r="G28" s="73"/>
      <c r="H28" s="9" t="s">
        <v>57</v>
      </c>
      <c r="I28" s="10">
        <f>F26</f>
        <v>7151.08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1.4369216342933691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1.0206108468125594</v>
      </c>
    </row>
    <row r="31" spans="1:13" x14ac:dyDescent="0.35">
      <c r="H31" s="17" t="s">
        <v>60</v>
      </c>
      <c r="I31" s="80">
        <f>I28/F113</f>
        <v>0.86192205705102454</v>
      </c>
    </row>
    <row r="32" spans="1:13" x14ac:dyDescent="0.35">
      <c r="H32" s="17" t="s">
        <v>61</v>
      </c>
      <c r="I32" s="80">
        <f>I28/F87</f>
        <v>1.1684771241830065</v>
      </c>
    </row>
    <row r="33" spans="8:9" ht="15" thickBot="1" x14ac:dyDescent="0.4">
      <c r="H33" s="38" t="s">
        <v>62</v>
      </c>
      <c r="I33" s="81">
        <f>I28/F100</f>
        <v>0.60602372881355937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12000</v>
      </c>
    </row>
    <row r="37" spans="8:9" x14ac:dyDescent="0.35">
      <c r="H37" s="17" t="s">
        <v>58</v>
      </c>
      <c r="I37" s="80">
        <f>I36/F60</f>
        <v>1.5</v>
      </c>
    </row>
    <row r="38" spans="8:9" x14ac:dyDescent="0.35">
      <c r="H38" s="17" t="s">
        <v>59</v>
      </c>
      <c r="I38" s="80">
        <f>I36/F72</f>
        <v>1</v>
      </c>
    </row>
    <row r="39" spans="8:9" x14ac:dyDescent="0.35">
      <c r="H39" s="17" t="s">
        <v>60</v>
      </c>
      <c r="I39" s="80">
        <f>I36/F111</f>
        <v>0.8571428571428571</v>
      </c>
    </row>
    <row r="40" spans="8:9" x14ac:dyDescent="0.35">
      <c r="H40" s="17" t="s">
        <v>61</v>
      </c>
      <c r="I40" s="80">
        <f>I36/F85</f>
        <v>1.2</v>
      </c>
    </row>
    <row r="41" spans="8:9" ht="15" thickBot="1" x14ac:dyDescent="0.4">
      <c r="H41" s="38" t="s">
        <v>62</v>
      </c>
      <c r="I41" s="81">
        <f>I36/F98</f>
        <v>0.6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971550</xdr:colOff>
                    <xdr:row>1</xdr:row>
                    <xdr:rowOff>19050</xdr:rowOff>
                  </from>
                  <to>
                    <xdr:col>7</xdr:col>
                    <xdr:colOff>3048000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Hoja22">
    <tabColor theme="8" tint="0.39997558519241921"/>
  </sheetPr>
  <dimension ref="A2:M115"/>
  <sheetViews>
    <sheetView showGridLines="0" zoomScale="90" zoomScaleNormal="90" workbookViewId="0"/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469</v>
      </c>
    </row>
    <row r="3" spans="1:13" ht="15.5" x14ac:dyDescent="0.35">
      <c r="B3" s="216" t="s">
        <v>374</v>
      </c>
      <c r="C3" s="217" t="s">
        <v>535</v>
      </c>
    </row>
    <row r="4" spans="1:13" ht="15.5" x14ac:dyDescent="0.35">
      <c r="B4" s="216" t="s">
        <v>475</v>
      </c>
      <c r="C4" s="217" t="s">
        <v>497</v>
      </c>
    </row>
    <row r="5" spans="1:13" ht="15" customHeight="1" thickBot="1" x14ac:dyDescent="0.4"/>
    <row r="6" spans="1:13" ht="23.25" customHeight="1" thickBot="1" x14ac:dyDescent="0.4">
      <c r="A6" s="284" t="s">
        <v>534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138</v>
      </c>
      <c r="C9" s="14">
        <v>700</v>
      </c>
      <c r="D9" s="96" t="s">
        <v>12</v>
      </c>
      <c r="E9" s="186">
        <v>54152</v>
      </c>
      <c r="F9" s="115">
        <f>Tabla13456810911139[[#This Row],[PRECIO]]/Tabla13456810911139[[#This Row],[CANTIDAD]]</f>
        <v>77.36</v>
      </c>
      <c r="H9" s="9" t="s">
        <v>13</v>
      </c>
      <c r="I9" s="10">
        <f>F26</f>
        <v>11597.012727272728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 t="s">
        <v>139</v>
      </c>
      <c r="C10" s="13">
        <v>2000</v>
      </c>
      <c r="D10" s="14" t="s">
        <v>12</v>
      </c>
      <c r="E10" s="186">
        <f>12000+3500</f>
        <v>15500</v>
      </c>
      <c r="F10" s="115">
        <f>Tabla13456810911139[[#This Row],[PRECIO]]/Tabla13456810911139[[#This Row],[CANTIDAD]]</f>
        <v>7.75</v>
      </c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4.4999999999999998E-2</v>
      </c>
    </row>
    <row r="11" spans="1:13" ht="15" customHeight="1" thickBot="1" x14ac:dyDescent="0.4">
      <c r="A11" s="288"/>
      <c r="B11" s="12" t="s">
        <v>99</v>
      </c>
      <c r="C11" s="14">
        <v>500</v>
      </c>
      <c r="D11" s="14" t="s">
        <v>22</v>
      </c>
      <c r="E11" s="186">
        <v>3500</v>
      </c>
      <c r="F11" s="115">
        <f>Tabla13456810911139[[#This Row],[PRECIO]]/Tabla13456810911139[[#This Row],[CANTIDAD]]</f>
        <v>7</v>
      </c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 t="s">
        <v>140</v>
      </c>
      <c r="C12" s="22">
        <v>1000</v>
      </c>
      <c r="D12" s="22" t="s">
        <v>12</v>
      </c>
      <c r="E12" s="187">
        <v>20000</v>
      </c>
      <c r="F12" s="115">
        <f>Tabla13456810911139[[#This Row],[PRECIO]]/Tabla13456810911139[[#This Row],[CANTIDAD]]</f>
        <v>20</v>
      </c>
      <c r="H12" s="25" t="s">
        <v>23</v>
      </c>
      <c r="I12" s="26">
        <f>I9-I10</f>
        <v>6620.3460606060607</v>
      </c>
      <c r="J12" s="27">
        <f>(I9-I10)/I10*100%</f>
        <v>1.3302771722584181</v>
      </c>
      <c r="L12" s="17" t="s">
        <v>24</v>
      </c>
      <c r="M12" s="28">
        <f>M9*M10*M11</f>
        <v>14.075999999999999</v>
      </c>
    </row>
    <row r="13" spans="1:13" ht="15.75" customHeight="1" thickBot="1" x14ac:dyDescent="0.4">
      <c r="A13" s="289"/>
      <c r="B13" s="29" t="s">
        <v>121</v>
      </c>
      <c r="C13" s="22">
        <v>330</v>
      </c>
      <c r="D13" s="22" t="s">
        <v>12</v>
      </c>
      <c r="E13" s="188">
        <v>1800</v>
      </c>
      <c r="F13" s="115">
        <f>Tabla13456810911139[[#This Row],[PRECIO]]/Tabla13456810911139[[#This Row],[CANTIDAD]]</f>
        <v>5.4545454545454541</v>
      </c>
      <c r="H13" s="30" t="s">
        <v>26</v>
      </c>
      <c r="I13" s="31">
        <f>I9-I11</f>
        <v>4590.3460606060607</v>
      </c>
      <c r="J13" s="32">
        <f>(I9-I11)/I11*100%</f>
        <v>0.6551397802958222</v>
      </c>
      <c r="L13" s="17" t="s">
        <v>27</v>
      </c>
      <c r="M13" s="19">
        <f>D17+D18+D16+D19+30</f>
        <v>150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9.2307692307692313E-2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VODKA SMIRNOFF</v>
      </c>
      <c r="C16" s="45" t="str">
        <f>D9</f>
        <v>ML</v>
      </c>
      <c r="D16" s="189">
        <v>45</v>
      </c>
      <c r="E16" s="45">
        <f>VLOOKUP(B16,Tabla13456810911139[],5,FALSE)</f>
        <v>77.36</v>
      </c>
      <c r="F16" s="47">
        <f>E16*D16</f>
        <v>3481.2</v>
      </c>
      <c r="H16" s="48" t="s">
        <v>13</v>
      </c>
      <c r="I16" s="49">
        <f>F26</f>
        <v>11597.012727272728</v>
      </c>
      <c r="L16" s="290" t="s">
        <v>35</v>
      </c>
      <c r="M16" s="291"/>
    </row>
    <row r="17" spans="1:13" ht="15" customHeight="1" x14ac:dyDescent="0.35">
      <c r="A17" s="296"/>
      <c r="B17" s="50" t="str">
        <f>B10</f>
        <v>PRE MIX DE LIMÓN</v>
      </c>
      <c r="C17" s="51" t="str">
        <f>D10</f>
        <v>ML</v>
      </c>
      <c r="D17" s="190">
        <v>60</v>
      </c>
      <c r="E17" s="51">
        <f>VLOOKUP(B17,Tabla13456810911139[],5,FALSE)</f>
        <v>7.75</v>
      </c>
      <c r="F17" s="53">
        <f>E17*D17</f>
        <v>465</v>
      </c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 t="str">
        <f>B11</f>
        <v>LIMÓN TAHITÍ</v>
      </c>
      <c r="C18" s="51" t="str">
        <f>D11</f>
        <v>GR</v>
      </c>
      <c r="D18" s="190">
        <v>5</v>
      </c>
      <c r="E18" s="51">
        <f>VLOOKUP(B18,Tabla13456810911139[],5,FALSE)</f>
        <v>7</v>
      </c>
      <c r="F18" s="53">
        <f>E18*D18</f>
        <v>35</v>
      </c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 t="str">
        <f>B12</f>
        <v>GRANADINA</v>
      </c>
      <c r="C19" s="51" t="str">
        <f>D12</f>
        <v>ML</v>
      </c>
      <c r="D19" s="190">
        <v>10</v>
      </c>
      <c r="E19" s="51">
        <f>VLOOKUP(B19,Tabla13456810911139[],5,FALSE)</f>
        <v>20</v>
      </c>
      <c r="F19" s="53">
        <f>E19*D19</f>
        <v>200</v>
      </c>
      <c r="H19" s="58" t="s">
        <v>40</v>
      </c>
      <c r="I19" s="26">
        <f>I16-I17</f>
        <v>5477.0127272727277</v>
      </c>
      <c r="J19" s="27">
        <f>(I16-I17)/I17*100%</f>
        <v>0.89493672014260262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 t="str">
        <f>B13</f>
        <v>SODA</v>
      </c>
      <c r="C20" s="51" t="str">
        <f>D13</f>
        <v>ML</v>
      </c>
      <c r="D20" s="190">
        <v>100</v>
      </c>
      <c r="E20" s="51">
        <f>VLOOKUP(B20,Tabla13456810911139[],5,FALSE)</f>
        <v>5.4545454545454541</v>
      </c>
      <c r="F20" s="53">
        <f>E20*D20</f>
        <v>545.45454545454538</v>
      </c>
      <c r="H20" s="63" t="s">
        <v>41</v>
      </c>
      <c r="I20" s="31">
        <f>I16-I18</f>
        <v>-202.98727272727228</v>
      </c>
      <c r="J20" s="32">
        <f>(I16-I18)/I18*100%</f>
        <v>-1.7202311248073924E-2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4726.6545454545449</v>
      </c>
    </row>
    <row r="22" spans="1:13" ht="16.5" customHeight="1" thickBot="1" x14ac:dyDescent="0.4">
      <c r="A22" s="296"/>
      <c r="B22" s="304" t="s">
        <v>536</v>
      </c>
      <c r="C22" s="305"/>
      <c r="D22" s="310" t="s">
        <v>46</v>
      </c>
      <c r="E22" s="311"/>
      <c r="F22" s="66">
        <f>F21*5%</f>
        <v>236.33272727272725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4962.9872727272723</v>
      </c>
      <c r="H23" s="9" t="s">
        <v>13</v>
      </c>
      <c r="I23" s="10">
        <f>F26</f>
        <v>11597.012727272728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18000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1440</v>
      </c>
      <c r="H25" s="30" t="s">
        <v>52</v>
      </c>
      <c r="I25" s="70">
        <f>I23-I24</f>
        <v>3300.3460606060617</v>
      </c>
      <c r="J25" s="71">
        <f>(I23-I24)/I23*100%</f>
        <v>0.28458587898628657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11597.012727272728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0.27572151515151511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0.64427848484848482</v>
      </c>
      <c r="G28" s="73"/>
      <c r="H28" s="9" t="s">
        <v>57</v>
      </c>
      <c r="I28" s="10">
        <f>F26</f>
        <v>11597.012727272728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2.3302771722584179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1.6551397802958221</v>
      </c>
    </row>
    <row r="31" spans="1:13" x14ac:dyDescent="0.35">
      <c r="H31" s="17" t="s">
        <v>60</v>
      </c>
      <c r="I31" s="80">
        <f>I28/F113</f>
        <v>1.397791811242193</v>
      </c>
    </row>
    <row r="32" spans="1:13" x14ac:dyDescent="0.35">
      <c r="H32" s="17" t="s">
        <v>61</v>
      </c>
      <c r="I32" s="80">
        <f>I28/F87</f>
        <v>1.8949367201426026</v>
      </c>
    </row>
    <row r="33" spans="8:9" ht="15" thickBot="1" x14ac:dyDescent="0.4">
      <c r="H33" s="38" t="s">
        <v>62</v>
      </c>
      <c r="I33" s="81">
        <f>I28/F100</f>
        <v>0.98279768875192608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18000</v>
      </c>
    </row>
    <row r="37" spans="8:9" x14ac:dyDescent="0.35">
      <c r="H37" s="17" t="s">
        <v>58</v>
      </c>
      <c r="I37" s="80">
        <f>I36/F60</f>
        <v>2.25</v>
      </c>
    </row>
    <row r="38" spans="8:9" x14ac:dyDescent="0.35">
      <c r="H38" s="17" t="s">
        <v>59</v>
      </c>
      <c r="I38" s="80">
        <f>I36/F72</f>
        <v>1.5</v>
      </c>
    </row>
    <row r="39" spans="8:9" x14ac:dyDescent="0.35">
      <c r="H39" s="17" t="s">
        <v>60</v>
      </c>
      <c r="I39" s="80">
        <f>I36/F111</f>
        <v>1.2857142857142858</v>
      </c>
    </row>
    <row r="40" spans="8:9" x14ac:dyDescent="0.35">
      <c r="H40" s="17" t="s">
        <v>61</v>
      </c>
      <c r="I40" s="80">
        <f>I36/F85</f>
        <v>1.8</v>
      </c>
    </row>
    <row r="41" spans="8:9" ht="15" thickBot="1" x14ac:dyDescent="0.4">
      <c r="H41" s="38" t="s">
        <v>62</v>
      </c>
      <c r="I41" s="81">
        <f>I36/F98</f>
        <v>0.9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31sW5/IX7+1UXYfvAyiyNDqAwG0kQxHP68lcESiAydXWGmSlXB6cWX25sYW9qyU+E0p9hupFj+Dlzsj9EWq8AQ==" saltValue="fJ5WxSTHwwNOG9hcwWVz3w==" spinCount="100000" sheet="1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79:F79"/>
    <mergeCell ref="A82:C82"/>
    <mergeCell ref="D82:E82"/>
    <mergeCell ref="D87:E87"/>
    <mergeCell ref="D88:E88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6:F6"/>
    <mergeCell ref="H6:I6"/>
    <mergeCell ref="L6:M6"/>
    <mergeCell ref="A8:A13"/>
    <mergeCell ref="H8:I8"/>
    <mergeCell ref="L8:M8"/>
    <mergeCell ref="J9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831850</xdr:colOff>
                    <xdr:row>0</xdr:row>
                    <xdr:rowOff>184150</xdr:rowOff>
                  </from>
                  <to>
                    <xdr:col>7</xdr:col>
                    <xdr:colOff>2914650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Hoja23">
    <tabColor rgb="FFFFFF66"/>
  </sheetPr>
  <dimension ref="A1:M111"/>
  <sheetViews>
    <sheetView showGridLines="0" topLeftCell="A91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thickBot="1" x14ac:dyDescent="0.4"/>
    <row r="2" spans="1:13" ht="23.25" customHeight="1" thickBot="1" x14ac:dyDescent="0.4">
      <c r="A2" s="284" t="s">
        <v>150</v>
      </c>
      <c r="B2" s="285"/>
      <c r="C2" s="285"/>
      <c r="D2" s="285"/>
      <c r="E2" s="285"/>
      <c r="F2" s="286"/>
      <c r="H2" s="284" t="s">
        <v>1</v>
      </c>
      <c r="I2" s="286"/>
      <c r="L2" s="284" t="s">
        <v>2</v>
      </c>
      <c r="M2" s="286"/>
    </row>
    <row r="3" spans="1:13" ht="8.25" customHeight="1" thickBot="1" x14ac:dyDescent="0.4"/>
    <row r="4" spans="1:13" ht="25.5" customHeight="1" thickBot="1" x14ac:dyDescent="0.4">
      <c r="A4" s="287" t="s">
        <v>3</v>
      </c>
      <c r="B4" s="103" t="s">
        <v>4</v>
      </c>
      <c r="C4" s="103" t="s">
        <v>5</v>
      </c>
      <c r="D4" s="104" t="s">
        <v>6</v>
      </c>
      <c r="E4" s="103" t="s">
        <v>7</v>
      </c>
      <c r="F4" s="105" t="s">
        <v>8</v>
      </c>
      <c r="H4" s="290" t="s">
        <v>9</v>
      </c>
      <c r="I4" s="291"/>
      <c r="L4" s="290" t="s">
        <v>10</v>
      </c>
      <c r="M4" s="291"/>
    </row>
    <row r="5" spans="1:13" ht="15" customHeight="1" x14ac:dyDescent="0.35">
      <c r="A5" s="288"/>
      <c r="B5" s="12" t="s">
        <v>149</v>
      </c>
      <c r="C5" s="14">
        <v>750</v>
      </c>
      <c r="D5" s="96" t="s">
        <v>12</v>
      </c>
      <c r="E5" s="186">
        <v>186860</v>
      </c>
      <c r="F5" s="115">
        <f>Tabla1345681091113923252627[[#This Row],[PRECIO]]/Tabla1345681091113923252627[[#This Row],[CANTIDAD]]</f>
        <v>249.14666666666668</v>
      </c>
      <c r="H5" s="9" t="s">
        <v>13</v>
      </c>
      <c r="I5" s="10">
        <f>F22</f>
        <v>-1896.2400000000016</v>
      </c>
      <c r="J5" s="292"/>
      <c r="L5" s="9" t="s">
        <v>14</v>
      </c>
      <c r="M5" s="11">
        <f>40/100</f>
        <v>0.4</v>
      </c>
    </row>
    <row r="6" spans="1:13" ht="15" customHeight="1" x14ac:dyDescent="0.35">
      <c r="A6" s="288"/>
      <c r="B6" s="12"/>
      <c r="C6" s="13"/>
      <c r="D6" s="14"/>
      <c r="E6" s="186"/>
      <c r="F6" s="115"/>
      <c r="H6" s="17" t="s">
        <v>16</v>
      </c>
      <c r="I6" s="18">
        <f>F58</f>
        <v>4976.666666666667</v>
      </c>
      <c r="J6" s="292"/>
      <c r="L6" s="17" t="s">
        <v>17</v>
      </c>
      <c r="M6" s="19">
        <f>D12/1000</f>
        <v>0.06</v>
      </c>
    </row>
    <row r="7" spans="1:13" ht="15" customHeight="1" thickBot="1" x14ac:dyDescent="0.4">
      <c r="A7" s="288"/>
      <c r="B7" s="12"/>
      <c r="C7" s="14"/>
      <c r="D7" s="14"/>
      <c r="E7" s="186"/>
      <c r="F7" s="115"/>
      <c r="H7" s="17" t="s">
        <v>19</v>
      </c>
      <c r="I7" s="20">
        <f>F70</f>
        <v>7006.666666666667</v>
      </c>
      <c r="J7" s="292"/>
      <c r="L7" s="17" t="s">
        <v>20</v>
      </c>
      <c r="M7" s="19">
        <v>782</v>
      </c>
    </row>
    <row r="8" spans="1:13" ht="15.75" customHeight="1" x14ac:dyDescent="0.35">
      <c r="A8" s="288"/>
      <c r="B8" s="21"/>
      <c r="C8" s="22"/>
      <c r="D8" s="22"/>
      <c r="E8" s="187"/>
      <c r="F8" s="115"/>
      <c r="H8" s="25" t="s">
        <v>23</v>
      </c>
      <c r="I8" s="26">
        <f>I5-I6</f>
        <v>-6872.9066666666686</v>
      </c>
      <c r="J8" s="27">
        <f>(I5-I6)/I6*100%</f>
        <v>-1.3810261219022106</v>
      </c>
      <c r="L8" s="17" t="s">
        <v>24</v>
      </c>
      <c r="M8" s="28">
        <f>M5*M6*M7</f>
        <v>18.768000000000001</v>
      </c>
    </row>
    <row r="9" spans="1:13" ht="15.75" customHeight="1" thickBot="1" x14ac:dyDescent="0.4">
      <c r="A9" s="289"/>
      <c r="B9" s="29"/>
      <c r="C9" s="22"/>
      <c r="D9" s="22"/>
      <c r="E9" s="188"/>
      <c r="F9" s="115"/>
      <c r="H9" s="30" t="s">
        <v>26</v>
      </c>
      <c r="I9" s="31">
        <f>I5-I7</f>
        <v>-8902.9066666666695</v>
      </c>
      <c r="J9" s="32">
        <f>(I5-I7)/I7*100%</f>
        <v>-1.2706336822074218</v>
      </c>
      <c r="L9" s="17" t="s">
        <v>27</v>
      </c>
      <c r="M9" s="19">
        <f>D13+D14+D12+D15+30</f>
        <v>90</v>
      </c>
    </row>
    <row r="10" spans="1:13" ht="16" thickBot="1" x14ac:dyDescent="0.4">
      <c r="A10" s="33"/>
      <c r="B10" s="34"/>
      <c r="C10" s="35"/>
      <c r="D10" s="35"/>
      <c r="E10" s="118"/>
      <c r="F10" s="119"/>
      <c r="L10" s="38" t="s">
        <v>28</v>
      </c>
      <c r="M10" s="39">
        <f>(D12*M5)/(D12+M9)</f>
        <v>0.16</v>
      </c>
    </row>
    <row r="11" spans="1:13" ht="24.75" customHeight="1" thickBot="1" x14ac:dyDescent="0.4">
      <c r="A11" s="295" t="s">
        <v>29</v>
      </c>
      <c r="B11" s="40" t="s">
        <v>30</v>
      </c>
      <c r="C11" s="41" t="s">
        <v>31</v>
      </c>
      <c r="D11" s="42" t="s">
        <v>5</v>
      </c>
      <c r="E11" s="41" t="s">
        <v>32</v>
      </c>
      <c r="F11" s="43" t="s">
        <v>33</v>
      </c>
      <c r="H11" s="298" t="s">
        <v>34</v>
      </c>
      <c r="I11" s="299"/>
    </row>
    <row r="12" spans="1:13" ht="15" customHeight="1" thickBot="1" x14ac:dyDescent="0.4">
      <c r="A12" s="296"/>
      <c r="B12" s="44" t="str">
        <f>B5</f>
        <v>BUCHANAN'S 18</v>
      </c>
      <c r="C12" s="45" t="str">
        <f>D5</f>
        <v>ML</v>
      </c>
      <c r="D12" s="189">
        <v>60</v>
      </c>
      <c r="E12" s="45">
        <f>VLOOKUP(B12,Tabla1345681091113923252627[],5,FALSE)</f>
        <v>249.14666666666668</v>
      </c>
      <c r="F12" s="47">
        <f>E12*D12</f>
        <v>14948.800000000001</v>
      </c>
      <c r="H12" s="48" t="s">
        <v>13</v>
      </c>
      <c r="I12" s="49">
        <f>F22</f>
        <v>-1896.2400000000016</v>
      </c>
      <c r="L12" s="290" t="s">
        <v>35</v>
      </c>
      <c r="M12" s="291"/>
    </row>
    <row r="13" spans="1:13" ht="15" customHeight="1" x14ac:dyDescent="0.35">
      <c r="A13" s="296"/>
      <c r="B13" s="50"/>
      <c r="C13" s="51"/>
      <c r="D13" s="190"/>
      <c r="E13" s="51"/>
      <c r="F13" s="53"/>
      <c r="H13" s="17" t="s">
        <v>36</v>
      </c>
      <c r="I13" s="18">
        <f>F83</f>
        <v>6120</v>
      </c>
      <c r="L13" s="9" t="s">
        <v>37</v>
      </c>
      <c r="M13" s="11">
        <f>4.5/100</f>
        <v>4.4999999999999998E-2</v>
      </c>
    </row>
    <row r="14" spans="1:13" ht="15.75" customHeight="1" thickBot="1" x14ac:dyDescent="0.4">
      <c r="A14" s="296"/>
      <c r="B14" s="50"/>
      <c r="C14" s="51"/>
      <c r="D14" s="190"/>
      <c r="E14" s="51"/>
      <c r="F14" s="53"/>
      <c r="H14" s="17" t="s">
        <v>38</v>
      </c>
      <c r="I14" s="18">
        <f>F96</f>
        <v>11800</v>
      </c>
      <c r="L14" s="17" t="s">
        <v>39</v>
      </c>
      <c r="M14" s="19">
        <f>330/1000</f>
        <v>0.33</v>
      </c>
    </row>
    <row r="15" spans="1:13" ht="15.75" customHeight="1" x14ac:dyDescent="0.35">
      <c r="A15" s="296"/>
      <c r="B15" s="50"/>
      <c r="C15" s="51"/>
      <c r="D15" s="190"/>
      <c r="E15" s="51"/>
      <c r="F15" s="53"/>
      <c r="H15" s="58" t="s">
        <v>40</v>
      </c>
      <c r="I15" s="26">
        <f>I12-I13</f>
        <v>-8016.2400000000016</v>
      </c>
      <c r="J15" s="27">
        <f>(I12-I13)/I13*100%</f>
        <v>-1.3098431372549022</v>
      </c>
      <c r="L15" s="17" t="s">
        <v>20</v>
      </c>
      <c r="M15" s="19">
        <v>782</v>
      </c>
    </row>
    <row r="16" spans="1:13" ht="15.75" customHeight="1" thickBot="1" x14ac:dyDescent="0.4">
      <c r="A16" s="296"/>
      <c r="B16" s="50"/>
      <c r="C16" s="51"/>
      <c r="D16" s="190"/>
      <c r="E16" s="51"/>
      <c r="F16" s="53"/>
      <c r="H16" s="63" t="s">
        <v>41</v>
      </c>
      <c r="I16" s="31">
        <f>I12-I14</f>
        <v>-13696.240000000002</v>
      </c>
      <c r="J16" s="32">
        <f>(I12-I14)/I14*100%</f>
        <v>-1.1606983050847459</v>
      </c>
      <c r="L16" s="38" t="s">
        <v>42</v>
      </c>
      <c r="M16" s="64">
        <f>M13*M14*M15</f>
        <v>11.6127</v>
      </c>
    </row>
    <row r="17" spans="1:10" ht="15.75" customHeight="1" thickBot="1" x14ac:dyDescent="0.4">
      <c r="A17" s="296"/>
      <c r="B17" s="300" t="s">
        <v>43</v>
      </c>
      <c r="C17" s="301"/>
      <c r="D17" s="302" t="s">
        <v>44</v>
      </c>
      <c r="E17" s="303"/>
      <c r="F17" s="65">
        <f>SUM(F12:F16)</f>
        <v>14948.800000000001</v>
      </c>
    </row>
    <row r="18" spans="1:10" ht="16.5" customHeight="1" thickBot="1" x14ac:dyDescent="0.4">
      <c r="A18" s="296"/>
      <c r="B18" s="304" t="s">
        <v>201</v>
      </c>
      <c r="C18" s="305"/>
      <c r="D18" s="310" t="s">
        <v>46</v>
      </c>
      <c r="E18" s="311"/>
      <c r="F18" s="66">
        <f>F17*5%</f>
        <v>747.44</v>
      </c>
      <c r="H18" s="290" t="s">
        <v>47</v>
      </c>
      <c r="I18" s="291"/>
    </row>
    <row r="19" spans="1:10" ht="15" customHeight="1" x14ac:dyDescent="0.35">
      <c r="A19" s="296"/>
      <c r="B19" s="306"/>
      <c r="C19" s="307"/>
      <c r="D19" s="312" t="s">
        <v>48</v>
      </c>
      <c r="E19" s="313"/>
      <c r="F19" s="67">
        <f>SUM(F17:F18)</f>
        <v>15696.240000000002</v>
      </c>
      <c r="H19" s="9" t="s">
        <v>13</v>
      </c>
      <c r="I19" s="10">
        <f>F22</f>
        <v>-1896.2400000000016</v>
      </c>
    </row>
    <row r="20" spans="1:10" ht="15" customHeight="1" thickBot="1" x14ac:dyDescent="0.4">
      <c r="A20" s="296"/>
      <c r="B20" s="306"/>
      <c r="C20" s="307"/>
      <c r="D20" s="314" t="s">
        <v>49</v>
      </c>
      <c r="E20" s="315"/>
      <c r="F20" s="191">
        <v>15000</v>
      </c>
      <c r="H20" s="17" t="s">
        <v>50</v>
      </c>
      <c r="I20" s="20">
        <f>F109</f>
        <v>8296.6666666666661</v>
      </c>
    </row>
    <row r="21" spans="1:10" ht="15" customHeight="1" thickBot="1" x14ac:dyDescent="0.4">
      <c r="A21" s="296"/>
      <c r="B21" s="306"/>
      <c r="C21" s="307"/>
      <c r="D21" s="316" t="s">
        <v>51</v>
      </c>
      <c r="E21" s="317"/>
      <c r="F21" s="120">
        <f>F20*8%</f>
        <v>1200</v>
      </c>
      <c r="H21" s="30" t="s">
        <v>52</v>
      </c>
      <c r="I21" s="70">
        <f>I19-I20</f>
        <v>-10192.906666666668</v>
      </c>
      <c r="J21" s="71">
        <f>(I19-I20)/I19*100%</f>
        <v>5.3753252049670186</v>
      </c>
    </row>
    <row r="22" spans="1:10" ht="15.75" customHeight="1" thickBot="1" x14ac:dyDescent="0.4">
      <c r="A22" s="296"/>
      <c r="B22" s="306"/>
      <c r="C22" s="307"/>
      <c r="D22" s="310" t="s">
        <v>53</v>
      </c>
      <c r="E22" s="311"/>
      <c r="F22" s="67">
        <f>F20-F19-F21</f>
        <v>-1896.2400000000016</v>
      </c>
    </row>
    <row r="23" spans="1:10" ht="15.75" customHeight="1" thickBot="1" x14ac:dyDescent="0.4">
      <c r="A23" s="296"/>
      <c r="B23" s="306"/>
      <c r="C23" s="307"/>
      <c r="D23" s="310" t="s">
        <v>54</v>
      </c>
      <c r="E23" s="311"/>
      <c r="F23" s="72">
        <f>IFERROR(F19/F20,0)</f>
        <v>1.046416</v>
      </c>
      <c r="G23" s="73"/>
      <c r="H23" s="293" t="s">
        <v>55</v>
      </c>
      <c r="I23" s="294"/>
    </row>
    <row r="24" spans="1:10" ht="15.75" customHeight="1" thickBot="1" x14ac:dyDescent="0.4">
      <c r="A24" s="297"/>
      <c r="B24" s="308"/>
      <c r="C24" s="309"/>
      <c r="D24" s="318" t="s">
        <v>56</v>
      </c>
      <c r="E24" s="319"/>
      <c r="F24" s="74">
        <f>IFERROR(F22/F20,0)</f>
        <v>-0.12641600000000011</v>
      </c>
      <c r="G24" s="73"/>
      <c r="H24" s="9" t="s">
        <v>57</v>
      </c>
      <c r="I24" s="10">
        <f>F22</f>
        <v>-1896.2400000000016</v>
      </c>
    </row>
    <row r="25" spans="1:10" ht="15.75" customHeight="1" x14ac:dyDescent="0.35">
      <c r="A25" s="75"/>
      <c r="B25" s="76"/>
      <c r="C25" s="77"/>
      <c r="D25" s="78"/>
      <c r="E25" s="78"/>
      <c r="F25" s="79"/>
      <c r="G25" s="73"/>
      <c r="H25" s="17" t="s">
        <v>58</v>
      </c>
      <c r="I25" s="80">
        <f>I24/F58</f>
        <v>-0.38102612190221063</v>
      </c>
    </row>
    <row r="26" spans="1:10" x14ac:dyDescent="0.35">
      <c r="A26" s="75"/>
      <c r="B26" s="76"/>
      <c r="C26" s="77"/>
      <c r="D26" s="78"/>
      <c r="E26" s="78"/>
      <c r="F26" s="79"/>
      <c r="H26" s="17" t="s">
        <v>59</v>
      </c>
      <c r="I26" s="80">
        <f>I24/F70</f>
        <v>-0.27063368220742173</v>
      </c>
    </row>
    <row r="27" spans="1:10" x14ac:dyDescent="0.35">
      <c r="H27" s="17" t="s">
        <v>60</v>
      </c>
      <c r="I27" s="80">
        <f>I24/F109</f>
        <v>-0.22855443953394958</v>
      </c>
    </row>
    <row r="28" spans="1:10" x14ac:dyDescent="0.35">
      <c r="H28" s="17" t="s">
        <v>61</v>
      </c>
      <c r="I28" s="80">
        <f>I24/F83</f>
        <v>-0.3098431372549022</v>
      </c>
    </row>
    <row r="29" spans="1:10" ht="15" thickBot="1" x14ac:dyDescent="0.4">
      <c r="H29" s="38" t="s">
        <v>62</v>
      </c>
      <c r="I29" s="81">
        <f>I24/F96</f>
        <v>-0.16069830508474589</v>
      </c>
    </row>
    <row r="30" spans="1:10" ht="15" thickBot="1" x14ac:dyDescent="0.4"/>
    <row r="31" spans="1:10" ht="15" thickBot="1" x14ac:dyDescent="0.4">
      <c r="H31" s="293" t="s">
        <v>63</v>
      </c>
      <c r="I31" s="294"/>
    </row>
    <row r="32" spans="1:10" x14ac:dyDescent="0.35">
      <c r="H32" s="9" t="s">
        <v>64</v>
      </c>
      <c r="I32" s="10">
        <f>F20</f>
        <v>15000</v>
      </c>
    </row>
    <row r="33" spans="8:9" x14ac:dyDescent="0.35">
      <c r="H33" s="17" t="s">
        <v>58</v>
      </c>
      <c r="I33" s="80">
        <f>I32/F56</f>
        <v>1.875</v>
      </c>
    </row>
    <row r="34" spans="8:9" x14ac:dyDescent="0.35">
      <c r="H34" s="17" t="s">
        <v>59</v>
      </c>
      <c r="I34" s="80">
        <f>I32/F68</f>
        <v>1.25</v>
      </c>
    </row>
    <row r="35" spans="8:9" x14ac:dyDescent="0.35">
      <c r="H35" s="17" t="s">
        <v>60</v>
      </c>
      <c r="I35" s="80">
        <f>I32/F107</f>
        <v>1.0714285714285714</v>
      </c>
    </row>
    <row r="36" spans="8:9" x14ac:dyDescent="0.35">
      <c r="H36" s="17" t="s">
        <v>61</v>
      </c>
      <c r="I36" s="80">
        <f>I32/F81</f>
        <v>1.5</v>
      </c>
    </row>
    <row r="37" spans="8:9" ht="15" thickBot="1" x14ac:dyDescent="0.4">
      <c r="H37" s="38" t="s">
        <v>62</v>
      </c>
      <c r="I37" s="81">
        <f>I32/F94</f>
        <v>0.75</v>
      </c>
    </row>
    <row r="43" spans="8:9" ht="3.75" customHeight="1" x14ac:dyDescent="0.35"/>
    <row r="45" spans="8:9" ht="15" customHeight="1" x14ac:dyDescent="0.35"/>
    <row r="49" spans="1:6" ht="75.75" customHeight="1" thickBot="1" x14ac:dyDescent="0.4"/>
    <row r="50" spans="1:6" ht="21.5" thickBot="1" x14ac:dyDescent="0.4">
      <c r="A50" s="320" t="s">
        <v>65</v>
      </c>
      <c r="B50" s="321"/>
      <c r="C50" s="321"/>
      <c r="D50" s="321"/>
      <c r="E50" s="321"/>
      <c r="F50" s="322"/>
    </row>
    <row r="51" spans="1:6" x14ac:dyDescent="0.35">
      <c r="A51" s="82" t="s">
        <v>30</v>
      </c>
      <c r="B51" s="83" t="s">
        <v>66</v>
      </c>
      <c r="C51" s="84" t="s">
        <v>31</v>
      </c>
      <c r="D51" s="84" t="s">
        <v>5</v>
      </c>
      <c r="E51" s="84" t="s">
        <v>67</v>
      </c>
      <c r="F51" s="85" t="s">
        <v>33</v>
      </c>
    </row>
    <row r="52" spans="1:6" ht="15" thickBot="1" x14ac:dyDescent="0.4">
      <c r="A52" s="86" t="s">
        <v>68</v>
      </c>
      <c r="B52" s="192">
        <f>13000/6</f>
        <v>2166.6666666666665</v>
      </c>
      <c r="C52" s="88" t="s">
        <v>12</v>
      </c>
      <c r="D52" s="193">
        <v>330</v>
      </c>
      <c r="E52" s="90">
        <f>B52/D52</f>
        <v>6.5656565656565649</v>
      </c>
      <c r="F52" s="91">
        <f>E52*D52</f>
        <v>2166.6666666666665</v>
      </c>
    </row>
    <row r="53" spans="1:6" x14ac:dyDescent="0.35">
      <c r="A53" s="323" t="s">
        <v>69</v>
      </c>
      <c r="B53" s="324"/>
      <c r="C53" s="325"/>
      <c r="D53" s="302" t="s">
        <v>44</v>
      </c>
      <c r="E53" s="303"/>
      <c r="F53" s="65">
        <f>F52</f>
        <v>2166.6666666666665</v>
      </c>
    </row>
    <row r="54" spans="1:6" x14ac:dyDescent="0.35">
      <c r="A54" s="326" t="s">
        <v>70</v>
      </c>
      <c r="B54" s="327"/>
      <c r="C54" s="328"/>
      <c r="D54" s="310" t="s">
        <v>46</v>
      </c>
      <c r="E54" s="311"/>
      <c r="F54" s="66">
        <f>F53*10%</f>
        <v>216.66666666666666</v>
      </c>
    </row>
    <row r="55" spans="1:6" ht="15" customHeight="1" x14ac:dyDescent="0.35">
      <c r="A55" s="329"/>
      <c r="B55" s="330"/>
      <c r="C55" s="331"/>
      <c r="D55" s="312" t="s">
        <v>48</v>
      </c>
      <c r="E55" s="313"/>
      <c r="F55" s="67">
        <f>F53+F54</f>
        <v>2383.333333333333</v>
      </c>
    </row>
    <row r="56" spans="1:6" x14ac:dyDescent="0.35">
      <c r="A56" s="329"/>
      <c r="B56" s="330"/>
      <c r="C56" s="331"/>
      <c r="D56" s="314" t="s">
        <v>49</v>
      </c>
      <c r="E56" s="315"/>
      <c r="F56" s="191">
        <v>8000</v>
      </c>
    </row>
    <row r="57" spans="1:6" x14ac:dyDescent="0.35">
      <c r="A57" s="329"/>
      <c r="B57" s="330"/>
      <c r="C57" s="331"/>
      <c r="D57" s="316" t="s">
        <v>51</v>
      </c>
      <c r="E57" s="317"/>
      <c r="F57" s="69">
        <f>F56*8%</f>
        <v>640</v>
      </c>
    </row>
    <row r="58" spans="1:6" ht="15" customHeight="1" x14ac:dyDescent="0.35">
      <c r="A58" s="329"/>
      <c r="B58" s="330"/>
      <c r="C58" s="331"/>
      <c r="D58" s="310" t="s">
        <v>53</v>
      </c>
      <c r="E58" s="311"/>
      <c r="F58" s="67">
        <f>F56-F55-F57</f>
        <v>4976.666666666667</v>
      </c>
    </row>
    <row r="59" spans="1:6" x14ac:dyDescent="0.35">
      <c r="A59" s="329"/>
      <c r="B59" s="330"/>
      <c r="C59" s="331"/>
      <c r="D59" s="310" t="s">
        <v>54</v>
      </c>
      <c r="E59" s="311"/>
      <c r="F59" s="72">
        <f>IFERROR(F55/F56,0)</f>
        <v>0.29791666666666661</v>
      </c>
    </row>
    <row r="60" spans="1:6" ht="15" thickBot="1" x14ac:dyDescent="0.4">
      <c r="A60" s="332"/>
      <c r="B60" s="333"/>
      <c r="C60" s="334"/>
      <c r="D60" s="318" t="s">
        <v>56</v>
      </c>
      <c r="E60" s="319"/>
      <c r="F60" s="74">
        <f>IFERROR(F58/F56,0)</f>
        <v>0.62208333333333332</v>
      </c>
    </row>
    <row r="61" spans="1:6" ht="15" thickBot="1" x14ac:dyDescent="0.4">
      <c r="A61" s="73"/>
      <c r="B61" s="73"/>
      <c r="C61" s="73"/>
      <c r="D61" s="73"/>
      <c r="E61" s="73"/>
      <c r="F61" s="73"/>
    </row>
    <row r="62" spans="1:6" ht="21.5" thickBot="1" x14ac:dyDescent="0.4">
      <c r="A62" s="320" t="s">
        <v>71</v>
      </c>
      <c r="B62" s="321"/>
      <c r="C62" s="321"/>
      <c r="D62" s="321"/>
      <c r="E62" s="321"/>
      <c r="F62" s="322"/>
    </row>
    <row r="63" spans="1:6" ht="26" x14ac:dyDescent="0.35">
      <c r="A63" s="82" t="s">
        <v>30</v>
      </c>
      <c r="B63" s="83" t="s">
        <v>66</v>
      </c>
      <c r="C63" s="84" t="s">
        <v>31</v>
      </c>
      <c r="D63" s="84" t="s">
        <v>5</v>
      </c>
      <c r="E63" s="84" t="s">
        <v>32</v>
      </c>
      <c r="F63" s="85" t="s">
        <v>33</v>
      </c>
    </row>
    <row r="64" spans="1:6" ht="15" thickBot="1" x14ac:dyDescent="0.4">
      <c r="A64" s="86" t="s">
        <v>72</v>
      </c>
      <c r="B64" s="192">
        <f>22000/6</f>
        <v>3666.6666666666665</v>
      </c>
      <c r="C64" s="88" t="s">
        <v>12</v>
      </c>
      <c r="D64" s="193">
        <v>330</v>
      </c>
      <c r="E64" s="90">
        <f>B64/D64</f>
        <v>11.111111111111111</v>
      </c>
      <c r="F64" s="91">
        <f>E64*D64</f>
        <v>3666.6666666666665</v>
      </c>
    </row>
    <row r="65" spans="1:6" x14ac:dyDescent="0.35">
      <c r="A65" s="323" t="s">
        <v>69</v>
      </c>
      <c r="B65" s="324"/>
      <c r="C65" s="325"/>
      <c r="D65" s="302" t="s">
        <v>44</v>
      </c>
      <c r="E65" s="303"/>
      <c r="F65" s="65">
        <f>F64</f>
        <v>3666.6666666666665</v>
      </c>
    </row>
    <row r="66" spans="1:6" x14ac:dyDescent="0.35">
      <c r="A66" s="326" t="s">
        <v>73</v>
      </c>
      <c r="B66" s="327"/>
      <c r="C66" s="328"/>
      <c r="D66" s="310" t="s">
        <v>46</v>
      </c>
      <c r="E66" s="311"/>
      <c r="F66" s="66">
        <f>F65*10%</f>
        <v>366.66666666666669</v>
      </c>
    </row>
    <row r="67" spans="1:6" x14ac:dyDescent="0.35">
      <c r="A67" s="329"/>
      <c r="B67" s="330"/>
      <c r="C67" s="331"/>
      <c r="D67" s="312" t="s">
        <v>48</v>
      </c>
      <c r="E67" s="313"/>
      <c r="F67" s="67">
        <f>F65+F66</f>
        <v>4033.333333333333</v>
      </c>
    </row>
    <row r="68" spans="1:6" x14ac:dyDescent="0.35">
      <c r="A68" s="329"/>
      <c r="B68" s="330"/>
      <c r="C68" s="331"/>
      <c r="D68" s="314" t="s">
        <v>49</v>
      </c>
      <c r="E68" s="315"/>
      <c r="F68" s="191">
        <v>12000</v>
      </c>
    </row>
    <row r="69" spans="1:6" ht="15" customHeight="1" x14ac:dyDescent="0.35">
      <c r="A69" s="329"/>
      <c r="B69" s="330"/>
      <c r="C69" s="331"/>
      <c r="D69" s="316" t="s">
        <v>51</v>
      </c>
      <c r="E69" s="317"/>
      <c r="F69" s="69">
        <f>F68*8%</f>
        <v>960</v>
      </c>
    </row>
    <row r="70" spans="1:6" x14ac:dyDescent="0.35">
      <c r="A70" s="329"/>
      <c r="B70" s="330"/>
      <c r="C70" s="331"/>
      <c r="D70" s="310" t="s">
        <v>53</v>
      </c>
      <c r="E70" s="311"/>
      <c r="F70" s="67">
        <f>F68-F67-F69</f>
        <v>7006.666666666667</v>
      </c>
    </row>
    <row r="71" spans="1:6" ht="15" customHeight="1" x14ac:dyDescent="0.35">
      <c r="A71" s="329"/>
      <c r="B71" s="330"/>
      <c r="C71" s="331"/>
      <c r="D71" s="310" t="s">
        <v>54</v>
      </c>
      <c r="E71" s="311"/>
      <c r="F71" s="72">
        <f>IFERROR(F67/F68,0)</f>
        <v>0.33611111111111108</v>
      </c>
    </row>
    <row r="72" spans="1:6" ht="15" thickBot="1" x14ac:dyDescent="0.4">
      <c r="A72" s="332"/>
      <c r="B72" s="333"/>
      <c r="C72" s="334"/>
      <c r="D72" s="318" t="s">
        <v>56</v>
      </c>
      <c r="E72" s="319"/>
      <c r="F72" s="74">
        <f>IFERROR(F70/F68,0)</f>
        <v>0.5838888888888889</v>
      </c>
    </row>
    <row r="74" spans="1:6" ht="15" thickBot="1" x14ac:dyDescent="0.4"/>
    <row r="75" spans="1:6" ht="21.5" thickBot="1" x14ac:dyDescent="0.4">
      <c r="A75" s="320" t="s">
        <v>74</v>
      </c>
      <c r="B75" s="321"/>
      <c r="C75" s="321"/>
      <c r="D75" s="321"/>
      <c r="E75" s="321"/>
      <c r="F75" s="322"/>
    </row>
    <row r="76" spans="1:6" ht="26" x14ac:dyDescent="0.35">
      <c r="A76" s="82" t="s">
        <v>30</v>
      </c>
      <c r="B76" s="83" t="s">
        <v>66</v>
      </c>
      <c r="C76" s="84" t="s">
        <v>31</v>
      </c>
      <c r="D76" s="84" t="s">
        <v>5</v>
      </c>
      <c r="E76" s="84" t="s">
        <v>32</v>
      </c>
      <c r="F76" s="85" t="s">
        <v>33</v>
      </c>
    </row>
    <row r="77" spans="1:6" ht="15" thickBot="1" x14ac:dyDescent="0.4">
      <c r="A77" s="86" t="s">
        <v>75</v>
      </c>
      <c r="B77" s="192">
        <v>35000</v>
      </c>
      <c r="C77" s="88" t="s">
        <v>12</v>
      </c>
      <c r="D77" s="193">
        <v>60</v>
      </c>
      <c r="E77" s="90">
        <f>B77/750</f>
        <v>46.666666666666664</v>
      </c>
      <c r="F77" s="91">
        <f>E77*D77</f>
        <v>2800</v>
      </c>
    </row>
    <row r="78" spans="1:6" x14ac:dyDescent="0.35">
      <c r="A78" s="323" t="s">
        <v>69</v>
      </c>
      <c r="B78" s="324"/>
      <c r="C78" s="325"/>
      <c r="D78" s="302" t="s">
        <v>44</v>
      </c>
      <c r="E78" s="303"/>
      <c r="F78" s="65">
        <f>F77</f>
        <v>2800</v>
      </c>
    </row>
    <row r="79" spans="1:6" x14ac:dyDescent="0.35">
      <c r="A79" s="326" t="s">
        <v>76</v>
      </c>
      <c r="B79" s="327"/>
      <c r="C79" s="328"/>
      <c r="D79" s="310" t="s">
        <v>46</v>
      </c>
      <c r="E79" s="311"/>
      <c r="F79" s="66">
        <f>F78*10%</f>
        <v>280</v>
      </c>
    </row>
    <row r="80" spans="1:6" x14ac:dyDescent="0.35">
      <c r="A80" s="329"/>
      <c r="B80" s="330"/>
      <c r="C80" s="331"/>
      <c r="D80" s="312" t="s">
        <v>48</v>
      </c>
      <c r="E80" s="313"/>
      <c r="F80" s="67">
        <f>F78+F79</f>
        <v>3080</v>
      </c>
    </row>
    <row r="81" spans="1:9" x14ac:dyDescent="0.35">
      <c r="A81" s="329"/>
      <c r="B81" s="330"/>
      <c r="C81" s="331"/>
      <c r="D81" s="314" t="s">
        <v>49</v>
      </c>
      <c r="E81" s="315"/>
      <c r="F81" s="191">
        <v>10000</v>
      </c>
    </row>
    <row r="82" spans="1:9" ht="15" customHeight="1" x14ac:dyDescent="0.35">
      <c r="A82" s="329"/>
      <c r="B82" s="330"/>
      <c r="C82" s="331"/>
      <c r="D82" s="316" t="s">
        <v>51</v>
      </c>
      <c r="E82" s="317"/>
      <c r="F82" s="69">
        <f>F81*8%</f>
        <v>800</v>
      </c>
    </row>
    <row r="83" spans="1:9" x14ac:dyDescent="0.35">
      <c r="A83" s="329"/>
      <c r="B83" s="330"/>
      <c r="C83" s="331"/>
      <c r="D83" s="310" t="s">
        <v>53</v>
      </c>
      <c r="E83" s="311"/>
      <c r="F83" s="67">
        <f>F81-F80-F82</f>
        <v>6120</v>
      </c>
      <c r="I83" s="92"/>
    </row>
    <row r="84" spans="1:9" ht="15" customHeight="1" x14ac:dyDescent="0.35">
      <c r="A84" s="329"/>
      <c r="B84" s="330"/>
      <c r="C84" s="331"/>
      <c r="D84" s="310" t="s">
        <v>54</v>
      </c>
      <c r="E84" s="311"/>
      <c r="F84" s="72">
        <f>IFERROR(F80/F81,0)</f>
        <v>0.308</v>
      </c>
      <c r="I84" s="92"/>
    </row>
    <row r="85" spans="1:9" ht="15" thickBot="1" x14ac:dyDescent="0.4">
      <c r="A85" s="332"/>
      <c r="B85" s="333"/>
      <c r="C85" s="334"/>
      <c r="D85" s="318" t="s">
        <v>56</v>
      </c>
      <c r="E85" s="319"/>
      <c r="F85" s="74">
        <f>IFERROR(F83/F81,0)</f>
        <v>0.61199999999999999</v>
      </c>
      <c r="I85" s="92"/>
    </row>
    <row r="87" spans="1:9" ht="15" thickBot="1" x14ac:dyDescent="0.4"/>
    <row r="88" spans="1:9" ht="21.5" thickBot="1" x14ac:dyDescent="0.4">
      <c r="A88" s="320" t="s">
        <v>77</v>
      </c>
      <c r="B88" s="321"/>
      <c r="C88" s="321"/>
      <c r="D88" s="321"/>
      <c r="E88" s="321"/>
      <c r="F88" s="322"/>
    </row>
    <row r="89" spans="1:9" ht="26" x14ac:dyDescent="0.35">
      <c r="A89" s="82" t="s">
        <v>30</v>
      </c>
      <c r="B89" s="83" t="s">
        <v>66</v>
      </c>
      <c r="C89" s="84" t="s">
        <v>31</v>
      </c>
      <c r="D89" s="84" t="s">
        <v>5</v>
      </c>
      <c r="E89" s="84" t="s">
        <v>32</v>
      </c>
      <c r="F89" s="85" t="s">
        <v>33</v>
      </c>
    </row>
    <row r="90" spans="1:9" ht="15" thickBot="1" x14ac:dyDescent="0.4">
      <c r="A90" s="86" t="s">
        <v>78</v>
      </c>
      <c r="B90" s="192">
        <v>75000</v>
      </c>
      <c r="C90" s="88" t="s">
        <v>12</v>
      </c>
      <c r="D90" s="193">
        <v>60</v>
      </c>
      <c r="E90" s="90">
        <f>B90/750</f>
        <v>100</v>
      </c>
      <c r="F90" s="91">
        <f>E90*D90</f>
        <v>6000</v>
      </c>
    </row>
    <row r="91" spans="1:9" x14ac:dyDescent="0.35">
      <c r="A91" s="323" t="s">
        <v>69</v>
      </c>
      <c r="B91" s="324"/>
      <c r="C91" s="325"/>
      <c r="D91" s="302" t="s">
        <v>44</v>
      </c>
      <c r="E91" s="303"/>
      <c r="F91" s="65">
        <f>F90</f>
        <v>6000</v>
      </c>
    </row>
    <row r="92" spans="1:9" x14ac:dyDescent="0.35">
      <c r="A92" s="326" t="s">
        <v>79</v>
      </c>
      <c r="B92" s="327"/>
      <c r="C92" s="328"/>
      <c r="D92" s="310" t="s">
        <v>46</v>
      </c>
      <c r="E92" s="311"/>
      <c r="F92" s="66">
        <f>F91*10%</f>
        <v>600</v>
      </c>
    </row>
    <row r="93" spans="1:9" x14ac:dyDescent="0.35">
      <c r="A93" s="329"/>
      <c r="B93" s="330"/>
      <c r="C93" s="331"/>
      <c r="D93" s="312" t="s">
        <v>48</v>
      </c>
      <c r="E93" s="313"/>
      <c r="F93" s="67">
        <f>F91+F92</f>
        <v>6600</v>
      </c>
    </row>
    <row r="94" spans="1:9" x14ac:dyDescent="0.35">
      <c r="A94" s="329"/>
      <c r="B94" s="330"/>
      <c r="C94" s="331"/>
      <c r="D94" s="314" t="s">
        <v>49</v>
      </c>
      <c r="E94" s="315"/>
      <c r="F94" s="191">
        <v>20000</v>
      </c>
    </row>
    <row r="95" spans="1:9" ht="15" customHeight="1" x14ac:dyDescent="0.35">
      <c r="A95" s="329"/>
      <c r="B95" s="330"/>
      <c r="C95" s="331"/>
      <c r="D95" s="316" t="s">
        <v>51</v>
      </c>
      <c r="E95" s="317"/>
      <c r="F95" s="69">
        <f>F94*8%</f>
        <v>1600</v>
      </c>
    </row>
    <row r="96" spans="1:9" x14ac:dyDescent="0.35">
      <c r="A96" s="329"/>
      <c r="B96" s="330"/>
      <c r="C96" s="331"/>
      <c r="D96" s="310" t="s">
        <v>53</v>
      </c>
      <c r="E96" s="311"/>
      <c r="F96" s="67">
        <f>F94-F93-F95</f>
        <v>11800</v>
      </c>
    </row>
    <row r="97" spans="1:6" x14ac:dyDescent="0.35">
      <c r="A97" s="329"/>
      <c r="B97" s="330"/>
      <c r="C97" s="331"/>
      <c r="D97" s="310" t="s">
        <v>54</v>
      </c>
      <c r="E97" s="311"/>
      <c r="F97" s="72">
        <f>IFERROR(F93/F94,0)</f>
        <v>0.33</v>
      </c>
    </row>
    <row r="98" spans="1:6" ht="15" thickBot="1" x14ac:dyDescent="0.4">
      <c r="A98" s="332"/>
      <c r="B98" s="333"/>
      <c r="C98" s="334"/>
      <c r="D98" s="318" t="s">
        <v>56</v>
      </c>
      <c r="E98" s="319"/>
      <c r="F98" s="74">
        <f>IFERROR(F96/F94,0)</f>
        <v>0.59</v>
      </c>
    </row>
    <row r="100" spans="1:6" ht="15" thickBot="1" x14ac:dyDescent="0.4"/>
    <row r="101" spans="1:6" ht="21.5" thickBot="1" x14ac:dyDescent="0.4">
      <c r="A101" s="320" t="s">
        <v>80</v>
      </c>
      <c r="B101" s="321"/>
      <c r="C101" s="321"/>
      <c r="D101" s="321"/>
      <c r="E101" s="321"/>
      <c r="F101" s="322"/>
    </row>
    <row r="102" spans="1:6" ht="26" x14ac:dyDescent="0.35">
      <c r="A102" s="82" t="s">
        <v>30</v>
      </c>
      <c r="B102" s="83" t="s">
        <v>66</v>
      </c>
      <c r="C102" s="84" t="s">
        <v>31</v>
      </c>
      <c r="D102" s="84" t="s">
        <v>81</v>
      </c>
      <c r="E102" s="84" t="s">
        <v>32</v>
      </c>
      <c r="F102" s="85" t="s">
        <v>33</v>
      </c>
    </row>
    <row r="103" spans="1:6" ht="15" thickBot="1" x14ac:dyDescent="0.4">
      <c r="A103" s="86" t="s">
        <v>82</v>
      </c>
      <c r="B103" s="192">
        <v>25000</v>
      </c>
      <c r="C103" s="88" t="s">
        <v>12</v>
      </c>
      <c r="D103" s="193">
        <v>125</v>
      </c>
      <c r="E103" s="90">
        <f>B103/750</f>
        <v>33.333333333333336</v>
      </c>
      <c r="F103" s="91">
        <f>E103*D103</f>
        <v>4166.666666666667</v>
      </c>
    </row>
    <row r="104" spans="1:6" x14ac:dyDescent="0.35">
      <c r="A104" s="323" t="s">
        <v>69</v>
      </c>
      <c r="B104" s="324"/>
      <c r="C104" s="325"/>
      <c r="D104" s="302" t="s">
        <v>44</v>
      </c>
      <c r="E104" s="303"/>
      <c r="F104" s="65">
        <f>F103</f>
        <v>4166.666666666667</v>
      </c>
    </row>
    <row r="105" spans="1:6" x14ac:dyDescent="0.35">
      <c r="A105" s="326" t="s">
        <v>83</v>
      </c>
      <c r="B105" s="327"/>
      <c r="C105" s="328"/>
      <c r="D105" s="310" t="s">
        <v>46</v>
      </c>
      <c r="E105" s="311"/>
      <c r="F105" s="66">
        <f>F104*10%</f>
        <v>416.66666666666674</v>
      </c>
    </row>
    <row r="106" spans="1:6" x14ac:dyDescent="0.35">
      <c r="A106" s="329"/>
      <c r="B106" s="330"/>
      <c r="C106" s="331"/>
      <c r="D106" s="312" t="s">
        <v>48</v>
      </c>
      <c r="E106" s="313"/>
      <c r="F106" s="67">
        <f>F104+F105</f>
        <v>4583.3333333333339</v>
      </c>
    </row>
    <row r="107" spans="1:6" x14ac:dyDescent="0.35">
      <c r="A107" s="329"/>
      <c r="B107" s="330"/>
      <c r="C107" s="331"/>
      <c r="D107" s="314" t="s">
        <v>49</v>
      </c>
      <c r="E107" s="315"/>
      <c r="F107" s="191">
        <v>14000</v>
      </c>
    </row>
    <row r="108" spans="1:6" x14ac:dyDescent="0.35">
      <c r="A108" s="329"/>
      <c r="B108" s="330"/>
      <c r="C108" s="331"/>
      <c r="D108" s="316" t="s">
        <v>51</v>
      </c>
      <c r="E108" s="317"/>
      <c r="F108" s="69">
        <f>F107*8%</f>
        <v>1120</v>
      </c>
    </row>
    <row r="109" spans="1:6" x14ac:dyDescent="0.35">
      <c r="A109" s="329"/>
      <c r="B109" s="330"/>
      <c r="C109" s="331"/>
      <c r="D109" s="310" t="s">
        <v>53</v>
      </c>
      <c r="E109" s="311"/>
      <c r="F109" s="67">
        <f>F107-F106-F108</f>
        <v>8296.6666666666661</v>
      </c>
    </row>
    <row r="110" spans="1:6" x14ac:dyDescent="0.35">
      <c r="A110" s="329"/>
      <c r="B110" s="330"/>
      <c r="C110" s="331"/>
      <c r="D110" s="310" t="s">
        <v>54</v>
      </c>
      <c r="E110" s="311"/>
      <c r="F110" s="72">
        <f>IFERROR(F106/F107,0)</f>
        <v>0.32738095238095244</v>
      </c>
    </row>
    <row r="111" spans="1:6" ht="15" thickBot="1" x14ac:dyDescent="0.4">
      <c r="A111" s="332"/>
      <c r="B111" s="333"/>
      <c r="C111" s="334"/>
      <c r="D111" s="318" t="s">
        <v>56</v>
      </c>
      <c r="E111" s="319"/>
      <c r="F111" s="74">
        <f>IFERROR(F109/F107,0)</f>
        <v>0.5926190476190476</v>
      </c>
    </row>
  </sheetData>
  <sheetProtection algorithmName="SHA-512" hashValue="Q8P7ShRl12lyNVpKm13vF0jVNfjPOzIxW6Uo/veGUh6v293elFkbrrFoPHXbduZngVJ9RVRX14NGftR8y1Jh9g==" saltValue="owNzIeKFnt2N1eEH+QxO8Q==" spinCount="100000" sheet="1" selectLockedCells="1"/>
  <protectedRanges>
    <protectedRange sqref="B52 D52 F56 B64 D64 F68 B77 D77 F81 B90 D90 F94 B103 D103 F107" name="PRUEBA FINAL"/>
    <protectedRange sqref="E5:E9 D12:D16 F20" name="FINAL_1"/>
    <protectedRange sqref="E5:E9 D12:D16 F20" name="EDITABLES"/>
  </protectedRanges>
  <mergeCells count="78">
    <mergeCell ref="D111:E111"/>
    <mergeCell ref="A101:F101"/>
    <mergeCell ref="A104:C104"/>
    <mergeCell ref="D104:E104"/>
    <mergeCell ref="A105:C111"/>
    <mergeCell ref="D105:E105"/>
    <mergeCell ref="D106:E106"/>
    <mergeCell ref="D107:E107"/>
    <mergeCell ref="D108:E108"/>
    <mergeCell ref="D109:E109"/>
    <mergeCell ref="D110:E110"/>
    <mergeCell ref="A92:C98"/>
    <mergeCell ref="D92:E92"/>
    <mergeCell ref="D93:E93"/>
    <mergeCell ref="D94:E94"/>
    <mergeCell ref="D95:E95"/>
    <mergeCell ref="D96:E96"/>
    <mergeCell ref="D97:E97"/>
    <mergeCell ref="D98:E98"/>
    <mergeCell ref="D85:E85"/>
    <mergeCell ref="A88:F88"/>
    <mergeCell ref="A91:C91"/>
    <mergeCell ref="D91:E91"/>
    <mergeCell ref="A79:C85"/>
    <mergeCell ref="D79:E79"/>
    <mergeCell ref="D80:E80"/>
    <mergeCell ref="D81:E81"/>
    <mergeCell ref="D82:E82"/>
    <mergeCell ref="A75:F75"/>
    <mergeCell ref="A78:C78"/>
    <mergeCell ref="D78:E78"/>
    <mergeCell ref="D83:E83"/>
    <mergeCell ref="D84:E84"/>
    <mergeCell ref="A62:F62"/>
    <mergeCell ref="A65:C65"/>
    <mergeCell ref="D65:E65"/>
    <mergeCell ref="A66:C72"/>
    <mergeCell ref="D66:E66"/>
    <mergeCell ref="D67:E67"/>
    <mergeCell ref="D68:E68"/>
    <mergeCell ref="D69:E69"/>
    <mergeCell ref="D70:E70"/>
    <mergeCell ref="D71:E71"/>
    <mergeCell ref="D72:E72"/>
    <mergeCell ref="A50:F50"/>
    <mergeCell ref="A53:C53"/>
    <mergeCell ref="D53:E53"/>
    <mergeCell ref="A54:C60"/>
    <mergeCell ref="D54:E54"/>
    <mergeCell ref="D55:E55"/>
    <mergeCell ref="D56:E56"/>
    <mergeCell ref="D57:E57"/>
    <mergeCell ref="D58:E58"/>
    <mergeCell ref="D59:E59"/>
    <mergeCell ref="D60:E60"/>
    <mergeCell ref="H31:I31"/>
    <mergeCell ref="A11:A24"/>
    <mergeCell ref="H11:I11"/>
    <mergeCell ref="L12:M12"/>
    <mergeCell ref="B17:C17"/>
    <mergeCell ref="D17:E17"/>
    <mergeCell ref="B18:C24"/>
    <mergeCell ref="D18:E18"/>
    <mergeCell ref="H18:I18"/>
    <mergeCell ref="D19:E19"/>
    <mergeCell ref="D20:E20"/>
    <mergeCell ref="D21:E21"/>
    <mergeCell ref="D22:E22"/>
    <mergeCell ref="D23:E23"/>
    <mergeCell ref="H23:I23"/>
    <mergeCell ref="D24:E24"/>
    <mergeCell ref="A2:F2"/>
    <mergeCell ref="H2:I2"/>
    <mergeCell ref="L2:M2"/>
    <mergeCell ref="A4:A9"/>
    <mergeCell ref="H4:I4"/>
    <mergeCell ref="L4:M4"/>
    <mergeCell ref="J5:J7"/>
  </mergeCell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Hoja24">
    <tabColor rgb="FFFFFF66"/>
  </sheetPr>
  <dimension ref="A1:M111"/>
  <sheetViews>
    <sheetView showGridLines="0" topLeftCell="A6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thickBot="1" x14ac:dyDescent="0.4"/>
    <row r="2" spans="1:13" ht="23.25" customHeight="1" thickBot="1" x14ac:dyDescent="0.4">
      <c r="A2" s="284" t="s">
        <v>156</v>
      </c>
      <c r="B2" s="285"/>
      <c r="C2" s="285"/>
      <c r="D2" s="285"/>
      <c r="E2" s="285"/>
      <c r="F2" s="286"/>
      <c r="H2" s="284" t="s">
        <v>1</v>
      </c>
      <c r="I2" s="286"/>
      <c r="L2" s="284" t="s">
        <v>2</v>
      </c>
      <c r="M2" s="286"/>
    </row>
    <row r="3" spans="1:13" ht="8.25" customHeight="1" thickBot="1" x14ac:dyDescent="0.4"/>
    <row r="4" spans="1:13" ht="25.5" customHeight="1" thickBot="1" x14ac:dyDescent="0.4">
      <c r="A4" s="287" t="s">
        <v>3</v>
      </c>
      <c r="B4" s="103" t="s">
        <v>4</v>
      </c>
      <c r="C4" s="103" t="s">
        <v>5</v>
      </c>
      <c r="D4" s="104" t="s">
        <v>6</v>
      </c>
      <c r="E4" s="103" t="s">
        <v>7</v>
      </c>
      <c r="F4" s="105" t="s">
        <v>8</v>
      </c>
      <c r="H4" s="290" t="s">
        <v>9</v>
      </c>
      <c r="I4" s="291"/>
      <c r="L4" s="290" t="s">
        <v>10</v>
      </c>
      <c r="M4" s="291"/>
    </row>
    <row r="5" spans="1:13" ht="15" customHeight="1" x14ac:dyDescent="0.35">
      <c r="A5" s="288"/>
      <c r="B5" s="12" t="s">
        <v>155</v>
      </c>
      <c r="C5" s="14">
        <v>750</v>
      </c>
      <c r="D5" s="96" t="s">
        <v>12</v>
      </c>
      <c r="E5" s="114">
        <v>157542</v>
      </c>
      <c r="F5" s="115">
        <f>Tabla13456810911139232526272930[[#This Row],[PRECIO]]/Tabla13456810911139232526272930[[#This Row],[CANTIDAD]]</f>
        <v>210.05600000000001</v>
      </c>
      <c r="H5" s="9" t="s">
        <v>13</v>
      </c>
      <c r="I5" s="10">
        <f>F22</f>
        <v>566.47199999999975</v>
      </c>
      <c r="J5" s="292"/>
      <c r="L5" s="9" t="s">
        <v>14</v>
      </c>
      <c r="M5" s="11">
        <f>40/100</f>
        <v>0.4</v>
      </c>
    </row>
    <row r="6" spans="1:13" ht="15" customHeight="1" x14ac:dyDescent="0.35">
      <c r="A6" s="288"/>
      <c r="B6" s="12"/>
      <c r="C6" s="13"/>
      <c r="D6" s="14"/>
      <c r="E6" s="114"/>
      <c r="F6" s="115"/>
      <c r="H6" s="17" t="s">
        <v>16</v>
      </c>
      <c r="I6" s="18">
        <f>F58</f>
        <v>4976.666666666667</v>
      </c>
      <c r="J6" s="292"/>
      <c r="L6" s="17" t="s">
        <v>17</v>
      </c>
      <c r="M6" s="19">
        <f>D12/1000</f>
        <v>0.06</v>
      </c>
    </row>
    <row r="7" spans="1:13" ht="15" customHeight="1" thickBot="1" x14ac:dyDescent="0.4">
      <c r="A7" s="288"/>
      <c r="B7" s="12"/>
      <c r="C7" s="14"/>
      <c r="D7" s="14"/>
      <c r="E7" s="114"/>
      <c r="F7" s="115"/>
      <c r="H7" s="17" t="s">
        <v>19</v>
      </c>
      <c r="I7" s="20">
        <f>F70</f>
        <v>7006.666666666667</v>
      </c>
      <c r="J7" s="292"/>
      <c r="L7" s="17" t="s">
        <v>20</v>
      </c>
      <c r="M7" s="19">
        <v>782</v>
      </c>
    </row>
    <row r="8" spans="1:13" ht="15.75" customHeight="1" x14ac:dyDescent="0.35">
      <c r="A8" s="288"/>
      <c r="B8" s="21"/>
      <c r="C8" s="22"/>
      <c r="D8" s="22"/>
      <c r="E8" s="116"/>
      <c r="F8" s="115"/>
      <c r="H8" s="25" t="s">
        <v>23</v>
      </c>
      <c r="I8" s="26">
        <f>I5-I6</f>
        <v>-4410.1946666666672</v>
      </c>
      <c r="J8" s="27">
        <f>(I5-I6)/I6*100%</f>
        <v>-0.88617441393168128</v>
      </c>
      <c r="L8" s="17" t="s">
        <v>24</v>
      </c>
      <c r="M8" s="28">
        <f>M5*M6*M7</f>
        <v>18.768000000000001</v>
      </c>
    </row>
    <row r="9" spans="1:13" ht="15.75" customHeight="1" thickBot="1" x14ac:dyDescent="0.4">
      <c r="A9" s="289"/>
      <c r="B9" s="29"/>
      <c r="C9" s="22"/>
      <c r="D9" s="22"/>
      <c r="E9" s="117"/>
      <c r="F9" s="115"/>
      <c r="H9" s="30" t="s">
        <v>26</v>
      </c>
      <c r="I9" s="31">
        <f>I5-I7</f>
        <v>-6440.1946666666672</v>
      </c>
      <c r="J9" s="32">
        <f>(I5-I7)/I7*100%</f>
        <v>-0.91915242626070415</v>
      </c>
      <c r="L9" s="17" t="s">
        <v>27</v>
      </c>
      <c r="M9" s="19">
        <f>D13+D14+D12+D15+30</f>
        <v>90</v>
      </c>
    </row>
    <row r="10" spans="1:13" ht="16" thickBot="1" x14ac:dyDescent="0.4">
      <c r="A10" s="33"/>
      <c r="B10" s="34"/>
      <c r="C10" s="35"/>
      <c r="D10" s="35"/>
      <c r="E10" s="118"/>
      <c r="F10" s="119"/>
      <c r="L10" s="38" t="s">
        <v>28</v>
      </c>
      <c r="M10" s="39">
        <f>(D12*M5)/(D12+M9)</f>
        <v>0.16</v>
      </c>
    </row>
    <row r="11" spans="1:13" ht="24.75" customHeight="1" thickBot="1" x14ac:dyDescent="0.4">
      <c r="A11" s="335" t="s">
        <v>29</v>
      </c>
      <c r="B11" s="40" t="s">
        <v>30</v>
      </c>
      <c r="C11" s="41" t="s">
        <v>31</v>
      </c>
      <c r="D11" s="42" t="s">
        <v>5</v>
      </c>
      <c r="E11" s="41" t="s">
        <v>32</v>
      </c>
      <c r="F11" s="43" t="s">
        <v>33</v>
      </c>
      <c r="H11" s="298" t="s">
        <v>34</v>
      </c>
      <c r="I11" s="299"/>
    </row>
    <row r="12" spans="1:13" ht="15" customHeight="1" thickBot="1" x14ac:dyDescent="0.4">
      <c r="A12" s="336"/>
      <c r="B12" s="44" t="str">
        <f>B5</f>
        <v>JW GREEN LABEL</v>
      </c>
      <c r="C12" s="45" t="str">
        <f>D5</f>
        <v>ML</v>
      </c>
      <c r="D12" s="46">
        <v>60</v>
      </c>
      <c r="E12" s="45">
        <f>VLOOKUP(B12,Tabla13456810911139232526272930[],5,FALSE)</f>
        <v>210.05600000000001</v>
      </c>
      <c r="F12" s="47">
        <f>E12*D12</f>
        <v>12603.36</v>
      </c>
      <c r="H12" s="48" t="s">
        <v>13</v>
      </c>
      <c r="I12" s="49">
        <f>F22</f>
        <v>566.47199999999975</v>
      </c>
      <c r="L12" s="290" t="s">
        <v>35</v>
      </c>
      <c r="M12" s="291"/>
    </row>
    <row r="13" spans="1:13" ht="15" customHeight="1" x14ac:dyDescent="0.35">
      <c r="A13" s="336"/>
      <c r="B13" s="50"/>
      <c r="C13" s="51"/>
      <c r="D13" s="52"/>
      <c r="E13" s="51"/>
      <c r="F13" s="53"/>
      <c r="H13" s="17" t="s">
        <v>36</v>
      </c>
      <c r="I13" s="18">
        <f>F83</f>
        <v>6120</v>
      </c>
      <c r="L13" s="9" t="s">
        <v>37</v>
      </c>
      <c r="M13" s="11">
        <f>4.5/100</f>
        <v>4.4999999999999998E-2</v>
      </c>
    </row>
    <row r="14" spans="1:13" ht="15.75" customHeight="1" thickBot="1" x14ac:dyDescent="0.4">
      <c r="A14" s="336"/>
      <c r="B14" s="50"/>
      <c r="C14" s="51"/>
      <c r="D14" s="52"/>
      <c r="E14" s="51"/>
      <c r="F14" s="53"/>
      <c r="H14" s="17" t="s">
        <v>38</v>
      </c>
      <c r="I14" s="18">
        <f>F96</f>
        <v>11800</v>
      </c>
      <c r="L14" s="17" t="s">
        <v>39</v>
      </c>
      <c r="M14" s="19">
        <f>330/1000</f>
        <v>0.33</v>
      </c>
    </row>
    <row r="15" spans="1:13" ht="15.75" customHeight="1" x14ac:dyDescent="0.35">
      <c r="A15" s="336"/>
      <c r="B15" s="50"/>
      <c r="C15" s="51"/>
      <c r="D15" s="52"/>
      <c r="E15" s="51"/>
      <c r="F15" s="53"/>
      <c r="H15" s="58" t="s">
        <v>40</v>
      </c>
      <c r="I15" s="26">
        <f>I12-I13</f>
        <v>-5553.5280000000002</v>
      </c>
      <c r="J15" s="27">
        <f>(I12-I13)/I13*100%</f>
        <v>-0.9074392156862745</v>
      </c>
      <c r="L15" s="17" t="s">
        <v>20</v>
      </c>
      <c r="M15" s="19">
        <v>782</v>
      </c>
    </row>
    <row r="16" spans="1:13" ht="15.75" customHeight="1" thickBot="1" x14ac:dyDescent="0.4">
      <c r="A16" s="336"/>
      <c r="B16" s="50"/>
      <c r="C16" s="51"/>
      <c r="D16" s="52"/>
      <c r="E16" s="51"/>
      <c r="F16" s="53"/>
      <c r="H16" s="63" t="s">
        <v>41</v>
      </c>
      <c r="I16" s="31">
        <f>I12-I14</f>
        <v>-11233.528</v>
      </c>
      <c r="J16" s="32">
        <f>(I12-I14)/I14*100%</f>
        <v>-0.95199389830508474</v>
      </c>
      <c r="L16" s="38" t="s">
        <v>42</v>
      </c>
      <c r="M16" s="64">
        <f>M13*M14*M15</f>
        <v>11.6127</v>
      </c>
    </row>
    <row r="17" spans="1:10" ht="15.75" customHeight="1" thickBot="1" x14ac:dyDescent="0.4">
      <c r="A17" s="336"/>
      <c r="B17" s="338" t="s">
        <v>43</v>
      </c>
      <c r="C17" s="339"/>
      <c r="D17" s="340" t="s">
        <v>44</v>
      </c>
      <c r="E17" s="341"/>
      <c r="F17" s="65">
        <f>SUM(F12:F16)</f>
        <v>12603.36</v>
      </c>
    </row>
    <row r="18" spans="1:10" ht="16.5" customHeight="1" thickBot="1" x14ac:dyDescent="0.4">
      <c r="A18" s="336"/>
      <c r="B18" s="304" t="s">
        <v>202</v>
      </c>
      <c r="C18" s="305"/>
      <c r="D18" s="342" t="s">
        <v>46</v>
      </c>
      <c r="E18" s="343"/>
      <c r="F18" s="66">
        <f>F17*5%</f>
        <v>630.16800000000012</v>
      </c>
      <c r="H18" s="290" t="s">
        <v>47</v>
      </c>
      <c r="I18" s="291"/>
    </row>
    <row r="19" spans="1:10" ht="15" customHeight="1" x14ac:dyDescent="0.35">
      <c r="A19" s="336"/>
      <c r="B19" s="306"/>
      <c r="C19" s="307"/>
      <c r="D19" s="344" t="s">
        <v>48</v>
      </c>
      <c r="E19" s="345"/>
      <c r="F19" s="67">
        <f>SUM(F17:F18)</f>
        <v>13233.528</v>
      </c>
      <c r="H19" s="9" t="s">
        <v>13</v>
      </c>
      <c r="I19" s="10">
        <f>F22</f>
        <v>566.47199999999975</v>
      </c>
    </row>
    <row r="20" spans="1:10" ht="15" customHeight="1" thickBot="1" x14ac:dyDescent="0.4">
      <c r="A20" s="336"/>
      <c r="B20" s="306"/>
      <c r="C20" s="307"/>
      <c r="D20" s="346" t="s">
        <v>49</v>
      </c>
      <c r="E20" s="347"/>
      <c r="F20" s="68">
        <v>15000</v>
      </c>
      <c r="H20" s="17" t="s">
        <v>50</v>
      </c>
      <c r="I20" s="20">
        <f>F109</f>
        <v>8296.6666666666661</v>
      </c>
    </row>
    <row r="21" spans="1:10" ht="15" customHeight="1" thickBot="1" x14ac:dyDescent="0.4">
      <c r="A21" s="336"/>
      <c r="B21" s="306"/>
      <c r="C21" s="307"/>
      <c r="D21" s="348" t="s">
        <v>51</v>
      </c>
      <c r="E21" s="349"/>
      <c r="F21" s="120">
        <f>F20*8%</f>
        <v>1200</v>
      </c>
      <c r="H21" s="30" t="s">
        <v>52</v>
      </c>
      <c r="I21" s="70">
        <f>I19-I20</f>
        <v>-7730.1946666666663</v>
      </c>
      <c r="J21" s="71">
        <f>(I19-I20)/I19*100%</f>
        <v>-13.646207873763698</v>
      </c>
    </row>
    <row r="22" spans="1:10" ht="15.75" customHeight="1" thickBot="1" x14ac:dyDescent="0.4">
      <c r="A22" s="336"/>
      <c r="B22" s="306"/>
      <c r="C22" s="307"/>
      <c r="D22" s="342" t="s">
        <v>53</v>
      </c>
      <c r="E22" s="343"/>
      <c r="F22" s="67">
        <f>F20-F19-F21</f>
        <v>566.47199999999975</v>
      </c>
    </row>
    <row r="23" spans="1:10" ht="15.75" customHeight="1" thickBot="1" x14ac:dyDescent="0.4">
      <c r="A23" s="336"/>
      <c r="B23" s="306"/>
      <c r="C23" s="307"/>
      <c r="D23" s="342" t="s">
        <v>54</v>
      </c>
      <c r="E23" s="343"/>
      <c r="F23" s="72">
        <f>IFERROR(F19/F20,0)</f>
        <v>0.8822352</v>
      </c>
      <c r="G23" s="73"/>
      <c r="H23" s="293" t="s">
        <v>55</v>
      </c>
      <c r="I23" s="294"/>
    </row>
    <row r="24" spans="1:10" ht="15.75" customHeight="1" thickBot="1" x14ac:dyDescent="0.4">
      <c r="A24" s="337"/>
      <c r="B24" s="308"/>
      <c r="C24" s="309"/>
      <c r="D24" s="350" t="s">
        <v>56</v>
      </c>
      <c r="E24" s="351"/>
      <c r="F24" s="74">
        <f>IFERROR(F22/F20,0)</f>
        <v>3.776479999999998E-2</v>
      </c>
      <c r="G24" s="73"/>
      <c r="H24" s="9" t="s">
        <v>57</v>
      </c>
      <c r="I24" s="10">
        <f>F22</f>
        <v>566.47199999999975</v>
      </c>
    </row>
    <row r="25" spans="1:10" ht="15.75" customHeight="1" x14ac:dyDescent="0.35">
      <c r="A25" s="75"/>
      <c r="B25" s="76"/>
      <c r="C25" s="77"/>
      <c r="D25" s="78"/>
      <c r="E25" s="78"/>
      <c r="F25" s="79"/>
      <c r="G25" s="73"/>
      <c r="H25" s="17" t="s">
        <v>58</v>
      </c>
      <c r="I25" s="80">
        <f>I24/F58</f>
        <v>0.11382558606831876</v>
      </c>
    </row>
    <row r="26" spans="1:10" x14ac:dyDescent="0.35">
      <c r="A26" s="75"/>
      <c r="B26" s="76"/>
      <c r="C26" s="77"/>
      <c r="D26" s="78"/>
      <c r="E26" s="78"/>
      <c r="F26" s="79"/>
      <c r="H26" s="17" t="s">
        <v>59</v>
      </c>
      <c r="I26" s="80">
        <f>I24/F70</f>
        <v>8.0847573739295867E-2</v>
      </c>
    </row>
    <row r="27" spans="1:10" x14ac:dyDescent="0.35">
      <c r="H27" s="17" t="s">
        <v>60</v>
      </c>
      <c r="I27" s="80">
        <f>I24/F109</f>
        <v>6.8277059059863379E-2</v>
      </c>
    </row>
    <row r="28" spans="1:10" x14ac:dyDescent="0.35">
      <c r="H28" s="17" t="s">
        <v>61</v>
      </c>
      <c r="I28" s="80">
        <f>I24/F83</f>
        <v>9.2560784313725455E-2</v>
      </c>
    </row>
    <row r="29" spans="1:10" ht="15" thickBot="1" x14ac:dyDescent="0.4">
      <c r="H29" s="38" t="s">
        <v>62</v>
      </c>
      <c r="I29" s="81">
        <f>I24/F96</f>
        <v>4.8006101694915232E-2</v>
      </c>
    </row>
    <row r="30" spans="1:10" ht="15" thickBot="1" x14ac:dyDescent="0.4"/>
    <row r="31" spans="1:10" ht="15" thickBot="1" x14ac:dyDescent="0.4">
      <c r="H31" s="293" t="s">
        <v>63</v>
      </c>
      <c r="I31" s="294"/>
    </row>
    <row r="32" spans="1:10" x14ac:dyDescent="0.35">
      <c r="H32" s="9" t="s">
        <v>64</v>
      </c>
      <c r="I32" s="10">
        <f>F20</f>
        <v>15000</v>
      </c>
    </row>
    <row r="33" spans="8:9" x14ac:dyDescent="0.35">
      <c r="H33" s="17" t="s">
        <v>58</v>
      </c>
      <c r="I33" s="80">
        <f>I32/F56</f>
        <v>1.875</v>
      </c>
    </row>
    <row r="34" spans="8:9" x14ac:dyDescent="0.35">
      <c r="H34" s="17" t="s">
        <v>59</v>
      </c>
      <c r="I34" s="80">
        <f>I32/F68</f>
        <v>1.25</v>
      </c>
    </row>
    <row r="35" spans="8:9" x14ac:dyDescent="0.35">
      <c r="H35" s="17" t="s">
        <v>60</v>
      </c>
      <c r="I35" s="80">
        <f>I32/F107</f>
        <v>1.0714285714285714</v>
      </c>
    </row>
    <row r="36" spans="8:9" x14ac:dyDescent="0.35">
      <c r="H36" s="17" t="s">
        <v>61</v>
      </c>
      <c r="I36" s="80">
        <f>I32/F81</f>
        <v>1.5</v>
      </c>
    </row>
    <row r="37" spans="8:9" ht="15" thickBot="1" x14ac:dyDescent="0.4">
      <c r="H37" s="38" t="s">
        <v>62</v>
      </c>
      <c r="I37" s="81">
        <f>I32/F94</f>
        <v>0.75</v>
      </c>
    </row>
    <row r="43" spans="8:9" ht="3.75" customHeight="1" x14ac:dyDescent="0.35"/>
    <row r="45" spans="8:9" ht="15" customHeight="1" x14ac:dyDescent="0.35"/>
    <row r="49" spans="1:6" ht="75.75" customHeight="1" thickBot="1" x14ac:dyDescent="0.4"/>
    <row r="50" spans="1:6" ht="21.5" thickBot="1" x14ac:dyDescent="0.4">
      <c r="A50" s="320" t="s">
        <v>65</v>
      </c>
      <c r="B50" s="321"/>
      <c r="C50" s="321"/>
      <c r="D50" s="321"/>
      <c r="E50" s="321"/>
      <c r="F50" s="322"/>
    </row>
    <row r="51" spans="1:6" x14ac:dyDescent="0.35">
      <c r="A51" s="82" t="s">
        <v>30</v>
      </c>
      <c r="B51" s="83" t="s">
        <v>66</v>
      </c>
      <c r="C51" s="84" t="s">
        <v>31</v>
      </c>
      <c r="D51" s="84" t="s">
        <v>5</v>
      </c>
      <c r="E51" s="84" t="s">
        <v>67</v>
      </c>
      <c r="F51" s="85" t="s">
        <v>33</v>
      </c>
    </row>
    <row r="52" spans="1:6" ht="15" thickBot="1" x14ac:dyDescent="0.4">
      <c r="A52" s="86" t="s">
        <v>68</v>
      </c>
      <c r="B52" s="87">
        <f>13000/6</f>
        <v>2166.6666666666665</v>
      </c>
      <c r="C52" s="88" t="s">
        <v>12</v>
      </c>
      <c r="D52" s="89">
        <v>330</v>
      </c>
      <c r="E52" s="90">
        <f>B52/D52</f>
        <v>6.5656565656565649</v>
      </c>
      <c r="F52" s="91">
        <f>E52*D52</f>
        <v>2166.6666666666665</v>
      </c>
    </row>
    <row r="53" spans="1:6" x14ac:dyDescent="0.35">
      <c r="A53" s="323" t="s">
        <v>69</v>
      </c>
      <c r="B53" s="324"/>
      <c r="C53" s="325"/>
      <c r="D53" s="302" t="s">
        <v>44</v>
      </c>
      <c r="E53" s="303"/>
      <c r="F53" s="65">
        <f>F52</f>
        <v>2166.6666666666665</v>
      </c>
    </row>
    <row r="54" spans="1:6" x14ac:dyDescent="0.35">
      <c r="A54" s="326" t="s">
        <v>70</v>
      </c>
      <c r="B54" s="327"/>
      <c r="C54" s="328"/>
      <c r="D54" s="310" t="s">
        <v>46</v>
      </c>
      <c r="E54" s="311"/>
      <c r="F54" s="66">
        <f>F53*10%</f>
        <v>216.66666666666666</v>
      </c>
    </row>
    <row r="55" spans="1:6" ht="15" customHeight="1" x14ac:dyDescent="0.35">
      <c r="A55" s="329"/>
      <c r="B55" s="330"/>
      <c r="C55" s="331"/>
      <c r="D55" s="312" t="s">
        <v>48</v>
      </c>
      <c r="E55" s="313"/>
      <c r="F55" s="67">
        <f>F53+F54</f>
        <v>2383.333333333333</v>
      </c>
    </row>
    <row r="56" spans="1:6" x14ac:dyDescent="0.35">
      <c r="A56" s="329"/>
      <c r="B56" s="330"/>
      <c r="C56" s="331"/>
      <c r="D56" s="314" t="s">
        <v>49</v>
      </c>
      <c r="E56" s="315"/>
      <c r="F56" s="68">
        <v>8000</v>
      </c>
    </row>
    <row r="57" spans="1:6" x14ac:dyDescent="0.35">
      <c r="A57" s="329"/>
      <c r="B57" s="330"/>
      <c r="C57" s="331"/>
      <c r="D57" s="316" t="s">
        <v>51</v>
      </c>
      <c r="E57" s="317"/>
      <c r="F57" s="69">
        <f>F56*8%</f>
        <v>640</v>
      </c>
    </row>
    <row r="58" spans="1:6" ht="15" customHeight="1" x14ac:dyDescent="0.35">
      <c r="A58" s="329"/>
      <c r="B58" s="330"/>
      <c r="C58" s="331"/>
      <c r="D58" s="310" t="s">
        <v>53</v>
      </c>
      <c r="E58" s="311"/>
      <c r="F58" s="67">
        <f>F56-F55-F57</f>
        <v>4976.666666666667</v>
      </c>
    </row>
    <row r="59" spans="1:6" x14ac:dyDescent="0.35">
      <c r="A59" s="329"/>
      <c r="B59" s="330"/>
      <c r="C59" s="331"/>
      <c r="D59" s="310" t="s">
        <v>54</v>
      </c>
      <c r="E59" s="311"/>
      <c r="F59" s="72">
        <f>IFERROR(F55/F56,0)</f>
        <v>0.29791666666666661</v>
      </c>
    </row>
    <row r="60" spans="1:6" ht="15" thickBot="1" x14ac:dyDescent="0.4">
      <c r="A60" s="332"/>
      <c r="B60" s="333"/>
      <c r="C60" s="334"/>
      <c r="D60" s="318" t="s">
        <v>56</v>
      </c>
      <c r="E60" s="319"/>
      <c r="F60" s="74">
        <f>IFERROR(F58/F56,0)</f>
        <v>0.62208333333333332</v>
      </c>
    </row>
    <row r="61" spans="1:6" ht="15" thickBot="1" x14ac:dyDescent="0.4">
      <c r="A61" s="73"/>
      <c r="B61" s="73"/>
      <c r="C61" s="73"/>
      <c r="D61" s="73"/>
      <c r="E61" s="73"/>
      <c r="F61" s="73"/>
    </row>
    <row r="62" spans="1:6" ht="21.5" thickBot="1" x14ac:dyDescent="0.4">
      <c r="A62" s="320" t="s">
        <v>71</v>
      </c>
      <c r="B62" s="321"/>
      <c r="C62" s="321"/>
      <c r="D62" s="321"/>
      <c r="E62" s="321"/>
      <c r="F62" s="322"/>
    </row>
    <row r="63" spans="1:6" ht="26" x14ac:dyDescent="0.35">
      <c r="A63" s="82" t="s">
        <v>30</v>
      </c>
      <c r="B63" s="83" t="s">
        <v>66</v>
      </c>
      <c r="C63" s="84" t="s">
        <v>31</v>
      </c>
      <c r="D63" s="84" t="s">
        <v>5</v>
      </c>
      <c r="E63" s="84" t="s">
        <v>32</v>
      </c>
      <c r="F63" s="85" t="s">
        <v>33</v>
      </c>
    </row>
    <row r="64" spans="1:6" ht="15" thickBot="1" x14ac:dyDescent="0.4">
      <c r="A64" s="86" t="s">
        <v>72</v>
      </c>
      <c r="B64" s="87">
        <f>22000/6</f>
        <v>3666.6666666666665</v>
      </c>
      <c r="C64" s="88" t="s">
        <v>12</v>
      </c>
      <c r="D64" s="89">
        <v>330</v>
      </c>
      <c r="E64" s="90">
        <f>B64/D64</f>
        <v>11.111111111111111</v>
      </c>
      <c r="F64" s="91">
        <f>E64*D64</f>
        <v>3666.6666666666665</v>
      </c>
    </row>
    <row r="65" spans="1:6" x14ac:dyDescent="0.35">
      <c r="A65" s="323" t="s">
        <v>69</v>
      </c>
      <c r="B65" s="324"/>
      <c r="C65" s="325"/>
      <c r="D65" s="302" t="s">
        <v>44</v>
      </c>
      <c r="E65" s="303"/>
      <c r="F65" s="65">
        <f>F64</f>
        <v>3666.6666666666665</v>
      </c>
    </row>
    <row r="66" spans="1:6" x14ac:dyDescent="0.35">
      <c r="A66" s="326" t="s">
        <v>73</v>
      </c>
      <c r="B66" s="327"/>
      <c r="C66" s="328"/>
      <c r="D66" s="310" t="s">
        <v>46</v>
      </c>
      <c r="E66" s="311"/>
      <c r="F66" s="66">
        <f>F65*10%</f>
        <v>366.66666666666669</v>
      </c>
    </row>
    <row r="67" spans="1:6" x14ac:dyDescent="0.35">
      <c r="A67" s="329"/>
      <c r="B67" s="330"/>
      <c r="C67" s="331"/>
      <c r="D67" s="312" t="s">
        <v>48</v>
      </c>
      <c r="E67" s="313"/>
      <c r="F67" s="67">
        <f>F65+F66</f>
        <v>4033.333333333333</v>
      </c>
    </row>
    <row r="68" spans="1:6" x14ac:dyDescent="0.35">
      <c r="A68" s="329"/>
      <c r="B68" s="330"/>
      <c r="C68" s="331"/>
      <c r="D68" s="314" t="s">
        <v>49</v>
      </c>
      <c r="E68" s="315"/>
      <c r="F68" s="68">
        <v>12000</v>
      </c>
    </row>
    <row r="69" spans="1:6" ht="15" customHeight="1" x14ac:dyDescent="0.35">
      <c r="A69" s="329"/>
      <c r="B69" s="330"/>
      <c r="C69" s="331"/>
      <c r="D69" s="316" t="s">
        <v>51</v>
      </c>
      <c r="E69" s="317"/>
      <c r="F69" s="69">
        <f>F68*8%</f>
        <v>960</v>
      </c>
    </row>
    <row r="70" spans="1:6" x14ac:dyDescent="0.35">
      <c r="A70" s="329"/>
      <c r="B70" s="330"/>
      <c r="C70" s="331"/>
      <c r="D70" s="310" t="s">
        <v>53</v>
      </c>
      <c r="E70" s="311"/>
      <c r="F70" s="67">
        <f>F68-F67-F69</f>
        <v>7006.666666666667</v>
      </c>
    </row>
    <row r="71" spans="1:6" ht="15" customHeight="1" x14ac:dyDescent="0.35">
      <c r="A71" s="329"/>
      <c r="B71" s="330"/>
      <c r="C71" s="331"/>
      <c r="D71" s="310" t="s">
        <v>54</v>
      </c>
      <c r="E71" s="311"/>
      <c r="F71" s="72">
        <f>IFERROR(F67/F68,0)</f>
        <v>0.33611111111111108</v>
      </c>
    </row>
    <row r="72" spans="1:6" ht="15" thickBot="1" x14ac:dyDescent="0.4">
      <c r="A72" s="332"/>
      <c r="B72" s="333"/>
      <c r="C72" s="334"/>
      <c r="D72" s="318" t="s">
        <v>56</v>
      </c>
      <c r="E72" s="319"/>
      <c r="F72" s="74">
        <f>IFERROR(F70/F68,0)</f>
        <v>0.5838888888888889</v>
      </c>
    </row>
    <row r="74" spans="1:6" ht="15" thickBot="1" x14ac:dyDescent="0.4"/>
    <row r="75" spans="1:6" ht="21.5" thickBot="1" x14ac:dyDescent="0.4">
      <c r="A75" s="320" t="s">
        <v>74</v>
      </c>
      <c r="B75" s="321"/>
      <c r="C75" s="321"/>
      <c r="D75" s="321"/>
      <c r="E75" s="321"/>
      <c r="F75" s="322"/>
    </row>
    <row r="76" spans="1:6" ht="26" x14ac:dyDescent="0.35">
      <c r="A76" s="82" t="s">
        <v>30</v>
      </c>
      <c r="B76" s="83" t="s">
        <v>66</v>
      </c>
      <c r="C76" s="84" t="s">
        <v>31</v>
      </c>
      <c r="D76" s="84" t="s">
        <v>5</v>
      </c>
      <c r="E76" s="84" t="s">
        <v>32</v>
      </c>
      <c r="F76" s="85" t="s">
        <v>33</v>
      </c>
    </row>
    <row r="77" spans="1:6" ht="15" thickBot="1" x14ac:dyDescent="0.4">
      <c r="A77" s="86" t="s">
        <v>75</v>
      </c>
      <c r="B77" s="87">
        <v>35000</v>
      </c>
      <c r="C77" s="88" t="s">
        <v>12</v>
      </c>
      <c r="D77" s="89">
        <v>60</v>
      </c>
      <c r="E77" s="90">
        <f>B77/750</f>
        <v>46.666666666666664</v>
      </c>
      <c r="F77" s="91">
        <f>E77*D77</f>
        <v>2800</v>
      </c>
    </row>
    <row r="78" spans="1:6" x14ac:dyDescent="0.35">
      <c r="A78" s="323" t="s">
        <v>69</v>
      </c>
      <c r="B78" s="324"/>
      <c r="C78" s="325"/>
      <c r="D78" s="302" t="s">
        <v>44</v>
      </c>
      <c r="E78" s="303"/>
      <c r="F78" s="65">
        <f>F77</f>
        <v>2800</v>
      </c>
    </row>
    <row r="79" spans="1:6" x14ac:dyDescent="0.35">
      <c r="A79" s="326" t="s">
        <v>76</v>
      </c>
      <c r="B79" s="327"/>
      <c r="C79" s="328"/>
      <c r="D79" s="310" t="s">
        <v>46</v>
      </c>
      <c r="E79" s="311"/>
      <c r="F79" s="66">
        <f>F78*10%</f>
        <v>280</v>
      </c>
    </row>
    <row r="80" spans="1:6" x14ac:dyDescent="0.35">
      <c r="A80" s="329"/>
      <c r="B80" s="330"/>
      <c r="C80" s="331"/>
      <c r="D80" s="312" t="s">
        <v>48</v>
      </c>
      <c r="E80" s="313"/>
      <c r="F80" s="67">
        <f>F78+F79</f>
        <v>3080</v>
      </c>
    </row>
    <row r="81" spans="1:9" x14ac:dyDescent="0.35">
      <c r="A81" s="329"/>
      <c r="B81" s="330"/>
      <c r="C81" s="331"/>
      <c r="D81" s="314" t="s">
        <v>49</v>
      </c>
      <c r="E81" s="315"/>
      <c r="F81" s="68">
        <v>10000</v>
      </c>
    </row>
    <row r="82" spans="1:9" ht="15" customHeight="1" x14ac:dyDescent="0.35">
      <c r="A82" s="329"/>
      <c r="B82" s="330"/>
      <c r="C82" s="331"/>
      <c r="D82" s="316" t="s">
        <v>51</v>
      </c>
      <c r="E82" s="317"/>
      <c r="F82" s="69">
        <f>F81*8%</f>
        <v>800</v>
      </c>
    </row>
    <row r="83" spans="1:9" x14ac:dyDescent="0.35">
      <c r="A83" s="329"/>
      <c r="B83" s="330"/>
      <c r="C83" s="331"/>
      <c r="D83" s="310" t="s">
        <v>53</v>
      </c>
      <c r="E83" s="311"/>
      <c r="F83" s="67">
        <f>F81-F80-F82</f>
        <v>6120</v>
      </c>
      <c r="I83" s="92"/>
    </row>
    <row r="84" spans="1:9" ht="15" customHeight="1" x14ac:dyDescent="0.35">
      <c r="A84" s="329"/>
      <c r="B84" s="330"/>
      <c r="C84" s="331"/>
      <c r="D84" s="310" t="s">
        <v>54</v>
      </c>
      <c r="E84" s="311"/>
      <c r="F84" s="72">
        <f>IFERROR(F80/F81,0)</f>
        <v>0.308</v>
      </c>
      <c r="I84" s="92"/>
    </row>
    <row r="85" spans="1:9" ht="15" thickBot="1" x14ac:dyDescent="0.4">
      <c r="A85" s="332"/>
      <c r="B85" s="333"/>
      <c r="C85" s="334"/>
      <c r="D85" s="318" t="s">
        <v>56</v>
      </c>
      <c r="E85" s="319"/>
      <c r="F85" s="74">
        <f>IFERROR(F83/F81,0)</f>
        <v>0.61199999999999999</v>
      </c>
      <c r="I85" s="92"/>
    </row>
    <row r="87" spans="1:9" ht="15" thickBot="1" x14ac:dyDescent="0.4"/>
    <row r="88" spans="1:9" ht="21.5" thickBot="1" x14ac:dyDescent="0.4">
      <c r="A88" s="320" t="s">
        <v>77</v>
      </c>
      <c r="B88" s="321"/>
      <c r="C88" s="321"/>
      <c r="D88" s="321"/>
      <c r="E88" s="321"/>
      <c r="F88" s="322"/>
    </row>
    <row r="89" spans="1:9" ht="26" x14ac:dyDescent="0.35">
      <c r="A89" s="82" t="s">
        <v>30</v>
      </c>
      <c r="B89" s="83" t="s">
        <v>66</v>
      </c>
      <c r="C89" s="84" t="s">
        <v>31</v>
      </c>
      <c r="D89" s="84" t="s">
        <v>5</v>
      </c>
      <c r="E89" s="84" t="s">
        <v>32</v>
      </c>
      <c r="F89" s="85" t="s">
        <v>33</v>
      </c>
    </row>
    <row r="90" spans="1:9" ht="15" thickBot="1" x14ac:dyDescent="0.4">
      <c r="A90" s="86" t="s">
        <v>78</v>
      </c>
      <c r="B90" s="87">
        <v>75000</v>
      </c>
      <c r="C90" s="88" t="s">
        <v>12</v>
      </c>
      <c r="D90" s="89">
        <v>60</v>
      </c>
      <c r="E90" s="90">
        <f>B90/750</f>
        <v>100</v>
      </c>
      <c r="F90" s="91">
        <f>E90*D90</f>
        <v>6000</v>
      </c>
    </row>
    <row r="91" spans="1:9" x14ac:dyDescent="0.35">
      <c r="A91" s="323" t="s">
        <v>69</v>
      </c>
      <c r="B91" s="324"/>
      <c r="C91" s="325"/>
      <c r="D91" s="302" t="s">
        <v>44</v>
      </c>
      <c r="E91" s="303"/>
      <c r="F91" s="65">
        <f>F90</f>
        <v>6000</v>
      </c>
    </row>
    <row r="92" spans="1:9" x14ac:dyDescent="0.35">
      <c r="A92" s="326" t="s">
        <v>79</v>
      </c>
      <c r="B92" s="327"/>
      <c r="C92" s="328"/>
      <c r="D92" s="310" t="s">
        <v>46</v>
      </c>
      <c r="E92" s="311"/>
      <c r="F92" s="66">
        <f>F91*10%</f>
        <v>600</v>
      </c>
    </row>
    <row r="93" spans="1:9" x14ac:dyDescent="0.35">
      <c r="A93" s="329"/>
      <c r="B93" s="330"/>
      <c r="C93" s="331"/>
      <c r="D93" s="312" t="s">
        <v>48</v>
      </c>
      <c r="E93" s="313"/>
      <c r="F93" s="67">
        <f>F91+F92</f>
        <v>6600</v>
      </c>
    </row>
    <row r="94" spans="1:9" x14ac:dyDescent="0.35">
      <c r="A94" s="329"/>
      <c r="B94" s="330"/>
      <c r="C94" s="331"/>
      <c r="D94" s="314" t="s">
        <v>49</v>
      </c>
      <c r="E94" s="315"/>
      <c r="F94" s="68">
        <v>20000</v>
      </c>
    </row>
    <row r="95" spans="1:9" ht="15" customHeight="1" x14ac:dyDescent="0.35">
      <c r="A95" s="329"/>
      <c r="B95" s="330"/>
      <c r="C95" s="331"/>
      <c r="D95" s="316" t="s">
        <v>51</v>
      </c>
      <c r="E95" s="317"/>
      <c r="F95" s="69">
        <f>F94*8%</f>
        <v>1600</v>
      </c>
    </row>
    <row r="96" spans="1:9" x14ac:dyDescent="0.35">
      <c r="A96" s="329"/>
      <c r="B96" s="330"/>
      <c r="C96" s="331"/>
      <c r="D96" s="310" t="s">
        <v>53</v>
      </c>
      <c r="E96" s="311"/>
      <c r="F96" s="67">
        <f>F94-F93-F95</f>
        <v>11800</v>
      </c>
    </row>
    <row r="97" spans="1:6" x14ac:dyDescent="0.35">
      <c r="A97" s="329"/>
      <c r="B97" s="330"/>
      <c r="C97" s="331"/>
      <c r="D97" s="310" t="s">
        <v>54</v>
      </c>
      <c r="E97" s="311"/>
      <c r="F97" s="72">
        <f>IFERROR(F93/F94,0)</f>
        <v>0.33</v>
      </c>
    </row>
    <row r="98" spans="1:6" ht="15" thickBot="1" x14ac:dyDescent="0.4">
      <c r="A98" s="332"/>
      <c r="B98" s="333"/>
      <c r="C98" s="334"/>
      <c r="D98" s="318" t="s">
        <v>56</v>
      </c>
      <c r="E98" s="319"/>
      <c r="F98" s="74">
        <f>IFERROR(F96/F94,0)</f>
        <v>0.59</v>
      </c>
    </row>
    <row r="100" spans="1:6" ht="15" thickBot="1" x14ac:dyDescent="0.4"/>
    <row r="101" spans="1:6" ht="21.5" thickBot="1" x14ac:dyDescent="0.4">
      <c r="A101" s="320" t="s">
        <v>80</v>
      </c>
      <c r="B101" s="321"/>
      <c r="C101" s="321"/>
      <c r="D101" s="321"/>
      <c r="E101" s="321"/>
      <c r="F101" s="322"/>
    </row>
    <row r="102" spans="1:6" ht="26" x14ac:dyDescent="0.35">
      <c r="A102" s="82" t="s">
        <v>30</v>
      </c>
      <c r="B102" s="83" t="s">
        <v>66</v>
      </c>
      <c r="C102" s="84" t="s">
        <v>31</v>
      </c>
      <c r="D102" s="84" t="s">
        <v>81</v>
      </c>
      <c r="E102" s="84" t="s">
        <v>32</v>
      </c>
      <c r="F102" s="85" t="s">
        <v>33</v>
      </c>
    </row>
    <row r="103" spans="1:6" ht="15" thickBot="1" x14ac:dyDescent="0.4">
      <c r="A103" s="86" t="s">
        <v>82</v>
      </c>
      <c r="B103" s="87">
        <v>25000</v>
      </c>
      <c r="C103" s="88" t="s">
        <v>12</v>
      </c>
      <c r="D103" s="89">
        <v>125</v>
      </c>
      <c r="E103" s="90">
        <f>B103/750</f>
        <v>33.333333333333336</v>
      </c>
      <c r="F103" s="91">
        <f>E103*D103</f>
        <v>4166.666666666667</v>
      </c>
    </row>
    <row r="104" spans="1:6" x14ac:dyDescent="0.35">
      <c r="A104" s="323" t="s">
        <v>69</v>
      </c>
      <c r="B104" s="324"/>
      <c r="C104" s="325"/>
      <c r="D104" s="302" t="s">
        <v>44</v>
      </c>
      <c r="E104" s="303"/>
      <c r="F104" s="65">
        <f>F103</f>
        <v>4166.666666666667</v>
      </c>
    </row>
    <row r="105" spans="1:6" x14ac:dyDescent="0.35">
      <c r="A105" s="326" t="s">
        <v>83</v>
      </c>
      <c r="B105" s="327"/>
      <c r="C105" s="328"/>
      <c r="D105" s="310" t="s">
        <v>46</v>
      </c>
      <c r="E105" s="311"/>
      <c r="F105" s="66">
        <f>F104*10%</f>
        <v>416.66666666666674</v>
      </c>
    </row>
    <row r="106" spans="1:6" x14ac:dyDescent="0.35">
      <c r="A106" s="329"/>
      <c r="B106" s="330"/>
      <c r="C106" s="331"/>
      <c r="D106" s="312" t="s">
        <v>48</v>
      </c>
      <c r="E106" s="313"/>
      <c r="F106" s="67">
        <f>F104+F105</f>
        <v>4583.3333333333339</v>
      </c>
    </row>
    <row r="107" spans="1:6" x14ac:dyDescent="0.35">
      <c r="A107" s="329"/>
      <c r="B107" s="330"/>
      <c r="C107" s="331"/>
      <c r="D107" s="314" t="s">
        <v>49</v>
      </c>
      <c r="E107" s="315"/>
      <c r="F107" s="68">
        <v>14000</v>
      </c>
    </row>
    <row r="108" spans="1:6" x14ac:dyDescent="0.35">
      <c r="A108" s="329"/>
      <c r="B108" s="330"/>
      <c r="C108" s="331"/>
      <c r="D108" s="316" t="s">
        <v>51</v>
      </c>
      <c r="E108" s="317"/>
      <c r="F108" s="69">
        <f>F107*8%</f>
        <v>1120</v>
      </c>
    </row>
    <row r="109" spans="1:6" x14ac:dyDescent="0.35">
      <c r="A109" s="329"/>
      <c r="B109" s="330"/>
      <c r="C109" s="331"/>
      <c r="D109" s="310" t="s">
        <v>53</v>
      </c>
      <c r="E109" s="311"/>
      <c r="F109" s="67">
        <f>F107-F106-F108</f>
        <v>8296.6666666666661</v>
      </c>
    </row>
    <row r="110" spans="1:6" x14ac:dyDescent="0.35">
      <c r="A110" s="329"/>
      <c r="B110" s="330"/>
      <c r="C110" s="331"/>
      <c r="D110" s="310" t="s">
        <v>54</v>
      </c>
      <c r="E110" s="311"/>
      <c r="F110" s="72">
        <f>IFERROR(F106/F107,0)</f>
        <v>0.32738095238095244</v>
      </c>
    </row>
    <row r="111" spans="1:6" ht="15" thickBot="1" x14ac:dyDescent="0.4">
      <c r="A111" s="332"/>
      <c r="B111" s="333"/>
      <c r="C111" s="334"/>
      <c r="D111" s="318" t="s">
        <v>56</v>
      </c>
      <c r="E111" s="319"/>
      <c r="F111" s="74">
        <f>IFERROR(F109/F107,0)</f>
        <v>0.5926190476190476</v>
      </c>
    </row>
  </sheetData>
  <sheetProtection algorithmName="SHA-512" hashValue="xRGkbZFf7YhGv52b81SeSt8AY1l63IVyjoT6CwPQxIMlhSD5PDq3ZMa5CFEQVnZjBU0y5ihAETR+LfYwca7cWQ==" saltValue="jsUp9KqgHqQcmmvaZrqvpA==" spinCount="100000" sheet="1" objects="1" scenarios="1" formatCells="0" formatRows="0" selectLockedCells="1"/>
  <protectedRanges>
    <protectedRange sqref="B52 D52 F56 B64 D64 F68 B77 D77 F81 B90 D90 F94 B103 D103 F107" name="PRUEBA FINAL"/>
    <protectedRange sqref="E5:E9 D12:D16 F20" name="FINAL_1"/>
    <protectedRange sqref="E5:E9 D12:D16 F20" name="EDITABLES"/>
  </protectedRanges>
  <mergeCells count="78">
    <mergeCell ref="D111:E111"/>
    <mergeCell ref="A101:F101"/>
    <mergeCell ref="A104:C104"/>
    <mergeCell ref="D104:E104"/>
    <mergeCell ref="A105:C111"/>
    <mergeCell ref="D105:E105"/>
    <mergeCell ref="D106:E106"/>
    <mergeCell ref="D107:E107"/>
    <mergeCell ref="D108:E108"/>
    <mergeCell ref="D109:E109"/>
    <mergeCell ref="D110:E110"/>
    <mergeCell ref="A92:C98"/>
    <mergeCell ref="D92:E92"/>
    <mergeCell ref="D93:E93"/>
    <mergeCell ref="D94:E94"/>
    <mergeCell ref="D95:E95"/>
    <mergeCell ref="D96:E96"/>
    <mergeCell ref="D97:E97"/>
    <mergeCell ref="D98:E98"/>
    <mergeCell ref="D85:E85"/>
    <mergeCell ref="A88:F88"/>
    <mergeCell ref="A91:C91"/>
    <mergeCell ref="D91:E91"/>
    <mergeCell ref="A79:C85"/>
    <mergeCell ref="D79:E79"/>
    <mergeCell ref="D80:E80"/>
    <mergeCell ref="D81:E81"/>
    <mergeCell ref="D82:E82"/>
    <mergeCell ref="A75:F75"/>
    <mergeCell ref="A78:C78"/>
    <mergeCell ref="D78:E78"/>
    <mergeCell ref="D83:E83"/>
    <mergeCell ref="D84:E84"/>
    <mergeCell ref="A62:F62"/>
    <mergeCell ref="A65:C65"/>
    <mergeCell ref="D65:E65"/>
    <mergeCell ref="A66:C72"/>
    <mergeCell ref="D66:E66"/>
    <mergeCell ref="D67:E67"/>
    <mergeCell ref="D68:E68"/>
    <mergeCell ref="D69:E69"/>
    <mergeCell ref="D70:E70"/>
    <mergeCell ref="D71:E71"/>
    <mergeCell ref="D72:E72"/>
    <mergeCell ref="A50:F50"/>
    <mergeCell ref="A53:C53"/>
    <mergeCell ref="D53:E53"/>
    <mergeCell ref="A54:C60"/>
    <mergeCell ref="D54:E54"/>
    <mergeCell ref="D55:E55"/>
    <mergeCell ref="D56:E56"/>
    <mergeCell ref="D57:E57"/>
    <mergeCell ref="D58:E58"/>
    <mergeCell ref="D59:E59"/>
    <mergeCell ref="D60:E60"/>
    <mergeCell ref="H31:I31"/>
    <mergeCell ref="A11:A24"/>
    <mergeCell ref="H11:I11"/>
    <mergeCell ref="L12:M12"/>
    <mergeCell ref="B17:C17"/>
    <mergeCell ref="D17:E17"/>
    <mergeCell ref="B18:C24"/>
    <mergeCell ref="D18:E18"/>
    <mergeCell ref="H18:I18"/>
    <mergeCell ref="D19:E19"/>
    <mergeCell ref="D20:E20"/>
    <mergeCell ref="D21:E21"/>
    <mergeCell ref="D22:E22"/>
    <mergeCell ref="D23:E23"/>
    <mergeCell ref="H23:I23"/>
    <mergeCell ref="D24:E24"/>
    <mergeCell ref="A2:F2"/>
    <mergeCell ref="H2:I2"/>
    <mergeCell ref="L2:M2"/>
    <mergeCell ref="A4:A9"/>
    <mergeCell ref="H4:I4"/>
    <mergeCell ref="L4:M4"/>
    <mergeCell ref="J5:J7"/>
  </mergeCell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Hoja25">
    <tabColor theme="4" tint="-0.249977111117893"/>
  </sheetPr>
  <dimension ref="A1:M111"/>
  <sheetViews>
    <sheetView showGridLines="0" topLeftCell="A15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thickBot="1" x14ac:dyDescent="0.4"/>
    <row r="2" spans="1:13" ht="23.25" customHeight="1" thickBot="1" x14ac:dyDescent="0.4">
      <c r="A2" s="284" t="s">
        <v>154</v>
      </c>
      <c r="B2" s="285"/>
      <c r="C2" s="285"/>
      <c r="D2" s="285"/>
      <c r="E2" s="285"/>
      <c r="F2" s="286"/>
      <c r="H2" s="284" t="s">
        <v>1</v>
      </c>
      <c r="I2" s="286"/>
      <c r="L2" s="284" t="s">
        <v>2</v>
      </c>
      <c r="M2" s="286"/>
    </row>
    <row r="3" spans="1:13" ht="8.25" customHeight="1" thickBot="1" x14ac:dyDescent="0.4"/>
    <row r="4" spans="1:13" ht="25.5" customHeight="1" thickBot="1" x14ac:dyDescent="0.4">
      <c r="A4" s="287" t="s">
        <v>3</v>
      </c>
      <c r="B4" s="103" t="s">
        <v>4</v>
      </c>
      <c r="C4" s="103" t="s">
        <v>5</v>
      </c>
      <c r="D4" s="104" t="s">
        <v>6</v>
      </c>
      <c r="E4" s="103" t="s">
        <v>7</v>
      </c>
      <c r="F4" s="105" t="s">
        <v>8</v>
      </c>
      <c r="H4" s="290" t="s">
        <v>9</v>
      </c>
      <c r="I4" s="291"/>
      <c r="L4" s="290" t="s">
        <v>10</v>
      </c>
      <c r="M4" s="291"/>
    </row>
    <row r="5" spans="1:13" ht="15" customHeight="1" x14ac:dyDescent="0.35">
      <c r="A5" s="288"/>
      <c r="B5" s="12" t="s">
        <v>153</v>
      </c>
      <c r="C5" s="14">
        <v>750</v>
      </c>
      <c r="D5" s="96" t="s">
        <v>12</v>
      </c>
      <c r="E5" s="114">
        <v>194831</v>
      </c>
      <c r="F5" s="115">
        <f>Tabla134568109111392325262729[[#This Row],[PRECIO]]/Tabla134568109111392325262729[[#This Row],[CANTIDAD]]</f>
        <v>259.77466666666669</v>
      </c>
      <c r="H5" s="9" t="s">
        <v>13</v>
      </c>
      <c r="I5" s="10">
        <f>F22</f>
        <v>-2565.8040000000019</v>
      </c>
      <c r="J5" s="292"/>
      <c r="L5" s="9" t="s">
        <v>14</v>
      </c>
      <c r="M5" s="11">
        <f>40/100</f>
        <v>0.4</v>
      </c>
    </row>
    <row r="6" spans="1:13" ht="15" customHeight="1" x14ac:dyDescent="0.35">
      <c r="A6" s="288"/>
      <c r="B6" s="12"/>
      <c r="C6" s="13"/>
      <c r="D6" s="14"/>
      <c r="E6" s="114"/>
      <c r="F6" s="115"/>
      <c r="H6" s="17" t="s">
        <v>16</v>
      </c>
      <c r="I6" s="18">
        <f>F58</f>
        <v>4976.666666666667</v>
      </c>
      <c r="J6" s="292"/>
      <c r="L6" s="17" t="s">
        <v>17</v>
      </c>
      <c r="M6" s="19">
        <f>D12/1000</f>
        <v>0.06</v>
      </c>
    </row>
    <row r="7" spans="1:13" ht="15" customHeight="1" thickBot="1" x14ac:dyDescent="0.4">
      <c r="A7" s="288"/>
      <c r="B7" s="12"/>
      <c r="C7" s="14"/>
      <c r="D7" s="14"/>
      <c r="E7" s="114"/>
      <c r="F7" s="115"/>
      <c r="H7" s="17" t="s">
        <v>19</v>
      </c>
      <c r="I7" s="20">
        <f>F70</f>
        <v>7006.666666666667</v>
      </c>
      <c r="J7" s="292"/>
      <c r="L7" s="17" t="s">
        <v>20</v>
      </c>
      <c r="M7" s="19">
        <v>782</v>
      </c>
    </row>
    <row r="8" spans="1:13" ht="15.75" customHeight="1" x14ac:dyDescent="0.35">
      <c r="A8" s="288"/>
      <c r="B8" s="21"/>
      <c r="C8" s="22"/>
      <c r="D8" s="22"/>
      <c r="E8" s="116"/>
      <c r="F8" s="115"/>
      <c r="H8" s="25" t="s">
        <v>23</v>
      </c>
      <c r="I8" s="26">
        <f>I5-I6</f>
        <v>-7542.4706666666689</v>
      </c>
      <c r="J8" s="27">
        <f>(I5-I6)/I6*100%</f>
        <v>-1.5155667782987277</v>
      </c>
      <c r="L8" s="17" t="s">
        <v>24</v>
      </c>
      <c r="M8" s="28">
        <f>M5*M6*M7</f>
        <v>18.768000000000001</v>
      </c>
    </row>
    <row r="9" spans="1:13" ht="15.75" customHeight="1" thickBot="1" x14ac:dyDescent="0.4">
      <c r="A9" s="289"/>
      <c r="B9" s="29"/>
      <c r="C9" s="22"/>
      <c r="D9" s="22"/>
      <c r="E9" s="117"/>
      <c r="F9" s="115"/>
      <c r="H9" s="30" t="s">
        <v>26</v>
      </c>
      <c r="I9" s="31">
        <f>I5-I7</f>
        <v>-9572.470666666668</v>
      </c>
      <c r="J9" s="32">
        <f>(I5-I7)/I7*100%</f>
        <v>-1.366194671741199</v>
      </c>
      <c r="L9" s="17" t="s">
        <v>27</v>
      </c>
      <c r="M9" s="19">
        <f>D13+D14+D12+D15+30</f>
        <v>90</v>
      </c>
    </row>
    <row r="10" spans="1:13" ht="16" thickBot="1" x14ac:dyDescent="0.4">
      <c r="A10" s="33"/>
      <c r="B10" s="34"/>
      <c r="C10" s="35"/>
      <c r="D10" s="35"/>
      <c r="E10" s="118"/>
      <c r="F10" s="119"/>
      <c r="L10" s="38" t="s">
        <v>28</v>
      </c>
      <c r="M10" s="39">
        <f>(D12*M5)/(D12+M9)</f>
        <v>0.16</v>
      </c>
    </row>
    <row r="11" spans="1:13" ht="24.75" customHeight="1" thickBot="1" x14ac:dyDescent="0.4">
      <c r="A11" s="295" t="s">
        <v>29</v>
      </c>
      <c r="B11" s="40" t="s">
        <v>30</v>
      </c>
      <c r="C11" s="41" t="s">
        <v>31</v>
      </c>
      <c r="D11" s="42" t="s">
        <v>5</v>
      </c>
      <c r="E11" s="41" t="s">
        <v>32</v>
      </c>
      <c r="F11" s="43" t="s">
        <v>33</v>
      </c>
      <c r="H11" s="298" t="s">
        <v>34</v>
      </c>
      <c r="I11" s="299"/>
    </row>
    <row r="12" spans="1:13" ht="15" customHeight="1" thickBot="1" x14ac:dyDescent="0.4">
      <c r="A12" s="296"/>
      <c r="B12" s="44" t="str">
        <f>B5</f>
        <v>JOHNNIE WALKER 18</v>
      </c>
      <c r="C12" s="45" t="str">
        <f>D5</f>
        <v>ML</v>
      </c>
      <c r="D12" s="46">
        <v>60</v>
      </c>
      <c r="E12" s="45">
        <f>VLOOKUP(B12,Tabla134568109111392325262729[],5,FALSE)</f>
        <v>259.77466666666669</v>
      </c>
      <c r="F12" s="47">
        <f>E12*D12</f>
        <v>15586.480000000001</v>
      </c>
      <c r="H12" s="48" t="s">
        <v>13</v>
      </c>
      <c r="I12" s="49">
        <f>F22</f>
        <v>-2565.8040000000019</v>
      </c>
      <c r="L12" s="290" t="s">
        <v>35</v>
      </c>
      <c r="M12" s="291"/>
    </row>
    <row r="13" spans="1:13" ht="15" customHeight="1" x14ac:dyDescent="0.35">
      <c r="A13" s="296"/>
      <c r="B13" s="50"/>
      <c r="C13" s="51"/>
      <c r="D13" s="52"/>
      <c r="E13" s="51"/>
      <c r="F13" s="53"/>
      <c r="H13" s="17" t="s">
        <v>36</v>
      </c>
      <c r="I13" s="18">
        <f>F83</f>
        <v>6120</v>
      </c>
      <c r="L13" s="9" t="s">
        <v>37</v>
      </c>
      <c r="M13" s="11">
        <f>4.5/100</f>
        <v>4.4999999999999998E-2</v>
      </c>
    </row>
    <row r="14" spans="1:13" ht="15.75" customHeight="1" thickBot="1" x14ac:dyDescent="0.4">
      <c r="A14" s="296"/>
      <c r="B14" s="50"/>
      <c r="C14" s="51"/>
      <c r="D14" s="52"/>
      <c r="E14" s="51"/>
      <c r="F14" s="53"/>
      <c r="H14" s="17" t="s">
        <v>38</v>
      </c>
      <c r="I14" s="18">
        <f>F96</f>
        <v>11800</v>
      </c>
      <c r="L14" s="17" t="s">
        <v>39</v>
      </c>
      <c r="M14" s="19">
        <f>330/1000</f>
        <v>0.33</v>
      </c>
    </row>
    <row r="15" spans="1:13" ht="15.75" customHeight="1" x14ac:dyDescent="0.35">
      <c r="A15" s="296"/>
      <c r="B15" s="50"/>
      <c r="C15" s="51"/>
      <c r="D15" s="52"/>
      <c r="E15" s="51"/>
      <c r="F15" s="53"/>
      <c r="H15" s="58" t="s">
        <v>40</v>
      </c>
      <c r="I15" s="26">
        <f>I12-I13</f>
        <v>-8685.8040000000019</v>
      </c>
      <c r="J15" s="27">
        <f>(I12-I13)/I13*100%</f>
        <v>-1.4192490196078436</v>
      </c>
      <c r="L15" s="17" t="s">
        <v>20</v>
      </c>
      <c r="M15" s="19">
        <v>782</v>
      </c>
    </row>
    <row r="16" spans="1:13" ht="15.75" customHeight="1" thickBot="1" x14ac:dyDescent="0.4">
      <c r="A16" s="296"/>
      <c r="B16" s="50"/>
      <c r="C16" s="51"/>
      <c r="D16" s="52"/>
      <c r="E16" s="51"/>
      <c r="F16" s="53"/>
      <c r="H16" s="63" t="s">
        <v>41</v>
      </c>
      <c r="I16" s="31">
        <f>I12-I14</f>
        <v>-14365.804000000002</v>
      </c>
      <c r="J16" s="32">
        <f>(I12-I14)/I14*100%</f>
        <v>-1.2174410169491527</v>
      </c>
      <c r="L16" s="38" t="s">
        <v>42</v>
      </c>
      <c r="M16" s="64">
        <f>M13*M14*M15</f>
        <v>11.6127</v>
      </c>
    </row>
    <row r="17" spans="1:10" ht="15.75" customHeight="1" thickBot="1" x14ac:dyDescent="0.4">
      <c r="A17" s="296"/>
      <c r="B17" s="300" t="s">
        <v>43</v>
      </c>
      <c r="C17" s="301"/>
      <c r="D17" s="302" t="s">
        <v>44</v>
      </c>
      <c r="E17" s="303"/>
      <c r="F17" s="65">
        <f>SUM(F12:F16)</f>
        <v>15586.480000000001</v>
      </c>
    </row>
    <row r="18" spans="1:10" ht="16.5" customHeight="1" thickBot="1" x14ac:dyDescent="0.4">
      <c r="A18" s="296"/>
      <c r="B18" s="304" t="s">
        <v>203</v>
      </c>
      <c r="C18" s="305"/>
      <c r="D18" s="310" t="s">
        <v>46</v>
      </c>
      <c r="E18" s="311"/>
      <c r="F18" s="66">
        <f>F17*5%</f>
        <v>779.32400000000007</v>
      </c>
      <c r="H18" s="290" t="s">
        <v>47</v>
      </c>
      <c r="I18" s="291"/>
    </row>
    <row r="19" spans="1:10" ht="15" customHeight="1" x14ac:dyDescent="0.35">
      <c r="A19" s="296"/>
      <c r="B19" s="306"/>
      <c r="C19" s="307"/>
      <c r="D19" s="312" t="s">
        <v>48</v>
      </c>
      <c r="E19" s="313"/>
      <c r="F19" s="67">
        <f>SUM(F17:F18)</f>
        <v>16365.804000000002</v>
      </c>
      <c r="H19" s="9" t="s">
        <v>13</v>
      </c>
      <c r="I19" s="10">
        <f>F22</f>
        <v>-2565.8040000000019</v>
      </c>
    </row>
    <row r="20" spans="1:10" ht="15" customHeight="1" thickBot="1" x14ac:dyDescent="0.4">
      <c r="A20" s="296"/>
      <c r="B20" s="306"/>
      <c r="C20" s="307"/>
      <c r="D20" s="314" t="s">
        <v>49</v>
      </c>
      <c r="E20" s="315"/>
      <c r="F20" s="121">
        <v>15000</v>
      </c>
      <c r="H20" s="17" t="s">
        <v>50</v>
      </c>
      <c r="I20" s="20">
        <f>F109</f>
        <v>8296.6666666666661</v>
      </c>
    </row>
    <row r="21" spans="1:10" ht="15" customHeight="1" thickBot="1" x14ac:dyDescent="0.4">
      <c r="A21" s="296"/>
      <c r="B21" s="306"/>
      <c r="C21" s="307"/>
      <c r="D21" s="316" t="s">
        <v>51</v>
      </c>
      <c r="E21" s="317"/>
      <c r="F21" s="120">
        <f>F20*8%</f>
        <v>1200</v>
      </c>
      <c r="H21" s="30" t="s">
        <v>52</v>
      </c>
      <c r="I21" s="70">
        <f>I19-I20</f>
        <v>-10862.470666666668</v>
      </c>
      <c r="J21" s="71">
        <f>(I19-I20)/I19*100%</f>
        <v>4.2335543426803683</v>
      </c>
    </row>
    <row r="22" spans="1:10" ht="15.75" customHeight="1" thickBot="1" x14ac:dyDescent="0.4">
      <c r="A22" s="296"/>
      <c r="B22" s="306"/>
      <c r="C22" s="307"/>
      <c r="D22" s="310" t="s">
        <v>53</v>
      </c>
      <c r="E22" s="311"/>
      <c r="F22" s="67">
        <f>F20-F19-F21</f>
        <v>-2565.8040000000019</v>
      </c>
    </row>
    <row r="23" spans="1:10" ht="15.75" customHeight="1" thickBot="1" x14ac:dyDescent="0.4">
      <c r="A23" s="296"/>
      <c r="B23" s="306"/>
      <c r="C23" s="307"/>
      <c r="D23" s="310" t="s">
        <v>54</v>
      </c>
      <c r="E23" s="311"/>
      <c r="F23" s="72">
        <f>IFERROR(F19/F20,0)</f>
        <v>1.0910536000000002</v>
      </c>
      <c r="G23" s="73"/>
      <c r="H23" s="293" t="s">
        <v>55</v>
      </c>
      <c r="I23" s="294"/>
    </row>
    <row r="24" spans="1:10" ht="15.75" customHeight="1" thickBot="1" x14ac:dyDescent="0.4">
      <c r="A24" s="297"/>
      <c r="B24" s="308"/>
      <c r="C24" s="309"/>
      <c r="D24" s="318" t="s">
        <v>56</v>
      </c>
      <c r="E24" s="319"/>
      <c r="F24" s="74">
        <f>IFERROR(F22/F20,0)</f>
        <v>-0.17105360000000014</v>
      </c>
      <c r="G24" s="73"/>
      <c r="H24" s="9" t="s">
        <v>57</v>
      </c>
      <c r="I24" s="10">
        <f>F22</f>
        <v>-2565.8040000000019</v>
      </c>
    </row>
    <row r="25" spans="1:10" ht="15.75" customHeight="1" x14ac:dyDescent="0.35">
      <c r="A25" s="75"/>
      <c r="B25" s="76"/>
      <c r="C25" s="77"/>
      <c r="D25" s="78"/>
      <c r="E25" s="78"/>
      <c r="F25" s="79"/>
      <c r="G25" s="73"/>
      <c r="H25" s="17" t="s">
        <v>58</v>
      </c>
      <c r="I25" s="80">
        <f>I24/F58</f>
        <v>-0.51556677829872777</v>
      </c>
    </row>
    <row r="26" spans="1:10" x14ac:dyDescent="0.35">
      <c r="A26" s="75"/>
      <c r="B26" s="76"/>
      <c r="C26" s="77"/>
      <c r="D26" s="78"/>
      <c r="E26" s="78"/>
      <c r="F26" s="79"/>
      <c r="H26" s="17" t="s">
        <v>59</v>
      </c>
      <c r="I26" s="80">
        <f>I24/F70</f>
        <v>-0.36619467174119913</v>
      </c>
    </row>
    <row r="27" spans="1:10" x14ac:dyDescent="0.35">
      <c r="H27" s="17" t="s">
        <v>60</v>
      </c>
      <c r="I27" s="80">
        <f>I24/F109</f>
        <v>-0.30925721173161935</v>
      </c>
    </row>
    <row r="28" spans="1:10" x14ac:dyDescent="0.35">
      <c r="H28" s="17" t="s">
        <v>61</v>
      </c>
      <c r="I28" s="80">
        <f>I24/F83</f>
        <v>-0.41924901960784344</v>
      </c>
    </row>
    <row r="29" spans="1:10" ht="15" thickBot="1" x14ac:dyDescent="0.4">
      <c r="H29" s="38" t="s">
        <v>62</v>
      </c>
      <c r="I29" s="81">
        <f>I24/F96</f>
        <v>-0.21744101694915272</v>
      </c>
    </row>
    <row r="30" spans="1:10" ht="15" thickBot="1" x14ac:dyDescent="0.4"/>
    <row r="31" spans="1:10" ht="15" thickBot="1" x14ac:dyDescent="0.4">
      <c r="H31" s="293" t="s">
        <v>63</v>
      </c>
      <c r="I31" s="294"/>
    </row>
    <row r="32" spans="1:10" x14ac:dyDescent="0.35">
      <c r="H32" s="9" t="s">
        <v>64</v>
      </c>
      <c r="I32" s="10">
        <f>F20</f>
        <v>15000</v>
      </c>
    </row>
    <row r="33" spans="8:9" x14ac:dyDescent="0.35">
      <c r="H33" s="17" t="s">
        <v>58</v>
      </c>
      <c r="I33" s="80">
        <f>I32/F56</f>
        <v>1.875</v>
      </c>
    </row>
    <row r="34" spans="8:9" x14ac:dyDescent="0.35">
      <c r="H34" s="17" t="s">
        <v>59</v>
      </c>
      <c r="I34" s="80">
        <f>I32/F68</f>
        <v>1.25</v>
      </c>
    </row>
    <row r="35" spans="8:9" x14ac:dyDescent="0.35">
      <c r="H35" s="17" t="s">
        <v>60</v>
      </c>
      <c r="I35" s="80">
        <f>I32/F107</f>
        <v>1.0714285714285714</v>
      </c>
    </row>
    <row r="36" spans="8:9" x14ac:dyDescent="0.35">
      <c r="H36" s="17" t="s">
        <v>61</v>
      </c>
      <c r="I36" s="80">
        <f>I32/F81</f>
        <v>1.5</v>
      </c>
    </row>
    <row r="37" spans="8:9" ht="15" thickBot="1" x14ac:dyDescent="0.4">
      <c r="H37" s="38" t="s">
        <v>62</v>
      </c>
      <c r="I37" s="81">
        <f>I32/F94</f>
        <v>0.75</v>
      </c>
    </row>
    <row r="43" spans="8:9" ht="3.75" customHeight="1" x14ac:dyDescent="0.35"/>
    <row r="45" spans="8:9" ht="15" customHeight="1" x14ac:dyDescent="0.35"/>
    <row r="49" spans="1:6" ht="75.75" customHeight="1" thickBot="1" x14ac:dyDescent="0.4"/>
    <row r="50" spans="1:6" ht="21.5" thickBot="1" x14ac:dyDescent="0.4">
      <c r="A50" s="320" t="s">
        <v>65</v>
      </c>
      <c r="B50" s="321"/>
      <c r="C50" s="321"/>
      <c r="D50" s="321"/>
      <c r="E50" s="321"/>
      <c r="F50" s="322"/>
    </row>
    <row r="51" spans="1:6" x14ac:dyDescent="0.35">
      <c r="A51" s="82" t="s">
        <v>30</v>
      </c>
      <c r="B51" s="83" t="s">
        <v>66</v>
      </c>
      <c r="C51" s="84" t="s">
        <v>31</v>
      </c>
      <c r="D51" s="84" t="s">
        <v>5</v>
      </c>
      <c r="E51" s="84" t="s">
        <v>67</v>
      </c>
      <c r="F51" s="85" t="s">
        <v>33</v>
      </c>
    </row>
    <row r="52" spans="1:6" ht="15" thickBot="1" x14ac:dyDescent="0.4">
      <c r="A52" s="86" t="s">
        <v>68</v>
      </c>
      <c r="B52" s="87">
        <f>13000/6</f>
        <v>2166.6666666666665</v>
      </c>
      <c r="C52" s="88" t="s">
        <v>12</v>
      </c>
      <c r="D52" s="89">
        <v>330</v>
      </c>
      <c r="E52" s="90">
        <f>B52/D52</f>
        <v>6.5656565656565649</v>
      </c>
      <c r="F52" s="91">
        <f>E52*D52</f>
        <v>2166.6666666666665</v>
      </c>
    </row>
    <row r="53" spans="1:6" x14ac:dyDescent="0.35">
      <c r="A53" s="323" t="s">
        <v>69</v>
      </c>
      <c r="B53" s="324"/>
      <c r="C53" s="325"/>
      <c r="D53" s="302" t="s">
        <v>44</v>
      </c>
      <c r="E53" s="303"/>
      <c r="F53" s="65">
        <f>F52</f>
        <v>2166.6666666666665</v>
      </c>
    </row>
    <row r="54" spans="1:6" x14ac:dyDescent="0.35">
      <c r="A54" s="326" t="s">
        <v>70</v>
      </c>
      <c r="B54" s="327"/>
      <c r="C54" s="328"/>
      <c r="D54" s="310" t="s">
        <v>46</v>
      </c>
      <c r="E54" s="311"/>
      <c r="F54" s="66">
        <f>F53*10%</f>
        <v>216.66666666666666</v>
      </c>
    </row>
    <row r="55" spans="1:6" ht="15" customHeight="1" x14ac:dyDescent="0.35">
      <c r="A55" s="329"/>
      <c r="B55" s="330"/>
      <c r="C55" s="331"/>
      <c r="D55" s="312" t="s">
        <v>48</v>
      </c>
      <c r="E55" s="313"/>
      <c r="F55" s="67">
        <f>F53+F54</f>
        <v>2383.333333333333</v>
      </c>
    </row>
    <row r="56" spans="1:6" x14ac:dyDescent="0.35">
      <c r="A56" s="329"/>
      <c r="B56" s="330"/>
      <c r="C56" s="331"/>
      <c r="D56" s="314" t="s">
        <v>49</v>
      </c>
      <c r="E56" s="315"/>
      <c r="F56" s="68">
        <v>8000</v>
      </c>
    </row>
    <row r="57" spans="1:6" x14ac:dyDescent="0.35">
      <c r="A57" s="329"/>
      <c r="B57" s="330"/>
      <c r="C57" s="331"/>
      <c r="D57" s="316" t="s">
        <v>51</v>
      </c>
      <c r="E57" s="317"/>
      <c r="F57" s="69">
        <f>F56*8%</f>
        <v>640</v>
      </c>
    </row>
    <row r="58" spans="1:6" ht="15" customHeight="1" x14ac:dyDescent="0.35">
      <c r="A58" s="329"/>
      <c r="B58" s="330"/>
      <c r="C58" s="331"/>
      <c r="D58" s="310" t="s">
        <v>53</v>
      </c>
      <c r="E58" s="311"/>
      <c r="F58" s="67">
        <f>F56-F55-F57</f>
        <v>4976.666666666667</v>
      </c>
    </row>
    <row r="59" spans="1:6" x14ac:dyDescent="0.35">
      <c r="A59" s="329"/>
      <c r="B59" s="330"/>
      <c r="C59" s="331"/>
      <c r="D59" s="310" t="s">
        <v>54</v>
      </c>
      <c r="E59" s="311"/>
      <c r="F59" s="72">
        <f>IFERROR(F55/F56,0)</f>
        <v>0.29791666666666661</v>
      </c>
    </row>
    <row r="60" spans="1:6" ht="15" thickBot="1" x14ac:dyDescent="0.4">
      <c r="A60" s="332"/>
      <c r="B60" s="333"/>
      <c r="C60" s="334"/>
      <c r="D60" s="318" t="s">
        <v>56</v>
      </c>
      <c r="E60" s="319"/>
      <c r="F60" s="74">
        <f>IFERROR(F58/F56,0)</f>
        <v>0.62208333333333332</v>
      </c>
    </row>
    <row r="61" spans="1:6" ht="15" thickBot="1" x14ac:dyDescent="0.4">
      <c r="A61" s="73"/>
      <c r="B61" s="73"/>
      <c r="C61" s="73"/>
      <c r="D61" s="73"/>
      <c r="E61" s="73"/>
      <c r="F61" s="73"/>
    </row>
    <row r="62" spans="1:6" ht="21.5" thickBot="1" x14ac:dyDescent="0.4">
      <c r="A62" s="320" t="s">
        <v>71</v>
      </c>
      <c r="B62" s="321"/>
      <c r="C62" s="321"/>
      <c r="D62" s="321"/>
      <c r="E62" s="321"/>
      <c r="F62" s="322"/>
    </row>
    <row r="63" spans="1:6" ht="26" x14ac:dyDescent="0.35">
      <c r="A63" s="82" t="s">
        <v>30</v>
      </c>
      <c r="B63" s="83" t="s">
        <v>66</v>
      </c>
      <c r="C63" s="84" t="s">
        <v>31</v>
      </c>
      <c r="D63" s="84" t="s">
        <v>5</v>
      </c>
      <c r="E63" s="84" t="s">
        <v>32</v>
      </c>
      <c r="F63" s="85" t="s">
        <v>33</v>
      </c>
    </row>
    <row r="64" spans="1:6" ht="15" thickBot="1" x14ac:dyDescent="0.4">
      <c r="A64" s="86" t="s">
        <v>72</v>
      </c>
      <c r="B64" s="87">
        <f>22000/6</f>
        <v>3666.6666666666665</v>
      </c>
      <c r="C64" s="88" t="s">
        <v>12</v>
      </c>
      <c r="D64" s="89">
        <v>330</v>
      </c>
      <c r="E64" s="90">
        <f>B64/D64</f>
        <v>11.111111111111111</v>
      </c>
      <c r="F64" s="91">
        <f>E64*D64</f>
        <v>3666.6666666666665</v>
      </c>
    </row>
    <row r="65" spans="1:6" x14ac:dyDescent="0.35">
      <c r="A65" s="323" t="s">
        <v>69</v>
      </c>
      <c r="B65" s="324"/>
      <c r="C65" s="325"/>
      <c r="D65" s="302" t="s">
        <v>44</v>
      </c>
      <c r="E65" s="303"/>
      <c r="F65" s="65">
        <f>F64</f>
        <v>3666.6666666666665</v>
      </c>
    </row>
    <row r="66" spans="1:6" x14ac:dyDescent="0.35">
      <c r="A66" s="326" t="s">
        <v>73</v>
      </c>
      <c r="B66" s="327"/>
      <c r="C66" s="328"/>
      <c r="D66" s="310" t="s">
        <v>46</v>
      </c>
      <c r="E66" s="311"/>
      <c r="F66" s="66">
        <f>F65*10%</f>
        <v>366.66666666666669</v>
      </c>
    </row>
    <row r="67" spans="1:6" x14ac:dyDescent="0.35">
      <c r="A67" s="329"/>
      <c r="B67" s="330"/>
      <c r="C67" s="331"/>
      <c r="D67" s="312" t="s">
        <v>48</v>
      </c>
      <c r="E67" s="313"/>
      <c r="F67" s="67">
        <f>F65+F66</f>
        <v>4033.333333333333</v>
      </c>
    </row>
    <row r="68" spans="1:6" x14ac:dyDescent="0.35">
      <c r="A68" s="329"/>
      <c r="B68" s="330"/>
      <c r="C68" s="331"/>
      <c r="D68" s="314" t="s">
        <v>49</v>
      </c>
      <c r="E68" s="315"/>
      <c r="F68" s="68">
        <v>12000</v>
      </c>
    </row>
    <row r="69" spans="1:6" ht="15" customHeight="1" x14ac:dyDescent="0.35">
      <c r="A69" s="329"/>
      <c r="B69" s="330"/>
      <c r="C69" s="331"/>
      <c r="D69" s="316" t="s">
        <v>51</v>
      </c>
      <c r="E69" s="317"/>
      <c r="F69" s="69">
        <f>F68*8%</f>
        <v>960</v>
      </c>
    </row>
    <row r="70" spans="1:6" x14ac:dyDescent="0.35">
      <c r="A70" s="329"/>
      <c r="B70" s="330"/>
      <c r="C70" s="331"/>
      <c r="D70" s="310" t="s">
        <v>53</v>
      </c>
      <c r="E70" s="311"/>
      <c r="F70" s="67">
        <f>F68-F67-F69</f>
        <v>7006.666666666667</v>
      </c>
    </row>
    <row r="71" spans="1:6" ht="15" customHeight="1" x14ac:dyDescent="0.35">
      <c r="A71" s="329"/>
      <c r="B71" s="330"/>
      <c r="C71" s="331"/>
      <c r="D71" s="310" t="s">
        <v>54</v>
      </c>
      <c r="E71" s="311"/>
      <c r="F71" s="72">
        <f>IFERROR(F67/F68,0)</f>
        <v>0.33611111111111108</v>
      </c>
    </row>
    <row r="72" spans="1:6" ht="15" thickBot="1" x14ac:dyDescent="0.4">
      <c r="A72" s="332"/>
      <c r="B72" s="333"/>
      <c r="C72" s="334"/>
      <c r="D72" s="318" t="s">
        <v>56</v>
      </c>
      <c r="E72" s="319"/>
      <c r="F72" s="74">
        <f>IFERROR(F70/F68,0)</f>
        <v>0.5838888888888889</v>
      </c>
    </row>
    <row r="74" spans="1:6" ht="15" thickBot="1" x14ac:dyDescent="0.4"/>
    <row r="75" spans="1:6" ht="21.5" thickBot="1" x14ac:dyDescent="0.4">
      <c r="A75" s="320" t="s">
        <v>74</v>
      </c>
      <c r="B75" s="321"/>
      <c r="C75" s="321"/>
      <c r="D75" s="321"/>
      <c r="E75" s="321"/>
      <c r="F75" s="322"/>
    </row>
    <row r="76" spans="1:6" ht="26" x14ac:dyDescent="0.35">
      <c r="A76" s="82" t="s">
        <v>30</v>
      </c>
      <c r="B76" s="83" t="s">
        <v>66</v>
      </c>
      <c r="C76" s="84" t="s">
        <v>31</v>
      </c>
      <c r="D76" s="84" t="s">
        <v>5</v>
      </c>
      <c r="E76" s="84" t="s">
        <v>32</v>
      </c>
      <c r="F76" s="85" t="s">
        <v>33</v>
      </c>
    </row>
    <row r="77" spans="1:6" ht="15" thickBot="1" x14ac:dyDescent="0.4">
      <c r="A77" s="86" t="s">
        <v>75</v>
      </c>
      <c r="B77" s="87">
        <v>35000</v>
      </c>
      <c r="C77" s="88" t="s">
        <v>12</v>
      </c>
      <c r="D77" s="89">
        <v>60</v>
      </c>
      <c r="E77" s="90">
        <f>B77/750</f>
        <v>46.666666666666664</v>
      </c>
      <c r="F77" s="91">
        <f>E77*D77</f>
        <v>2800</v>
      </c>
    </row>
    <row r="78" spans="1:6" x14ac:dyDescent="0.35">
      <c r="A78" s="323" t="s">
        <v>69</v>
      </c>
      <c r="B78" s="324"/>
      <c r="C78" s="325"/>
      <c r="D78" s="302" t="s">
        <v>44</v>
      </c>
      <c r="E78" s="303"/>
      <c r="F78" s="65">
        <f>F77</f>
        <v>2800</v>
      </c>
    </row>
    <row r="79" spans="1:6" x14ac:dyDescent="0.35">
      <c r="A79" s="326" t="s">
        <v>76</v>
      </c>
      <c r="B79" s="327"/>
      <c r="C79" s="328"/>
      <c r="D79" s="310" t="s">
        <v>46</v>
      </c>
      <c r="E79" s="311"/>
      <c r="F79" s="66">
        <f>F78*10%</f>
        <v>280</v>
      </c>
    </row>
    <row r="80" spans="1:6" x14ac:dyDescent="0.35">
      <c r="A80" s="329"/>
      <c r="B80" s="330"/>
      <c r="C80" s="331"/>
      <c r="D80" s="312" t="s">
        <v>48</v>
      </c>
      <c r="E80" s="313"/>
      <c r="F80" s="67">
        <f>F78+F79</f>
        <v>3080</v>
      </c>
    </row>
    <row r="81" spans="1:9" x14ac:dyDescent="0.35">
      <c r="A81" s="329"/>
      <c r="B81" s="330"/>
      <c r="C81" s="331"/>
      <c r="D81" s="314" t="s">
        <v>49</v>
      </c>
      <c r="E81" s="315"/>
      <c r="F81" s="68">
        <v>10000</v>
      </c>
    </row>
    <row r="82" spans="1:9" ht="15" customHeight="1" x14ac:dyDescent="0.35">
      <c r="A82" s="329"/>
      <c r="B82" s="330"/>
      <c r="C82" s="331"/>
      <c r="D82" s="316" t="s">
        <v>51</v>
      </c>
      <c r="E82" s="317"/>
      <c r="F82" s="69">
        <f>F81*8%</f>
        <v>800</v>
      </c>
    </row>
    <row r="83" spans="1:9" x14ac:dyDescent="0.35">
      <c r="A83" s="329"/>
      <c r="B83" s="330"/>
      <c r="C83" s="331"/>
      <c r="D83" s="310" t="s">
        <v>53</v>
      </c>
      <c r="E83" s="311"/>
      <c r="F83" s="67">
        <f>F81-F80-F82</f>
        <v>6120</v>
      </c>
      <c r="I83" s="92"/>
    </row>
    <row r="84" spans="1:9" ht="15" customHeight="1" x14ac:dyDescent="0.35">
      <c r="A84" s="329"/>
      <c r="B84" s="330"/>
      <c r="C84" s="331"/>
      <c r="D84" s="310" t="s">
        <v>54</v>
      </c>
      <c r="E84" s="311"/>
      <c r="F84" s="72">
        <f>IFERROR(F80/F81,0)</f>
        <v>0.308</v>
      </c>
      <c r="I84" s="92"/>
    </row>
    <row r="85" spans="1:9" ht="15" thickBot="1" x14ac:dyDescent="0.4">
      <c r="A85" s="332"/>
      <c r="B85" s="333"/>
      <c r="C85" s="334"/>
      <c r="D85" s="318" t="s">
        <v>56</v>
      </c>
      <c r="E85" s="319"/>
      <c r="F85" s="74">
        <f>IFERROR(F83/F81,0)</f>
        <v>0.61199999999999999</v>
      </c>
      <c r="I85" s="92"/>
    </row>
    <row r="87" spans="1:9" ht="15" thickBot="1" x14ac:dyDescent="0.4"/>
    <row r="88" spans="1:9" ht="21.5" thickBot="1" x14ac:dyDescent="0.4">
      <c r="A88" s="320" t="s">
        <v>77</v>
      </c>
      <c r="B88" s="321"/>
      <c r="C88" s="321"/>
      <c r="D88" s="321"/>
      <c r="E88" s="321"/>
      <c r="F88" s="322"/>
    </row>
    <row r="89" spans="1:9" ht="26" x14ac:dyDescent="0.35">
      <c r="A89" s="82" t="s">
        <v>30</v>
      </c>
      <c r="B89" s="83" t="s">
        <v>66</v>
      </c>
      <c r="C89" s="84" t="s">
        <v>31</v>
      </c>
      <c r="D89" s="84" t="s">
        <v>5</v>
      </c>
      <c r="E89" s="84" t="s">
        <v>32</v>
      </c>
      <c r="F89" s="85" t="s">
        <v>33</v>
      </c>
    </row>
    <row r="90" spans="1:9" ht="15" thickBot="1" x14ac:dyDescent="0.4">
      <c r="A90" s="86" t="s">
        <v>78</v>
      </c>
      <c r="B90" s="87">
        <v>75000</v>
      </c>
      <c r="C90" s="88" t="s">
        <v>12</v>
      </c>
      <c r="D90" s="89">
        <v>60</v>
      </c>
      <c r="E90" s="90">
        <f>B90/750</f>
        <v>100</v>
      </c>
      <c r="F90" s="91">
        <f>E90*D90</f>
        <v>6000</v>
      </c>
    </row>
    <row r="91" spans="1:9" x14ac:dyDescent="0.35">
      <c r="A91" s="323" t="s">
        <v>69</v>
      </c>
      <c r="B91" s="324"/>
      <c r="C91" s="325"/>
      <c r="D91" s="302" t="s">
        <v>44</v>
      </c>
      <c r="E91" s="303"/>
      <c r="F91" s="65">
        <f>F90</f>
        <v>6000</v>
      </c>
    </row>
    <row r="92" spans="1:9" x14ac:dyDescent="0.35">
      <c r="A92" s="326" t="s">
        <v>79</v>
      </c>
      <c r="B92" s="327"/>
      <c r="C92" s="328"/>
      <c r="D92" s="310" t="s">
        <v>46</v>
      </c>
      <c r="E92" s="311"/>
      <c r="F92" s="66">
        <f>F91*10%</f>
        <v>600</v>
      </c>
    </row>
    <row r="93" spans="1:9" x14ac:dyDescent="0.35">
      <c r="A93" s="329"/>
      <c r="B93" s="330"/>
      <c r="C93" s="331"/>
      <c r="D93" s="312" t="s">
        <v>48</v>
      </c>
      <c r="E93" s="313"/>
      <c r="F93" s="67">
        <f>F91+F92</f>
        <v>6600</v>
      </c>
    </row>
    <row r="94" spans="1:9" x14ac:dyDescent="0.35">
      <c r="A94" s="329"/>
      <c r="B94" s="330"/>
      <c r="C94" s="331"/>
      <c r="D94" s="314" t="s">
        <v>49</v>
      </c>
      <c r="E94" s="315"/>
      <c r="F94" s="68">
        <v>20000</v>
      </c>
    </row>
    <row r="95" spans="1:9" ht="15" customHeight="1" x14ac:dyDescent="0.35">
      <c r="A95" s="329"/>
      <c r="B95" s="330"/>
      <c r="C95" s="331"/>
      <c r="D95" s="316" t="s">
        <v>51</v>
      </c>
      <c r="E95" s="317"/>
      <c r="F95" s="69">
        <f>F94*8%</f>
        <v>1600</v>
      </c>
    </row>
    <row r="96" spans="1:9" x14ac:dyDescent="0.35">
      <c r="A96" s="329"/>
      <c r="B96" s="330"/>
      <c r="C96" s="331"/>
      <c r="D96" s="310" t="s">
        <v>53</v>
      </c>
      <c r="E96" s="311"/>
      <c r="F96" s="67">
        <f>F94-F93-F95</f>
        <v>11800</v>
      </c>
    </row>
    <row r="97" spans="1:6" x14ac:dyDescent="0.35">
      <c r="A97" s="329"/>
      <c r="B97" s="330"/>
      <c r="C97" s="331"/>
      <c r="D97" s="310" t="s">
        <v>54</v>
      </c>
      <c r="E97" s="311"/>
      <c r="F97" s="72">
        <f>IFERROR(F93/F94,0)</f>
        <v>0.33</v>
      </c>
    </row>
    <row r="98" spans="1:6" ht="15" thickBot="1" x14ac:dyDescent="0.4">
      <c r="A98" s="332"/>
      <c r="B98" s="333"/>
      <c r="C98" s="334"/>
      <c r="D98" s="318" t="s">
        <v>56</v>
      </c>
      <c r="E98" s="319"/>
      <c r="F98" s="74">
        <f>IFERROR(F96/F94,0)</f>
        <v>0.59</v>
      </c>
    </row>
    <row r="100" spans="1:6" ht="15" thickBot="1" x14ac:dyDescent="0.4"/>
    <row r="101" spans="1:6" ht="21.5" thickBot="1" x14ac:dyDescent="0.4">
      <c r="A101" s="320" t="s">
        <v>80</v>
      </c>
      <c r="B101" s="321"/>
      <c r="C101" s="321"/>
      <c r="D101" s="321"/>
      <c r="E101" s="321"/>
      <c r="F101" s="322"/>
    </row>
    <row r="102" spans="1:6" ht="26" x14ac:dyDescent="0.35">
      <c r="A102" s="82" t="s">
        <v>30</v>
      </c>
      <c r="B102" s="83" t="s">
        <v>66</v>
      </c>
      <c r="C102" s="84" t="s">
        <v>31</v>
      </c>
      <c r="D102" s="84" t="s">
        <v>81</v>
      </c>
      <c r="E102" s="84" t="s">
        <v>32</v>
      </c>
      <c r="F102" s="85" t="s">
        <v>33</v>
      </c>
    </row>
    <row r="103" spans="1:6" ht="15" thickBot="1" x14ac:dyDescent="0.4">
      <c r="A103" s="86" t="s">
        <v>82</v>
      </c>
      <c r="B103" s="87">
        <v>25000</v>
      </c>
      <c r="C103" s="88" t="s">
        <v>12</v>
      </c>
      <c r="D103" s="89">
        <v>125</v>
      </c>
      <c r="E103" s="90">
        <f>B103/750</f>
        <v>33.333333333333336</v>
      </c>
      <c r="F103" s="91">
        <f>E103*D103</f>
        <v>4166.666666666667</v>
      </c>
    </row>
    <row r="104" spans="1:6" x14ac:dyDescent="0.35">
      <c r="A104" s="323" t="s">
        <v>69</v>
      </c>
      <c r="B104" s="324"/>
      <c r="C104" s="325"/>
      <c r="D104" s="302" t="s">
        <v>44</v>
      </c>
      <c r="E104" s="303"/>
      <c r="F104" s="65">
        <f>F103</f>
        <v>4166.666666666667</v>
      </c>
    </row>
    <row r="105" spans="1:6" x14ac:dyDescent="0.35">
      <c r="A105" s="326" t="s">
        <v>83</v>
      </c>
      <c r="B105" s="327"/>
      <c r="C105" s="328"/>
      <c r="D105" s="310" t="s">
        <v>46</v>
      </c>
      <c r="E105" s="311"/>
      <c r="F105" s="66">
        <f>F104*10%</f>
        <v>416.66666666666674</v>
      </c>
    </row>
    <row r="106" spans="1:6" x14ac:dyDescent="0.35">
      <c r="A106" s="329"/>
      <c r="B106" s="330"/>
      <c r="C106" s="331"/>
      <c r="D106" s="312" t="s">
        <v>48</v>
      </c>
      <c r="E106" s="313"/>
      <c r="F106" s="67">
        <f>F104+F105</f>
        <v>4583.3333333333339</v>
      </c>
    </row>
    <row r="107" spans="1:6" x14ac:dyDescent="0.35">
      <c r="A107" s="329"/>
      <c r="B107" s="330"/>
      <c r="C107" s="331"/>
      <c r="D107" s="314" t="s">
        <v>49</v>
      </c>
      <c r="E107" s="315"/>
      <c r="F107" s="68">
        <v>14000</v>
      </c>
    </row>
    <row r="108" spans="1:6" x14ac:dyDescent="0.35">
      <c r="A108" s="329"/>
      <c r="B108" s="330"/>
      <c r="C108" s="331"/>
      <c r="D108" s="316" t="s">
        <v>51</v>
      </c>
      <c r="E108" s="317"/>
      <c r="F108" s="69">
        <f>F107*8%</f>
        <v>1120</v>
      </c>
    </row>
    <row r="109" spans="1:6" x14ac:dyDescent="0.35">
      <c r="A109" s="329"/>
      <c r="B109" s="330"/>
      <c r="C109" s="331"/>
      <c r="D109" s="310" t="s">
        <v>53</v>
      </c>
      <c r="E109" s="311"/>
      <c r="F109" s="67">
        <f>F107-F106-F108</f>
        <v>8296.6666666666661</v>
      </c>
    </row>
    <row r="110" spans="1:6" x14ac:dyDescent="0.35">
      <c r="A110" s="329"/>
      <c r="B110" s="330"/>
      <c r="C110" s="331"/>
      <c r="D110" s="310" t="s">
        <v>54</v>
      </c>
      <c r="E110" s="311"/>
      <c r="F110" s="72">
        <f>IFERROR(F106/F107,0)</f>
        <v>0.32738095238095244</v>
      </c>
    </row>
    <row r="111" spans="1:6" ht="15" thickBot="1" x14ac:dyDescent="0.4">
      <c r="A111" s="332"/>
      <c r="B111" s="333"/>
      <c r="C111" s="334"/>
      <c r="D111" s="318" t="s">
        <v>56</v>
      </c>
      <c r="E111" s="319"/>
      <c r="F111" s="74">
        <f>IFERROR(F109/F107,0)</f>
        <v>0.5926190476190476</v>
      </c>
    </row>
  </sheetData>
  <sheetProtection algorithmName="SHA-512" hashValue="Fypn+HrVCMwZYPkcqo3CAy4bqwnKjuXohxEQ3emU4InvVzJ1tFcfFfGbgqokY8d7XSJV2AtTQJ2e4G/gaZVXog==" saltValue="hfoMjcfT9jAxiuhY/2RSQg==" spinCount="100000" sheet="1" objects="1" scenarios="1" formatCells="0" formatRows="0" selectLockedCells="1"/>
  <protectedRanges>
    <protectedRange sqref="B52 D52 F56 B64 D64 F68 B77 D77 F81 B90 D90 F94 B103 D103 F107" name="PRUEBA FINAL"/>
    <protectedRange sqref="E5:E9 D12:D16 F20" name="FINAL_1"/>
    <protectedRange sqref="E5:E9 D12:D16 F20" name="EDITABLES"/>
  </protectedRanges>
  <mergeCells count="78">
    <mergeCell ref="D111:E111"/>
    <mergeCell ref="A101:F101"/>
    <mergeCell ref="A104:C104"/>
    <mergeCell ref="D104:E104"/>
    <mergeCell ref="A105:C111"/>
    <mergeCell ref="D105:E105"/>
    <mergeCell ref="D106:E106"/>
    <mergeCell ref="D107:E107"/>
    <mergeCell ref="D108:E108"/>
    <mergeCell ref="D109:E109"/>
    <mergeCell ref="D110:E110"/>
    <mergeCell ref="A92:C98"/>
    <mergeCell ref="D92:E92"/>
    <mergeCell ref="D93:E93"/>
    <mergeCell ref="D94:E94"/>
    <mergeCell ref="D95:E95"/>
    <mergeCell ref="D96:E96"/>
    <mergeCell ref="D97:E97"/>
    <mergeCell ref="D98:E98"/>
    <mergeCell ref="D85:E85"/>
    <mergeCell ref="A88:F88"/>
    <mergeCell ref="A91:C91"/>
    <mergeCell ref="D91:E91"/>
    <mergeCell ref="A79:C85"/>
    <mergeCell ref="D79:E79"/>
    <mergeCell ref="D80:E80"/>
    <mergeCell ref="D81:E81"/>
    <mergeCell ref="D82:E82"/>
    <mergeCell ref="A75:F75"/>
    <mergeCell ref="A78:C78"/>
    <mergeCell ref="D78:E78"/>
    <mergeCell ref="D83:E83"/>
    <mergeCell ref="D84:E84"/>
    <mergeCell ref="A62:F62"/>
    <mergeCell ref="A65:C65"/>
    <mergeCell ref="D65:E65"/>
    <mergeCell ref="A66:C72"/>
    <mergeCell ref="D66:E66"/>
    <mergeCell ref="D67:E67"/>
    <mergeCell ref="D68:E68"/>
    <mergeCell ref="D69:E69"/>
    <mergeCell ref="D70:E70"/>
    <mergeCell ref="D71:E71"/>
    <mergeCell ref="D72:E72"/>
    <mergeCell ref="A50:F50"/>
    <mergeCell ref="A53:C53"/>
    <mergeCell ref="D53:E53"/>
    <mergeCell ref="A54:C60"/>
    <mergeCell ref="D54:E54"/>
    <mergeCell ref="D55:E55"/>
    <mergeCell ref="D56:E56"/>
    <mergeCell ref="D57:E57"/>
    <mergeCell ref="D58:E58"/>
    <mergeCell ref="D59:E59"/>
    <mergeCell ref="D60:E60"/>
    <mergeCell ref="H31:I31"/>
    <mergeCell ref="A11:A24"/>
    <mergeCell ref="H11:I11"/>
    <mergeCell ref="L12:M12"/>
    <mergeCell ref="B17:C17"/>
    <mergeCell ref="D17:E17"/>
    <mergeCell ref="B18:C24"/>
    <mergeCell ref="D18:E18"/>
    <mergeCell ref="H18:I18"/>
    <mergeCell ref="D19:E19"/>
    <mergeCell ref="D20:E20"/>
    <mergeCell ref="D21:E21"/>
    <mergeCell ref="D22:E22"/>
    <mergeCell ref="D23:E23"/>
    <mergeCell ref="H23:I23"/>
    <mergeCell ref="D24:E24"/>
    <mergeCell ref="A2:F2"/>
    <mergeCell ref="H2:I2"/>
    <mergeCell ref="L2:M2"/>
    <mergeCell ref="A4:A9"/>
    <mergeCell ref="H4:I4"/>
    <mergeCell ref="L4:M4"/>
    <mergeCell ref="J5:J7"/>
  </mergeCell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Hoja26">
    <tabColor theme="4" tint="-0.249977111117893"/>
  </sheetPr>
  <dimension ref="A1:M111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thickBot="1" x14ac:dyDescent="0.4"/>
    <row r="2" spans="1:13" ht="23.25" customHeight="1" thickBot="1" x14ac:dyDescent="0.4">
      <c r="A2" s="284" t="s">
        <v>158</v>
      </c>
      <c r="B2" s="285"/>
      <c r="C2" s="285"/>
      <c r="D2" s="285"/>
      <c r="E2" s="285"/>
      <c r="F2" s="286"/>
      <c r="H2" s="284" t="s">
        <v>1</v>
      </c>
      <c r="I2" s="286"/>
      <c r="L2" s="284" t="s">
        <v>2</v>
      </c>
      <c r="M2" s="286"/>
    </row>
    <row r="3" spans="1:13" ht="8.25" customHeight="1" thickBot="1" x14ac:dyDescent="0.4"/>
    <row r="4" spans="1:13" ht="25.5" customHeight="1" thickBot="1" x14ac:dyDescent="0.4">
      <c r="A4" s="287" t="s">
        <v>3</v>
      </c>
      <c r="B4" s="103" t="s">
        <v>4</v>
      </c>
      <c r="C4" s="103" t="s">
        <v>5</v>
      </c>
      <c r="D4" s="104" t="s">
        <v>6</v>
      </c>
      <c r="E4" s="103" t="s">
        <v>7</v>
      </c>
      <c r="F4" s="105" t="s">
        <v>8</v>
      </c>
      <c r="H4" s="290" t="s">
        <v>9</v>
      </c>
      <c r="I4" s="291"/>
      <c r="L4" s="290" t="s">
        <v>10</v>
      </c>
      <c r="M4" s="291"/>
    </row>
    <row r="5" spans="1:13" ht="15" customHeight="1" x14ac:dyDescent="0.35">
      <c r="A5" s="288"/>
      <c r="B5" s="12" t="s">
        <v>157</v>
      </c>
      <c r="C5" s="14">
        <v>750</v>
      </c>
      <c r="D5" s="96" t="s">
        <v>12</v>
      </c>
      <c r="E5" s="114">
        <v>542288</v>
      </c>
      <c r="F5" s="115">
        <f>Tabla1345681091113923252627293031[[#This Row],[PRECIO]]/Tabla1345681091113923252627293031[[#This Row],[CANTIDAD]]</f>
        <v>723.05066666666664</v>
      </c>
      <c r="H5" s="9" t="s">
        <v>13</v>
      </c>
      <c r="I5" s="10">
        <f>F22</f>
        <v>-31752.192000000003</v>
      </c>
      <c r="J5" s="292"/>
      <c r="L5" s="9" t="s">
        <v>14</v>
      </c>
      <c r="M5" s="11">
        <f>40/100</f>
        <v>0.4</v>
      </c>
    </row>
    <row r="6" spans="1:13" ht="15" customHeight="1" x14ac:dyDescent="0.35">
      <c r="A6" s="288"/>
      <c r="B6" s="12"/>
      <c r="C6" s="13"/>
      <c r="D6" s="14"/>
      <c r="E6" s="114"/>
      <c r="F6" s="115"/>
      <c r="H6" s="17" t="s">
        <v>16</v>
      </c>
      <c r="I6" s="18">
        <f>F58</f>
        <v>4976.666666666667</v>
      </c>
      <c r="J6" s="292"/>
      <c r="L6" s="17" t="s">
        <v>17</v>
      </c>
      <c r="M6" s="19">
        <f>D12/1000</f>
        <v>0.06</v>
      </c>
    </row>
    <row r="7" spans="1:13" ht="15" customHeight="1" thickBot="1" x14ac:dyDescent="0.4">
      <c r="A7" s="288"/>
      <c r="B7" s="12"/>
      <c r="C7" s="14"/>
      <c r="D7" s="14"/>
      <c r="E7" s="114"/>
      <c r="F7" s="115"/>
      <c r="H7" s="17" t="s">
        <v>19</v>
      </c>
      <c r="I7" s="20">
        <f>F70</f>
        <v>7006.666666666667</v>
      </c>
      <c r="J7" s="292"/>
      <c r="L7" s="17" t="s">
        <v>20</v>
      </c>
      <c r="M7" s="19">
        <v>782</v>
      </c>
    </row>
    <row r="8" spans="1:13" ht="15.75" customHeight="1" x14ac:dyDescent="0.35">
      <c r="A8" s="288"/>
      <c r="B8" s="21"/>
      <c r="C8" s="22"/>
      <c r="D8" s="22"/>
      <c r="E8" s="116"/>
      <c r="F8" s="115"/>
      <c r="H8" s="25" t="s">
        <v>23</v>
      </c>
      <c r="I8" s="26">
        <f>I5-I6</f>
        <v>-36728.858666666667</v>
      </c>
      <c r="J8" s="27">
        <f>(I5-I6)/I6*100%</f>
        <v>-7.3802127260549222</v>
      </c>
      <c r="L8" s="17" t="s">
        <v>24</v>
      </c>
      <c r="M8" s="28">
        <f>M5*M6*M7</f>
        <v>18.768000000000001</v>
      </c>
    </row>
    <row r="9" spans="1:13" ht="15.75" customHeight="1" thickBot="1" x14ac:dyDescent="0.4">
      <c r="A9" s="289"/>
      <c r="B9" s="29"/>
      <c r="C9" s="22"/>
      <c r="D9" s="22"/>
      <c r="E9" s="117"/>
      <c r="F9" s="115"/>
      <c r="H9" s="30" t="s">
        <v>26</v>
      </c>
      <c r="I9" s="31">
        <f>I5-I7</f>
        <v>-38758.858666666667</v>
      </c>
      <c r="J9" s="32">
        <f>(I5-I7)/I7*100%</f>
        <v>-5.5317115128449093</v>
      </c>
      <c r="L9" s="17" t="s">
        <v>27</v>
      </c>
      <c r="M9" s="19">
        <f>D13+D14+D12+D15+30</f>
        <v>90</v>
      </c>
    </row>
    <row r="10" spans="1:13" ht="16" thickBot="1" x14ac:dyDescent="0.4">
      <c r="A10" s="33"/>
      <c r="B10" s="34"/>
      <c r="C10" s="35"/>
      <c r="D10" s="35"/>
      <c r="E10" s="118"/>
      <c r="F10" s="119"/>
      <c r="L10" s="38" t="s">
        <v>28</v>
      </c>
      <c r="M10" s="39">
        <f>(D12*M5)/(D12+M9)</f>
        <v>0.16</v>
      </c>
    </row>
    <row r="11" spans="1:13" ht="24.75" customHeight="1" thickBot="1" x14ac:dyDescent="0.4">
      <c r="A11" s="295" t="s">
        <v>29</v>
      </c>
      <c r="B11" s="40" t="s">
        <v>30</v>
      </c>
      <c r="C11" s="41" t="s">
        <v>31</v>
      </c>
      <c r="D11" s="42" t="s">
        <v>5</v>
      </c>
      <c r="E11" s="41" t="s">
        <v>32</v>
      </c>
      <c r="F11" s="43" t="s">
        <v>33</v>
      </c>
      <c r="H11" s="298" t="s">
        <v>34</v>
      </c>
      <c r="I11" s="299"/>
    </row>
    <row r="12" spans="1:13" ht="15" customHeight="1" thickBot="1" x14ac:dyDescent="0.4">
      <c r="A12" s="296"/>
      <c r="B12" s="44" t="str">
        <f>B5</f>
        <v>JW BLUE LABEL</v>
      </c>
      <c r="C12" s="45" t="str">
        <f>D5</f>
        <v>ML</v>
      </c>
      <c r="D12" s="46">
        <v>60</v>
      </c>
      <c r="E12" s="45">
        <f>VLOOKUP(B12,Tabla1345681091113923252627293031[],5,FALSE)</f>
        <v>723.05066666666664</v>
      </c>
      <c r="F12" s="47">
        <f>E12*D12</f>
        <v>43383.040000000001</v>
      </c>
      <c r="H12" s="48" t="s">
        <v>13</v>
      </c>
      <c r="I12" s="49">
        <f>F22</f>
        <v>-31752.192000000003</v>
      </c>
      <c r="L12" s="290" t="s">
        <v>35</v>
      </c>
      <c r="M12" s="291"/>
    </row>
    <row r="13" spans="1:13" ht="15" customHeight="1" x14ac:dyDescent="0.35">
      <c r="A13" s="296"/>
      <c r="B13" s="50"/>
      <c r="C13" s="51"/>
      <c r="D13" s="52"/>
      <c r="E13" s="51"/>
      <c r="F13" s="53"/>
      <c r="H13" s="17" t="s">
        <v>36</v>
      </c>
      <c r="I13" s="18">
        <f>F83</f>
        <v>6120</v>
      </c>
      <c r="L13" s="9" t="s">
        <v>37</v>
      </c>
      <c r="M13" s="11">
        <f>4.5/100</f>
        <v>4.4999999999999998E-2</v>
      </c>
    </row>
    <row r="14" spans="1:13" ht="15.75" customHeight="1" thickBot="1" x14ac:dyDescent="0.4">
      <c r="A14" s="296"/>
      <c r="B14" s="50"/>
      <c r="C14" s="51"/>
      <c r="D14" s="52"/>
      <c r="E14" s="51"/>
      <c r="F14" s="53"/>
      <c r="H14" s="17" t="s">
        <v>38</v>
      </c>
      <c r="I14" s="18">
        <f>F96</f>
        <v>11800</v>
      </c>
      <c r="L14" s="17" t="s">
        <v>39</v>
      </c>
      <c r="M14" s="19">
        <f>330/1000</f>
        <v>0.33</v>
      </c>
    </row>
    <row r="15" spans="1:13" ht="15.75" customHeight="1" x14ac:dyDescent="0.35">
      <c r="A15" s="296"/>
      <c r="B15" s="50"/>
      <c r="C15" s="51"/>
      <c r="D15" s="52"/>
      <c r="E15" s="51"/>
      <c r="F15" s="53"/>
      <c r="H15" s="58" t="s">
        <v>40</v>
      </c>
      <c r="I15" s="26">
        <f>I12-I13</f>
        <v>-37872.192000000003</v>
      </c>
      <c r="J15" s="27">
        <f>(I12-I13)/I13*100%</f>
        <v>-6.1882666666666672</v>
      </c>
      <c r="L15" s="17" t="s">
        <v>20</v>
      </c>
      <c r="M15" s="19">
        <v>782</v>
      </c>
    </row>
    <row r="16" spans="1:13" ht="15.75" customHeight="1" thickBot="1" x14ac:dyDescent="0.4">
      <c r="A16" s="296"/>
      <c r="B16" s="50"/>
      <c r="C16" s="51"/>
      <c r="D16" s="52"/>
      <c r="E16" s="51"/>
      <c r="F16" s="53"/>
      <c r="H16" s="63" t="s">
        <v>41</v>
      </c>
      <c r="I16" s="31">
        <f>I12-I14</f>
        <v>-43552.192000000003</v>
      </c>
      <c r="J16" s="32">
        <f>(I12-I14)/I14*100%</f>
        <v>-3.6908637288135595</v>
      </c>
      <c r="L16" s="38" t="s">
        <v>42</v>
      </c>
      <c r="M16" s="64">
        <f>M13*M14*M15</f>
        <v>11.6127</v>
      </c>
    </row>
    <row r="17" spans="1:10" ht="15.75" customHeight="1" thickBot="1" x14ac:dyDescent="0.4">
      <c r="A17" s="296"/>
      <c r="B17" s="300" t="s">
        <v>43</v>
      </c>
      <c r="C17" s="301"/>
      <c r="D17" s="302" t="s">
        <v>44</v>
      </c>
      <c r="E17" s="303"/>
      <c r="F17" s="65">
        <f>SUM(F12:F16)</f>
        <v>43383.040000000001</v>
      </c>
    </row>
    <row r="18" spans="1:10" ht="16.5" customHeight="1" thickBot="1" x14ac:dyDescent="0.4">
      <c r="A18" s="296"/>
      <c r="B18" s="304" t="s">
        <v>204</v>
      </c>
      <c r="C18" s="305"/>
      <c r="D18" s="310" t="s">
        <v>46</v>
      </c>
      <c r="E18" s="311"/>
      <c r="F18" s="66">
        <f>F17*5%</f>
        <v>2169.152</v>
      </c>
      <c r="H18" s="290" t="s">
        <v>47</v>
      </c>
      <c r="I18" s="291"/>
    </row>
    <row r="19" spans="1:10" ht="15" customHeight="1" x14ac:dyDescent="0.35">
      <c r="A19" s="296"/>
      <c r="B19" s="306"/>
      <c r="C19" s="307"/>
      <c r="D19" s="312" t="s">
        <v>48</v>
      </c>
      <c r="E19" s="313"/>
      <c r="F19" s="67">
        <f>SUM(F17:F18)</f>
        <v>45552.192000000003</v>
      </c>
      <c r="H19" s="9" t="s">
        <v>13</v>
      </c>
      <c r="I19" s="10">
        <f>F22</f>
        <v>-31752.192000000003</v>
      </c>
    </row>
    <row r="20" spans="1:10" ht="15" customHeight="1" thickBot="1" x14ac:dyDescent="0.4">
      <c r="A20" s="296"/>
      <c r="B20" s="306"/>
      <c r="C20" s="307"/>
      <c r="D20" s="314" t="s">
        <v>49</v>
      </c>
      <c r="E20" s="315"/>
      <c r="F20" s="121">
        <v>15000</v>
      </c>
      <c r="H20" s="17" t="s">
        <v>50</v>
      </c>
      <c r="I20" s="20">
        <f>F109</f>
        <v>8296.6666666666661</v>
      </c>
    </row>
    <row r="21" spans="1:10" ht="15" customHeight="1" thickBot="1" x14ac:dyDescent="0.4">
      <c r="A21" s="296"/>
      <c r="B21" s="306"/>
      <c r="C21" s="307"/>
      <c r="D21" s="316" t="s">
        <v>51</v>
      </c>
      <c r="E21" s="317"/>
      <c r="F21" s="120">
        <f>F20*8%</f>
        <v>1200</v>
      </c>
      <c r="H21" s="30" t="s">
        <v>52</v>
      </c>
      <c r="I21" s="70">
        <f>I19-I20</f>
        <v>-40048.858666666667</v>
      </c>
      <c r="J21" s="71">
        <f>(I19-I20)/I19*100%</f>
        <v>1.261294296364379</v>
      </c>
    </row>
    <row r="22" spans="1:10" ht="15.75" customHeight="1" thickBot="1" x14ac:dyDescent="0.4">
      <c r="A22" s="296"/>
      <c r="B22" s="306"/>
      <c r="C22" s="307"/>
      <c r="D22" s="310" t="s">
        <v>53</v>
      </c>
      <c r="E22" s="311"/>
      <c r="F22" s="67">
        <f>F20-F19-F21</f>
        <v>-31752.192000000003</v>
      </c>
    </row>
    <row r="23" spans="1:10" ht="15.75" customHeight="1" thickBot="1" x14ac:dyDescent="0.4">
      <c r="A23" s="296"/>
      <c r="B23" s="306"/>
      <c r="C23" s="307"/>
      <c r="D23" s="310" t="s">
        <v>54</v>
      </c>
      <c r="E23" s="311"/>
      <c r="F23" s="72">
        <f>IFERROR(F19/F20,0)</f>
        <v>3.0368128000000003</v>
      </c>
      <c r="G23" s="73"/>
      <c r="H23" s="293" t="s">
        <v>55</v>
      </c>
      <c r="I23" s="294"/>
    </row>
    <row r="24" spans="1:10" ht="15.75" customHeight="1" thickBot="1" x14ac:dyDescent="0.4">
      <c r="A24" s="297"/>
      <c r="B24" s="308"/>
      <c r="C24" s="309"/>
      <c r="D24" s="318" t="s">
        <v>56</v>
      </c>
      <c r="E24" s="319"/>
      <c r="F24" s="74">
        <f>IFERROR(F22/F20,0)</f>
        <v>-2.1168128000000004</v>
      </c>
      <c r="G24" s="73"/>
      <c r="H24" s="9" t="s">
        <v>57</v>
      </c>
      <c r="I24" s="10">
        <f>F22</f>
        <v>-31752.192000000003</v>
      </c>
    </row>
    <row r="25" spans="1:10" ht="15.75" customHeight="1" x14ac:dyDescent="0.35">
      <c r="A25" s="75"/>
      <c r="B25" s="76"/>
      <c r="C25" s="77"/>
      <c r="D25" s="78"/>
      <c r="E25" s="78"/>
      <c r="F25" s="79"/>
      <c r="G25" s="73"/>
      <c r="H25" s="17" t="s">
        <v>58</v>
      </c>
      <c r="I25" s="80">
        <f>I24/F58</f>
        <v>-6.3802127260549231</v>
      </c>
    </row>
    <row r="26" spans="1:10" x14ac:dyDescent="0.35">
      <c r="A26" s="75"/>
      <c r="B26" s="76"/>
      <c r="C26" s="77"/>
      <c r="D26" s="78"/>
      <c r="E26" s="78"/>
      <c r="F26" s="79"/>
      <c r="H26" s="17" t="s">
        <v>59</v>
      </c>
      <c r="I26" s="80">
        <f>I24/F70</f>
        <v>-4.5317115128449101</v>
      </c>
    </row>
    <row r="27" spans="1:10" x14ac:dyDescent="0.35">
      <c r="H27" s="17" t="s">
        <v>60</v>
      </c>
      <c r="I27" s="80">
        <f>I24/F109</f>
        <v>-3.8271022900763363</v>
      </c>
    </row>
    <row r="28" spans="1:10" x14ac:dyDescent="0.35">
      <c r="H28" s="17" t="s">
        <v>61</v>
      </c>
      <c r="I28" s="80">
        <f>I24/F83</f>
        <v>-5.1882666666666672</v>
      </c>
    </row>
    <row r="29" spans="1:10" ht="15" thickBot="1" x14ac:dyDescent="0.4">
      <c r="H29" s="38" t="s">
        <v>62</v>
      </c>
      <c r="I29" s="81">
        <f>I24/F96</f>
        <v>-2.6908637288135595</v>
      </c>
    </row>
    <row r="30" spans="1:10" ht="15" thickBot="1" x14ac:dyDescent="0.4"/>
    <row r="31" spans="1:10" ht="15" thickBot="1" x14ac:dyDescent="0.4">
      <c r="H31" s="293" t="s">
        <v>63</v>
      </c>
      <c r="I31" s="294"/>
    </row>
    <row r="32" spans="1:10" x14ac:dyDescent="0.35">
      <c r="H32" s="9" t="s">
        <v>64</v>
      </c>
      <c r="I32" s="10">
        <f>F20</f>
        <v>15000</v>
      </c>
    </row>
    <row r="33" spans="8:9" x14ac:dyDescent="0.35">
      <c r="H33" s="17" t="s">
        <v>58</v>
      </c>
      <c r="I33" s="80">
        <f>I32/F56</f>
        <v>1.875</v>
      </c>
    </row>
    <row r="34" spans="8:9" x14ac:dyDescent="0.35">
      <c r="H34" s="17" t="s">
        <v>59</v>
      </c>
      <c r="I34" s="80">
        <f>I32/F68</f>
        <v>1.25</v>
      </c>
    </row>
    <row r="35" spans="8:9" x14ac:dyDescent="0.35">
      <c r="H35" s="17" t="s">
        <v>60</v>
      </c>
      <c r="I35" s="80">
        <f>I32/F107</f>
        <v>1.0714285714285714</v>
      </c>
    </row>
    <row r="36" spans="8:9" x14ac:dyDescent="0.35">
      <c r="H36" s="17" t="s">
        <v>61</v>
      </c>
      <c r="I36" s="80">
        <f>I32/F81</f>
        <v>1.5</v>
      </c>
    </row>
    <row r="37" spans="8:9" ht="15" thickBot="1" x14ac:dyDescent="0.4">
      <c r="H37" s="38" t="s">
        <v>62</v>
      </c>
      <c r="I37" s="81">
        <f>I32/F94</f>
        <v>0.75</v>
      </c>
    </row>
    <row r="43" spans="8:9" ht="3.75" customHeight="1" x14ac:dyDescent="0.35"/>
    <row r="45" spans="8:9" ht="15" customHeight="1" x14ac:dyDescent="0.35"/>
    <row r="49" spans="1:6" ht="75.75" customHeight="1" thickBot="1" x14ac:dyDescent="0.4"/>
    <row r="50" spans="1:6" ht="21.5" thickBot="1" x14ac:dyDescent="0.4">
      <c r="A50" s="320" t="s">
        <v>65</v>
      </c>
      <c r="B50" s="321"/>
      <c r="C50" s="321"/>
      <c r="D50" s="321"/>
      <c r="E50" s="321"/>
      <c r="F50" s="322"/>
    </row>
    <row r="51" spans="1:6" x14ac:dyDescent="0.35">
      <c r="A51" s="82" t="s">
        <v>30</v>
      </c>
      <c r="B51" s="83" t="s">
        <v>66</v>
      </c>
      <c r="C51" s="84" t="s">
        <v>31</v>
      </c>
      <c r="D51" s="84" t="s">
        <v>5</v>
      </c>
      <c r="E51" s="84" t="s">
        <v>67</v>
      </c>
      <c r="F51" s="85" t="s">
        <v>33</v>
      </c>
    </row>
    <row r="52" spans="1:6" ht="15" thickBot="1" x14ac:dyDescent="0.4">
      <c r="A52" s="86" t="s">
        <v>68</v>
      </c>
      <c r="B52" s="87">
        <f>13000/6</f>
        <v>2166.6666666666665</v>
      </c>
      <c r="C52" s="88" t="s">
        <v>12</v>
      </c>
      <c r="D52" s="89">
        <v>330</v>
      </c>
      <c r="E52" s="90">
        <f>B52/D52</f>
        <v>6.5656565656565649</v>
      </c>
      <c r="F52" s="91">
        <f>E52*D52</f>
        <v>2166.6666666666665</v>
      </c>
    </row>
    <row r="53" spans="1:6" x14ac:dyDescent="0.35">
      <c r="A53" s="323" t="s">
        <v>69</v>
      </c>
      <c r="B53" s="324"/>
      <c r="C53" s="325"/>
      <c r="D53" s="302" t="s">
        <v>44</v>
      </c>
      <c r="E53" s="303"/>
      <c r="F53" s="65">
        <f>F52</f>
        <v>2166.6666666666665</v>
      </c>
    </row>
    <row r="54" spans="1:6" x14ac:dyDescent="0.35">
      <c r="A54" s="326" t="s">
        <v>70</v>
      </c>
      <c r="B54" s="327"/>
      <c r="C54" s="328"/>
      <c r="D54" s="310" t="s">
        <v>46</v>
      </c>
      <c r="E54" s="311"/>
      <c r="F54" s="66">
        <f>F53*10%</f>
        <v>216.66666666666666</v>
      </c>
    </row>
    <row r="55" spans="1:6" ht="15" customHeight="1" x14ac:dyDescent="0.35">
      <c r="A55" s="329"/>
      <c r="B55" s="330"/>
      <c r="C55" s="331"/>
      <c r="D55" s="312" t="s">
        <v>48</v>
      </c>
      <c r="E55" s="313"/>
      <c r="F55" s="67">
        <f>F53+F54</f>
        <v>2383.333333333333</v>
      </c>
    </row>
    <row r="56" spans="1:6" x14ac:dyDescent="0.35">
      <c r="A56" s="329"/>
      <c r="B56" s="330"/>
      <c r="C56" s="331"/>
      <c r="D56" s="314" t="s">
        <v>49</v>
      </c>
      <c r="E56" s="315"/>
      <c r="F56" s="68">
        <v>8000</v>
      </c>
    </row>
    <row r="57" spans="1:6" x14ac:dyDescent="0.35">
      <c r="A57" s="329"/>
      <c r="B57" s="330"/>
      <c r="C57" s="331"/>
      <c r="D57" s="316" t="s">
        <v>51</v>
      </c>
      <c r="E57" s="317"/>
      <c r="F57" s="69">
        <f>F56*8%</f>
        <v>640</v>
      </c>
    </row>
    <row r="58" spans="1:6" ht="15" customHeight="1" x14ac:dyDescent="0.35">
      <c r="A58" s="329"/>
      <c r="B58" s="330"/>
      <c r="C58" s="331"/>
      <c r="D58" s="310" t="s">
        <v>53</v>
      </c>
      <c r="E58" s="311"/>
      <c r="F58" s="67">
        <f>F56-F55-F57</f>
        <v>4976.666666666667</v>
      </c>
    </row>
    <row r="59" spans="1:6" x14ac:dyDescent="0.35">
      <c r="A59" s="329"/>
      <c r="B59" s="330"/>
      <c r="C59" s="331"/>
      <c r="D59" s="310" t="s">
        <v>54</v>
      </c>
      <c r="E59" s="311"/>
      <c r="F59" s="72">
        <f>IFERROR(F55/F56,0)</f>
        <v>0.29791666666666661</v>
      </c>
    </row>
    <row r="60" spans="1:6" ht="15" thickBot="1" x14ac:dyDescent="0.4">
      <c r="A60" s="332"/>
      <c r="B60" s="333"/>
      <c r="C60" s="334"/>
      <c r="D60" s="318" t="s">
        <v>56</v>
      </c>
      <c r="E60" s="319"/>
      <c r="F60" s="74">
        <f>IFERROR(F58/F56,0)</f>
        <v>0.62208333333333332</v>
      </c>
    </row>
    <row r="61" spans="1:6" ht="15" thickBot="1" x14ac:dyDescent="0.4">
      <c r="A61" s="73"/>
      <c r="B61" s="73"/>
      <c r="C61" s="73"/>
      <c r="D61" s="73"/>
      <c r="E61" s="73"/>
      <c r="F61" s="73"/>
    </row>
    <row r="62" spans="1:6" ht="21.5" thickBot="1" x14ac:dyDescent="0.4">
      <c r="A62" s="320" t="s">
        <v>71</v>
      </c>
      <c r="B62" s="321"/>
      <c r="C62" s="321"/>
      <c r="D62" s="321"/>
      <c r="E62" s="321"/>
      <c r="F62" s="322"/>
    </row>
    <row r="63" spans="1:6" ht="26" x14ac:dyDescent="0.35">
      <c r="A63" s="82" t="s">
        <v>30</v>
      </c>
      <c r="B63" s="83" t="s">
        <v>66</v>
      </c>
      <c r="C63" s="84" t="s">
        <v>31</v>
      </c>
      <c r="D63" s="84" t="s">
        <v>5</v>
      </c>
      <c r="E63" s="84" t="s">
        <v>32</v>
      </c>
      <c r="F63" s="85" t="s">
        <v>33</v>
      </c>
    </row>
    <row r="64" spans="1:6" ht="15" thickBot="1" x14ac:dyDescent="0.4">
      <c r="A64" s="86" t="s">
        <v>72</v>
      </c>
      <c r="B64" s="87">
        <f>22000/6</f>
        <v>3666.6666666666665</v>
      </c>
      <c r="C64" s="88" t="s">
        <v>12</v>
      </c>
      <c r="D64" s="89">
        <v>330</v>
      </c>
      <c r="E64" s="90">
        <f>B64/D64</f>
        <v>11.111111111111111</v>
      </c>
      <c r="F64" s="91">
        <f>E64*D64</f>
        <v>3666.6666666666665</v>
      </c>
    </row>
    <row r="65" spans="1:6" x14ac:dyDescent="0.35">
      <c r="A65" s="323" t="s">
        <v>69</v>
      </c>
      <c r="B65" s="324"/>
      <c r="C65" s="325"/>
      <c r="D65" s="302" t="s">
        <v>44</v>
      </c>
      <c r="E65" s="303"/>
      <c r="F65" s="65">
        <f>F64</f>
        <v>3666.6666666666665</v>
      </c>
    </row>
    <row r="66" spans="1:6" x14ac:dyDescent="0.35">
      <c r="A66" s="326" t="s">
        <v>73</v>
      </c>
      <c r="B66" s="327"/>
      <c r="C66" s="328"/>
      <c r="D66" s="310" t="s">
        <v>46</v>
      </c>
      <c r="E66" s="311"/>
      <c r="F66" s="66">
        <f>F65*10%</f>
        <v>366.66666666666669</v>
      </c>
    </row>
    <row r="67" spans="1:6" x14ac:dyDescent="0.35">
      <c r="A67" s="329"/>
      <c r="B67" s="330"/>
      <c r="C67" s="331"/>
      <c r="D67" s="312" t="s">
        <v>48</v>
      </c>
      <c r="E67" s="313"/>
      <c r="F67" s="67">
        <f>F65+F66</f>
        <v>4033.333333333333</v>
      </c>
    </row>
    <row r="68" spans="1:6" x14ac:dyDescent="0.35">
      <c r="A68" s="329"/>
      <c r="B68" s="330"/>
      <c r="C68" s="331"/>
      <c r="D68" s="314" t="s">
        <v>49</v>
      </c>
      <c r="E68" s="315"/>
      <c r="F68" s="68">
        <v>12000</v>
      </c>
    </row>
    <row r="69" spans="1:6" ht="15" customHeight="1" x14ac:dyDescent="0.35">
      <c r="A69" s="329"/>
      <c r="B69" s="330"/>
      <c r="C69" s="331"/>
      <c r="D69" s="316" t="s">
        <v>51</v>
      </c>
      <c r="E69" s="317"/>
      <c r="F69" s="69">
        <f>F68*8%</f>
        <v>960</v>
      </c>
    </row>
    <row r="70" spans="1:6" x14ac:dyDescent="0.35">
      <c r="A70" s="329"/>
      <c r="B70" s="330"/>
      <c r="C70" s="331"/>
      <c r="D70" s="310" t="s">
        <v>53</v>
      </c>
      <c r="E70" s="311"/>
      <c r="F70" s="67">
        <f>F68-F67-F69</f>
        <v>7006.666666666667</v>
      </c>
    </row>
    <row r="71" spans="1:6" ht="15" customHeight="1" x14ac:dyDescent="0.35">
      <c r="A71" s="329"/>
      <c r="B71" s="330"/>
      <c r="C71" s="331"/>
      <c r="D71" s="310" t="s">
        <v>54</v>
      </c>
      <c r="E71" s="311"/>
      <c r="F71" s="72">
        <f>IFERROR(F67/F68,0)</f>
        <v>0.33611111111111108</v>
      </c>
    </row>
    <row r="72" spans="1:6" ht="15" thickBot="1" x14ac:dyDescent="0.4">
      <c r="A72" s="332"/>
      <c r="B72" s="333"/>
      <c r="C72" s="334"/>
      <c r="D72" s="318" t="s">
        <v>56</v>
      </c>
      <c r="E72" s="319"/>
      <c r="F72" s="74">
        <f>IFERROR(F70/F68,0)</f>
        <v>0.5838888888888889</v>
      </c>
    </row>
    <row r="74" spans="1:6" ht="15" thickBot="1" x14ac:dyDescent="0.4"/>
    <row r="75" spans="1:6" ht="21.5" thickBot="1" x14ac:dyDescent="0.4">
      <c r="A75" s="320" t="s">
        <v>74</v>
      </c>
      <c r="B75" s="321"/>
      <c r="C75" s="321"/>
      <c r="D75" s="321"/>
      <c r="E75" s="321"/>
      <c r="F75" s="322"/>
    </row>
    <row r="76" spans="1:6" ht="26" x14ac:dyDescent="0.35">
      <c r="A76" s="82" t="s">
        <v>30</v>
      </c>
      <c r="B76" s="83" t="s">
        <v>66</v>
      </c>
      <c r="C76" s="84" t="s">
        <v>31</v>
      </c>
      <c r="D76" s="84" t="s">
        <v>5</v>
      </c>
      <c r="E76" s="84" t="s">
        <v>32</v>
      </c>
      <c r="F76" s="85" t="s">
        <v>33</v>
      </c>
    </row>
    <row r="77" spans="1:6" ht="15" thickBot="1" x14ac:dyDescent="0.4">
      <c r="A77" s="86" t="s">
        <v>75</v>
      </c>
      <c r="B77" s="87">
        <v>35000</v>
      </c>
      <c r="C77" s="88" t="s">
        <v>12</v>
      </c>
      <c r="D77" s="89">
        <v>60</v>
      </c>
      <c r="E77" s="90">
        <f>B77/750</f>
        <v>46.666666666666664</v>
      </c>
      <c r="F77" s="91">
        <f>E77*D77</f>
        <v>2800</v>
      </c>
    </row>
    <row r="78" spans="1:6" x14ac:dyDescent="0.35">
      <c r="A78" s="323" t="s">
        <v>69</v>
      </c>
      <c r="B78" s="324"/>
      <c r="C78" s="325"/>
      <c r="D78" s="302" t="s">
        <v>44</v>
      </c>
      <c r="E78" s="303"/>
      <c r="F78" s="65">
        <f>F77</f>
        <v>2800</v>
      </c>
    </row>
    <row r="79" spans="1:6" x14ac:dyDescent="0.35">
      <c r="A79" s="326" t="s">
        <v>76</v>
      </c>
      <c r="B79" s="327"/>
      <c r="C79" s="328"/>
      <c r="D79" s="310" t="s">
        <v>46</v>
      </c>
      <c r="E79" s="311"/>
      <c r="F79" s="66">
        <f>F78*10%</f>
        <v>280</v>
      </c>
    </row>
    <row r="80" spans="1:6" x14ac:dyDescent="0.35">
      <c r="A80" s="329"/>
      <c r="B80" s="330"/>
      <c r="C80" s="331"/>
      <c r="D80" s="312" t="s">
        <v>48</v>
      </c>
      <c r="E80" s="313"/>
      <c r="F80" s="67">
        <f>F78+F79</f>
        <v>3080</v>
      </c>
    </row>
    <row r="81" spans="1:9" x14ac:dyDescent="0.35">
      <c r="A81" s="329"/>
      <c r="B81" s="330"/>
      <c r="C81" s="331"/>
      <c r="D81" s="314" t="s">
        <v>49</v>
      </c>
      <c r="E81" s="315"/>
      <c r="F81" s="68">
        <v>10000</v>
      </c>
    </row>
    <row r="82" spans="1:9" ht="15" customHeight="1" x14ac:dyDescent="0.35">
      <c r="A82" s="329"/>
      <c r="B82" s="330"/>
      <c r="C82" s="331"/>
      <c r="D82" s="316" t="s">
        <v>51</v>
      </c>
      <c r="E82" s="317"/>
      <c r="F82" s="69">
        <f>F81*8%</f>
        <v>800</v>
      </c>
    </row>
    <row r="83" spans="1:9" x14ac:dyDescent="0.35">
      <c r="A83" s="329"/>
      <c r="B83" s="330"/>
      <c r="C83" s="331"/>
      <c r="D83" s="310" t="s">
        <v>53</v>
      </c>
      <c r="E83" s="311"/>
      <c r="F83" s="67">
        <f>F81-F80-F82</f>
        <v>6120</v>
      </c>
      <c r="I83" s="92"/>
    </row>
    <row r="84" spans="1:9" ht="15" customHeight="1" x14ac:dyDescent="0.35">
      <c r="A84" s="329"/>
      <c r="B84" s="330"/>
      <c r="C84" s="331"/>
      <c r="D84" s="310" t="s">
        <v>54</v>
      </c>
      <c r="E84" s="311"/>
      <c r="F84" s="72">
        <f>IFERROR(F80/F81,0)</f>
        <v>0.308</v>
      </c>
      <c r="I84" s="92"/>
    </row>
    <row r="85" spans="1:9" ht="15" thickBot="1" x14ac:dyDescent="0.4">
      <c r="A85" s="332"/>
      <c r="B85" s="333"/>
      <c r="C85" s="334"/>
      <c r="D85" s="318" t="s">
        <v>56</v>
      </c>
      <c r="E85" s="319"/>
      <c r="F85" s="74">
        <f>IFERROR(F83/F81,0)</f>
        <v>0.61199999999999999</v>
      </c>
      <c r="I85" s="92"/>
    </row>
    <row r="87" spans="1:9" ht="15" thickBot="1" x14ac:dyDescent="0.4"/>
    <row r="88" spans="1:9" ht="21.5" thickBot="1" x14ac:dyDescent="0.4">
      <c r="A88" s="320" t="s">
        <v>77</v>
      </c>
      <c r="B88" s="321"/>
      <c r="C88" s="321"/>
      <c r="D88" s="321"/>
      <c r="E88" s="321"/>
      <c r="F88" s="322"/>
    </row>
    <row r="89" spans="1:9" ht="26" x14ac:dyDescent="0.35">
      <c r="A89" s="82" t="s">
        <v>30</v>
      </c>
      <c r="B89" s="83" t="s">
        <v>66</v>
      </c>
      <c r="C89" s="84" t="s">
        <v>31</v>
      </c>
      <c r="D89" s="84" t="s">
        <v>5</v>
      </c>
      <c r="E89" s="84" t="s">
        <v>32</v>
      </c>
      <c r="F89" s="85" t="s">
        <v>33</v>
      </c>
    </row>
    <row r="90" spans="1:9" ht="15" thickBot="1" x14ac:dyDescent="0.4">
      <c r="A90" s="86" t="s">
        <v>78</v>
      </c>
      <c r="B90" s="87">
        <v>75000</v>
      </c>
      <c r="C90" s="88" t="s">
        <v>12</v>
      </c>
      <c r="D90" s="89">
        <v>60</v>
      </c>
      <c r="E90" s="90">
        <f>B90/750</f>
        <v>100</v>
      </c>
      <c r="F90" s="91">
        <f>E90*D90</f>
        <v>6000</v>
      </c>
    </row>
    <row r="91" spans="1:9" x14ac:dyDescent="0.35">
      <c r="A91" s="323" t="s">
        <v>69</v>
      </c>
      <c r="B91" s="324"/>
      <c r="C91" s="325"/>
      <c r="D91" s="302" t="s">
        <v>44</v>
      </c>
      <c r="E91" s="303"/>
      <c r="F91" s="65">
        <f>F90</f>
        <v>6000</v>
      </c>
    </row>
    <row r="92" spans="1:9" x14ac:dyDescent="0.35">
      <c r="A92" s="326" t="s">
        <v>79</v>
      </c>
      <c r="B92" s="327"/>
      <c r="C92" s="328"/>
      <c r="D92" s="310" t="s">
        <v>46</v>
      </c>
      <c r="E92" s="311"/>
      <c r="F92" s="66">
        <f>F91*10%</f>
        <v>600</v>
      </c>
    </row>
    <row r="93" spans="1:9" x14ac:dyDescent="0.35">
      <c r="A93" s="329"/>
      <c r="B93" s="330"/>
      <c r="C93" s="331"/>
      <c r="D93" s="312" t="s">
        <v>48</v>
      </c>
      <c r="E93" s="313"/>
      <c r="F93" s="67">
        <f>F91+F92</f>
        <v>6600</v>
      </c>
    </row>
    <row r="94" spans="1:9" x14ac:dyDescent="0.35">
      <c r="A94" s="329"/>
      <c r="B94" s="330"/>
      <c r="C94" s="331"/>
      <c r="D94" s="314" t="s">
        <v>49</v>
      </c>
      <c r="E94" s="315"/>
      <c r="F94" s="68">
        <v>20000</v>
      </c>
    </row>
    <row r="95" spans="1:9" ht="15" customHeight="1" x14ac:dyDescent="0.35">
      <c r="A95" s="329"/>
      <c r="B95" s="330"/>
      <c r="C95" s="331"/>
      <c r="D95" s="316" t="s">
        <v>51</v>
      </c>
      <c r="E95" s="317"/>
      <c r="F95" s="69">
        <f>F94*8%</f>
        <v>1600</v>
      </c>
    </row>
    <row r="96" spans="1:9" x14ac:dyDescent="0.35">
      <c r="A96" s="329"/>
      <c r="B96" s="330"/>
      <c r="C96" s="331"/>
      <c r="D96" s="310" t="s">
        <v>53</v>
      </c>
      <c r="E96" s="311"/>
      <c r="F96" s="67">
        <f>F94-F93-F95</f>
        <v>11800</v>
      </c>
    </row>
    <row r="97" spans="1:6" x14ac:dyDescent="0.35">
      <c r="A97" s="329"/>
      <c r="B97" s="330"/>
      <c r="C97" s="331"/>
      <c r="D97" s="310" t="s">
        <v>54</v>
      </c>
      <c r="E97" s="311"/>
      <c r="F97" s="72">
        <f>IFERROR(F93/F94,0)</f>
        <v>0.33</v>
      </c>
    </row>
    <row r="98" spans="1:6" ht="15" thickBot="1" x14ac:dyDescent="0.4">
      <c r="A98" s="332"/>
      <c r="B98" s="333"/>
      <c r="C98" s="334"/>
      <c r="D98" s="318" t="s">
        <v>56</v>
      </c>
      <c r="E98" s="319"/>
      <c r="F98" s="74">
        <f>IFERROR(F96/F94,0)</f>
        <v>0.59</v>
      </c>
    </row>
    <row r="100" spans="1:6" ht="15" thickBot="1" x14ac:dyDescent="0.4"/>
    <row r="101" spans="1:6" ht="21.5" thickBot="1" x14ac:dyDescent="0.4">
      <c r="A101" s="320" t="s">
        <v>80</v>
      </c>
      <c r="B101" s="321"/>
      <c r="C101" s="321"/>
      <c r="D101" s="321"/>
      <c r="E101" s="321"/>
      <c r="F101" s="322"/>
    </row>
    <row r="102" spans="1:6" ht="26" x14ac:dyDescent="0.35">
      <c r="A102" s="82" t="s">
        <v>30</v>
      </c>
      <c r="B102" s="83" t="s">
        <v>66</v>
      </c>
      <c r="C102" s="84" t="s">
        <v>31</v>
      </c>
      <c r="D102" s="84" t="s">
        <v>81</v>
      </c>
      <c r="E102" s="84" t="s">
        <v>32</v>
      </c>
      <c r="F102" s="85" t="s">
        <v>33</v>
      </c>
    </row>
    <row r="103" spans="1:6" ht="15" thickBot="1" x14ac:dyDescent="0.4">
      <c r="A103" s="86" t="s">
        <v>82</v>
      </c>
      <c r="B103" s="87">
        <v>25000</v>
      </c>
      <c r="C103" s="88" t="s">
        <v>12</v>
      </c>
      <c r="D103" s="89">
        <v>125</v>
      </c>
      <c r="E103" s="90">
        <f>B103/750</f>
        <v>33.333333333333336</v>
      </c>
      <c r="F103" s="91">
        <f>E103*D103</f>
        <v>4166.666666666667</v>
      </c>
    </row>
    <row r="104" spans="1:6" x14ac:dyDescent="0.35">
      <c r="A104" s="323" t="s">
        <v>69</v>
      </c>
      <c r="B104" s="324"/>
      <c r="C104" s="325"/>
      <c r="D104" s="302" t="s">
        <v>44</v>
      </c>
      <c r="E104" s="303"/>
      <c r="F104" s="65">
        <f>F103</f>
        <v>4166.666666666667</v>
      </c>
    </row>
    <row r="105" spans="1:6" x14ac:dyDescent="0.35">
      <c r="A105" s="326" t="s">
        <v>83</v>
      </c>
      <c r="B105" s="327"/>
      <c r="C105" s="328"/>
      <c r="D105" s="310" t="s">
        <v>46</v>
      </c>
      <c r="E105" s="311"/>
      <c r="F105" s="66">
        <f>F104*10%</f>
        <v>416.66666666666674</v>
      </c>
    </row>
    <row r="106" spans="1:6" x14ac:dyDescent="0.35">
      <c r="A106" s="329"/>
      <c r="B106" s="330"/>
      <c r="C106" s="331"/>
      <c r="D106" s="312" t="s">
        <v>48</v>
      </c>
      <c r="E106" s="313"/>
      <c r="F106" s="67">
        <f>F104+F105</f>
        <v>4583.3333333333339</v>
      </c>
    </row>
    <row r="107" spans="1:6" x14ac:dyDescent="0.35">
      <c r="A107" s="329"/>
      <c r="B107" s="330"/>
      <c r="C107" s="331"/>
      <c r="D107" s="314" t="s">
        <v>49</v>
      </c>
      <c r="E107" s="315"/>
      <c r="F107" s="68">
        <v>14000</v>
      </c>
    </row>
    <row r="108" spans="1:6" x14ac:dyDescent="0.35">
      <c r="A108" s="329"/>
      <c r="B108" s="330"/>
      <c r="C108" s="331"/>
      <c r="D108" s="316" t="s">
        <v>51</v>
      </c>
      <c r="E108" s="317"/>
      <c r="F108" s="69">
        <f>F107*8%</f>
        <v>1120</v>
      </c>
    </row>
    <row r="109" spans="1:6" x14ac:dyDescent="0.35">
      <c r="A109" s="329"/>
      <c r="B109" s="330"/>
      <c r="C109" s="331"/>
      <c r="D109" s="310" t="s">
        <v>53</v>
      </c>
      <c r="E109" s="311"/>
      <c r="F109" s="67">
        <f>F107-F106-F108</f>
        <v>8296.6666666666661</v>
      </c>
    </row>
    <row r="110" spans="1:6" x14ac:dyDescent="0.35">
      <c r="A110" s="329"/>
      <c r="B110" s="330"/>
      <c r="C110" s="331"/>
      <c r="D110" s="310" t="s">
        <v>54</v>
      </c>
      <c r="E110" s="311"/>
      <c r="F110" s="72">
        <f>IFERROR(F106/F107,0)</f>
        <v>0.32738095238095244</v>
      </c>
    </row>
    <row r="111" spans="1:6" ht="15" thickBot="1" x14ac:dyDescent="0.4">
      <c r="A111" s="332"/>
      <c r="B111" s="333"/>
      <c r="C111" s="334"/>
      <c r="D111" s="318" t="s">
        <v>56</v>
      </c>
      <c r="E111" s="319"/>
      <c r="F111" s="74">
        <f>IFERROR(F109/F107,0)</f>
        <v>0.5926190476190476</v>
      </c>
    </row>
  </sheetData>
  <sheetProtection algorithmName="SHA-512" hashValue="+ZLWhxUSrau7J8rJXZycfz1D6OPQu8ssI8eATP2Noys6skc5ZQOdmGlN+fCdWxZwnG6uhgeQwxky37Rjj9IKhA==" saltValue="8ZVytDIGlMnbyyVmnuwRBQ==" spinCount="100000" sheet="1" objects="1" scenarios="1" formatCells="0" formatRows="0" selectLockedCells="1"/>
  <protectedRanges>
    <protectedRange sqref="B52 D52 F56 B64 D64 F68 B77 D77 F81 B90 D90 F94 B103 D103 F107" name="PRUEBA FINAL"/>
    <protectedRange sqref="E5:E9 D12:D16 F20" name="FINAL_1"/>
    <protectedRange sqref="E5:E9 D12:D16 F20" name="EDITABLES"/>
  </protectedRanges>
  <mergeCells count="78">
    <mergeCell ref="D111:E111"/>
    <mergeCell ref="A101:F101"/>
    <mergeCell ref="A104:C104"/>
    <mergeCell ref="D104:E104"/>
    <mergeCell ref="A105:C111"/>
    <mergeCell ref="D105:E105"/>
    <mergeCell ref="D106:E106"/>
    <mergeCell ref="D107:E107"/>
    <mergeCell ref="D108:E108"/>
    <mergeCell ref="D109:E109"/>
    <mergeCell ref="D110:E110"/>
    <mergeCell ref="A92:C98"/>
    <mergeCell ref="D92:E92"/>
    <mergeCell ref="D93:E93"/>
    <mergeCell ref="D94:E94"/>
    <mergeCell ref="D95:E95"/>
    <mergeCell ref="D96:E96"/>
    <mergeCell ref="D97:E97"/>
    <mergeCell ref="D98:E98"/>
    <mergeCell ref="D85:E85"/>
    <mergeCell ref="A88:F88"/>
    <mergeCell ref="A91:C91"/>
    <mergeCell ref="D91:E91"/>
    <mergeCell ref="A79:C85"/>
    <mergeCell ref="D79:E79"/>
    <mergeCell ref="D80:E80"/>
    <mergeCell ref="D81:E81"/>
    <mergeCell ref="D82:E82"/>
    <mergeCell ref="A75:F75"/>
    <mergeCell ref="A78:C78"/>
    <mergeCell ref="D78:E78"/>
    <mergeCell ref="D83:E83"/>
    <mergeCell ref="D84:E84"/>
    <mergeCell ref="A62:F62"/>
    <mergeCell ref="A65:C65"/>
    <mergeCell ref="D65:E65"/>
    <mergeCell ref="A66:C72"/>
    <mergeCell ref="D66:E66"/>
    <mergeCell ref="D67:E67"/>
    <mergeCell ref="D68:E68"/>
    <mergeCell ref="D69:E69"/>
    <mergeCell ref="D70:E70"/>
    <mergeCell ref="D71:E71"/>
    <mergeCell ref="D72:E72"/>
    <mergeCell ref="A50:F50"/>
    <mergeCell ref="A53:C53"/>
    <mergeCell ref="D53:E53"/>
    <mergeCell ref="A54:C60"/>
    <mergeCell ref="D54:E54"/>
    <mergeCell ref="D55:E55"/>
    <mergeCell ref="D56:E56"/>
    <mergeCell ref="D57:E57"/>
    <mergeCell ref="D58:E58"/>
    <mergeCell ref="D59:E59"/>
    <mergeCell ref="D60:E60"/>
    <mergeCell ref="H31:I31"/>
    <mergeCell ref="A11:A24"/>
    <mergeCell ref="H11:I11"/>
    <mergeCell ref="L12:M12"/>
    <mergeCell ref="B17:C17"/>
    <mergeCell ref="D17:E17"/>
    <mergeCell ref="B18:C24"/>
    <mergeCell ref="D18:E18"/>
    <mergeCell ref="H18:I18"/>
    <mergeCell ref="D19:E19"/>
    <mergeCell ref="D20:E20"/>
    <mergeCell ref="D21:E21"/>
    <mergeCell ref="D22:E22"/>
    <mergeCell ref="D23:E23"/>
    <mergeCell ref="H23:I23"/>
    <mergeCell ref="D24:E24"/>
    <mergeCell ref="A2:F2"/>
    <mergeCell ref="H2:I2"/>
    <mergeCell ref="L2:M2"/>
    <mergeCell ref="A4:A9"/>
    <mergeCell ref="H4:I4"/>
    <mergeCell ref="L4:M4"/>
    <mergeCell ref="J5:J7"/>
  </mergeCell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Hoja27">
    <tabColor theme="4" tint="-0.249977111117893"/>
  </sheetPr>
  <dimension ref="A1:M111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3.26953125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thickBot="1" x14ac:dyDescent="0.4"/>
    <row r="2" spans="1:13" ht="23.25" customHeight="1" thickBot="1" x14ac:dyDescent="0.4">
      <c r="A2" s="284" t="s">
        <v>160</v>
      </c>
      <c r="B2" s="285"/>
      <c r="C2" s="285"/>
      <c r="D2" s="285"/>
      <c r="E2" s="285"/>
      <c r="F2" s="286"/>
      <c r="H2" s="284" t="s">
        <v>1</v>
      </c>
      <c r="I2" s="286"/>
      <c r="L2" s="284" t="s">
        <v>2</v>
      </c>
      <c r="M2" s="286"/>
    </row>
    <row r="3" spans="1:13" ht="8.25" customHeight="1" thickBot="1" x14ac:dyDescent="0.4"/>
    <row r="4" spans="1:13" ht="25.5" customHeight="1" thickBot="1" x14ac:dyDescent="0.4">
      <c r="A4" s="287" t="s">
        <v>3</v>
      </c>
      <c r="B4" s="103" t="s">
        <v>4</v>
      </c>
      <c r="C4" s="103" t="s">
        <v>5</v>
      </c>
      <c r="D4" s="104" t="s">
        <v>6</v>
      </c>
      <c r="E4" s="103" t="s">
        <v>7</v>
      </c>
      <c r="F4" s="105" t="s">
        <v>8</v>
      </c>
      <c r="H4" s="290" t="s">
        <v>9</v>
      </c>
      <c r="I4" s="291"/>
      <c r="L4" s="290" t="s">
        <v>10</v>
      </c>
      <c r="M4" s="291"/>
    </row>
    <row r="5" spans="1:13" ht="15" customHeight="1" x14ac:dyDescent="0.35">
      <c r="A5" s="288"/>
      <c r="B5" s="12" t="s">
        <v>159</v>
      </c>
      <c r="C5" s="14">
        <v>750</v>
      </c>
      <c r="D5" s="96" t="s">
        <v>12</v>
      </c>
      <c r="E5" s="114">
        <v>2374852</v>
      </c>
      <c r="F5" s="115">
        <f>Tabla134568109111392325262729303132[[#This Row],[PRECIO]]/Tabla134568109111392325262729303132[[#This Row],[CANTIDAD]]</f>
        <v>3166.4693333333335</v>
      </c>
      <c r="H5" s="9" t="s">
        <v>13</v>
      </c>
      <c r="I5" s="10">
        <f>F22</f>
        <v>-185687.568</v>
      </c>
      <c r="J5" s="292"/>
      <c r="L5" s="9" t="s">
        <v>14</v>
      </c>
      <c r="M5" s="11">
        <f>40/100</f>
        <v>0.4</v>
      </c>
    </row>
    <row r="6" spans="1:13" ht="15" customHeight="1" x14ac:dyDescent="0.35">
      <c r="A6" s="288"/>
      <c r="B6" s="12"/>
      <c r="C6" s="13"/>
      <c r="D6" s="14"/>
      <c r="E6" s="114"/>
      <c r="F6" s="115"/>
      <c r="H6" s="17" t="s">
        <v>16</v>
      </c>
      <c r="I6" s="18">
        <f>F58</f>
        <v>4976.666666666667</v>
      </c>
      <c r="J6" s="292"/>
      <c r="L6" s="17" t="s">
        <v>17</v>
      </c>
      <c r="M6" s="19">
        <f>D12/1000</f>
        <v>0.06</v>
      </c>
    </row>
    <row r="7" spans="1:13" ht="15" customHeight="1" thickBot="1" x14ac:dyDescent="0.4">
      <c r="A7" s="288"/>
      <c r="B7" s="12"/>
      <c r="C7" s="14"/>
      <c r="D7" s="14"/>
      <c r="E7" s="114"/>
      <c r="F7" s="115"/>
      <c r="H7" s="17" t="s">
        <v>19</v>
      </c>
      <c r="I7" s="20">
        <f>F70</f>
        <v>7006.666666666667</v>
      </c>
      <c r="J7" s="292"/>
      <c r="L7" s="17" t="s">
        <v>20</v>
      </c>
      <c r="M7" s="19">
        <v>782</v>
      </c>
    </row>
    <row r="8" spans="1:13" ht="15.75" customHeight="1" x14ac:dyDescent="0.35">
      <c r="A8" s="288"/>
      <c r="B8" s="21"/>
      <c r="C8" s="22"/>
      <c r="D8" s="22"/>
      <c r="E8" s="116"/>
      <c r="F8" s="115"/>
      <c r="H8" s="25" t="s">
        <v>23</v>
      </c>
      <c r="I8" s="26">
        <f>I5-I6</f>
        <v>-190664.23466666666</v>
      </c>
      <c r="J8" s="27">
        <f>(I5-I6)/I6*100%</f>
        <v>-38.311634561285999</v>
      </c>
      <c r="L8" s="17" t="s">
        <v>24</v>
      </c>
      <c r="M8" s="28">
        <f>M5*M6*M7</f>
        <v>18.768000000000001</v>
      </c>
    </row>
    <row r="9" spans="1:13" ht="15.75" customHeight="1" thickBot="1" x14ac:dyDescent="0.4">
      <c r="A9" s="289"/>
      <c r="B9" s="29"/>
      <c r="C9" s="22"/>
      <c r="D9" s="22"/>
      <c r="E9" s="117"/>
      <c r="F9" s="115"/>
      <c r="H9" s="30" t="s">
        <v>26</v>
      </c>
      <c r="I9" s="31">
        <f>I5-I7</f>
        <v>-192694.23466666666</v>
      </c>
      <c r="J9" s="32">
        <f>(I5-I7)/I7*100%</f>
        <v>-27.501555851569929</v>
      </c>
      <c r="L9" s="17" t="s">
        <v>27</v>
      </c>
      <c r="M9" s="19">
        <f>D13+D14+D12+D15+30</f>
        <v>90</v>
      </c>
    </row>
    <row r="10" spans="1:13" ht="16" thickBot="1" x14ac:dyDescent="0.4">
      <c r="A10" s="33"/>
      <c r="B10" s="34"/>
      <c r="C10" s="35"/>
      <c r="D10" s="35"/>
      <c r="E10" s="118"/>
      <c r="F10" s="119"/>
      <c r="L10" s="38" t="s">
        <v>28</v>
      </c>
      <c r="M10" s="39">
        <f>(D12*M5)/(D12+M9)</f>
        <v>0.16</v>
      </c>
    </row>
    <row r="11" spans="1:13" ht="24.75" customHeight="1" thickBot="1" x14ac:dyDescent="0.4">
      <c r="A11" s="295" t="s">
        <v>29</v>
      </c>
      <c r="B11" s="40" t="s">
        <v>30</v>
      </c>
      <c r="C11" s="41" t="s">
        <v>31</v>
      </c>
      <c r="D11" s="42" t="s">
        <v>5</v>
      </c>
      <c r="E11" s="41" t="s">
        <v>32</v>
      </c>
      <c r="F11" s="43" t="s">
        <v>33</v>
      </c>
      <c r="H11" s="298" t="s">
        <v>34</v>
      </c>
      <c r="I11" s="299"/>
    </row>
    <row r="12" spans="1:13" ht="15" customHeight="1" thickBot="1" x14ac:dyDescent="0.4">
      <c r="A12" s="296"/>
      <c r="B12" s="44" t="str">
        <f>B5</f>
        <v>KING GEORGE V</v>
      </c>
      <c r="C12" s="45" t="str">
        <f>D5</f>
        <v>ML</v>
      </c>
      <c r="D12" s="46">
        <v>60</v>
      </c>
      <c r="E12" s="45">
        <f>VLOOKUP(B12,Tabla134568109111392325262729303132[],5,FALSE)</f>
        <v>3166.4693333333335</v>
      </c>
      <c r="F12" s="47">
        <f>E12*D12</f>
        <v>189988.16</v>
      </c>
      <c r="H12" s="48" t="s">
        <v>13</v>
      </c>
      <c r="I12" s="49">
        <f>F22</f>
        <v>-185687.568</v>
      </c>
      <c r="L12" s="290" t="s">
        <v>35</v>
      </c>
      <c r="M12" s="291"/>
    </row>
    <row r="13" spans="1:13" ht="15" customHeight="1" x14ac:dyDescent="0.35">
      <c r="A13" s="296"/>
      <c r="B13" s="50"/>
      <c r="C13" s="51"/>
      <c r="D13" s="52"/>
      <c r="E13" s="51"/>
      <c r="F13" s="53"/>
      <c r="H13" s="17" t="s">
        <v>36</v>
      </c>
      <c r="I13" s="18">
        <f>F83</f>
        <v>6120</v>
      </c>
      <c r="L13" s="9" t="s">
        <v>37</v>
      </c>
      <c r="M13" s="11">
        <f>4.5/100</f>
        <v>4.4999999999999998E-2</v>
      </c>
    </row>
    <row r="14" spans="1:13" ht="15.75" customHeight="1" thickBot="1" x14ac:dyDescent="0.4">
      <c r="A14" s="296"/>
      <c r="B14" s="50"/>
      <c r="C14" s="51"/>
      <c r="D14" s="52"/>
      <c r="E14" s="51"/>
      <c r="F14" s="53"/>
      <c r="H14" s="17" t="s">
        <v>38</v>
      </c>
      <c r="I14" s="18">
        <f>F96</f>
        <v>11800</v>
      </c>
      <c r="L14" s="17" t="s">
        <v>39</v>
      </c>
      <c r="M14" s="19">
        <f>330/1000</f>
        <v>0.33</v>
      </c>
    </row>
    <row r="15" spans="1:13" ht="15.75" customHeight="1" x14ac:dyDescent="0.35">
      <c r="A15" s="296"/>
      <c r="B15" s="50"/>
      <c r="C15" s="51"/>
      <c r="D15" s="52"/>
      <c r="E15" s="51"/>
      <c r="F15" s="53"/>
      <c r="H15" s="58" t="s">
        <v>40</v>
      </c>
      <c r="I15" s="26">
        <f>I12-I13</f>
        <v>-191807.568</v>
      </c>
      <c r="J15" s="27">
        <f>(I12-I13)/I13*100%</f>
        <v>-31.341105882352942</v>
      </c>
      <c r="L15" s="17" t="s">
        <v>20</v>
      </c>
      <c r="M15" s="19">
        <v>782</v>
      </c>
    </row>
    <row r="16" spans="1:13" ht="15.75" customHeight="1" thickBot="1" x14ac:dyDescent="0.4">
      <c r="A16" s="296"/>
      <c r="B16" s="50"/>
      <c r="C16" s="51"/>
      <c r="D16" s="52"/>
      <c r="E16" s="51"/>
      <c r="F16" s="53"/>
      <c r="H16" s="63" t="s">
        <v>41</v>
      </c>
      <c r="I16" s="31">
        <f>I12-I14</f>
        <v>-197487.568</v>
      </c>
      <c r="J16" s="32">
        <f>(I12-I14)/I14*100%</f>
        <v>-16.736234576271187</v>
      </c>
      <c r="L16" s="38" t="s">
        <v>42</v>
      </c>
      <c r="M16" s="64">
        <f>M13*M14*M15</f>
        <v>11.6127</v>
      </c>
    </row>
    <row r="17" spans="1:10" ht="15.75" customHeight="1" thickBot="1" x14ac:dyDescent="0.4">
      <c r="A17" s="296"/>
      <c r="B17" s="300" t="s">
        <v>43</v>
      </c>
      <c r="C17" s="301"/>
      <c r="D17" s="302" t="s">
        <v>44</v>
      </c>
      <c r="E17" s="303"/>
      <c r="F17" s="65">
        <f>SUM(F12:F16)</f>
        <v>189988.16</v>
      </c>
    </row>
    <row r="18" spans="1:10" ht="16.5" customHeight="1" thickBot="1" x14ac:dyDescent="0.4">
      <c r="A18" s="296"/>
      <c r="B18" s="304" t="s">
        <v>205</v>
      </c>
      <c r="C18" s="305"/>
      <c r="D18" s="310" t="s">
        <v>46</v>
      </c>
      <c r="E18" s="311"/>
      <c r="F18" s="66">
        <f>F17*5%</f>
        <v>9499.4080000000013</v>
      </c>
      <c r="H18" s="290" t="s">
        <v>47</v>
      </c>
      <c r="I18" s="291"/>
    </row>
    <row r="19" spans="1:10" ht="15" customHeight="1" x14ac:dyDescent="0.35">
      <c r="A19" s="296"/>
      <c r="B19" s="306"/>
      <c r="C19" s="307"/>
      <c r="D19" s="312" t="s">
        <v>48</v>
      </c>
      <c r="E19" s="313"/>
      <c r="F19" s="67">
        <f>SUM(F17:F18)</f>
        <v>199487.568</v>
      </c>
      <c r="H19" s="9" t="s">
        <v>13</v>
      </c>
      <c r="I19" s="10">
        <f>F22</f>
        <v>-185687.568</v>
      </c>
    </row>
    <row r="20" spans="1:10" ht="15" customHeight="1" thickBot="1" x14ac:dyDescent="0.4">
      <c r="A20" s="296"/>
      <c r="B20" s="306"/>
      <c r="C20" s="307"/>
      <c r="D20" s="314" t="s">
        <v>49</v>
      </c>
      <c r="E20" s="315"/>
      <c r="F20" s="121">
        <v>15000</v>
      </c>
      <c r="H20" s="17" t="s">
        <v>50</v>
      </c>
      <c r="I20" s="20">
        <f>F109</f>
        <v>8296.6666666666661</v>
      </c>
    </row>
    <row r="21" spans="1:10" ht="15" customHeight="1" thickBot="1" x14ac:dyDescent="0.4">
      <c r="A21" s="296"/>
      <c r="B21" s="306"/>
      <c r="C21" s="307"/>
      <c r="D21" s="316" t="s">
        <v>51</v>
      </c>
      <c r="E21" s="317"/>
      <c r="F21" s="120">
        <f>F20*8%</f>
        <v>1200</v>
      </c>
      <c r="H21" s="30" t="s">
        <v>52</v>
      </c>
      <c r="I21" s="70">
        <f>I19-I20</f>
        <v>-193984.23466666666</v>
      </c>
      <c r="J21" s="71">
        <f>(I19-I20)/I19*100%</f>
        <v>1.0446807869585899</v>
      </c>
    </row>
    <row r="22" spans="1:10" ht="15.75" customHeight="1" thickBot="1" x14ac:dyDescent="0.4">
      <c r="A22" s="296"/>
      <c r="B22" s="306"/>
      <c r="C22" s="307"/>
      <c r="D22" s="310" t="s">
        <v>53</v>
      </c>
      <c r="E22" s="311"/>
      <c r="F22" s="67">
        <f>F20-F19-F21</f>
        <v>-185687.568</v>
      </c>
    </row>
    <row r="23" spans="1:10" ht="15.75" customHeight="1" thickBot="1" x14ac:dyDescent="0.4">
      <c r="A23" s="296"/>
      <c r="B23" s="306"/>
      <c r="C23" s="307"/>
      <c r="D23" s="310" t="s">
        <v>54</v>
      </c>
      <c r="E23" s="311"/>
      <c r="F23" s="72">
        <f>IFERROR(F19/F20,0)</f>
        <v>13.2991712</v>
      </c>
      <c r="G23" s="73"/>
      <c r="H23" s="293" t="s">
        <v>55</v>
      </c>
      <c r="I23" s="294"/>
    </row>
    <row r="24" spans="1:10" ht="15.75" customHeight="1" thickBot="1" x14ac:dyDescent="0.4">
      <c r="A24" s="297"/>
      <c r="B24" s="308"/>
      <c r="C24" s="309"/>
      <c r="D24" s="318" t="s">
        <v>56</v>
      </c>
      <c r="E24" s="319"/>
      <c r="F24" s="74">
        <f>IFERROR(F22/F20,0)</f>
        <v>-12.3791712</v>
      </c>
      <c r="G24" s="73"/>
      <c r="H24" s="9" t="s">
        <v>57</v>
      </c>
      <c r="I24" s="10">
        <f>F22</f>
        <v>-185687.568</v>
      </c>
    </row>
    <row r="25" spans="1:10" ht="15.75" customHeight="1" x14ac:dyDescent="0.35">
      <c r="A25" s="75"/>
      <c r="B25" s="76"/>
      <c r="C25" s="77"/>
      <c r="D25" s="78"/>
      <c r="E25" s="78"/>
      <c r="F25" s="79"/>
      <c r="G25" s="73"/>
      <c r="H25" s="17" t="s">
        <v>58</v>
      </c>
      <c r="I25" s="80">
        <f>I24/F58</f>
        <v>-37.311634561285999</v>
      </c>
    </row>
    <row r="26" spans="1:10" x14ac:dyDescent="0.35">
      <c r="A26" s="75"/>
      <c r="B26" s="76"/>
      <c r="C26" s="77"/>
      <c r="D26" s="78"/>
      <c r="E26" s="78"/>
      <c r="F26" s="79"/>
      <c r="H26" s="17" t="s">
        <v>59</v>
      </c>
      <c r="I26" s="80">
        <f>I24/F70</f>
        <v>-26.501555851569933</v>
      </c>
    </row>
    <row r="27" spans="1:10" x14ac:dyDescent="0.35">
      <c r="H27" s="17" t="s">
        <v>60</v>
      </c>
      <c r="I27" s="80">
        <f>I24/F109</f>
        <v>-22.380984491763762</v>
      </c>
    </row>
    <row r="28" spans="1:10" x14ac:dyDescent="0.35">
      <c r="H28" s="17" t="s">
        <v>61</v>
      </c>
      <c r="I28" s="80">
        <f>I24/F83</f>
        <v>-30.341105882352942</v>
      </c>
    </row>
    <row r="29" spans="1:10" ht="15" thickBot="1" x14ac:dyDescent="0.4">
      <c r="H29" s="38" t="s">
        <v>62</v>
      </c>
      <c r="I29" s="81">
        <f>I24/F96</f>
        <v>-15.736234576271187</v>
      </c>
    </row>
    <row r="30" spans="1:10" ht="15" thickBot="1" x14ac:dyDescent="0.4"/>
    <row r="31" spans="1:10" ht="15" thickBot="1" x14ac:dyDescent="0.4">
      <c r="H31" s="293" t="s">
        <v>63</v>
      </c>
      <c r="I31" s="294"/>
    </row>
    <row r="32" spans="1:10" x14ac:dyDescent="0.35">
      <c r="H32" s="9" t="s">
        <v>64</v>
      </c>
      <c r="I32" s="10">
        <f>F20</f>
        <v>15000</v>
      </c>
    </row>
    <row r="33" spans="8:9" x14ac:dyDescent="0.35">
      <c r="H33" s="17" t="s">
        <v>58</v>
      </c>
      <c r="I33" s="80">
        <f>I32/F56</f>
        <v>1.875</v>
      </c>
    </row>
    <row r="34" spans="8:9" x14ac:dyDescent="0.35">
      <c r="H34" s="17" t="s">
        <v>59</v>
      </c>
      <c r="I34" s="80">
        <f>I32/F68</f>
        <v>1.25</v>
      </c>
    </row>
    <row r="35" spans="8:9" x14ac:dyDescent="0.35">
      <c r="H35" s="17" t="s">
        <v>60</v>
      </c>
      <c r="I35" s="80">
        <f>I32/F107</f>
        <v>1.0714285714285714</v>
      </c>
    </row>
    <row r="36" spans="8:9" x14ac:dyDescent="0.35">
      <c r="H36" s="17" t="s">
        <v>61</v>
      </c>
      <c r="I36" s="80">
        <f>I32/F81</f>
        <v>1.5</v>
      </c>
    </row>
    <row r="37" spans="8:9" ht="15" thickBot="1" x14ac:dyDescent="0.4">
      <c r="H37" s="38" t="s">
        <v>62</v>
      </c>
      <c r="I37" s="81">
        <f>I32/F94</f>
        <v>0.75</v>
      </c>
    </row>
    <row r="43" spans="8:9" ht="3.75" customHeight="1" x14ac:dyDescent="0.35"/>
    <row r="45" spans="8:9" ht="15" customHeight="1" x14ac:dyDescent="0.35"/>
    <row r="49" spans="1:6" ht="75.75" customHeight="1" thickBot="1" x14ac:dyDescent="0.4"/>
    <row r="50" spans="1:6" ht="21.5" thickBot="1" x14ac:dyDescent="0.4">
      <c r="A50" s="320" t="s">
        <v>65</v>
      </c>
      <c r="B50" s="321"/>
      <c r="C50" s="321"/>
      <c r="D50" s="321"/>
      <c r="E50" s="321"/>
      <c r="F50" s="322"/>
    </row>
    <row r="51" spans="1:6" x14ac:dyDescent="0.35">
      <c r="A51" s="82" t="s">
        <v>30</v>
      </c>
      <c r="B51" s="83" t="s">
        <v>66</v>
      </c>
      <c r="C51" s="84" t="s">
        <v>31</v>
      </c>
      <c r="D51" s="84" t="s">
        <v>5</v>
      </c>
      <c r="E51" s="84" t="s">
        <v>67</v>
      </c>
      <c r="F51" s="85" t="s">
        <v>33</v>
      </c>
    </row>
    <row r="52" spans="1:6" ht="15" thickBot="1" x14ac:dyDescent="0.4">
      <c r="A52" s="86" t="s">
        <v>68</v>
      </c>
      <c r="B52" s="87">
        <f>13000/6</f>
        <v>2166.6666666666665</v>
      </c>
      <c r="C52" s="88" t="s">
        <v>12</v>
      </c>
      <c r="D52" s="89">
        <v>330</v>
      </c>
      <c r="E52" s="90">
        <f>B52/D52</f>
        <v>6.5656565656565649</v>
      </c>
      <c r="F52" s="91">
        <f>E52*D52</f>
        <v>2166.6666666666665</v>
      </c>
    </row>
    <row r="53" spans="1:6" x14ac:dyDescent="0.35">
      <c r="A53" s="323" t="s">
        <v>69</v>
      </c>
      <c r="B53" s="324"/>
      <c r="C53" s="325"/>
      <c r="D53" s="302" t="s">
        <v>44</v>
      </c>
      <c r="E53" s="303"/>
      <c r="F53" s="65">
        <f>F52</f>
        <v>2166.6666666666665</v>
      </c>
    </row>
    <row r="54" spans="1:6" x14ac:dyDescent="0.35">
      <c r="A54" s="326" t="s">
        <v>70</v>
      </c>
      <c r="B54" s="327"/>
      <c r="C54" s="328"/>
      <c r="D54" s="310" t="s">
        <v>46</v>
      </c>
      <c r="E54" s="311"/>
      <c r="F54" s="66">
        <f>F53*10%</f>
        <v>216.66666666666666</v>
      </c>
    </row>
    <row r="55" spans="1:6" ht="15" customHeight="1" x14ac:dyDescent="0.35">
      <c r="A55" s="329"/>
      <c r="B55" s="330"/>
      <c r="C55" s="331"/>
      <c r="D55" s="312" t="s">
        <v>48</v>
      </c>
      <c r="E55" s="313"/>
      <c r="F55" s="67">
        <f>F53+F54</f>
        <v>2383.333333333333</v>
      </c>
    </row>
    <row r="56" spans="1:6" x14ac:dyDescent="0.35">
      <c r="A56" s="329"/>
      <c r="B56" s="330"/>
      <c r="C56" s="331"/>
      <c r="D56" s="314" t="s">
        <v>49</v>
      </c>
      <c r="E56" s="315"/>
      <c r="F56" s="68">
        <v>8000</v>
      </c>
    </row>
    <row r="57" spans="1:6" x14ac:dyDescent="0.35">
      <c r="A57" s="329"/>
      <c r="B57" s="330"/>
      <c r="C57" s="331"/>
      <c r="D57" s="316" t="s">
        <v>51</v>
      </c>
      <c r="E57" s="317"/>
      <c r="F57" s="69">
        <f>F56*8%</f>
        <v>640</v>
      </c>
    </row>
    <row r="58" spans="1:6" ht="15" customHeight="1" x14ac:dyDescent="0.35">
      <c r="A58" s="329"/>
      <c r="B58" s="330"/>
      <c r="C58" s="331"/>
      <c r="D58" s="310" t="s">
        <v>53</v>
      </c>
      <c r="E58" s="311"/>
      <c r="F58" s="67">
        <f>F56-F55-F57</f>
        <v>4976.666666666667</v>
      </c>
    </row>
    <row r="59" spans="1:6" x14ac:dyDescent="0.35">
      <c r="A59" s="329"/>
      <c r="B59" s="330"/>
      <c r="C59" s="331"/>
      <c r="D59" s="310" t="s">
        <v>54</v>
      </c>
      <c r="E59" s="311"/>
      <c r="F59" s="72">
        <f>IFERROR(F55/F56,0)</f>
        <v>0.29791666666666661</v>
      </c>
    </row>
    <row r="60" spans="1:6" ht="15" thickBot="1" x14ac:dyDescent="0.4">
      <c r="A60" s="332"/>
      <c r="B60" s="333"/>
      <c r="C60" s="334"/>
      <c r="D60" s="318" t="s">
        <v>56</v>
      </c>
      <c r="E60" s="319"/>
      <c r="F60" s="74">
        <f>IFERROR(F58/F56,0)</f>
        <v>0.62208333333333332</v>
      </c>
    </row>
    <row r="61" spans="1:6" ht="15" thickBot="1" x14ac:dyDescent="0.4">
      <c r="A61" s="73"/>
      <c r="B61" s="73"/>
      <c r="C61" s="73"/>
      <c r="D61" s="73"/>
      <c r="E61" s="73"/>
      <c r="F61" s="73"/>
    </row>
    <row r="62" spans="1:6" ht="21.5" thickBot="1" x14ac:dyDescent="0.4">
      <c r="A62" s="320" t="s">
        <v>71</v>
      </c>
      <c r="B62" s="321"/>
      <c r="C62" s="321"/>
      <c r="D62" s="321"/>
      <c r="E62" s="321"/>
      <c r="F62" s="322"/>
    </row>
    <row r="63" spans="1:6" ht="26" x14ac:dyDescent="0.35">
      <c r="A63" s="82" t="s">
        <v>30</v>
      </c>
      <c r="B63" s="83" t="s">
        <v>66</v>
      </c>
      <c r="C63" s="84" t="s">
        <v>31</v>
      </c>
      <c r="D63" s="84" t="s">
        <v>5</v>
      </c>
      <c r="E63" s="84" t="s">
        <v>32</v>
      </c>
      <c r="F63" s="85" t="s">
        <v>33</v>
      </c>
    </row>
    <row r="64" spans="1:6" ht="15" thickBot="1" x14ac:dyDescent="0.4">
      <c r="A64" s="86" t="s">
        <v>72</v>
      </c>
      <c r="B64" s="87">
        <f>22000/6</f>
        <v>3666.6666666666665</v>
      </c>
      <c r="C64" s="88" t="s">
        <v>12</v>
      </c>
      <c r="D64" s="89">
        <v>330</v>
      </c>
      <c r="E64" s="90">
        <f>B64/D64</f>
        <v>11.111111111111111</v>
      </c>
      <c r="F64" s="91">
        <f>E64*D64</f>
        <v>3666.6666666666665</v>
      </c>
    </row>
    <row r="65" spans="1:6" x14ac:dyDescent="0.35">
      <c r="A65" s="323" t="s">
        <v>69</v>
      </c>
      <c r="B65" s="324"/>
      <c r="C65" s="325"/>
      <c r="D65" s="302" t="s">
        <v>44</v>
      </c>
      <c r="E65" s="303"/>
      <c r="F65" s="65">
        <f>F64</f>
        <v>3666.6666666666665</v>
      </c>
    </row>
    <row r="66" spans="1:6" x14ac:dyDescent="0.35">
      <c r="A66" s="326" t="s">
        <v>73</v>
      </c>
      <c r="B66" s="327"/>
      <c r="C66" s="328"/>
      <c r="D66" s="310" t="s">
        <v>46</v>
      </c>
      <c r="E66" s="311"/>
      <c r="F66" s="66">
        <f>F65*10%</f>
        <v>366.66666666666669</v>
      </c>
    </row>
    <row r="67" spans="1:6" x14ac:dyDescent="0.35">
      <c r="A67" s="329"/>
      <c r="B67" s="330"/>
      <c r="C67" s="331"/>
      <c r="D67" s="312" t="s">
        <v>48</v>
      </c>
      <c r="E67" s="313"/>
      <c r="F67" s="67">
        <f>F65+F66</f>
        <v>4033.333333333333</v>
      </c>
    </row>
    <row r="68" spans="1:6" x14ac:dyDescent="0.35">
      <c r="A68" s="329"/>
      <c r="B68" s="330"/>
      <c r="C68" s="331"/>
      <c r="D68" s="314" t="s">
        <v>49</v>
      </c>
      <c r="E68" s="315"/>
      <c r="F68" s="68">
        <v>12000</v>
      </c>
    </row>
    <row r="69" spans="1:6" ht="15" customHeight="1" x14ac:dyDescent="0.35">
      <c r="A69" s="329"/>
      <c r="B69" s="330"/>
      <c r="C69" s="331"/>
      <c r="D69" s="316" t="s">
        <v>51</v>
      </c>
      <c r="E69" s="317"/>
      <c r="F69" s="69">
        <f>F68*8%</f>
        <v>960</v>
      </c>
    </row>
    <row r="70" spans="1:6" x14ac:dyDescent="0.35">
      <c r="A70" s="329"/>
      <c r="B70" s="330"/>
      <c r="C70" s="331"/>
      <c r="D70" s="310" t="s">
        <v>53</v>
      </c>
      <c r="E70" s="311"/>
      <c r="F70" s="67">
        <f>F68-F67-F69</f>
        <v>7006.666666666667</v>
      </c>
    </row>
    <row r="71" spans="1:6" ht="15" customHeight="1" x14ac:dyDescent="0.35">
      <c r="A71" s="329"/>
      <c r="B71" s="330"/>
      <c r="C71" s="331"/>
      <c r="D71" s="310" t="s">
        <v>54</v>
      </c>
      <c r="E71" s="311"/>
      <c r="F71" s="72">
        <f>IFERROR(F67/F68,0)</f>
        <v>0.33611111111111108</v>
      </c>
    </row>
    <row r="72" spans="1:6" ht="15" thickBot="1" x14ac:dyDescent="0.4">
      <c r="A72" s="332"/>
      <c r="B72" s="333"/>
      <c r="C72" s="334"/>
      <c r="D72" s="318" t="s">
        <v>56</v>
      </c>
      <c r="E72" s="319"/>
      <c r="F72" s="74">
        <f>IFERROR(F70/F68,0)</f>
        <v>0.5838888888888889</v>
      </c>
    </row>
    <row r="74" spans="1:6" ht="15" thickBot="1" x14ac:dyDescent="0.4"/>
    <row r="75" spans="1:6" ht="21.5" thickBot="1" x14ac:dyDescent="0.4">
      <c r="A75" s="320" t="s">
        <v>74</v>
      </c>
      <c r="B75" s="321"/>
      <c r="C75" s="321"/>
      <c r="D75" s="321"/>
      <c r="E75" s="321"/>
      <c r="F75" s="322"/>
    </row>
    <row r="76" spans="1:6" ht="26" x14ac:dyDescent="0.35">
      <c r="A76" s="82" t="s">
        <v>30</v>
      </c>
      <c r="B76" s="83" t="s">
        <v>66</v>
      </c>
      <c r="C76" s="84" t="s">
        <v>31</v>
      </c>
      <c r="D76" s="84" t="s">
        <v>5</v>
      </c>
      <c r="E76" s="84" t="s">
        <v>32</v>
      </c>
      <c r="F76" s="85" t="s">
        <v>33</v>
      </c>
    </row>
    <row r="77" spans="1:6" ht="15" thickBot="1" x14ac:dyDescent="0.4">
      <c r="A77" s="86" t="s">
        <v>75</v>
      </c>
      <c r="B77" s="87">
        <v>35000</v>
      </c>
      <c r="C77" s="88" t="s">
        <v>12</v>
      </c>
      <c r="D77" s="89">
        <v>60</v>
      </c>
      <c r="E77" s="90">
        <f>B77/750</f>
        <v>46.666666666666664</v>
      </c>
      <c r="F77" s="91">
        <f>E77*D77</f>
        <v>2800</v>
      </c>
    </row>
    <row r="78" spans="1:6" x14ac:dyDescent="0.35">
      <c r="A78" s="323" t="s">
        <v>69</v>
      </c>
      <c r="B78" s="324"/>
      <c r="C78" s="325"/>
      <c r="D78" s="302" t="s">
        <v>44</v>
      </c>
      <c r="E78" s="303"/>
      <c r="F78" s="65">
        <f>F77</f>
        <v>2800</v>
      </c>
    </row>
    <row r="79" spans="1:6" x14ac:dyDescent="0.35">
      <c r="A79" s="326" t="s">
        <v>76</v>
      </c>
      <c r="B79" s="327"/>
      <c r="C79" s="328"/>
      <c r="D79" s="310" t="s">
        <v>46</v>
      </c>
      <c r="E79" s="311"/>
      <c r="F79" s="66">
        <f>F78*10%</f>
        <v>280</v>
      </c>
    </row>
    <row r="80" spans="1:6" x14ac:dyDescent="0.35">
      <c r="A80" s="329"/>
      <c r="B80" s="330"/>
      <c r="C80" s="331"/>
      <c r="D80" s="312" t="s">
        <v>48</v>
      </c>
      <c r="E80" s="313"/>
      <c r="F80" s="67">
        <f>F78+F79</f>
        <v>3080</v>
      </c>
    </row>
    <row r="81" spans="1:9" x14ac:dyDescent="0.35">
      <c r="A81" s="329"/>
      <c r="B81" s="330"/>
      <c r="C81" s="331"/>
      <c r="D81" s="314" t="s">
        <v>49</v>
      </c>
      <c r="E81" s="315"/>
      <c r="F81" s="68">
        <v>10000</v>
      </c>
    </row>
    <row r="82" spans="1:9" ht="15" customHeight="1" x14ac:dyDescent="0.35">
      <c r="A82" s="329"/>
      <c r="B82" s="330"/>
      <c r="C82" s="331"/>
      <c r="D82" s="316" t="s">
        <v>51</v>
      </c>
      <c r="E82" s="317"/>
      <c r="F82" s="69">
        <f>F81*8%</f>
        <v>800</v>
      </c>
    </row>
    <row r="83" spans="1:9" x14ac:dyDescent="0.35">
      <c r="A83" s="329"/>
      <c r="B83" s="330"/>
      <c r="C83" s="331"/>
      <c r="D83" s="310" t="s">
        <v>53</v>
      </c>
      <c r="E83" s="311"/>
      <c r="F83" s="67">
        <f>F81-F80-F82</f>
        <v>6120</v>
      </c>
      <c r="I83" s="92"/>
    </row>
    <row r="84" spans="1:9" ht="15" customHeight="1" x14ac:dyDescent="0.35">
      <c r="A84" s="329"/>
      <c r="B84" s="330"/>
      <c r="C84" s="331"/>
      <c r="D84" s="310" t="s">
        <v>54</v>
      </c>
      <c r="E84" s="311"/>
      <c r="F84" s="72">
        <f>IFERROR(F80/F81,0)</f>
        <v>0.308</v>
      </c>
      <c r="I84" s="92"/>
    </row>
    <row r="85" spans="1:9" ht="15" thickBot="1" x14ac:dyDescent="0.4">
      <c r="A85" s="332"/>
      <c r="B85" s="333"/>
      <c r="C85" s="334"/>
      <c r="D85" s="318" t="s">
        <v>56</v>
      </c>
      <c r="E85" s="319"/>
      <c r="F85" s="74">
        <f>IFERROR(F83/F81,0)</f>
        <v>0.61199999999999999</v>
      </c>
      <c r="I85" s="92"/>
    </row>
    <row r="87" spans="1:9" ht="15" thickBot="1" x14ac:dyDescent="0.4"/>
    <row r="88" spans="1:9" ht="21.5" thickBot="1" x14ac:dyDescent="0.4">
      <c r="A88" s="320" t="s">
        <v>77</v>
      </c>
      <c r="B88" s="321"/>
      <c r="C88" s="321"/>
      <c r="D88" s="321"/>
      <c r="E88" s="321"/>
      <c r="F88" s="322"/>
    </row>
    <row r="89" spans="1:9" ht="26" x14ac:dyDescent="0.35">
      <c r="A89" s="82" t="s">
        <v>30</v>
      </c>
      <c r="B89" s="83" t="s">
        <v>66</v>
      </c>
      <c r="C89" s="84" t="s">
        <v>31</v>
      </c>
      <c r="D89" s="84" t="s">
        <v>5</v>
      </c>
      <c r="E89" s="84" t="s">
        <v>32</v>
      </c>
      <c r="F89" s="85" t="s">
        <v>33</v>
      </c>
    </row>
    <row r="90" spans="1:9" ht="15" thickBot="1" x14ac:dyDescent="0.4">
      <c r="A90" s="86" t="s">
        <v>78</v>
      </c>
      <c r="B90" s="87">
        <v>75000</v>
      </c>
      <c r="C90" s="88" t="s">
        <v>12</v>
      </c>
      <c r="D90" s="89">
        <v>60</v>
      </c>
      <c r="E90" s="90">
        <f>B90/750</f>
        <v>100</v>
      </c>
      <c r="F90" s="91">
        <f>E90*D90</f>
        <v>6000</v>
      </c>
    </row>
    <row r="91" spans="1:9" x14ac:dyDescent="0.35">
      <c r="A91" s="323" t="s">
        <v>69</v>
      </c>
      <c r="B91" s="324"/>
      <c r="C91" s="325"/>
      <c r="D91" s="302" t="s">
        <v>44</v>
      </c>
      <c r="E91" s="303"/>
      <c r="F91" s="65">
        <f>F90</f>
        <v>6000</v>
      </c>
    </row>
    <row r="92" spans="1:9" x14ac:dyDescent="0.35">
      <c r="A92" s="326" t="s">
        <v>79</v>
      </c>
      <c r="B92" s="327"/>
      <c r="C92" s="328"/>
      <c r="D92" s="310" t="s">
        <v>46</v>
      </c>
      <c r="E92" s="311"/>
      <c r="F92" s="66">
        <f>F91*10%</f>
        <v>600</v>
      </c>
    </row>
    <row r="93" spans="1:9" x14ac:dyDescent="0.35">
      <c r="A93" s="329"/>
      <c r="B93" s="330"/>
      <c r="C93" s="331"/>
      <c r="D93" s="312" t="s">
        <v>48</v>
      </c>
      <c r="E93" s="313"/>
      <c r="F93" s="67">
        <f>F91+F92</f>
        <v>6600</v>
      </c>
    </row>
    <row r="94" spans="1:9" x14ac:dyDescent="0.35">
      <c r="A94" s="329"/>
      <c r="B94" s="330"/>
      <c r="C94" s="331"/>
      <c r="D94" s="314" t="s">
        <v>49</v>
      </c>
      <c r="E94" s="315"/>
      <c r="F94" s="68">
        <v>20000</v>
      </c>
    </row>
    <row r="95" spans="1:9" ht="15" customHeight="1" x14ac:dyDescent="0.35">
      <c r="A95" s="329"/>
      <c r="B95" s="330"/>
      <c r="C95" s="331"/>
      <c r="D95" s="316" t="s">
        <v>51</v>
      </c>
      <c r="E95" s="317"/>
      <c r="F95" s="69">
        <f>F94*8%</f>
        <v>1600</v>
      </c>
    </row>
    <row r="96" spans="1:9" x14ac:dyDescent="0.35">
      <c r="A96" s="329"/>
      <c r="B96" s="330"/>
      <c r="C96" s="331"/>
      <c r="D96" s="310" t="s">
        <v>53</v>
      </c>
      <c r="E96" s="311"/>
      <c r="F96" s="67">
        <f>F94-F93-F95</f>
        <v>11800</v>
      </c>
    </row>
    <row r="97" spans="1:6" x14ac:dyDescent="0.35">
      <c r="A97" s="329"/>
      <c r="B97" s="330"/>
      <c r="C97" s="331"/>
      <c r="D97" s="310" t="s">
        <v>54</v>
      </c>
      <c r="E97" s="311"/>
      <c r="F97" s="72">
        <f>IFERROR(F93/F94,0)</f>
        <v>0.33</v>
      </c>
    </row>
    <row r="98" spans="1:6" ht="15" thickBot="1" x14ac:dyDescent="0.4">
      <c r="A98" s="332"/>
      <c r="B98" s="333"/>
      <c r="C98" s="334"/>
      <c r="D98" s="318" t="s">
        <v>56</v>
      </c>
      <c r="E98" s="319"/>
      <c r="F98" s="74">
        <f>IFERROR(F96/F94,0)</f>
        <v>0.59</v>
      </c>
    </row>
    <row r="100" spans="1:6" ht="15" thickBot="1" x14ac:dyDescent="0.4"/>
    <row r="101" spans="1:6" ht="21.5" thickBot="1" x14ac:dyDescent="0.4">
      <c r="A101" s="320" t="s">
        <v>80</v>
      </c>
      <c r="B101" s="321"/>
      <c r="C101" s="321"/>
      <c r="D101" s="321"/>
      <c r="E101" s="321"/>
      <c r="F101" s="322"/>
    </row>
    <row r="102" spans="1:6" ht="26" x14ac:dyDescent="0.35">
      <c r="A102" s="82" t="s">
        <v>30</v>
      </c>
      <c r="B102" s="83" t="s">
        <v>66</v>
      </c>
      <c r="C102" s="84" t="s">
        <v>31</v>
      </c>
      <c r="D102" s="84" t="s">
        <v>81</v>
      </c>
      <c r="E102" s="84" t="s">
        <v>32</v>
      </c>
      <c r="F102" s="85" t="s">
        <v>33</v>
      </c>
    </row>
    <row r="103" spans="1:6" ht="15" thickBot="1" x14ac:dyDescent="0.4">
      <c r="A103" s="86" t="s">
        <v>82</v>
      </c>
      <c r="B103" s="87">
        <v>25000</v>
      </c>
      <c r="C103" s="88" t="s">
        <v>12</v>
      </c>
      <c r="D103" s="89">
        <v>125</v>
      </c>
      <c r="E103" s="90">
        <f>B103/750</f>
        <v>33.333333333333336</v>
      </c>
      <c r="F103" s="91">
        <f>E103*D103</f>
        <v>4166.666666666667</v>
      </c>
    </row>
    <row r="104" spans="1:6" x14ac:dyDescent="0.35">
      <c r="A104" s="323" t="s">
        <v>69</v>
      </c>
      <c r="B104" s="324"/>
      <c r="C104" s="325"/>
      <c r="D104" s="302" t="s">
        <v>44</v>
      </c>
      <c r="E104" s="303"/>
      <c r="F104" s="65">
        <f>F103</f>
        <v>4166.666666666667</v>
      </c>
    </row>
    <row r="105" spans="1:6" x14ac:dyDescent="0.35">
      <c r="A105" s="326" t="s">
        <v>83</v>
      </c>
      <c r="B105" s="327"/>
      <c r="C105" s="328"/>
      <c r="D105" s="310" t="s">
        <v>46</v>
      </c>
      <c r="E105" s="311"/>
      <c r="F105" s="66">
        <f>F104*10%</f>
        <v>416.66666666666674</v>
      </c>
    </row>
    <row r="106" spans="1:6" x14ac:dyDescent="0.35">
      <c r="A106" s="329"/>
      <c r="B106" s="330"/>
      <c r="C106" s="331"/>
      <c r="D106" s="312" t="s">
        <v>48</v>
      </c>
      <c r="E106" s="313"/>
      <c r="F106" s="67">
        <f>F104+F105</f>
        <v>4583.3333333333339</v>
      </c>
    </row>
    <row r="107" spans="1:6" x14ac:dyDescent="0.35">
      <c r="A107" s="329"/>
      <c r="B107" s="330"/>
      <c r="C107" s="331"/>
      <c r="D107" s="314" t="s">
        <v>49</v>
      </c>
      <c r="E107" s="315"/>
      <c r="F107" s="68">
        <v>14000</v>
      </c>
    </row>
    <row r="108" spans="1:6" x14ac:dyDescent="0.35">
      <c r="A108" s="329"/>
      <c r="B108" s="330"/>
      <c r="C108" s="331"/>
      <c r="D108" s="316" t="s">
        <v>51</v>
      </c>
      <c r="E108" s="317"/>
      <c r="F108" s="69">
        <f>F107*8%</f>
        <v>1120</v>
      </c>
    </row>
    <row r="109" spans="1:6" x14ac:dyDescent="0.35">
      <c r="A109" s="329"/>
      <c r="B109" s="330"/>
      <c r="C109" s="331"/>
      <c r="D109" s="310" t="s">
        <v>53</v>
      </c>
      <c r="E109" s="311"/>
      <c r="F109" s="67">
        <f>F107-F106-F108</f>
        <v>8296.6666666666661</v>
      </c>
    </row>
    <row r="110" spans="1:6" x14ac:dyDescent="0.35">
      <c r="A110" s="329"/>
      <c r="B110" s="330"/>
      <c r="C110" s="331"/>
      <c r="D110" s="310" t="s">
        <v>54</v>
      </c>
      <c r="E110" s="311"/>
      <c r="F110" s="72">
        <f>IFERROR(F106/F107,0)</f>
        <v>0.32738095238095244</v>
      </c>
    </row>
    <row r="111" spans="1:6" ht="15" thickBot="1" x14ac:dyDescent="0.4">
      <c r="A111" s="332"/>
      <c r="B111" s="333"/>
      <c r="C111" s="334"/>
      <c r="D111" s="318" t="s">
        <v>56</v>
      </c>
      <c r="E111" s="319"/>
      <c r="F111" s="74">
        <f>IFERROR(F109/F107,0)</f>
        <v>0.5926190476190476</v>
      </c>
    </row>
  </sheetData>
  <sheetProtection algorithmName="SHA-512" hashValue="N+1cb7rcbxcEObLBdlFniKd+NbGpkV9XYm2Wr1pGPKJ2i3YXIIYBizNuQ2phGnEWuFDlUfFk/4tuUbCjDVxtgw==" saltValue="29UzTLHaqwdg8bn45HTIdg==" spinCount="100000" sheet="1" objects="1" scenarios="1" formatCells="0" formatRows="0" selectLockedCells="1"/>
  <protectedRanges>
    <protectedRange sqref="B52 D52 F56 B64 D64 F68 B77 D77 F81 B90 D90 F94 B103 D103 F107" name="PRUEBA FINAL"/>
    <protectedRange sqref="E5:E9 D12:D16 F20" name="FINAL_1"/>
    <protectedRange sqref="E5:E9 D12:D16 F20" name="EDITABLES"/>
  </protectedRanges>
  <mergeCells count="78">
    <mergeCell ref="D111:E111"/>
    <mergeCell ref="A101:F101"/>
    <mergeCell ref="A104:C104"/>
    <mergeCell ref="D104:E104"/>
    <mergeCell ref="A105:C111"/>
    <mergeCell ref="D105:E105"/>
    <mergeCell ref="D106:E106"/>
    <mergeCell ref="D107:E107"/>
    <mergeCell ref="D108:E108"/>
    <mergeCell ref="D109:E109"/>
    <mergeCell ref="D110:E110"/>
    <mergeCell ref="A92:C98"/>
    <mergeCell ref="D92:E92"/>
    <mergeCell ref="D93:E93"/>
    <mergeCell ref="D94:E94"/>
    <mergeCell ref="D95:E95"/>
    <mergeCell ref="D96:E96"/>
    <mergeCell ref="D97:E97"/>
    <mergeCell ref="D98:E98"/>
    <mergeCell ref="D85:E85"/>
    <mergeCell ref="A88:F88"/>
    <mergeCell ref="A91:C91"/>
    <mergeCell ref="D91:E91"/>
    <mergeCell ref="A79:C85"/>
    <mergeCell ref="D79:E79"/>
    <mergeCell ref="D80:E80"/>
    <mergeCell ref="D81:E81"/>
    <mergeCell ref="D82:E82"/>
    <mergeCell ref="A75:F75"/>
    <mergeCell ref="A78:C78"/>
    <mergeCell ref="D78:E78"/>
    <mergeCell ref="D83:E83"/>
    <mergeCell ref="D84:E84"/>
    <mergeCell ref="A62:F62"/>
    <mergeCell ref="A65:C65"/>
    <mergeCell ref="D65:E65"/>
    <mergeCell ref="A66:C72"/>
    <mergeCell ref="D66:E66"/>
    <mergeCell ref="D67:E67"/>
    <mergeCell ref="D68:E68"/>
    <mergeCell ref="D69:E69"/>
    <mergeCell ref="D70:E70"/>
    <mergeCell ref="D71:E71"/>
    <mergeCell ref="D72:E72"/>
    <mergeCell ref="A50:F50"/>
    <mergeCell ref="A53:C53"/>
    <mergeCell ref="D53:E53"/>
    <mergeCell ref="A54:C60"/>
    <mergeCell ref="D54:E54"/>
    <mergeCell ref="D55:E55"/>
    <mergeCell ref="D56:E56"/>
    <mergeCell ref="D57:E57"/>
    <mergeCell ref="D58:E58"/>
    <mergeCell ref="D59:E59"/>
    <mergeCell ref="D60:E60"/>
    <mergeCell ref="H31:I31"/>
    <mergeCell ref="A11:A24"/>
    <mergeCell ref="H11:I11"/>
    <mergeCell ref="L12:M12"/>
    <mergeCell ref="B17:C17"/>
    <mergeCell ref="D17:E17"/>
    <mergeCell ref="B18:C24"/>
    <mergeCell ref="D18:E18"/>
    <mergeCell ref="H18:I18"/>
    <mergeCell ref="D19:E19"/>
    <mergeCell ref="D20:E20"/>
    <mergeCell ref="D21:E21"/>
    <mergeCell ref="D22:E22"/>
    <mergeCell ref="D23:E23"/>
    <mergeCell ref="H23:I23"/>
    <mergeCell ref="D24:E24"/>
    <mergeCell ref="A2:F2"/>
    <mergeCell ref="H2:I2"/>
    <mergeCell ref="L2:M2"/>
    <mergeCell ref="A4:A9"/>
    <mergeCell ref="H4:I4"/>
    <mergeCell ref="L4:M4"/>
    <mergeCell ref="J5:J7"/>
  </mergeCell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Hoja28">
    <tabColor theme="4" tint="-0.249977111117893"/>
  </sheetPr>
  <dimension ref="A1:M111"/>
  <sheetViews>
    <sheetView showGridLines="0" zoomScale="90" zoomScaleNormal="90" workbookViewId="0">
      <selection activeCell="E9" sqref="E9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3.7265625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thickBot="1" x14ac:dyDescent="0.4"/>
    <row r="2" spans="1:13" ht="23.25" customHeight="1" thickBot="1" x14ac:dyDescent="0.4">
      <c r="A2" s="284" t="s">
        <v>208</v>
      </c>
      <c r="B2" s="285"/>
      <c r="C2" s="285"/>
      <c r="D2" s="285"/>
      <c r="E2" s="285"/>
      <c r="F2" s="286"/>
      <c r="H2" s="284" t="s">
        <v>1</v>
      </c>
      <c r="I2" s="286"/>
      <c r="L2" s="284" t="s">
        <v>2</v>
      </c>
      <c r="M2" s="286"/>
    </row>
    <row r="3" spans="1:13" ht="8.25" customHeight="1" thickBot="1" x14ac:dyDescent="0.4"/>
    <row r="4" spans="1:13" ht="25.5" customHeight="1" thickBot="1" x14ac:dyDescent="0.4">
      <c r="A4" s="287" t="s">
        <v>3</v>
      </c>
      <c r="B4" s="103" t="s">
        <v>4</v>
      </c>
      <c r="C4" s="103" t="s">
        <v>5</v>
      </c>
      <c r="D4" s="104" t="s">
        <v>6</v>
      </c>
      <c r="E4" s="103" t="s">
        <v>7</v>
      </c>
      <c r="F4" s="105" t="s">
        <v>8</v>
      </c>
      <c r="H4" s="290" t="s">
        <v>9</v>
      </c>
      <c r="I4" s="291"/>
      <c r="L4" s="290" t="s">
        <v>10</v>
      </c>
      <c r="M4" s="291"/>
    </row>
    <row r="5" spans="1:13" ht="15" customHeight="1" x14ac:dyDescent="0.35">
      <c r="A5" s="288"/>
      <c r="B5" s="12" t="s">
        <v>207</v>
      </c>
      <c r="C5" s="14">
        <v>700</v>
      </c>
      <c r="D5" s="96" t="s">
        <v>12</v>
      </c>
      <c r="E5" s="114">
        <v>2208390</v>
      </c>
      <c r="F5" s="115">
        <f>Tabla13456810911139232526272930313233[[#This Row],[PRECIO]]/Tabla13456810911139232526272930313233[[#This Row],[CANTIDAD]]</f>
        <v>3154.8428571428572</v>
      </c>
      <c r="H5" s="9" t="s">
        <v>13</v>
      </c>
      <c r="I5" s="10">
        <f>F22</f>
        <v>-184955.09999999998</v>
      </c>
      <c r="J5" s="292"/>
      <c r="L5" s="9" t="s">
        <v>14</v>
      </c>
      <c r="M5" s="11">
        <f>40/100</f>
        <v>0.4</v>
      </c>
    </row>
    <row r="6" spans="1:13" ht="15" customHeight="1" x14ac:dyDescent="0.35">
      <c r="A6" s="288"/>
      <c r="B6" s="12"/>
      <c r="C6" s="13"/>
      <c r="D6" s="14"/>
      <c r="E6" s="114"/>
      <c r="F6" s="115"/>
      <c r="H6" s="17" t="s">
        <v>16</v>
      </c>
      <c r="I6" s="18">
        <f>F58</f>
        <v>4976.666666666667</v>
      </c>
      <c r="J6" s="292"/>
      <c r="L6" s="17" t="s">
        <v>17</v>
      </c>
      <c r="M6" s="19">
        <f>D12/1000</f>
        <v>0.06</v>
      </c>
    </row>
    <row r="7" spans="1:13" ht="15" customHeight="1" thickBot="1" x14ac:dyDescent="0.4">
      <c r="A7" s="288"/>
      <c r="B7" s="12"/>
      <c r="C7" s="14"/>
      <c r="D7" s="14"/>
      <c r="E7" s="114"/>
      <c r="F7" s="115"/>
      <c r="H7" s="17" t="s">
        <v>19</v>
      </c>
      <c r="I7" s="20">
        <f>F70</f>
        <v>7006.666666666667</v>
      </c>
      <c r="J7" s="292"/>
      <c r="L7" s="17" t="s">
        <v>20</v>
      </c>
      <c r="M7" s="19">
        <v>782</v>
      </c>
    </row>
    <row r="8" spans="1:13" ht="15.75" customHeight="1" x14ac:dyDescent="0.35">
      <c r="A8" s="288"/>
      <c r="B8" s="21"/>
      <c r="C8" s="22"/>
      <c r="D8" s="22"/>
      <c r="E8" s="116"/>
      <c r="F8" s="115"/>
      <c r="H8" s="25" t="s">
        <v>23</v>
      </c>
      <c r="I8" s="26">
        <f>I5-I6</f>
        <v>-189931.76666666663</v>
      </c>
      <c r="J8" s="27">
        <f>(I5-I6)/I6*100%</f>
        <v>-38.164454119223031</v>
      </c>
      <c r="L8" s="17" t="s">
        <v>24</v>
      </c>
      <c r="M8" s="28">
        <f>M5*M6*M7</f>
        <v>18.768000000000001</v>
      </c>
    </row>
    <row r="9" spans="1:13" ht="15.75" customHeight="1" thickBot="1" x14ac:dyDescent="0.4">
      <c r="A9" s="289"/>
      <c r="B9" s="29"/>
      <c r="C9" s="22"/>
      <c r="D9" s="22"/>
      <c r="E9" s="117"/>
      <c r="F9" s="115"/>
      <c r="H9" s="30" t="s">
        <v>26</v>
      </c>
      <c r="I9" s="31">
        <f>I5-I7</f>
        <v>-191961.76666666663</v>
      </c>
      <c r="J9" s="32">
        <f>(I5-I7)/I7*100%</f>
        <v>-27.397017126546142</v>
      </c>
      <c r="L9" s="17" t="s">
        <v>27</v>
      </c>
      <c r="M9" s="19">
        <f>D13+D14+D12+D15+30</f>
        <v>90</v>
      </c>
    </row>
    <row r="10" spans="1:13" ht="16" thickBot="1" x14ac:dyDescent="0.4">
      <c r="A10" s="33"/>
      <c r="B10" s="34"/>
      <c r="C10" s="35"/>
      <c r="D10" s="35"/>
      <c r="E10" s="118"/>
      <c r="F10" s="119"/>
      <c r="L10" s="38" t="s">
        <v>28</v>
      </c>
      <c r="M10" s="39">
        <f>(D12*M5)/(D12+M9)</f>
        <v>0.16</v>
      </c>
    </row>
    <row r="11" spans="1:13" ht="24.75" customHeight="1" thickBot="1" x14ac:dyDescent="0.4">
      <c r="A11" s="295" t="s">
        <v>29</v>
      </c>
      <c r="B11" s="40" t="s">
        <v>30</v>
      </c>
      <c r="C11" s="41" t="s">
        <v>31</v>
      </c>
      <c r="D11" s="42" t="s">
        <v>5</v>
      </c>
      <c r="E11" s="41" t="s">
        <v>32</v>
      </c>
      <c r="F11" s="43" t="s">
        <v>33</v>
      </c>
      <c r="H11" s="298" t="s">
        <v>34</v>
      </c>
      <c r="I11" s="299"/>
    </row>
    <row r="12" spans="1:13" ht="15" customHeight="1" thickBot="1" x14ac:dyDescent="0.4">
      <c r="A12" s="296"/>
      <c r="B12" s="44" t="str">
        <f>B5</f>
        <v xml:space="preserve">PRIVATE COLLECTION </v>
      </c>
      <c r="C12" s="45" t="str">
        <f>D5</f>
        <v>ML</v>
      </c>
      <c r="D12" s="46">
        <v>60</v>
      </c>
      <c r="E12" s="45">
        <f>VLOOKUP(B12,Tabla13456810911139232526272930313233[],5,FALSE)</f>
        <v>3154.8428571428572</v>
      </c>
      <c r="F12" s="47">
        <f>E12*D12</f>
        <v>189290.57142857142</v>
      </c>
      <c r="H12" s="48" t="s">
        <v>13</v>
      </c>
      <c r="I12" s="49">
        <f>F22</f>
        <v>-184955.09999999998</v>
      </c>
      <c r="L12" s="290" t="s">
        <v>35</v>
      </c>
      <c r="M12" s="291"/>
    </row>
    <row r="13" spans="1:13" ht="15" customHeight="1" x14ac:dyDescent="0.35">
      <c r="A13" s="296"/>
      <c r="B13" s="50"/>
      <c r="C13" s="51"/>
      <c r="D13" s="52"/>
      <c r="E13" s="51"/>
      <c r="F13" s="53"/>
      <c r="H13" s="17" t="s">
        <v>36</v>
      </c>
      <c r="I13" s="18">
        <f>F83</f>
        <v>6120</v>
      </c>
      <c r="L13" s="9" t="s">
        <v>37</v>
      </c>
      <c r="M13" s="11">
        <f>4.5/100</f>
        <v>4.4999999999999998E-2</v>
      </c>
    </row>
    <row r="14" spans="1:13" ht="15.75" customHeight="1" thickBot="1" x14ac:dyDescent="0.4">
      <c r="A14" s="296"/>
      <c r="B14" s="50"/>
      <c r="C14" s="51"/>
      <c r="D14" s="52"/>
      <c r="E14" s="51"/>
      <c r="F14" s="53"/>
      <c r="H14" s="17" t="s">
        <v>38</v>
      </c>
      <c r="I14" s="18">
        <f>F96</f>
        <v>11800</v>
      </c>
      <c r="L14" s="17" t="s">
        <v>39</v>
      </c>
      <c r="M14" s="19">
        <f>330/1000</f>
        <v>0.33</v>
      </c>
    </row>
    <row r="15" spans="1:13" ht="15.75" customHeight="1" x14ac:dyDescent="0.35">
      <c r="A15" s="296"/>
      <c r="B15" s="50"/>
      <c r="C15" s="51"/>
      <c r="D15" s="52"/>
      <c r="E15" s="51"/>
      <c r="F15" s="53"/>
      <c r="H15" s="58" t="s">
        <v>40</v>
      </c>
      <c r="I15" s="26">
        <f>I12-I13</f>
        <v>-191075.09999999998</v>
      </c>
      <c r="J15" s="27">
        <f>(I12-I13)/I13*100%</f>
        <v>-31.221421568627449</v>
      </c>
      <c r="L15" s="17" t="s">
        <v>20</v>
      </c>
      <c r="M15" s="19">
        <v>782</v>
      </c>
    </row>
    <row r="16" spans="1:13" ht="15.75" customHeight="1" thickBot="1" x14ac:dyDescent="0.4">
      <c r="A16" s="296"/>
      <c r="B16" s="50"/>
      <c r="C16" s="51"/>
      <c r="D16" s="52"/>
      <c r="E16" s="51"/>
      <c r="F16" s="53"/>
      <c r="H16" s="63" t="s">
        <v>41</v>
      </c>
      <c r="I16" s="31">
        <f>I12-I14</f>
        <v>-196755.09999999998</v>
      </c>
      <c r="J16" s="32">
        <f>(I12-I14)/I14*100%</f>
        <v>-16.674161016949149</v>
      </c>
      <c r="L16" s="38" t="s">
        <v>42</v>
      </c>
      <c r="M16" s="64">
        <f>M13*M14*M15</f>
        <v>11.6127</v>
      </c>
    </row>
    <row r="17" spans="1:10" ht="15.75" customHeight="1" thickBot="1" x14ac:dyDescent="0.4">
      <c r="A17" s="296"/>
      <c r="B17" s="300" t="s">
        <v>43</v>
      </c>
      <c r="C17" s="301"/>
      <c r="D17" s="302" t="s">
        <v>44</v>
      </c>
      <c r="E17" s="303"/>
      <c r="F17" s="65">
        <f>SUM(F12:F16)</f>
        <v>189290.57142857142</v>
      </c>
    </row>
    <row r="18" spans="1:10" ht="16.5" customHeight="1" thickBot="1" x14ac:dyDescent="0.4">
      <c r="A18" s="296"/>
      <c r="B18" s="304" t="s">
        <v>206</v>
      </c>
      <c r="C18" s="305"/>
      <c r="D18" s="310" t="s">
        <v>46</v>
      </c>
      <c r="E18" s="311"/>
      <c r="F18" s="66">
        <f>F17*5%</f>
        <v>9464.528571428571</v>
      </c>
      <c r="H18" s="290" t="s">
        <v>47</v>
      </c>
      <c r="I18" s="291"/>
    </row>
    <row r="19" spans="1:10" ht="15" customHeight="1" x14ac:dyDescent="0.35">
      <c r="A19" s="296"/>
      <c r="B19" s="306"/>
      <c r="C19" s="307"/>
      <c r="D19" s="312" t="s">
        <v>48</v>
      </c>
      <c r="E19" s="313"/>
      <c r="F19" s="67">
        <f>SUM(F17:F18)</f>
        <v>198755.09999999998</v>
      </c>
      <c r="H19" s="9" t="s">
        <v>13</v>
      </c>
      <c r="I19" s="10">
        <f>F22</f>
        <v>-184955.09999999998</v>
      </c>
    </row>
    <row r="20" spans="1:10" ht="15" customHeight="1" thickBot="1" x14ac:dyDescent="0.4">
      <c r="A20" s="296"/>
      <c r="B20" s="306"/>
      <c r="C20" s="307"/>
      <c r="D20" s="314" t="s">
        <v>49</v>
      </c>
      <c r="E20" s="315"/>
      <c r="F20" s="121">
        <v>15000</v>
      </c>
      <c r="H20" s="17" t="s">
        <v>50</v>
      </c>
      <c r="I20" s="20">
        <f>F109</f>
        <v>8296.6666666666661</v>
      </c>
    </row>
    <row r="21" spans="1:10" ht="15" customHeight="1" thickBot="1" x14ac:dyDescent="0.4">
      <c r="A21" s="296"/>
      <c r="B21" s="306"/>
      <c r="C21" s="307"/>
      <c r="D21" s="316" t="s">
        <v>51</v>
      </c>
      <c r="E21" s="317"/>
      <c r="F21" s="120">
        <f>F20*8%</f>
        <v>1200</v>
      </c>
      <c r="H21" s="30" t="s">
        <v>52</v>
      </c>
      <c r="I21" s="70">
        <f>I19-I20</f>
        <v>-193251.76666666663</v>
      </c>
      <c r="J21" s="71">
        <f>(I19-I20)/I19*100%</f>
        <v>1.0448577339401113</v>
      </c>
    </row>
    <row r="22" spans="1:10" ht="15.75" customHeight="1" thickBot="1" x14ac:dyDescent="0.4">
      <c r="A22" s="296"/>
      <c r="B22" s="306"/>
      <c r="C22" s="307"/>
      <c r="D22" s="310" t="s">
        <v>53</v>
      </c>
      <c r="E22" s="311"/>
      <c r="F22" s="67">
        <f>F20-F19-F21</f>
        <v>-184955.09999999998</v>
      </c>
    </row>
    <row r="23" spans="1:10" ht="15.75" customHeight="1" thickBot="1" x14ac:dyDescent="0.4">
      <c r="A23" s="296"/>
      <c r="B23" s="306"/>
      <c r="C23" s="307"/>
      <c r="D23" s="310" t="s">
        <v>54</v>
      </c>
      <c r="E23" s="311"/>
      <c r="F23" s="72">
        <f>IFERROR(F19/F20,0)</f>
        <v>13.250339999999998</v>
      </c>
      <c r="G23" s="73"/>
      <c r="H23" s="293" t="s">
        <v>55</v>
      </c>
      <c r="I23" s="294"/>
    </row>
    <row r="24" spans="1:10" ht="15.75" customHeight="1" thickBot="1" x14ac:dyDescent="0.4">
      <c r="A24" s="297"/>
      <c r="B24" s="308"/>
      <c r="C24" s="309"/>
      <c r="D24" s="318" t="s">
        <v>56</v>
      </c>
      <c r="E24" s="319"/>
      <c r="F24" s="74">
        <f>IFERROR(F22/F20,0)</f>
        <v>-12.330339999999998</v>
      </c>
      <c r="G24" s="73"/>
      <c r="H24" s="9" t="s">
        <v>57</v>
      </c>
      <c r="I24" s="10">
        <f>F22</f>
        <v>-184955.09999999998</v>
      </c>
    </row>
    <row r="25" spans="1:10" ht="15.75" customHeight="1" x14ac:dyDescent="0.35">
      <c r="A25" s="75"/>
      <c r="B25" s="76"/>
      <c r="C25" s="77"/>
      <c r="D25" s="78"/>
      <c r="E25" s="78"/>
      <c r="F25" s="79"/>
      <c r="G25" s="73"/>
      <c r="H25" s="17" t="s">
        <v>58</v>
      </c>
      <c r="I25" s="80">
        <f>I24/F58</f>
        <v>-37.164454119223031</v>
      </c>
    </row>
    <row r="26" spans="1:10" x14ac:dyDescent="0.35">
      <c r="A26" s="75"/>
      <c r="B26" s="76"/>
      <c r="C26" s="77"/>
      <c r="D26" s="78"/>
      <c r="E26" s="78"/>
      <c r="F26" s="79"/>
      <c r="H26" s="17" t="s">
        <v>59</v>
      </c>
      <c r="I26" s="80">
        <f>I24/F70</f>
        <v>-26.397017126546142</v>
      </c>
    </row>
    <row r="27" spans="1:10" x14ac:dyDescent="0.35">
      <c r="H27" s="17" t="s">
        <v>60</v>
      </c>
      <c r="I27" s="80">
        <f>I24/F109</f>
        <v>-22.292699879469666</v>
      </c>
    </row>
    <row r="28" spans="1:10" x14ac:dyDescent="0.35">
      <c r="H28" s="17" t="s">
        <v>61</v>
      </c>
      <c r="I28" s="80">
        <f>I24/F83</f>
        <v>-30.221421568627449</v>
      </c>
    </row>
    <row r="29" spans="1:10" ht="15" thickBot="1" x14ac:dyDescent="0.4">
      <c r="H29" s="38" t="s">
        <v>62</v>
      </c>
      <c r="I29" s="81">
        <f>I24/F96</f>
        <v>-15.674161016949151</v>
      </c>
    </row>
    <row r="30" spans="1:10" ht="15" thickBot="1" x14ac:dyDescent="0.4"/>
    <row r="31" spans="1:10" ht="15" thickBot="1" x14ac:dyDescent="0.4">
      <c r="H31" s="293" t="s">
        <v>63</v>
      </c>
      <c r="I31" s="294"/>
    </row>
    <row r="32" spans="1:10" x14ac:dyDescent="0.35">
      <c r="H32" s="9" t="s">
        <v>64</v>
      </c>
      <c r="I32" s="10">
        <f>F20</f>
        <v>15000</v>
      </c>
    </row>
    <row r="33" spans="8:9" x14ac:dyDescent="0.35">
      <c r="H33" s="17" t="s">
        <v>58</v>
      </c>
      <c r="I33" s="80">
        <f>I32/F56</f>
        <v>1.875</v>
      </c>
    </row>
    <row r="34" spans="8:9" x14ac:dyDescent="0.35">
      <c r="H34" s="17" t="s">
        <v>59</v>
      </c>
      <c r="I34" s="80">
        <f>I32/F68</f>
        <v>1.25</v>
      </c>
    </row>
    <row r="35" spans="8:9" x14ac:dyDescent="0.35">
      <c r="H35" s="17" t="s">
        <v>60</v>
      </c>
      <c r="I35" s="80">
        <f>I32/F107</f>
        <v>1.0714285714285714</v>
      </c>
    </row>
    <row r="36" spans="8:9" x14ac:dyDescent="0.35">
      <c r="H36" s="17" t="s">
        <v>61</v>
      </c>
      <c r="I36" s="80">
        <f>I32/F81</f>
        <v>1.5</v>
      </c>
    </row>
    <row r="37" spans="8:9" ht="15" thickBot="1" x14ac:dyDescent="0.4">
      <c r="H37" s="38" t="s">
        <v>62</v>
      </c>
      <c r="I37" s="81">
        <f>I32/F94</f>
        <v>0.75</v>
      </c>
    </row>
    <row r="43" spans="8:9" ht="3.75" customHeight="1" x14ac:dyDescent="0.35"/>
    <row r="45" spans="8:9" ht="15" customHeight="1" x14ac:dyDescent="0.35"/>
    <row r="49" spans="1:6" ht="75.75" customHeight="1" thickBot="1" x14ac:dyDescent="0.4"/>
    <row r="50" spans="1:6" ht="21.5" thickBot="1" x14ac:dyDescent="0.4">
      <c r="A50" s="320" t="s">
        <v>65</v>
      </c>
      <c r="B50" s="321"/>
      <c r="C50" s="321"/>
      <c r="D50" s="321"/>
      <c r="E50" s="321"/>
      <c r="F50" s="322"/>
    </row>
    <row r="51" spans="1:6" x14ac:dyDescent="0.35">
      <c r="A51" s="82" t="s">
        <v>30</v>
      </c>
      <c r="B51" s="83" t="s">
        <v>66</v>
      </c>
      <c r="C51" s="84" t="s">
        <v>31</v>
      </c>
      <c r="D51" s="84" t="s">
        <v>5</v>
      </c>
      <c r="E51" s="84" t="s">
        <v>67</v>
      </c>
      <c r="F51" s="85" t="s">
        <v>33</v>
      </c>
    </row>
    <row r="52" spans="1:6" ht="15" thickBot="1" x14ac:dyDescent="0.4">
      <c r="A52" s="86" t="s">
        <v>68</v>
      </c>
      <c r="B52" s="87">
        <f>13000/6</f>
        <v>2166.6666666666665</v>
      </c>
      <c r="C52" s="88" t="s">
        <v>12</v>
      </c>
      <c r="D52" s="89">
        <v>330</v>
      </c>
      <c r="E52" s="90">
        <f>B52/D52</f>
        <v>6.5656565656565649</v>
      </c>
      <c r="F52" s="91">
        <f>E52*D52</f>
        <v>2166.6666666666665</v>
      </c>
    </row>
    <row r="53" spans="1:6" x14ac:dyDescent="0.35">
      <c r="A53" s="323" t="s">
        <v>69</v>
      </c>
      <c r="B53" s="324"/>
      <c r="C53" s="325"/>
      <c r="D53" s="302" t="s">
        <v>44</v>
      </c>
      <c r="E53" s="303"/>
      <c r="F53" s="65">
        <f>F52</f>
        <v>2166.6666666666665</v>
      </c>
    </row>
    <row r="54" spans="1:6" x14ac:dyDescent="0.35">
      <c r="A54" s="326" t="s">
        <v>70</v>
      </c>
      <c r="B54" s="327"/>
      <c r="C54" s="328"/>
      <c r="D54" s="310" t="s">
        <v>46</v>
      </c>
      <c r="E54" s="311"/>
      <c r="F54" s="66">
        <f>F53*10%</f>
        <v>216.66666666666666</v>
      </c>
    </row>
    <row r="55" spans="1:6" ht="15" customHeight="1" x14ac:dyDescent="0.35">
      <c r="A55" s="329"/>
      <c r="B55" s="330"/>
      <c r="C55" s="331"/>
      <c r="D55" s="312" t="s">
        <v>48</v>
      </c>
      <c r="E55" s="313"/>
      <c r="F55" s="67">
        <f>F53+F54</f>
        <v>2383.333333333333</v>
      </c>
    </row>
    <row r="56" spans="1:6" x14ac:dyDescent="0.35">
      <c r="A56" s="329"/>
      <c r="B56" s="330"/>
      <c r="C56" s="331"/>
      <c r="D56" s="314" t="s">
        <v>49</v>
      </c>
      <c r="E56" s="315"/>
      <c r="F56" s="68">
        <v>8000</v>
      </c>
    </row>
    <row r="57" spans="1:6" x14ac:dyDescent="0.35">
      <c r="A57" s="329"/>
      <c r="B57" s="330"/>
      <c r="C57" s="331"/>
      <c r="D57" s="316" t="s">
        <v>51</v>
      </c>
      <c r="E57" s="317"/>
      <c r="F57" s="69">
        <f>F56*8%</f>
        <v>640</v>
      </c>
    </row>
    <row r="58" spans="1:6" ht="15" customHeight="1" x14ac:dyDescent="0.35">
      <c r="A58" s="329"/>
      <c r="B58" s="330"/>
      <c r="C58" s="331"/>
      <c r="D58" s="310" t="s">
        <v>53</v>
      </c>
      <c r="E58" s="311"/>
      <c r="F58" s="67">
        <f>F56-F55-F57</f>
        <v>4976.666666666667</v>
      </c>
    </row>
    <row r="59" spans="1:6" x14ac:dyDescent="0.35">
      <c r="A59" s="329"/>
      <c r="B59" s="330"/>
      <c r="C59" s="331"/>
      <c r="D59" s="310" t="s">
        <v>54</v>
      </c>
      <c r="E59" s="311"/>
      <c r="F59" s="72">
        <f>IFERROR(F55/F56,0)</f>
        <v>0.29791666666666661</v>
      </c>
    </row>
    <row r="60" spans="1:6" ht="15" thickBot="1" x14ac:dyDescent="0.4">
      <c r="A60" s="332"/>
      <c r="B60" s="333"/>
      <c r="C60" s="334"/>
      <c r="D60" s="318" t="s">
        <v>56</v>
      </c>
      <c r="E60" s="319"/>
      <c r="F60" s="74">
        <f>IFERROR(F58/F56,0)</f>
        <v>0.62208333333333332</v>
      </c>
    </row>
    <row r="61" spans="1:6" ht="15" thickBot="1" x14ac:dyDescent="0.4">
      <c r="A61" s="73"/>
      <c r="B61" s="73"/>
      <c r="C61" s="73"/>
      <c r="D61" s="73"/>
      <c r="E61" s="73"/>
      <c r="F61" s="73"/>
    </row>
    <row r="62" spans="1:6" ht="21.5" thickBot="1" x14ac:dyDescent="0.4">
      <c r="A62" s="320" t="s">
        <v>71</v>
      </c>
      <c r="B62" s="321"/>
      <c r="C62" s="321"/>
      <c r="D62" s="321"/>
      <c r="E62" s="321"/>
      <c r="F62" s="322"/>
    </row>
    <row r="63" spans="1:6" ht="26" x14ac:dyDescent="0.35">
      <c r="A63" s="82" t="s">
        <v>30</v>
      </c>
      <c r="B63" s="83" t="s">
        <v>66</v>
      </c>
      <c r="C63" s="84" t="s">
        <v>31</v>
      </c>
      <c r="D63" s="84" t="s">
        <v>5</v>
      </c>
      <c r="E63" s="84" t="s">
        <v>32</v>
      </c>
      <c r="F63" s="85" t="s">
        <v>33</v>
      </c>
    </row>
    <row r="64" spans="1:6" ht="15" thickBot="1" x14ac:dyDescent="0.4">
      <c r="A64" s="86" t="s">
        <v>72</v>
      </c>
      <c r="B64" s="87">
        <f>22000/6</f>
        <v>3666.6666666666665</v>
      </c>
      <c r="C64" s="88" t="s">
        <v>12</v>
      </c>
      <c r="D64" s="89">
        <v>330</v>
      </c>
      <c r="E64" s="90">
        <f>B64/D64</f>
        <v>11.111111111111111</v>
      </c>
      <c r="F64" s="91">
        <f>E64*D64</f>
        <v>3666.6666666666665</v>
      </c>
    </row>
    <row r="65" spans="1:6" x14ac:dyDescent="0.35">
      <c r="A65" s="323" t="s">
        <v>69</v>
      </c>
      <c r="B65" s="324"/>
      <c r="C65" s="325"/>
      <c r="D65" s="302" t="s">
        <v>44</v>
      </c>
      <c r="E65" s="303"/>
      <c r="F65" s="65">
        <f>F64</f>
        <v>3666.6666666666665</v>
      </c>
    </row>
    <row r="66" spans="1:6" x14ac:dyDescent="0.35">
      <c r="A66" s="326" t="s">
        <v>73</v>
      </c>
      <c r="B66" s="327"/>
      <c r="C66" s="328"/>
      <c r="D66" s="310" t="s">
        <v>46</v>
      </c>
      <c r="E66" s="311"/>
      <c r="F66" s="66">
        <f>F65*10%</f>
        <v>366.66666666666669</v>
      </c>
    </row>
    <row r="67" spans="1:6" x14ac:dyDescent="0.35">
      <c r="A67" s="329"/>
      <c r="B67" s="330"/>
      <c r="C67" s="331"/>
      <c r="D67" s="312" t="s">
        <v>48</v>
      </c>
      <c r="E67" s="313"/>
      <c r="F67" s="67">
        <f>F65+F66</f>
        <v>4033.333333333333</v>
      </c>
    </row>
    <row r="68" spans="1:6" x14ac:dyDescent="0.35">
      <c r="A68" s="329"/>
      <c r="B68" s="330"/>
      <c r="C68" s="331"/>
      <c r="D68" s="314" t="s">
        <v>49</v>
      </c>
      <c r="E68" s="315"/>
      <c r="F68" s="68">
        <v>12000</v>
      </c>
    </row>
    <row r="69" spans="1:6" ht="15" customHeight="1" x14ac:dyDescent="0.35">
      <c r="A69" s="329"/>
      <c r="B69" s="330"/>
      <c r="C69" s="331"/>
      <c r="D69" s="316" t="s">
        <v>51</v>
      </c>
      <c r="E69" s="317"/>
      <c r="F69" s="69">
        <f>F68*8%</f>
        <v>960</v>
      </c>
    </row>
    <row r="70" spans="1:6" x14ac:dyDescent="0.35">
      <c r="A70" s="329"/>
      <c r="B70" s="330"/>
      <c r="C70" s="331"/>
      <c r="D70" s="310" t="s">
        <v>53</v>
      </c>
      <c r="E70" s="311"/>
      <c r="F70" s="67">
        <f>F68-F67-F69</f>
        <v>7006.666666666667</v>
      </c>
    </row>
    <row r="71" spans="1:6" ht="15" customHeight="1" x14ac:dyDescent="0.35">
      <c r="A71" s="329"/>
      <c r="B71" s="330"/>
      <c r="C71" s="331"/>
      <c r="D71" s="310" t="s">
        <v>54</v>
      </c>
      <c r="E71" s="311"/>
      <c r="F71" s="72">
        <f>IFERROR(F67/F68,0)</f>
        <v>0.33611111111111108</v>
      </c>
    </row>
    <row r="72" spans="1:6" ht="15" thickBot="1" x14ac:dyDescent="0.4">
      <c r="A72" s="332"/>
      <c r="B72" s="333"/>
      <c r="C72" s="334"/>
      <c r="D72" s="318" t="s">
        <v>56</v>
      </c>
      <c r="E72" s="319"/>
      <c r="F72" s="74">
        <f>IFERROR(F70/F68,0)</f>
        <v>0.5838888888888889</v>
      </c>
    </row>
    <row r="74" spans="1:6" ht="15" thickBot="1" x14ac:dyDescent="0.4"/>
    <row r="75" spans="1:6" ht="21.5" thickBot="1" x14ac:dyDescent="0.4">
      <c r="A75" s="320" t="s">
        <v>74</v>
      </c>
      <c r="B75" s="321"/>
      <c r="C75" s="321"/>
      <c r="D75" s="321"/>
      <c r="E75" s="321"/>
      <c r="F75" s="322"/>
    </row>
    <row r="76" spans="1:6" ht="26" x14ac:dyDescent="0.35">
      <c r="A76" s="82" t="s">
        <v>30</v>
      </c>
      <c r="B76" s="83" t="s">
        <v>66</v>
      </c>
      <c r="C76" s="84" t="s">
        <v>31</v>
      </c>
      <c r="D76" s="84" t="s">
        <v>5</v>
      </c>
      <c r="E76" s="84" t="s">
        <v>32</v>
      </c>
      <c r="F76" s="85" t="s">
        <v>33</v>
      </c>
    </row>
    <row r="77" spans="1:6" ht="15" thickBot="1" x14ac:dyDescent="0.4">
      <c r="A77" s="86" t="s">
        <v>75</v>
      </c>
      <c r="B77" s="87">
        <v>35000</v>
      </c>
      <c r="C77" s="88" t="s">
        <v>12</v>
      </c>
      <c r="D77" s="89">
        <v>60</v>
      </c>
      <c r="E77" s="90">
        <f>B77/750</f>
        <v>46.666666666666664</v>
      </c>
      <c r="F77" s="91">
        <f>E77*D77</f>
        <v>2800</v>
      </c>
    </row>
    <row r="78" spans="1:6" x14ac:dyDescent="0.35">
      <c r="A78" s="323" t="s">
        <v>69</v>
      </c>
      <c r="B78" s="324"/>
      <c r="C78" s="325"/>
      <c r="D78" s="302" t="s">
        <v>44</v>
      </c>
      <c r="E78" s="303"/>
      <c r="F78" s="65">
        <f>F77</f>
        <v>2800</v>
      </c>
    </row>
    <row r="79" spans="1:6" x14ac:dyDescent="0.35">
      <c r="A79" s="326" t="s">
        <v>76</v>
      </c>
      <c r="B79" s="327"/>
      <c r="C79" s="328"/>
      <c r="D79" s="310" t="s">
        <v>46</v>
      </c>
      <c r="E79" s="311"/>
      <c r="F79" s="66">
        <f>F78*10%</f>
        <v>280</v>
      </c>
    </row>
    <row r="80" spans="1:6" x14ac:dyDescent="0.35">
      <c r="A80" s="329"/>
      <c r="B80" s="330"/>
      <c r="C80" s="331"/>
      <c r="D80" s="312" t="s">
        <v>48</v>
      </c>
      <c r="E80" s="313"/>
      <c r="F80" s="67">
        <f>F78+F79</f>
        <v>3080</v>
      </c>
    </row>
    <row r="81" spans="1:9" x14ac:dyDescent="0.35">
      <c r="A81" s="329"/>
      <c r="B81" s="330"/>
      <c r="C81" s="331"/>
      <c r="D81" s="314" t="s">
        <v>49</v>
      </c>
      <c r="E81" s="315"/>
      <c r="F81" s="68">
        <v>10000</v>
      </c>
    </row>
    <row r="82" spans="1:9" ht="15" customHeight="1" x14ac:dyDescent="0.35">
      <c r="A82" s="329"/>
      <c r="B82" s="330"/>
      <c r="C82" s="331"/>
      <c r="D82" s="316" t="s">
        <v>51</v>
      </c>
      <c r="E82" s="317"/>
      <c r="F82" s="69">
        <f>F81*8%</f>
        <v>800</v>
      </c>
    </row>
    <row r="83" spans="1:9" x14ac:dyDescent="0.35">
      <c r="A83" s="329"/>
      <c r="B83" s="330"/>
      <c r="C83" s="331"/>
      <c r="D83" s="310" t="s">
        <v>53</v>
      </c>
      <c r="E83" s="311"/>
      <c r="F83" s="67">
        <f>F81-F80-F82</f>
        <v>6120</v>
      </c>
      <c r="I83" s="92"/>
    </row>
    <row r="84" spans="1:9" ht="15" customHeight="1" x14ac:dyDescent="0.35">
      <c r="A84" s="329"/>
      <c r="B84" s="330"/>
      <c r="C84" s="331"/>
      <c r="D84" s="310" t="s">
        <v>54</v>
      </c>
      <c r="E84" s="311"/>
      <c r="F84" s="72">
        <f>IFERROR(F80/F81,0)</f>
        <v>0.308</v>
      </c>
      <c r="I84" s="92"/>
    </row>
    <row r="85" spans="1:9" ht="15" thickBot="1" x14ac:dyDescent="0.4">
      <c r="A85" s="332"/>
      <c r="B85" s="333"/>
      <c r="C85" s="334"/>
      <c r="D85" s="318" t="s">
        <v>56</v>
      </c>
      <c r="E85" s="319"/>
      <c r="F85" s="74">
        <f>IFERROR(F83/F81,0)</f>
        <v>0.61199999999999999</v>
      </c>
      <c r="I85" s="92"/>
    </row>
    <row r="87" spans="1:9" ht="15" thickBot="1" x14ac:dyDescent="0.4"/>
    <row r="88" spans="1:9" ht="21.5" thickBot="1" x14ac:dyDescent="0.4">
      <c r="A88" s="320" t="s">
        <v>77</v>
      </c>
      <c r="B88" s="321"/>
      <c r="C88" s="321"/>
      <c r="D88" s="321"/>
      <c r="E88" s="321"/>
      <c r="F88" s="322"/>
    </row>
    <row r="89" spans="1:9" ht="26" x14ac:dyDescent="0.35">
      <c r="A89" s="82" t="s">
        <v>30</v>
      </c>
      <c r="B89" s="83" t="s">
        <v>66</v>
      </c>
      <c r="C89" s="84" t="s">
        <v>31</v>
      </c>
      <c r="D89" s="84" t="s">
        <v>5</v>
      </c>
      <c r="E89" s="84" t="s">
        <v>32</v>
      </c>
      <c r="F89" s="85" t="s">
        <v>33</v>
      </c>
    </row>
    <row r="90" spans="1:9" ht="15" thickBot="1" x14ac:dyDescent="0.4">
      <c r="A90" s="86" t="s">
        <v>78</v>
      </c>
      <c r="B90" s="87">
        <v>75000</v>
      </c>
      <c r="C90" s="88" t="s">
        <v>12</v>
      </c>
      <c r="D90" s="89">
        <v>60</v>
      </c>
      <c r="E90" s="90">
        <f>B90/750</f>
        <v>100</v>
      </c>
      <c r="F90" s="91">
        <f>E90*D90</f>
        <v>6000</v>
      </c>
    </row>
    <row r="91" spans="1:9" x14ac:dyDescent="0.35">
      <c r="A91" s="323" t="s">
        <v>69</v>
      </c>
      <c r="B91" s="324"/>
      <c r="C91" s="325"/>
      <c r="D91" s="302" t="s">
        <v>44</v>
      </c>
      <c r="E91" s="303"/>
      <c r="F91" s="65">
        <f>F90</f>
        <v>6000</v>
      </c>
    </row>
    <row r="92" spans="1:9" x14ac:dyDescent="0.35">
      <c r="A92" s="326" t="s">
        <v>79</v>
      </c>
      <c r="B92" s="327"/>
      <c r="C92" s="328"/>
      <c r="D92" s="310" t="s">
        <v>46</v>
      </c>
      <c r="E92" s="311"/>
      <c r="F92" s="66">
        <f>F91*10%</f>
        <v>600</v>
      </c>
    </row>
    <row r="93" spans="1:9" x14ac:dyDescent="0.35">
      <c r="A93" s="329"/>
      <c r="B93" s="330"/>
      <c r="C93" s="331"/>
      <c r="D93" s="312" t="s">
        <v>48</v>
      </c>
      <c r="E93" s="313"/>
      <c r="F93" s="67">
        <f>F91+F92</f>
        <v>6600</v>
      </c>
    </row>
    <row r="94" spans="1:9" x14ac:dyDescent="0.35">
      <c r="A94" s="329"/>
      <c r="B94" s="330"/>
      <c r="C94" s="331"/>
      <c r="D94" s="314" t="s">
        <v>49</v>
      </c>
      <c r="E94" s="315"/>
      <c r="F94" s="68">
        <v>20000</v>
      </c>
    </row>
    <row r="95" spans="1:9" ht="15" customHeight="1" x14ac:dyDescent="0.35">
      <c r="A95" s="329"/>
      <c r="B95" s="330"/>
      <c r="C95" s="331"/>
      <c r="D95" s="316" t="s">
        <v>51</v>
      </c>
      <c r="E95" s="317"/>
      <c r="F95" s="69">
        <f>F94*8%</f>
        <v>1600</v>
      </c>
    </row>
    <row r="96" spans="1:9" x14ac:dyDescent="0.35">
      <c r="A96" s="329"/>
      <c r="B96" s="330"/>
      <c r="C96" s="331"/>
      <c r="D96" s="310" t="s">
        <v>53</v>
      </c>
      <c r="E96" s="311"/>
      <c r="F96" s="67">
        <f>F94-F93-F95</f>
        <v>11800</v>
      </c>
    </row>
    <row r="97" spans="1:6" x14ac:dyDescent="0.35">
      <c r="A97" s="329"/>
      <c r="B97" s="330"/>
      <c r="C97" s="331"/>
      <c r="D97" s="310" t="s">
        <v>54</v>
      </c>
      <c r="E97" s="311"/>
      <c r="F97" s="72">
        <f>IFERROR(F93/F94,0)</f>
        <v>0.33</v>
      </c>
    </row>
    <row r="98" spans="1:6" ht="15" thickBot="1" x14ac:dyDescent="0.4">
      <c r="A98" s="332"/>
      <c r="B98" s="333"/>
      <c r="C98" s="334"/>
      <c r="D98" s="318" t="s">
        <v>56</v>
      </c>
      <c r="E98" s="319"/>
      <c r="F98" s="74">
        <f>IFERROR(F96/F94,0)</f>
        <v>0.59</v>
      </c>
    </row>
    <row r="100" spans="1:6" ht="15" thickBot="1" x14ac:dyDescent="0.4"/>
    <row r="101" spans="1:6" ht="21.5" thickBot="1" x14ac:dyDescent="0.4">
      <c r="A101" s="320" t="s">
        <v>80</v>
      </c>
      <c r="B101" s="321"/>
      <c r="C101" s="321"/>
      <c r="D101" s="321"/>
      <c r="E101" s="321"/>
      <c r="F101" s="322"/>
    </row>
    <row r="102" spans="1:6" ht="26" x14ac:dyDescent="0.35">
      <c r="A102" s="82" t="s">
        <v>30</v>
      </c>
      <c r="B102" s="83" t="s">
        <v>66</v>
      </c>
      <c r="C102" s="84" t="s">
        <v>31</v>
      </c>
      <c r="D102" s="84" t="s">
        <v>81</v>
      </c>
      <c r="E102" s="84" t="s">
        <v>32</v>
      </c>
      <c r="F102" s="85" t="s">
        <v>33</v>
      </c>
    </row>
    <row r="103" spans="1:6" ht="15" thickBot="1" x14ac:dyDescent="0.4">
      <c r="A103" s="86" t="s">
        <v>82</v>
      </c>
      <c r="B103" s="87">
        <v>25000</v>
      </c>
      <c r="C103" s="88" t="s">
        <v>12</v>
      </c>
      <c r="D103" s="89">
        <v>125</v>
      </c>
      <c r="E103" s="90">
        <f>B103/750</f>
        <v>33.333333333333336</v>
      </c>
      <c r="F103" s="91">
        <f>E103*D103</f>
        <v>4166.666666666667</v>
      </c>
    </row>
    <row r="104" spans="1:6" x14ac:dyDescent="0.35">
      <c r="A104" s="323" t="s">
        <v>69</v>
      </c>
      <c r="B104" s="324"/>
      <c r="C104" s="325"/>
      <c r="D104" s="302" t="s">
        <v>44</v>
      </c>
      <c r="E104" s="303"/>
      <c r="F104" s="65">
        <f>F103</f>
        <v>4166.666666666667</v>
      </c>
    </row>
    <row r="105" spans="1:6" x14ac:dyDescent="0.35">
      <c r="A105" s="326" t="s">
        <v>83</v>
      </c>
      <c r="B105" s="327"/>
      <c r="C105" s="328"/>
      <c r="D105" s="310" t="s">
        <v>46</v>
      </c>
      <c r="E105" s="311"/>
      <c r="F105" s="66">
        <f>F104*10%</f>
        <v>416.66666666666674</v>
      </c>
    </row>
    <row r="106" spans="1:6" x14ac:dyDescent="0.35">
      <c r="A106" s="329"/>
      <c r="B106" s="330"/>
      <c r="C106" s="331"/>
      <c r="D106" s="312" t="s">
        <v>48</v>
      </c>
      <c r="E106" s="313"/>
      <c r="F106" s="67">
        <f>F104+F105</f>
        <v>4583.3333333333339</v>
      </c>
    </row>
    <row r="107" spans="1:6" x14ac:dyDescent="0.35">
      <c r="A107" s="329"/>
      <c r="B107" s="330"/>
      <c r="C107" s="331"/>
      <c r="D107" s="314" t="s">
        <v>49</v>
      </c>
      <c r="E107" s="315"/>
      <c r="F107" s="68">
        <v>14000</v>
      </c>
    </row>
    <row r="108" spans="1:6" x14ac:dyDescent="0.35">
      <c r="A108" s="329"/>
      <c r="B108" s="330"/>
      <c r="C108" s="331"/>
      <c r="D108" s="316" t="s">
        <v>51</v>
      </c>
      <c r="E108" s="317"/>
      <c r="F108" s="69">
        <f>F107*8%</f>
        <v>1120</v>
      </c>
    </row>
    <row r="109" spans="1:6" x14ac:dyDescent="0.35">
      <c r="A109" s="329"/>
      <c r="B109" s="330"/>
      <c r="C109" s="331"/>
      <c r="D109" s="310" t="s">
        <v>53</v>
      </c>
      <c r="E109" s="311"/>
      <c r="F109" s="67">
        <f>F107-F106-F108</f>
        <v>8296.6666666666661</v>
      </c>
    </row>
    <row r="110" spans="1:6" x14ac:dyDescent="0.35">
      <c r="A110" s="329"/>
      <c r="B110" s="330"/>
      <c r="C110" s="331"/>
      <c r="D110" s="310" t="s">
        <v>54</v>
      </c>
      <c r="E110" s="311"/>
      <c r="F110" s="72">
        <f>IFERROR(F106/F107,0)</f>
        <v>0.32738095238095244</v>
      </c>
    </row>
    <row r="111" spans="1:6" ht="15" thickBot="1" x14ac:dyDescent="0.4">
      <c r="A111" s="332"/>
      <c r="B111" s="333"/>
      <c r="C111" s="334"/>
      <c r="D111" s="318" t="s">
        <v>56</v>
      </c>
      <c r="E111" s="319"/>
      <c r="F111" s="74">
        <f>IFERROR(F109/F107,0)</f>
        <v>0.5926190476190476</v>
      </c>
    </row>
  </sheetData>
  <sheetProtection algorithmName="SHA-512" hashValue="MgNkKq7jnAWGefa796UyGx2Yb5rhtBkq3s0NQRYpIuGcZ//QJCJAH5ZULHl5wBkszx6nsypCTxaEtcgZz9Vt3g==" saltValue="Z3u9TYPzLTTvQ6g5S1l3+A==" spinCount="100000" sheet="1" objects="1" scenarios="1" formatCells="0" formatRows="0" selectLockedCells="1"/>
  <protectedRanges>
    <protectedRange sqref="B52 D52 F56 B64 D64 F68 B77 D77 F81 B90 D90 F94 B103 D103 F107" name="PRUEBA FINAL"/>
    <protectedRange sqref="E5:E9 D12:D16 F20" name="FINAL_1"/>
    <protectedRange sqref="E5:E9 D12:D16 F20" name="EDITABLES"/>
  </protectedRanges>
  <mergeCells count="78">
    <mergeCell ref="D111:E111"/>
    <mergeCell ref="A101:F101"/>
    <mergeCell ref="A104:C104"/>
    <mergeCell ref="D104:E104"/>
    <mergeCell ref="A105:C111"/>
    <mergeCell ref="D105:E105"/>
    <mergeCell ref="D106:E106"/>
    <mergeCell ref="D107:E107"/>
    <mergeCell ref="D108:E108"/>
    <mergeCell ref="D109:E109"/>
    <mergeCell ref="D110:E110"/>
    <mergeCell ref="A92:C98"/>
    <mergeCell ref="D92:E92"/>
    <mergeCell ref="D93:E93"/>
    <mergeCell ref="D94:E94"/>
    <mergeCell ref="D95:E95"/>
    <mergeCell ref="D96:E96"/>
    <mergeCell ref="D97:E97"/>
    <mergeCell ref="D98:E98"/>
    <mergeCell ref="D85:E85"/>
    <mergeCell ref="A88:F88"/>
    <mergeCell ref="A91:C91"/>
    <mergeCell ref="D91:E91"/>
    <mergeCell ref="A79:C85"/>
    <mergeCell ref="D79:E79"/>
    <mergeCell ref="D80:E80"/>
    <mergeCell ref="D81:E81"/>
    <mergeCell ref="D82:E82"/>
    <mergeCell ref="A75:F75"/>
    <mergeCell ref="A78:C78"/>
    <mergeCell ref="D78:E78"/>
    <mergeCell ref="D83:E83"/>
    <mergeCell ref="D84:E84"/>
    <mergeCell ref="A62:F62"/>
    <mergeCell ref="A65:C65"/>
    <mergeCell ref="D65:E65"/>
    <mergeCell ref="A66:C72"/>
    <mergeCell ref="D66:E66"/>
    <mergeCell ref="D67:E67"/>
    <mergeCell ref="D68:E68"/>
    <mergeCell ref="D69:E69"/>
    <mergeCell ref="D70:E70"/>
    <mergeCell ref="D71:E71"/>
    <mergeCell ref="D72:E72"/>
    <mergeCell ref="A50:F50"/>
    <mergeCell ref="A53:C53"/>
    <mergeCell ref="D53:E53"/>
    <mergeCell ref="A54:C60"/>
    <mergeCell ref="D54:E54"/>
    <mergeCell ref="D55:E55"/>
    <mergeCell ref="D56:E56"/>
    <mergeCell ref="D57:E57"/>
    <mergeCell ref="D58:E58"/>
    <mergeCell ref="D59:E59"/>
    <mergeCell ref="D60:E60"/>
    <mergeCell ref="H31:I31"/>
    <mergeCell ref="A11:A24"/>
    <mergeCell ref="H11:I11"/>
    <mergeCell ref="L12:M12"/>
    <mergeCell ref="B17:C17"/>
    <mergeCell ref="D17:E17"/>
    <mergeCell ref="B18:C24"/>
    <mergeCell ref="D18:E18"/>
    <mergeCell ref="H18:I18"/>
    <mergeCell ref="D19:E19"/>
    <mergeCell ref="D20:E20"/>
    <mergeCell ref="D21:E21"/>
    <mergeCell ref="D22:E22"/>
    <mergeCell ref="D23:E23"/>
    <mergeCell ref="H23:I23"/>
    <mergeCell ref="D24:E24"/>
    <mergeCell ref="A2:F2"/>
    <mergeCell ref="H2:I2"/>
    <mergeCell ref="L2:M2"/>
    <mergeCell ref="A4:A9"/>
    <mergeCell ref="H4:I4"/>
    <mergeCell ref="L4:M4"/>
    <mergeCell ref="J5:J7"/>
  </mergeCell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Hoja67">
    <tabColor rgb="FF009900"/>
  </sheetPr>
  <dimension ref="A2:M115"/>
  <sheetViews>
    <sheetView showGridLines="0" zoomScale="90" zoomScaleNormal="90" workbookViewId="0">
      <selection activeCell="F98" sqref="F98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469</v>
      </c>
    </row>
    <row r="3" spans="1:13" ht="15.5" x14ac:dyDescent="0.35">
      <c r="B3" s="216" t="s">
        <v>374</v>
      </c>
      <c r="C3" s="217" t="s">
        <v>535</v>
      </c>
    </row>
    <row r="4" spans="1:13" ht="15.5" x14ac:dyDescent="0.35">
      <c r="B4" s="216" t="s">
        <v>475</v>
      </c>
      <c r="C4" s="217" t="s">
        <v>502</v>
      </c>
    </row>
    <row r="5" spans="1:13" ht="15" customHeight="1" thickBot="1" x14ac:dyDescent="0.4"/>
    <row r="6" spans="1:13" ht="23.25" customHeight="1" thickBot="1" x14ac:dyDescent="0.4">
      <c r="A6" s="284" t="s">
        <v>537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138</v>
      </c>
      <c r="C9" s="14">
        <v>700</v>
      </c>
      <c r="D9" s="96" t="s">
        <v>12</v>
      </c>
      <c r="E9" s="186">
        <v>54152</v>
      </c>
      <c r="F9" s="115">
        <f>Tabla1345681091113935[[#This Row],[PRECIO]]/Tabla1345681091113935[[#This Row],[CANTIDAD]]</f>
        <v>77.36</v>
      </c>
      <c r="H9" s="9" t="s">
        <v>13</v>
      </c>
      <c r="I9" s="10">
        <f>F26</f>
        <v>44340.4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/>
      <c r="C10" s="13"/>
      <c r="D10" s="14"/>
      <c r="E10" s="186"/>
      <c r="F10" s="115"/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0.7</v>
      </c>
    </row>
    <row r="11" spans="1:13" ht="15" customHeight="1" thickBot="1" x14ac:dyDescent="0.4">
      <c r="A11" s="288"/>
      <c r="B11" s="12"/>
      <c r="C11" s="14"/>
      <c r="D11" s="14"/>
      <c r="E11" s="186"/>
      <c r="F11" s="115"/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187"/>
      <c r="F12" s="115"/>
      <c r="H12" s="25" t="s">
        <v>23</v>
      </c>
      <c r="I12" s="26">
        <f>I9-I10</f>
        <v>39363.733333333337</v>
      </c>
      <c r="J12" s="27">
        <f>(I9-I10)/I10*100%</f>
        <v>7.9096584058941728</v>
      </c>
      <c r="L12" s="17" t="s">
        <v>24</v>
      </c>
      <c r="M12" s="28">
        <f>M9*M10*M11</f>
        <v>218.95999999999998</v>
      </c>
    </row>
    <row r="13" spans="1:13" ht="15.75" customHeight="1" thickBot="1" x14ac:dyDescent="0.4">
      <c r="A13" s="289"/>
      <c r="B13" s="29"/>
      <c r="C13" s="22"/>
      <c r="D13" s="22"/>
      <c r="E13" s="188"/>
      <c r="F13" s="115"/>
      <c r="H13" s="30" t="s">
        <v>26</v>
      </c>
      <c r="I13" s="31">
        <f>I9-I11</f>
        <v>37333.733333333337</v>
      </c>
      <c r="J13" s="32">
        <f>(I9-I11)/I11*100%</f>
        <v>5.3283158896289251</v>
      </c>
      <c r="L13" s="17" t="s">
        <v>27</v>
      </c>
      <c r="M13" s="19">
        <f>D17+D18+D16+D19+30</f>
        <v>730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0.19580419580419581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60" t="s">
        <v>34</v>
      </c>
      <c r="I15" s="361"/>
    </row>
    <row r="16" spans="1:13" ht="15" customHeight="1" thickBot="1" x14ac:dyDescent="0.4">
      <c r="A16" s="296"/>
      <c r="B16" s="44" t="str">
        <f>B9</f>
        <v>VODKA SMIRNOFF</v>
      </c>
      <c r="C16" s="45" t="str">
        <f>D9</f>
        <v>ML</v>
      </c>
      <c r="D16" s="189">
        <v>700</v>
      </c>
      <c r="E16" s="45">
        <f>VLOOKUP(B16,Tabla1345681091113935[],5,FALSE)</f>
        <v>77.36</v>
      </c>
      <c r="F16" s="47">
        <f>E16*D16</f>
        <v>54152</v>
      </c>
      <c r="H16" s="48" t="s">
        <v>13</v>
      </c>
      <c r="I16" s="49">
        <f>F26</f>
        <v>44340.4</v>
      </c>
      <c r="L16" s="290" t="s">
        <v>35</v>
      </c>
      <c r="M16" s="291"/>
    </row>
    <row r="17" spans="1:13" ht="15" customHeight="1" x14ac:dyDescent="0.35">
      <c r="A17" s="296"/>
      <c r="B17" s="50"/>
      <c r="C17" s="51"/>
      <c r="D17" s="190"/>
      <c r="E17" s="51"/>
      <c r="F17" s="53"/>
      <c r="H17" s="17" t="s">
        <v>36</v>
      </c>
      <c r="I17" s="18">
        <f>F87</f>
        <v>35100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/>
      <c r="C18" s="51"/>
      <c r="D18" s="190"/>
      <c r="E18" s="51"/>
      <c r="F18" s="53"/>
      <c r="H18" s="17" t="s">
        <v>38</v>
      </c>
      <c r="I18" s="18">
        <f>F100</f>
        <v>50000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/>
      <c r="C19" s="51"/>
      <c r="D19" s="190"/>
      <c r="E19" s="51"/>
      <c r="F19" s="53"/>
      <c r="H19" s="58" t="s">
        <v>40</v>
      </c>
      <c r="I19" s="26">
        <f>I16-I17</f>
        <v>9240.4000000000015</v>
      </c>
      <c r="J19" s="27">
        <f>(I16-I17)/I17*100%</f>
        <v>0.2632592592592593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/>
      <c r="C20" s="51"/>
      <c r="D20" s="190"/>
      <c r="E20" s="51"/>
      <c r="F20" s="53"/>
      <c r="H20" s="63" t="s">
        <v>41</v>
      </c>
      <c r="I20" s="31">
        <f>I16-I18</f>
        <v>-5659.5999999999985</v>
      </c>
      <c r="J20" s="32">
        <f>(I16-I18)/I18*100%</f>
        <v>-0.11319199999999997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54152</v>
      </c>
    </row>
    <row r="22" spans="1:13" ht="16.5" customHeight="1" thickBot="1" x14ac:dyDescent="0.4">
      <c r="A22" s="296"/>
      <c r="B22" s="304"/>
      <c r="C22" s="305"/>
      <c r="D22" s="310" t="s">
        <v>46</v>
      </c>
      <c r="E22" s="311"/>
      <c r="F22" s="66">
        <f>F21*5%</f>
        <v>2707.6000000000004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56859.6</v>
      </c>
      <c r="H23" s="9" t="s">
        <v>13</v>
      </c>
      <c r="I23" s="10">
        <f>F26</f>
        <v>44340.4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110000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8800</v>
      </c>
      <c r="H25" s="30" t="s">
        <v>52</v>
      </c>
      <c r="I25" s="70">
        <f>I23-I24</f>
        <v>36043.733333333337</v>
      </c>
      <c r="J25" s="71">
        <f>(I23-I24)/I23*100%</f>
        <v>0.81288696839300811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44340.4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0.51690545454545456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0.40309454545454548</v>
      </c>
      <c r="G28" s="73"/>
      <c r="H28" s="9" t="s">
        <v>57</v>
      </c>
      <c r="I28" s="10">
        <f>F26</f>
        <v>44340.4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8.9096584058941719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6.3283158896289251</v>
      </c>
    </row>
    <row r="31" spans="1:13" x14ac:dyDescent="0.35">
      <c r="H31" s="17" t="s">
        <v>60</v>
      </c>
      <c r="I31" s="80">
        <f>I28/F113</f>
        <v>5.3443631980715152</v>
      </c>
    </row>
    <row r="32" spans="1:13" x14ac:dyDescent="0.35">
      <c r="H32" s="17" t="s">
        <v>61</v>
      </c>
      <c r="I32" s="80">
        <f>I28/F87</f>
        <v>1.2632592592592593</v>
      </c>
    </row>
    <row r="33" spans="8:9" ht="15" thickBot="1" x14ac:dyDescent="0.4">
      <c r="H33" s="38" t="s">
        <v>62</v>
      </c>
      <c r="I33" s="81">
        <f>I28/F100</f>
        <v>0.88680800000000004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110000</v>
      </c>
    </row>
    <row r="37" spans="8:9" x14ac:dyDescent="0.35">
      <c r="H37" s="17" t="s">
        <v>58</v>
      </c>
      <c r="I37" s="80">
        <f>I36/F60</f>
        <v>13.75</v>
      </c>
    </row>
    <row r="38" spans="8:9" x14ac:dyDescent="0.35">
      <c r="H38" s="17" t="s">
        <v>59</v>
      </c>
      <c r="I38" s="80">
        <f>I36/F72</f>
        <v>9.1666666666666661</v>
      </c>
    </row>
    <row r="39" spans="8:9" x14ac:dyDescent="0.35">
      <c r="H39" s="17" t="s">
        <v>60</v>
      </c>
      <c r="I39" s="80">
        <f>I36/F111</f>
        <v>7.8571428571428568</v>
      </c>
    </row>
    <row r="40" spans="8:9" x14ac:dyDescent="0.35">
      <c r="H40" s="17" t="s">
        <v>61</v>
      </c>
      <c r="I40" s="80">
        <f>I36/F85</f>
        <v>1.375</v>
      </c>
    </row>
    <row r="41" spans="8:9" ht="15" thickBot="1" x14ac:dyDescent="0.4">
      <c r="H41" s="38" t="s">
        <v>62</v>
      </c>
      <c r="I41" s="81">
        <f>I36/F98</f>
        <v>0.73333333333333328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87">
        <f>13000/6</f>
        <v>2166.6666666666665</v>
      </c>
      <c r="C56" s="88" t="s">
        <v>12</v>
      </c>
      <c r="D56" s="89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54" t="s">
        <v>69</v>
      </c>
      <c r="B57" s="355"/>
      <c r="C57" s="356"/>
      <c r="D57" s="357" t="s">
        <v>44</v>
      </c>
      <c r="E57" s="358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42" t="s">
        <v>46</v>
      </c>
      <c r="E58" s="343"/>
      <c r="F58" s="66">
        <f>F57*10%</f>
        <v>216.66666666666666</v>
      </c>
    </row>
    <row r="59" spans="1:6" x14ac:dyDescent="0.35">
      <c r="A59" s="329"/>
      <c r="B59" s="359"/>
      <c r="C59" s="331"/>
      <c r="D59" s="344" t="s">
        <v>48</v>
      </c>
      <c r="E59" s="345"/>
      <c r="F59" s="67">
        <f>F57+F58</f>
        <v>2383.333333333333</v>
      </c>
    </row>
    <row r="60" spans="1:6" x14ac:dyDescent="0.35">
      <c r="A60" s="329"/>
      <c r="B60" s="359"/>
      <c r="C60" s="331"/>
      <c r="D60" s="346" t="s">
        <v>49</v>
      </c>
      <c r="E60" s="347"/>
      <c r="F60" s="68">
        <v>8000</v>
      </c>
    </row>
    <row r="61" spans="1:6" x14ac:dyDescent="0.35">
      <c r="A61" s="329"/>
      <c r="B61" s="359"/>
      <c r="C61" s="331"/>
      <c r="D61" s="348" t="s">
        <v>51</v>
      </c>
      <c r="E61" s="349"/>
      <c r="F61" s="69">
        <f>F60*8%</f>
        <v>640</v>
      </c>
    </row>
    <row r="62" spans="1:6" x14ac:dyDescent="0.35">
      <c r="A62" s="329"/>
      <c r="B62" s="359"/>
      <c r="C62" s="331"/>
      <c r="D62" s="342" t="s">
        <v>53</v>
      </c>
      <c r="E62" s="343"/>
      <c r="F62" s="67">
        <f>F60-F59-F61</f>
        <v>4976.666666666667</v>
      </c>
    </row>
    <row r="63" spans="1:6" x14ac:dyDescent="0.35">
      <c r="A63" s="329"/>
      <c r="B63" s="359"/>
      <c r="C63" s="331"/>
      <c r="D63" s="342" t="s">
        <v>54</v>
      </c>
      <c r="E63" s="343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50" t="s">
        <v>56</v>
      </c>
      <c r="E64" s="351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87">
        <f>22000/6</f>
        <v>3666.6666666666665</v>
      </c>
      <c r="C68" s="88" t="s">
        <v>12</v>
      </c>
      <c r="D68" s="89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54" t="s">
        <v>69</v>
      </c>
      <c r="B69" s="355"/>
      <c r="C69" s="356"/>
      <c r="D69" s="357" t="s">
        <v>44</v>
      </c>
      <c r="E69" s="358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42" t="s">
        <v>46</v>
      </c>
      <c r="E70" s="343"/>
      <c r="F70" s="66">
        <f>F69*10%</f>
        <v>366.66666666666669</v>
      </c>
    </row>
    <row r="71" spans="1:6" x14ac:dyDescent="0.35">
      <c r="A71" s="329"/>
      <c r="B71" s="359"/>
      <c r="C71" s="331"/>
      <c r="D71" s="344" t="s">
        <v>48</v>
      </c>
      <c r="E71" s="345"/>
      <c r="F71" s="67">
        <f>F69+F70</f>
        <v>4033.333333333333</v>
      </c>
    </row>
    <row r="72" spans="1:6" x14ac:dyDescent="0.35">
      <c r="A72" s="329"/>
      <c r="B72" s="359"/>
      <c r="C72" s="331"/>
      <c r="D72" s="346" t="s">
        <v>49</v>
      </c>
      <c r="E72" s="347"/>
      <c r="F72" s="68">
        <v>12000</v>
      </c>
    </row>
    <row r="73" spans="1:6" x14ac:dyDescent="0.35">
      <c r="A73" s="329"/>
      <c r="B73" s="359"/>
      <c r="C73" s="331"/>
      <c r="D73" s="348" t="s">
        <v>51</v>
      </c>
      <c r="E73" s="349"/>
      <c r="F73" s="69">
        <f>F72*8%</f>
        <v>960</v>
      </c>
    </row>
    <row r="74" spans="1:6" x14ac:dyDescent="0.35">
      <c r="A74" s="329"/>
      <c r="B74" s="359"/>
      <c r="C74" s="331"/>
      <c r="D74" s="342" t="s">
        <v>53</v>
      </c>
      <c r="E74" s="343"/>
      <c r="F74" s="67">
        <f>F72-F71-F73</f>
        <v>7006.666666666667</v>
      </c>
    </row>
    <row r="75" spans="1:6" x14ac:dyDescent="0.35">
      <c r="A75" s="329"/>
      <c r="B75" s="359"/>
      <c r="C75" s="331"/>
      <c r="D75" s="342" t="s">
        <v>54</v>
      </c>
      <c r="E75" s="343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50" t="s">
        <v>56</v>
      </c>
      <c r="E76" s="351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750</v>
      </c>
      <c r="E81" s="90">
        <f>B81/750</f>
        <v>46.666666666666664</v>
      </c>
      <c r="F81" s="91">
        <f>E81*D81</f>
        <v>35000</v>
      </c>
    </row>
    <row r="82" spans="1:9" x14ac:dyDescent="0.35">
      <c r="A82" s="354" t="s">
        <v>69</v>
      </c>
      <c r="B82" s="355"/>
      <c r="C82" s="356"/>
      <c r="D82" s="357" t="s">
        <v>44</v>
      </c>
      <c r="E82" s="358"/>
      <c r="F82" s="65">
        <f>F81</f>
        <v>35000</v>
      </c>
    </row>
    <row r="83" spans="1:9" ht="15" customHeight="1" x14ac:dyDescent="0.35">
      <c r="A83" s="326" t="s">
        <v>76</v>
      </c>
      <c r="B83" s="327"/>
      <c r="C83" s="328"/>
      <c r="D83" s="342" t="s">
        <v>46</v>
      </c>
      <c r="E83" s="343"/>
      <c r="F83" s="66">
        <f>F82*10%</f>
        <v>3500</v>
      </c>
    </row>
    <row r="84" spans="1:9" x14ac:dyDescent="0.35">
      <c r="A84" s="329"/>
      <c r="B84" s="359"/>
      <c r="C84" s="331"/>
      <c r="D84" s="344" t="s">
        <v>48</v>
      </c>
      <c r="E84" s="345"/>
      <c r="F84" s="67">
        <f>F82+F83</f>
        <v>38500</v>
      </c>
    </row>
    <row r="85" spans="1:9" x14ac:dyDescent="0.35">
      <c r="A85" s="329"/>
      <c r="B85" s="359"/>
      <c r="C85" s="331"/>
      <c r="D85" s="346" t="s">
        <v>49</v>
      </c>
      <c r="E85" s="347"/>
      <c r="F85" s="191">
        <v>80000</v>
      </c>
    </row>
    <row r="86" spans="1:9" x14ac:dyDescent="0.35">
      <c r="A86" s="329"/>
      <c r="B86" s="359"/>
      <c r="C86" s="331"/>
      <c r="D86" s="348" t="s">
        <v>51</v>
      </c>
      <c r="E86" s="349"/>
      <c r="F86" s="69">
        <f>F85*8%</f>
        <v>6400</v>
      </c>
    </row>
    <row r="87" spans="1:9" x14ac:dyDescent="0.35">
      <c r="A87" s="329"/>
      <c r="B87" s="359"/>
      <c r="C87" s="331"/>
      <c r="D87" s="342" t="s">
        <v>53</v>
      </c>
      <c r="E87" s="343"/>
      <c r="F87" s="67">
        <f>F85-F84-F86</f>
        <v>35100</v>
      </c>
      <c r="I87" s="92"/>
    </row>
    <row r="88" spans="1:9" x14ac:dyDescent="0.35">
      <c r="A88" s="329"/>
      <c r="B88" s="359"/>
      <c r="C88" s="331"/>
      <c r="D88" s="342" t="s">
        <v>54</v>
      </c>
      <c r="E88" s="343"/>
      <c r="F88" s="72">
        <f>IFERROR(F84/F85,0)</f>
        <v>0.48125000000000001</v>
      </c>
      <c r="I88" s="92"/>
    </row>
    <row r="89" spans="1:9" ht="15" thickBot="1" x14ac:dyDescent="0.4">
      <c r="A89" s="332"/>
      <c r="B89" s="333"/>
      <c r="C89" s="334"/>
      <c r="D89" s="350" t="s">
        <v>56</v>
      </c>
      <c r="E89" s="351"/>
      <c r="F89" s="74">
        <f>IFERROR(F87/F85,0)</f>
        <v>0.43874999999999997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80000</v>
      </c>
      <c r="C94" s="88" t="s">
        <v>12</v>
      </c>
      <c r="D94" s="89">
        <v>750</v>
      </c>
      <c r="E94" s="90">
        <f>B94/750</f>
        <v>106.66666666666667</v>
      </c>
      <c r="F94" s="91">
        <f>E94*D94</f>
        <v>80000</v>
      </c>
    </row>
    <row r="95" spans="1:9" x14ac:dyDescent="0.35">
      <c r="A95" s="354" t="s">
        <v>69</v>
      </c>
      <c r="B95" s="355"/>
      <c r="C95" s="356"/>
      <c r="D95" s="357" t="s">
        <v>44</v>
      </c>
      <c r="E95" s="358"/>
      <c r="F95" s="65">
        <f>F94</f>
        <v>80000</v>
      </c>
    </row>
    <row r="96" spans="1:9" ht="15" customHeight="1" x14ac:dyDescent="0.35">
      <c r="A96" s="326" t="s">
        <v>79</v>
      </c>
      <c r="B96" s="327"/>
      <c r="C96" s="328"/>
      <c r="D96" s="342" t="s">
        <v>46</v>
      </c>
      <c r="E96" s="343"/>
      <c r="F96" s="66">
        <f>F95*10%</f>
        <v>8000</v>
      </c>
    </row>
    <row r="97" spans="1:6" x14ac:dyDescent="0.35">
      <c r="A97" s="329"/>
      <c r="B97" s="359"/>
      <c r="C97" s="331"/>
      <c r="D97" s="344" t="s">
        <v>48</v>
      </c>
      <c r="E97" s="345"/>
      <c r="F97" s="67">
        <f>F95+F96</f>
        <v>88000</v>
      </c>
    </row>
    <row r="98" spans="1:6" x14ac:dyDescent="0.35">
      <c r="A98" s="329"/>
      <c r="B98" s="359"/>
      <c r="C98" s="331"/>
      <c r="D98" s="346" t="s">
        <v>49</v>
      </c>
      <c r="E98" s="347"/>
      <c r="F98" s="191">
        <v>150000</v>
      </c>
    </row>
    <row r="99" spans="1:6" x14ac:dyDescent="0.35">
      <c r="A99" s="329"/>
      <c r="B99" s="359"/>
      <c r="C99" s="331"/>
      <c r="D99" s="348" t="s">
        <v>51</v>
      </c>
      <c r="E99" s="349"/>
      <c r="F99" s="69">
        <f>F98*8%</f>
        <v>12000</v>
      </c>
    </row>
    <row r="100" spans="1:6" x14ac:dyDescent="0.35">
      <c r="A100" s="329"/>
      <c r="B100" s="359"/>
      <c r="C100" s="331"/>
      <c r="D100" s="342" t="s">
        <v>53</v>
      </c>
      <c r="E100" s="343"/>
      <c r="F100" s="67">
        <f>F98-F97-F99</f>
        <v>50000</v>
      </c>
    </row>
    <row r="101" spans="1:6" x14ac:dyDescent="0.35">
      <c r="A101" s="329"/>
      <c r="B101" s="359"/>
      <c r="C101" s="331"/>
      <c r="D101" s="342" t="s">
        <v>54</v>
      </c>
      <c r="E101" s="343"/>
      <c r="F101" s="72">
        <f>IFERROR(F97/F98,0)</f>
        <v>0.58666666666666667</v>
      </c>
    </row>
    <row r="102" spans="1:6" ht="15" thickBot="1" x14ac:dyDescent="0.4">
      <c r="A102" s="332"/>
      <c r="B102" s="333"/>
      <c r="C102" s="334"/>
      <c r="D102" s="350" t="s">
        <v>56</v>
      </c>
      <c r="E102" s="351"/>
      <c r="F102" s="74">
        <f>IFERROR(F100/F98,0)</f>
        <v>0.33333333333333331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87">
        <v>25000</v>
      </c>
      <c r="C107" s="88" t="s">
        <v>12</v>
      </c>
      <c r="D107" s="89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54" t="s">
        <v>69</v>
      </c>
      <c r="B108" s="355"/>
      <c r="C108" s="356"/>
      <c r="D108" s="357" t="s">
        <v>44</v>
      </c>
      <c r="E108" s="358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42" t="s">
        <v>46</v>
      </c>
      <c r="E109" s="343"/>
      <c r="F109" s="66">
        <f>F108*10%</f>
        <v>416.66666666666674</v>
      </c>
    </row>
    <row r="110" spans="1:6" x14ac:dyDescent="0.35">
      <c r="A110" s="329"/>
      <c r="B110" s="359"/>
      <c r="C110" s="331"/>
      <c r="D110" s="344" t="s">
        <v>48</v>
      </c>
      <c r="E110" s="345"/>
      <c r="F110" s="67">
        <f>F108+F109</f>
        <v>4583.3333333333339</v>
      </c>
    </row>
    <row r="111" spans="1:6" x14ac:dyDescent="0.35">
      <c r="A111" s="329"/>
      <c r="B111" s="359"/>
      <c r="C111" s="331"/>
      <c r="D111" s="346" t="s">
        <v>49</v>
      </c>
      <c r="E111" s="347"/>
      <c r="F111" s="68">
        <v>14000</v>
      </c>
    </row>
    <row r="112" spans="1:6" x14ac:dyDescent="0.35">
      <c r="A112" s="329"/>
      <c r="B112" s="359"/>
      <c r="C112" s="331"/>
      <c r="D112" s="348" t="s">
        <v>51</v>
      </c>
      <c r="E112" s="349"/>
      <c r="F112" s="69">
        <f>F111*8%</f>
        <v>1120</v>
      </c>
    </row>
    <row r="113" spans="1:6" x14ac:dyDescent="0.35">
      <c r="A113" s="329"/>
      <c r="B113" s="359"/>
      <c r="C113" s="331"/>
      <c r="D113" s="342" t="s">
        <v>53</v>
      </c>
      <c r="E113" s="343"/>
      <c r="F113" s="67">
        <f>F111-F110-F112</f>
        <v>8296.6666666666661</v>
      </c>
    </row>
    <row r="114" spans="1:6" x14ac:dyDescent="0.35">
      <c r="A114" s="329"/>
      <c r="B114" s="359"/>
      <c r="C114" s="331"/>
      <c r="D114" s="342" t="s">
        <v>54</v>
      </c>
      <c r="E114" s="343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50" t="s">
        <v>56</v>
      </c>
      <c r="E115" s="351"/>
      <c r="F115" s="74">
        <f>IFERROR(F113/F111,0)</f>
        <v>0.5926190476190476</v>
      </c>
    </row>
  </sheetData>
  <sheetProtection algorithmName="SHA-512" hashValue="OQtWzUQQUkfkF4wQ08pCQzxMTrFIIULRyfvpFSsyWFZwcAreS4dykKRwN+F1fC8pJKmUXtJUGAaNVz06EZvkbg==" saltValue="J4aisp09LjjY2AMyzOIXHg==" spinCount="100000" sheet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5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850900</xdr:colOff>
                    <xdr:row>1</xdr:row>
                    <xdr:rowOff>57150</xdr:rowOff>
                  </from>
                  <to>
                    <xdr:col>7</xdr:col>
                    <xdr:colOff>2927350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Hoja68">
    <tabColor rgb="FF009900"/>
  </sheetPr>
  <dimension ref="A2:M115"/>
  <sheetViews>
    <sheetView showGridLines="0" zoomScale="90" zoomScaleNormal="90" workbookViewId="0"/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469</v>
      </c>
    </row>
    <row r="3" spans="1:13" ht="15.5" x14ac:dyDescent="0.35">
      <c r="B3" s="216" t="s">
        <v>374</v>
      </c>
      <c r="C3" s="217" t="s">
        <v>535</v>
      </c>
    </row>
    <row r="4" spans="1:13" ht="15.5" x14ac:dyDescent="0.35">
      <c r="B4" s="216" t="s">
        <v>475</v>
      </c>
      <c r="C4" s="217" t="s">
        <v>471</v>
      </c>
    </row>
    <row r="5" spans="1:13" ht="15" customHeight="1" thickBot="1" x14ac:dyDescent="0.4"/>
    <row r="6" spans="1:13" ht="23.25" customHeight="1" thickBot="1" x14ac:dyDescent="0.4">
      <c r="A6" s="284" t="s">
        <v>538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539</v>
      </c>
      <c r="C9" s="14">
        <v>250</v>
      </c>
      <c r="D9" s="96" t="s">
        <v>12</v>
      </c>
      <c r="E9" s="186">
        <v>4522</v>
      </c>
      <c r="F9" s="115">
        <f>Tabla134568109111393536[[#This Row],[PRECIO]]/Tabla134568109111393536[[#This Row],[CANTIDAD]]</f>
        <v>18.088000000000001</v>
      </c>
      <c r="H9" s="9" t="s">
        <v>13</v>
      </c>
      <c r="I9" s="10">
        <f>F26</f>
        <v>9051.9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/>
      <c r="C10" s="13"/>
      <c r="D10" s="14"/>
      <c r="E10" s="186"/>
      <c r="F10" s="115"/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0.25</v>
      </c>
    </row>
    <row r="11" spans="1:13" ht="15" customHeight="1" thickBot="1" x14ac:dyDescent="0.4">
      <c r="A11" s="288"/>
      <c r="B11" s="12"/>
      <c r="C11" s="14"/>
      <c r="D11" s="14"/>
      <c r="E11" s="186"/>
      <c r="F11" s="115"/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187"/>
      <c r="F12" s="115"/>
      <c r="H12" s="25" t="s">
        <v>23</v>
      </c>
      <c r="I12" s="26">
        <f>I9-I10</f>
        <v>4075.2333333333327</v>
      </c>
      <c r="J12" s="27">
        <f>(I9-I10)/I10*100%</f>
        <v>0.81886805090421955</v>
      </c>
      <c r="L12" s="17" t="s">
        <v>24</v>
      </c>
      <c r="M12" s="28">
        <f>M9*M10*M11</f>
        <v>78.2</v>
      </c>
    </row>
    <row r="13" spans="1:13" ht="15.75" customHeight="1" thickBot="1" x14ac:dyDescent="0.4">
      <c r="A13" s="289"/>
      <c r="B13" s="29"/>
      <c r="C13" s="22"/>
      <c r="D13" s="22"/>
      <c r="E13" s="188"/>
      <c r="F13" s="115"/>
      <c r="H13" s="30" t="s">
        <v>26</v>
      </c>
      <c r="I13" s="31">
        <f>I9-I11</f>
        <v>2045.2333333333327</v>
      </c>
      <c r="J13" s="32">
        <f>(I9-I11)/I11*100%</f>
        <v>0.29189819219790664</v>
      </c>
      <c r="L13" s="17" t="s">
        <v>27</v>
      </c>
      <c r="M13" s="19">
        <f>D17+D18+D16+D19+30</f>
        <v>280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0.18867924528301888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LATA SMIRNOFF ICE</v>
      </c>
      <c r="C16" s="45" t="str">
        <f>D9</f>
        <v>ML</v>
      </c>
      <c r="D16" s="189">
        <v>250</v>
      </c>
      <c r="E16" s="45">
        <f>VLOOKUP(B16,Tabla134568109111393536[],5,FALSE)</f>
        <v>18.088000000000001</v>
      </c>
      <c r="F16" s="47">
        <f>E16*D16</f>
        <v>4522</v>
      </c>
      <c r="H16" s="48" t="s">
        <v>13</v>
      </c>
      <c r="I16" s="49">
        <f>F26</f>
        <v>9051.9</v>
      </c>
      <c r="L16" s="290" t="s">
        <v>35</v>
      </c>
      <c r="M16" s="291"/>
    </row>
    <row r="17" spans="1:13" ht="15" customHeight="1" x14ac:dyDescent="0.35">
      <c r="A17" s="296"/>
      <c r="B17" s="50"/>
      <c r="C17" s="51"/>
      <c r="D17" s="190"/>
      <c r="E17" s="51"/>
      <c r="F17" s="53"/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/>
      <c r="C18" s="51"/>
      <c r="D18" s="19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/>
      <c r="C19" s="51"/>
      <c r="D19" s="190"/>
      <c r="E19" s="51"/>
      <c r="F19" s="53"/>
      <c r="H19" s="58" t="s">
        <v>40</v>
      </c>
      <c r="I19" s="26">
        <f>I16-I17</f>
        <v>2931.8999999999996</v>
      </c>
      <c r="J19" s="27">
        <f>(I16-I17)/I17*100%</f>
        <v>0.47906862745098033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/>
      <c r="C20" s="51"/>
      <c r="D20" s="190"/>
      <c r="E20" s="51"/>
      <c r="F20" s="53"/>
      <c r="H20" s="63" t="s">
        <v>41</v>
      </c>
      <c r="I20" s="31">
        <f>I16-I18</f>
        <v>-2748.1000000000004</v>
      </c>
      <c r="J20" s="32">
        <f>(I16-I18)/I18*100%</f>
        <v>-0.23288983050847462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4522</v>
      </c>
    </row>
    <row r="22" spans="1:13" ht="16.5" customHeight="1" thickBot="1" x14ac:dyDescent="0.4">
      <c r="A22" s="296"/>
      <c r="B22" s="304"/>
      <c r="C22" s="305"/>
      <c r="D22" s="310" t="s">
        <v>46</v>
      </c>
      <c r="E22" s="311"/>
      <c r="F22" s="66">
        <f>F21*5%</f>
        <v>226.10000000000002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4748.1000000000004</v>
      </c>
      <c r="H23" s="9" t="s">
        <v>13</v>
      </c>
      <c r="I23" s="10">
        <f>F26</f>
        <v>9051.9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15000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1200</v>
      </c>
      <c r="H25" s="30" t="s">
        <v>52</v>
      </c>
      <c r="I25" s="70">
        <f>I23-I24</f>
        <v>755.23333333333358</v>
      </c>
      <c r="J25" s="71">
        <f>(I23-I24)/I23*100%</f>
        <v>8.3433680590078718E-2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9051.9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0.31654000000000004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0.60346</v>
      </c>
      <c r="G28" s="73"/>
      <c r="H28" s="9" t="s">
        <v>57</v>
      </c>
      <c r="I28" s="10">
        <f>F26</f>
        <v>9051.9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1.8188680509042194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1.2918981921979067</v>
      </c>
    </row>
    <row r="31" spans="1:13" x14ac:dyDescent="0.35">
      <c r="H31" s="17" t="s">
        <v>60</v>
      </c>
      <c r="I31" s="80">
        <f>I28/F113</f>
        <v>1.091028525512254</v>
      </c>
    </row>
    <row r="32" spans="1:13" x14ac:dyDescent="0.35">
      <c r="H32" s="17" t="s">
        <v>61</v>
      </c>
      <c r="I32" s="80">
        <f>I28/F87</f>
        <v>1.4790686274509803</v>
      </c>
    </row>
    <row r="33" spans="8:9" ht="15" thickBot="1" x14ac:dyDescent="0.4">
      <c r="H33" s="38" t="s">
        <v>62</v>
      </c>
      <c r="I33" s="81">
        <f>I28/F100</f>
        <v>0.76711016949152544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15000</v>
      </c>
    </row>
    <row r="37" spans="8:9" x14ac:dyDescent="0.35">
      <c r="H37" s="17" t="s">
        <v>58</v>
      </c>
      <c r="I37" s="80">
        <f>I36/F60</f>
        <v>1.875</v>
      </c>
    </row>
    <row r="38" spans="8:9" x14ac:dyDescent="0.35">
      <c r="H38" s="17" t="s">
        <v>59</v>
      </c>
      <c r="I38" s="80">
        <f>I36/F72</f>
        <v>1.25</v>
      </c>
    </row>
    <row r="39" spans="8:9" x14ac:dyDescent="0.35">
      <c r="H39" s="17" t="s">
        <v>60</v>
      </c>
      <c r="I39" s="80">
        <f>I36/F111</f>
        <v>1.0714285714285714</v>
      </c>
    </row>
    <row r="40" spans="8:9" x14ac:dyDescent="0.35">
      <c r="H40" s="17" t="s">
        <v>61</v>
      </c>
      <c r="I40" s="80">
        <f>I36/F85</f>
        <v>1.5</v>
      </c>
    </row>
    <row r="41" spans="8:9" ht="15" thickBot="1" x14ac:dyDescent="0.4">
      <c r="H41" s="38" t="s">
        <v>62</v>
      </c>
      <c r="I41" s="81">
        <f>I36/F98</f>
        <v>0.75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87">
        <f>13000/6</f>
        <v>2166.6666666666665</v>
      </c>
      <c r="C56" s="88" t="s">
        <v>12</v>
      </c>
      <c r="D56" s="89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68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87">
        <f>22000/6</f>
        <v>3666.6666666666665</v>
      </c>
      <c r="C68" s="88" t="s">
        <v>12</v>
      </c>
      <c r="D68" s="89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68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87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68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87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68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87">
        <v>25000</v>
      </c>
      <c r="C107" s="88" t="s">
        <v>12</v>
      </c>
      <c r="D107" s="89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68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9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914400</xdr:colOff>
                    <xdr:row>1</xdr:row>
                    <xdr:rowOff>0</xdr:rowOff>
                  </from>
                  <to>
                    <xdr:col>7</xdr:col>
                    <xdr:colOff>3003550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Hoja69">
    <tabColor theme="7" tint="0.39997558519241921"/>
  </sheetPr>
  <dimension ref="A2:M115"/>
  <sheetViews>
    <sheetView showGridLines="0" zoomScale="90" zoomScaleNormal="90" workbookViewId="0"/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469</v>
      </c>
    </row>
    <row r="3" spans="1:13" ht="15.5" x14ac:dyDescent="0.35">
      <c r="B3" s="216" t="s">
        <v>374</v>
      </c>
      <c r="C3" s="217" t="s">
        <v>535</v>
      </c>
    </row>
    <row r="4" spans="1:13" ht="15.5" x14ac:dyDescent="0.35">
      <c r="B4" s="216" t="s">
        <v>475</v>
      </c>
      <c r="C4" s="217" t="s">
        <v>500</v>
      </c>
    </row>
    <row r="5" spans="1:13" ht="15" customHeight="1" thickBot="1" x14ac:dyDescent="0.4"/>
    <row r="6" spans="1:13" ht="23.25" customHeight="1" thickBot="1" x14ac:dyDescent="0.4">
      <c r="A6" s="284" t="s">
        <v>543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541</v>
      </c>
      <c r="C9" s="14">
        <v>750</v>
      </c>
      <c r="D9" s="96" t="s">
        <v>12</v>
      </c>
      <c r="E9" s="186">
        <v>27417</v>
      </c>
      <c r="F9" s="115">
        <f>Tabla13456810911139353641[[#This Row],[PRECIO]]/Tabla13456810911139353641[[#This Row],[CANTIDAD]]</f>
        <v>36.555999999999997</v>
      </c>
      <c r="H9" s="9" t="s">
        <v>13</v>
      </c>
      <c r="I9" s="10">
        <f>F26</f>
        <v>7472.7289999999994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/>
      <c r="C10" s="13"/>
      <c r="D10" s="14"/>
      <c r="E10" s="186"/>
      <c r="F10" s="115"/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4.4999999999999998E-2</v>
      </c>
    </row>
    <row r="11" spans="1:13" ht="15" customHeight="1" thickBot="1" x14ac:dyDescent="0.4">
      <c r="A11" s="288"/>
      <c r="B11" s="12"/>
      <c r="C11" s="14"/>
      <c r="D11" s="14"/>
      <c r="E11" s="186"/>
      <c r="F11" s="115"/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187"/>
      <c r="F12" s="115"/>
      <c r="H12" s="25" t="s">
        <v>23</v>
      </c>
      <c r="I12" s="26">
        <f>I9-I10</f>
        <v>2496.0623333333324</v>
      </c>
      <c r="J12" s="27">
        <f>(I9-I10)/I10*100%</f>
        <v>0.50155304755525765</v>
      </c>
      <c r="L12" s="17" t="s">
        <v>24</v>
      </c>
      <c r="M12" s="28">
        <f>M9*M10*M11</f>
        <v>14.075999999999999</v>
      </c>
    </row>
    <row r="13" spans="1:13" ht="15.75" customHeight="1" thickBot="1" x14ac:dyDescent="0.4">
      <c r="A13" s="289"/>
      <c r="B13" s="29"/>
      <c r="C13" s="22"/>
      <c r="D13" s="22"/>
      <c r="E13" s="188"/>
      <c r="F13" s="115"/>
      <c r="H13" s="30" t="s">
        <v>26</v>
      </c>
      <c r="I13" s="31">
        <f>I9-I11</f>
        <v>466.06233333333239</v>
      </c>
      <c r="J13" s="32">
        <f>(I9-I11)/I11*100%</f>
        <v>6.6516983824928502E-2</v>
      </c>
      <c r="L13" s="17" t="s">
        <v>27</v>
      </c>
      <c r="M13" s="19">
        <f>D17+D18+D16+D19+30</f>
        <v>75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0.15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BOTLL SMIRNOFF X1</v>
      </c>
      <c r="C16" s="45" t="str">
        <f>D9</f>
        <v>ML</v>
      </c>
      <c r="D16" s="189">
        <v>45</v>
      </c>
      <c r="E16" s="45">
        <f>VLOOKUP(B16,Tabla13456810911139353641[],5,FALSE)</f>
        <v>36.555999999999997</v>
      </c>
      <c r="F16" s="47">
        <f>E16*D16</f>
        <v>1645.02</v>
      </c>
      <c r="H16" s="48" t="s">
        <v>13</v>
      </c>
      <c r="I16" s="49">
        <f>F26</f>
        <v>7472.7289999999994</v>
      </c>
      <c r="L16" s="290" t="s">
        <v>35</v>
      </c>
      <c r="M16" s="291"/>
    </row>
    <row r="17" spans="1:13" ht="15" customHeight="1" x14ac:dyDescent="0.35">
      <c r="A17" s="296"/>
      <c r="B17" s="50"/>
      <c r="C17" s="51"/>
      <c r="D17" s="190"/>
      <c r="E17" s="51"/>
      <c r="F17" s="53"/>
      <c r="H17" s="17" t="s">
        <v>36</v>
      </c>
      <c r="I17" s="18">
        <f>F87</f>
        <v>6120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/>
      <c r="C18" s="51"/>
      <c r="D18" s="190"/>
      <c r="E18" s="51"/>
      <c r="F18" s="53"/>
      <c r="H18" s="17" t="s">
        <v>38</v>
      </c>
      <c r="I18" s="18">
        <f>F100</f>
        <v>11800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/>
      <c r="C19" s="51"/>
      <c r="D19" s="190"/>
      <c r="E19" s="51"/>
      <c r="F19" s="53"/>
      <c r="H19" s="58" t="s">
        <v>40</v>
      </c>
      <c r="I19" s="26">
        <f>I16-I17</f>
        <v>1352.7289999999994</v>
      </c>
      <c r="J19" s="27">
        <f>(I16-I17)/I17*100%</f>
        <v>0.22103415032679727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/>
      <c r="C20" s="51"/>
      <c r="D20" s="190"/>
      <c r="E20" s="51"/>
      <c r="F20" s="53"/>
      <c r="H20" s="63" t="s">
        <v>41</v>
      </c>
      <c r="I20" s="31">
        <f>I16-I18</f>
        <v>-4327.2710000000006</v>
      </c>
      <c r="J20" s="32">
        <f>(I16-I18)/I18*100%</f>
        <v>-0.36671788135593225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1645.02</v>
      </c>
    </row>
    <row r="22" spans="1:13" ht="16.5" customHeight="1" thickBot="1" x14ac:dyDescent="0.4">
      <c r="A22" s="296"/>
      <c r="B22" s="304" t="s">
        <v>542</v>
      </c>
      <c r="C22" s="305"/>
      <c r="D22" s="310" t="s">
        <v>46</v>
      </c>
      <c r="E22" s="311"/>
      <c r="F22" s="66">
        <f>F21*5%</f>
        <v>82.251000000000005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1727.271</v>
      </c>
      <c r="H23" s="9" t="s">
        <v>13</v>
      </c>
      <c r="I23" s="10">
        <f>F26</f>
        <v>7472.7289999999994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10000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800</v>
      </c>
      <c r="H25" s="30" t="s">
        <v>52</v>
      </c>
      <c r="I25" s="70">
        <f>I23-I24</f>
        <v>-823.9376666666667</v>
      </c>
      <c r="J25" s="71">
        <f>(I23-I24)/I23*100%</f>
        <v>-0.11025927297332297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7472.7289999999994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0.17272709999999999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0.74727289999999991</v>
      </c>
      <c r="G28" s="73"/>
      <c r="H28" s="9" t="s">
        <v>57</v>
      </c>
      <c r="I28" s="10">
        <f>F26</f>
        <v>7472.7289999999994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1.5015530475552576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1.0665169838249284</v>
      </c>
    </row>
    <row r="31" spans="1:13" x14ac:dyDescent="0.35">
      <c r="H31" s="17" t="s">
        <v>60</v>
      </c>
      <c r="I31" s="80">
        <f>I28/F113</f>
        <v>0.90069051828043389</v>
      </c>
    </row>
    <row r="32" spans="1:13" x14ac:dyDescent="0.35">
      <c r="H32" s="17" t="s">
        <v>61</v>
      </c>
      <c r="I32" s="80">
        <f>I28/F87</f>
        <v>1.2210341503267972</v>
      </c>
    </row>
    <row r="33" spans="8:9" ht="15" thickBot="1" x14ac:dyDescent="0.4">
      <c r="H33" s="38" t="s">
        <v>62</v>
      </c>
      <c r="I33" s="81">
        <f>I28/F100</f>
        <v>0.63328211864406769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10000</v>
      </c>
    </row>
    <row r="37" spans="8:9" x14ac:dyDescent="0.35">
      <c r="H37" s="17" t="s">
        <v>58</v>
      </c>
      <c r="I37" s="80">
        <f>I36/F60</f>
        <v>1.25</v>
      </c>
    </row>
    <row r="38" spans="8:9" x14ac:dyDescent="0.35">
      <c r="H38" s="17" t="s">
        <v>59</v>
      </c>
      <c r="I38" s="80">
        <f>I36/F72</f>
        <v>0.83333333333333337</v>
      </c>
    </row>
    <row r="39" spans="8:9" x14ac:dyDescent="0.35">
      <c r="H39" s="17" t="s">
        <v>60</v>
      </c>
      <c r="I39" s="80">
        <f>I36/F111</f>
        <v>0.7142857142857143</v>
      </c>
    </row>
    <row r="40" spans="8:9" x14ac:dyDescent="0.35">
      <c r="H40" s="17" t="s">
        <v>61</v>
      </c>
      <c r="I40" s="80">
        <f>I36/F85</f>
        <v>1</v>
      </c>
    </row>
    <row r="41" spans="8:9" ht="15" thickBot="1" x14ac:dyDescent="0.4">
      <c r="H41" s="38" t="s">
        <v>62</v>
      </c>
      <c r="I41" s="81">
        <f>I36/F98</f>
        <v>0.5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87">
        <f>13000/6</f>
        <v>2166.6666666666665</v>
      </c>
      <c r="C56" s="88" t="s">
        <v>12</v>
      </c>
      <c r="D56" s="89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ht="15" customHeight="1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68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ht="15" customHeight="1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87">
        <f>22000/6</f>
        <v>3666.6666666666665</v>
      </c>
      <c r="C68" s="88" t="s">
        <v>12</v>
      </c>
      <c r="D68" s="89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68">
        <v>12000</v>
      </c>
    </row>
    <row r="73" spans="1:6" ht="15" customHeight="1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ht="15" customHeight="1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87">
        <v>35000</v>
      </c>
      <c r="C81" s="88" t="s">
        <v>12</v>
      </c>
      <c r="D81" s="89">
        <v>60</v>
      </c>
      <c r="E81" s="90">
        <f>B81/750</f>
        <v>46.666666666666664</v>
      </c>
      <c r="F81" s="91">
        <f>E81*D81</f>
        <v>2800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2800</v>
      </c>
    </row>
    <row r="83" spans="1:9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280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3080</v>
      </c>
    </row>
    <row r="85" spans="1:9" x14ac:dyDescent="0.35">
      <c r="A85" s="329"/>
      <c r="B85" s="330"/>
      <c r="C85" s="331"/>
      <c r="D85" s="314" t="s">
        <v>49</v>
      </c>
      <c r="E85" s="315"/>
      <c r="F85" s="68">
        <v>10000</v>
      </c>
    </row>
    <row r="86" spans="1:9" ht="15" customHeight="1" x14ac:dyDescent="0.35">
      <c r="A86" s="329"/>
      <c r="B86" s="330"/>
      <c r="C86" s="331"/>
      <c r="D86" s="316" t="s">
        <v>51</v>
      </c>
      <c r="E86" s="317"/>
      <c r="F86" s="69">
        <f>F85*8%</f>
        <v>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6120</v>
      </c>
      <c r="I87" s="92"/>
    </row>
    <row r="88" spans="1:9" ht="15" customHeight="1" x14ac:dyDescent="0.35">
      <c r="A88" s="329"/>
      <c r="B88" s="330"/>
      <c r="C88" s="331"/>
      <c r="D88" s="310" t="s">
        <v>54</v>
      </c>
      <c r="E88" s="311"/>
      <c r="F88" s="72">
        <f>IFERROR(F84/F85,0)</f>
        <v>0.308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0.61199999999999999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87">
        <v>75000</v>
      </c>
      <c r="C94" s="88" t="s">
        <v>12</v>
      </c>
      <c r="D94" s="89">
        <v>60</v>
      </c>
      <c r="E94" s="90">
        <f>B94/750</f>
        <v>100</v>
      </c>
      <c r="F94" s="91">
        <f>E94*D94</f>
        <v>6000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6000</v>
      </c>
    </row>
    <row r="96" spans="1:9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600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6600</v>
      </c>
    </row>
    <row r="98" spans="1:6" x14ac:dyDescent="0.35">
      <c r="A98" s="329"/>
      <c r="B98" s="330"/>
      <c r="C98" s="331"/>
      <c r="D98" s="314" t="s">
        <v>49</v>
      </c>
      <c r="E98" s="315"/>
      <c r="F98" s="68">
        <v>20000</v>
      </c>
    </row>
    <row r="99" spans="1:6" ht="15" customHeight="1" x14ac:dyDescent="0.35">
      <c r="A99" s="329"/>
      <c r="B99" s="330"/>
      <c r="C99" s="331"/>
      <c r="D99" s="316" t="s">
        <v>51</v>
      </c>
      <c r="E99" s="317"/>
      <c r="F99" s="69">
        <f>F98*8%</f>
        <v>1600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11800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0.33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0.59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87">
        <v>25000</v>
      </c>
      <c r="C107" s="88" t="s">
        <v>12</v>
      </c>
      <c r="D107" s="89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68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wIDNJNTGxts2w8t4t3W5GL7jzbXBRtQMvpdYeMIdpyNE0PuLrnnEdEnPyivF+zP6OoVZmwIy9ZMpoYkwOsUB4g==" saltValue="So88C3JJJCp3AGB6h0+Pew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3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1047750</xdr:colOff>
                    <xdr:row>1</xdr:row>
                    <xdr:rowOff>57150</xdr:rowOff>
                  </from>
                  <to>
                    <xdr:col>7</xdr:col>
                    <xdr:colOff>3124200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Hoja70">
    <tabColor rgb="FF009900"/>
  </sheetPr>
  <dimension ref="A2:M115"/>
  <sheetViews>
    <sheetView showGridLines="0" zoomScale="90" zoomScaleNormal="90" workbookViewId="0"/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2" spans="1:13" ht="15.5" x14ac:dyDescent="0.35">
      <c r="B2" s="216" t="s">
        <v>473</v>
      </c>
      <c r="C2" s="198" t="s">
        <v>469</v>
      </c>
    </row>
    <row r="3" spans="1:13" ht="15.5" x14ac:dyDescent="0.35">
      <c r="B3" s="216" t="s">
        <v>374</v>
      </c>
      <c r="C3" s="217" t="s">
        <v>535</v>
      </c>
    </row>
    <row r="4" spans="1:13" ht="15.5" x14ac:dyDescent="0.35">
      <c r="B4" s="216" t="s">
        <v>475</v>
      </c>
      <c r="C4" s="217" t="s">
        <v>502</v>
      </c>
    </row>
    <row r="5" spans="1:13" ht="15" customHeight="1" thickBot="1" x14ac:dyDescent="0.4"/>
    <row r="6" spans="1:13" ht="23.25" customHeight="1" thickBot="1" x14ac:dyDescent="0.4">
      <c r="A6" s="284" t="s">
        <v>540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541</v>
      </c>
      <c r="C9" s="14">
        <v>750</v>
      </c>
      <c r="D9" s="96" t="s">
        <v>12</v>
      </c>
      <c r="E9" s="186">
        <v>27417</v>
      </c>
      <c r="F9" s="115">
        <f>Tabla1345681091113935364142[[#This Row],[PRECIO]]/Tabla1345681091113935364142[[#This Row],[CANTIDAD]]</f>
        <v>36.555999999999997</v>
      </c>
      <c r="H9" s="9" t="s">
        <v>13</v>
      </c>
      <c r="I9" s="10">
        <f>F26</f>
        <v>40212.150000000009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/>
      <c r="C10" s="13"/>
      <c r="D10" s="14"/>
      <c r="E10" s="186"/>
      <c r="F10" s="115"/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0.75</v>
      </c>
    </row>
    <row r="11" spans="1:13" ht="15" customHeight="1" thickBot="1" x14ac:dyDescent="0.4">
      <c r="A11" s="288"/>
      <c r="B11" s="12"/>
      <c r="C11" s="14"/>
      <c r="D11" s="14"/>
      <c r="E11" s="186"/>
      <c r="F11" s="115"/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187"/>
      <c r="F12" s="115"/>
      <c r="H12" s="25" t="s">
        <v>23</v>
      </c>
      <c r="I12" s="26">
        <f>I9-I10</f>
        <v>35235.483333333344</v>
      </c>
      <c r="J12" s="27">
        <f>(I9-I10)/I10*100%</f>
        <v>7.0801373074346969</v>
      </c>
      <c r="L12" s="17" t="s">
        <v>24</v>
      </c>
      <c r="M12" s="28">
        <f>M9*M10*M11</f>
        <v>234.60000000000002</v>
      </c>
    </row>
    <row r="13" spans="1:13" ht="15.75" customHeight="1" thickBot="1" x14ac:dyDescent="0.4">
      <c r="A13" s="289"/>
      <c r="B13" s="29"/>
      <c r="C13" s="22"/>
      <c r="D13" s="22"/>
      <c r="E13" s="188"/>
      <c r="F13" s="115"/>
      <c r="H13" s="30" t="s">
        <v>26</v>
      </c>
      <c r="I13" s="31">
        <f>I9-I11</f>
        <v>33205.483333333344</v>
      </c>
      <c r="J13" s="32">
        <f>(I9-I11)/I11*100%</f>
        <v>4.7391270218839212</v>
      </c>
      <c r="L13" s="17" t="s">
        <v>27</v>
      </c>
      <c r="M13" s="19">
        <f>D17+D18+D16+D19+30</f>
        <v>780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0.19607843137254902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352" t="s">
        <v>34</v>
      </c>
      <c r="I15" s="353"/>
    </row>
    <row r="16" spans="1:13" ht="15" customHeight="1" thickBot="1" x14ac:dyDescent="0.4">
      <c r="A16" s="296"/>
      <c r="B16" s="44" t="str">
        <f>B9</f>
        <v>BOTLL SMIRNOFF X1</v>
      </c>
      <c r="C16" s="45" t="str">
        <f>D9</f>
        <v>ML</v>
      </c>
      <c r="D16" s="189">
        <v>750</v>
      </c>
      <c r="E16" s="45">
        <f>VLOOKUP(B16,Tabla1345681091113935364142[],5,FALSE)</f>
        <v>36.555999999999997</v>
      </c>
      <c r="F16" s="47">
        <f>E16*D16</f>
        <v>27416.999999999996</v>
      </c>
      <c r="H16" s="48" t="s">
        <v>13</v>
      </c>
      <c r="I16" s="49">
        <f>F26</f>
        <v>40212.150000000009</v>
      </c>
      <c r="L16" s="290" t="s">
        <v>35</v>
      </c>
      <c r="M16" s="291"/>
    </row>
    <row r="17" spans="1:13" ht="15" customHeight="1" x14ac:dyDescent="0.35">
      <c r="A17" s="296"/>
      <c r="B17" s="50"/>
      <c r="C17" s="51"/>
      <c r="D17" s="190"/>
      <c r="E17" s="51"/>
      <c r="F17" s="53"/>
      <c r="H17" s="17" t="s">
        <v>36</v>
      </c>
      <c r="I17" s="18">
        <f>F87</f>
        <v>35100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/>
      <c r="C18" s="51"/>
      <c r="D18" s="190"/>
      <c r="E18" s="51"/>
      <c r="F18" s="53"/>
      <c r="H18" s="17" t="s">
        <v>38</v>
      </c>
      <c r="I18" s="18">
        <f>F100</f>
        <v>55500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/>
      <c r="C19" s="51"/>
      <c r="D19" s="190"/>
      <c r="E19" s="51"/>
      <c r="F19" s="53"/>
      <c r="H19" s="58" t="s">
        <v>40</v>
      </c>
      <c r="I19" s="26">
        <f>I16-I17</f>
        <v>5112.1500000000087</v>
      </c>
      <c r="J19" s="27">
        <f>(I16-I17)/I17*100%</f>
        <v>0.14564529914529939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/>
      <c r="C20" s="51"/>
      <c r="D20" s="190"/>
      <c r="E20" s="51"/>
      <c r="F20" s="53"/>
      <c r="H20" s="63" t="s">
        <v>41</v>
      </c>
      <c r="I20" s="31">
        <f>I16-I18</f>
        <v>-15287.849999999991</v>
      </c>
      <c r="J20" s="32">
        <f>(I16-I18)/I18*100%</f>
        <v>-0.27545675675675663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27416.999999999996</v>
      </c>
    </row>
    <row r="22" spans="1:13" ht="16.5" customHeight="1" thickBot="1" x14ac:dyDescent="0.4">
      <c r="A22" s="296"/>
      <c r="B22" s="304"/>
      <c r="C22" s="305"/>
      <c r="D22" s="310" t="s">
        <v>46</v>
      </c>
      <c r="E22" s="311"/>
      <c r="F22" s="66">
        <f>F21*5%</f>
        <v>1370.85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28787.849999999995</v>
      </c>
      <c r="H23" s="9" t="s">
        <v>13</v>
      </c>
      <c r="I23" s="10">
        <f>F26</f>
        <v>40212.150000000009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75000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6000</v>
      </c>
      <c r="H25" s="30" t="s">
        <v>52</v>
      </c>
      <c r="I25" s="70">
        <f>I23-I24</f>
        <v>31915.483333333344</v>
      </c>
      <c r="J25" s="71">
        <f>(I23-I24)/I23*100%</f>
        <v>0.79367761567917505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40212.150000000009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0.38383799999999996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0.53616200000000014</v>
      </c>
      <c r="G28" s="73"/>
      <c r="H28" s="9" t="s">
        <v>57</v>
      </c>
      <c r="I28" s="10">
        <f>F26</f>
        <v>40212.150000000009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8.0801373074346969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5.7391270218839212</v>
      </c>
    </row>
    <row r="31" spans="1:13" x14ac:dyDescent="0.35">
      <c r="H31" s="17" t="s">
        <v>60</v>
      </c>
      <c r="I31" s="80">
        <f>I28/F113</f>
        <v>4.846783848935317</v>
      </c>
    </row>
    <row r="32" spans="1:13" x14ac:dyDescent="0.35">
      <c r="H32" s="17" t="s">
        <v>61</v>
      </c>
      <c r="I32" s="80">
        <f>I28/F87</f>
        <v>1.1456452991452994</v>
      </c>
    </row>
    <row r="33" spans="8:9" ht="15" thickBot="1" x14ac:dyDescent="0.4">
      <c r="H33" s="38" t="s">
        <v>62</v>
      </c>
      <c r="I33" s="81">
        <f>I28/F100</f>
        <v>0.72454324324324337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75000</v>
      </c>
    </row>
    <row r="37" spans="8:9" x14ac:dyDescent="0.35">
      <c r="H37" s="17" t="s">
        <v>58</v>
      </c>
      <c r="I37" s="80">
        <f>I36/F60</f>
        <v>9.375</v>
      </c>
    </row>
    <row r="38" spans="8:9" x14ac:dyDescent="0.35">
      <c r="H38" s="17" t="s">
        <v>59</v>
      </c>
      <c r="I38" s="80">
        <f>I36/F72</f>
        <v>6.25</v>
      </c>
    </row>
    <row r="39" spans="8:9" x14ac:dyDescent="0.35">
      <c r="H39" s="17" t="s">
        <v>60</v>
      </c>
      <c r="I39" s="80">
        <f>I36/F111</f>
        <v>5.3571428571428568</v>
      </c>
    </row>
    <row r="40" spans="8:9" x14ac:dyDescent="0.35">
      <c r="H40" s="17" t="s">
        <v>61</v>
      </c>
      <c r="I40" s="80">
        <f>I36/F85</f>
        <v>0.9375</v>
      </c>
    </row>
    <row r="41" spans="8:9" ht="15" thickBot="1" x14ac:dyDescent="0.4">
      <c r="H41" s="38" t="s">
        <v>62</v>
      </c>
      <c r="I41" s="81">
        <f>I36/F98</f>
        <v>0.5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35000</v>
      </c>
      <c r="C81" s="88" t="s">
        <v>12</v>
      </c>
      <c r="D81" s="89">
        <v>750</v>
      </c>
      <c r="E81" s="90">
        <f>B81/750</f>
        <v>46.666666666666664</v>
      </c>
      <c r="F81" s="91">
        <f>E81*D81</f>
        <v>35000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35000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3500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38500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80000</v>
      </c>
    </row>
    <row r="86" spans="1:9" x14ac:dyDescent="0.35">
      <c r="A86" s="329"/>
      <c r="B86" s="330"/>
      <c r="C86" s="331"/>
      <c r="D86" s="316" t="s">
        <v>51</v>
      </c>
      <c r="E86" s="317"/>
      <c r="F86" s="69">
        <f>F85*8%</f>
        <v>6400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35100</v>
      </c>
      <c r="I87" s="92"/>
    </row>
    <row r="88" spans="1:9" x14ac:dyDescent="0.35">
      <c r="A88" s="329"/>
      <c r="B88" s="330"/>
      <c r="C88" s="331"/>
      <c r="D88" s="310" t="s">
        <v>54</v>
      </c>
      <c r="E88" s="311"/>
      <c r="F88" s="72">
        <f>IFERROR(F84/F85,0)</f>
        <v>0.48125000000000001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0.43874999999999997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75000</v>
      </c>
      <c r="C94" s="88" t="s">
        <v>12</v>
      </c>
      <c r="D94" s="89">
        <v>750</v>
      </c>
      <c r="E94" s="90">
        <f>B94/750</f>
        <v>100</v>
      </c>
      <c r="F94" s="91">
        <f>E94*D94</f>
        <v>75000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75000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7500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82500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150000</v>
      </c>
    </row>
    <row r="99" spans="1:6" x14ac:dyDescent="0.35">
      <c r="A99" s="329"/>
      <c r="B99" s="330"/>
      <c r="C99" s="331"/>
      <c r="D99" s="316" t="s">
        <v>51</v>
      </c>
      <c r="E99" s="317"/>
      <c r="F99" s="69">
        <f>F98*8%</f>
        <v>12000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55500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0.55000000000000004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0.37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ld4SPcGhweO2AhOqc1PSoQ19nkl1Bf5wfYCYj1d3xFv9KYmCWUdIPaw1tXyCkb/Qc17cIqOZvvPaiW6+7B4Hlw==" saltValue="3cehh42z1kYVBb9Cvtgxrg==" spinCount="100000" sheet="1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7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857250</xdr:colOff>
                    <xdr:row>1</xdr:row>
                    <xdr:rowOff>50800</xdr:rowOff>
                  </from>
                  <to>
                    <xdr:col>7</xdr:col>
                    <xdr:colOff>2933700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Hoja71">
    <tabColor rgb="FF009900"/>
  </sheetPr>
  <dimension ref="A1:M115"/>
  <sheetViews>
    <sheetView showGridLines="0" zoomScale="90" zoomScaleNormal="90" workbookViewId="0">
      <selection activeCell="D81" sqref="D81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x14ac:dyDescent="0.35">
      <c r="A1">
        <v>1974</v>
      </c>
    </row>
    <row r="2" spans="1:13" ht="15.5" x14ac:dyDescent="0.35">
      <c r="B2" s="216" t="s">
        <v>473</v>
      </c>
      <c r="C2" s="198" t="s">
        <v>469</v>
      </c>
    </row>
    <row r="3" spans="1:13" ht="15.5" x14ac:dyDescent="0.35">
      <c r="B3" s="216" t="s">
        <v>374</v>
      </c>
      <c r="C3" s="217" t="s">
        <v>535</v>
      </c>
    </row>
    <row r="4" spans="1:13" ht="15.5" x14ac:dyDescent="0.35">
      <c r="B4" s="216" t="s">
        <v>475</v>
      </c>
      <c r="C4" s="217" t="s">
        <v>546</v>
      </c>
    </row>
    <row r="5" spans="1:13" ht="15" customHeight="1" thickBot="1" x14ac:dyDescent="0.4"/>
    <row r="6" spans="1:13" ht="23.25" customHeight="1" thickBot="1" x14ac:dyDescent="0.4">
      <c r="A6" s="284" t="s">
        <v>544</v>
      </c>
      <c r="B6" s="285"/>
      <c r="C6" s="285"/>
      <c r="D6" s="285"/>
      <c r="E6" s="285"/>
      <c r="F6" s="286"/>
      <c r="H6" s="284" t="s">
        <v>1</v>
      </c>
      <c r="I6" s="286"/>
      <c r="L6" s="284" t="s">
        <v>2</v>
      </c>
      <c r="M6" s="286"/>
    </row>
    <row r="7" spans="1:13" ht="8.25" customHeight="1" thickBot="1" x14ac:dyDescent="0.4"/>
    <row r="8" spans="1:13" ht="25.5" customHeight="1" thickBot="1" x14ac:dyDescent="0.4">
      <c r="A8" s="287" t="s">
        <v>3</v>
      </c>
      <c r="B8" s="103" t="s">
        <v>4</v>
      </c>
      <c r="C8" s="103" t="s">
        <v>5</v>
      </c>
      <c r="D8" s="104" t="s">
        <v>6</v>
      </c>
      <c r="E8" s="103" t="s">
        <v>7</v>
      </c>
      <c r="F8" s="105" t="s">
        <v>8</v>
      </c>
      <c r="H8" s="290" t="s">
        <v>9</v>
      </c>
      <c r="I8" s="291"/>
      <c r="L8" s="290" t="s">
        <v>10</v>
      </c>
      <c r="M8" s="291"/>
    </row>
    <row r="9" spans="1:13" ht="15" customHeight="1" x14ac:dyDescent="0.35">
      <c r="A9" s="288"/>
      <c r="B9" s="12" t="s">
        <v>545</v>
      </c>
      <c r="C9" s="14">
        <v>375</v>
      </c>
      <c r="D9" s="96" t="s">
        <v>12</v>
      </c>
      <c r="E9" s="186">
        <v>20000</v>
      </c>
      <c r="F9" s="115">
        <f>Tabla134568109111393536414243[[#This Row],[PRECIO]]/Tabla134568109111393536414243[[#This Row],[CANTIDAD]]</f>
        <v>53.333333333333336</v>
      </c>
      <c r="H9" s="9" t="s">
        <v>13</v>
      </c>
      <c r="I9" s="10">
        <f>F26</f>
        <v>20400</v>
      </c>
      <c r="J9" s="292"/>
      <c r="L9" s="9" t="s">
        <v>14</v>
      </c>
      <c r="M9" s="11">
        <f>40/100</f>
        <v>0.4</v>
      </c>
    </row>
    <row r="10" spans="1:13" ht="15" customHeight="1" x14ac:dyDescent="0.35">
      <c r="A10" s="288"/>
      <c r="B10" s="12"/>
      <c r="C10" s="13"/>
      <c r="D10" s="14"/>
      <c r="E10" s="186"/>
      <c r="F10" s="115"/>
      <c r="H10" s="17" t="s">
        <v>16</v>
      </c>
      <c r="I10" s="18">
        <f>F62</f>
        <v>4976.666666666667</v>
      </c>
      <c r="J10" s="292"/>
      <c r="L10" s="17" t="s">
        <v>17</v>
      </c>
      <c r="M10" s="19">
        <f>D16/1000</f>
        <v>0.375</v>
      </c>
    </row>
    <row r="11" spans="1:13" ht="15" customHeight="1" thickBot="1" x14ac:dyDescent="0.4">
      <c r="A11" s="288"/>
      <c r="B11" s="12"/>
      <c r="C11" s="14"/>
      <c r="D11" s="14"/>
      <c r="E11" s="186"/>
      <c r="F11" s="115"/>
      <c r="H11" s="17" t="s">
        <v>19</v>
      </c>
      <c r="I11" s="20">
        <f>F74</f>
        <v>7006.666666666667</v>
      </c>
      <c r="J11" s="292"/>
      <c r="L11" s="17" t="s">
        <v>20</v>
      </c>
      <c r="M11" s="19">
        <v>782</v>
      </c>
    </row>
    <row r="12" spans="1:13" ht="15.75" customHeight="1" x14ac:dyDescent="0.35">
      <c r="A12" s="288"/>
      <c r="B12" s="21"/>
      <c r="C12" s="22"/>
      <c r="D12" s="22"/>
      <c r="E12" s="187"/>
      <c r="F12" s="115"/>
      <c r="H12" s="25" t="s">
        <v>23</v>
      </c>
      <c r="I12" s="26">
        <f>I9-I10</f>
        <v>15423.333333333332</v>
      </c>
      <c r="J12" s="27">
        <f>(I9-I10)/I10*100%</f>
        <v>3.0991292699263222</v>
      </c>
      <c r="L12" s="17" t="s">
        <v>24</v>
      </c>
      <c r="M12" s="28">
        <f>M9*M10*M11</f>
        <v>117.30000000000001</v>
      </c>
    </row>
    <row r="13" spans="1:13" ht="15.75" customHeight="1" thickBot="1" x14ac:dyDescent="0.4">
      <c r="A13" s="289"/>
      <c r="B13" s="29"/>
      <c r="C13" s="22"/>
      <c r="D13" s="22"/>
      <c r="E13" s="188"/>
      <c r="F13" s="115"/>
      <c r="H13" s="30" t="s">
        <v>26</v>
      </c>
      <c r="I13" s="31">
        <f>I9-I11</f>
        <v>13393.333333333332</v>
      </c>
      <c r="J13" s="32">
        <f>(I9-I11)/I11*100%</f>
        <v>1.9115128449096097</v>
      </c>
      <c r="L13" s="17" t="s">
        <v>27</v>
      </c>
      <c r="M13" s="19">
        <f>D17+D18+D16+D19+30</f>
        <v>405</v>
      </c>
    </row>
    <row r="14" spans="1:13" ht="16" thickBot="1" x14ac:dyDescent="0.4">
      <c r="A14" s="33"/>
      <c r="B14" s="34"/>
      <c r="C14" s="35"/>
      <c r="D14" s="35"/>
      <c r="E14" s="118"/>
      <c r="F14" s="119"/>
      <c r="L14" s="38" t="s">
        <v>28</v>
      </c>
      <c r="M14" s="39">
        <f>(D16*M9)/(D16+M13)</f>
        <v>0.19230769230769232</v>
      </c>
    </row>
    <row r="15" spans="1:13" ht="24.75" customHeight="1" thickBot="1" x14ac:dyDescent="0.4">
      <c r="A15" s="295" t="s">
        <v>29</v>
      </c>
      <c r="B15" s="40" t="s">
        <v>30</v>
      </c>
      <c r="C15" s="41" t="s">
        <v>31</v>
      </c>
      <c r="D15" s="42" t="s">
        <v>5</v>
      </c>
      <c r="E15" s="41" t="s">
        <v>32</v>
      </c>
      <c r="F15" s="43" t="s">
        <v>33</v>
      </c>
      <c r="H15" s="298" t="s">
        <v>34</v>
      </c>
      <c r="I15" s="299"/>
    </row>
    <row r="16" spans="1:13" ht="15" customHeight="1" thickBot="1" x14ac:dyDescent="0.4">
      <c r="A16" s="296"/>
      <c r="B16" s="44" t="str">
        <f>B9</f>
        <v>MEDIA SMIRNOFF X1</v>
      </c>
      <c r="C16" s="45" t="str">
        <f>D9</f>
        <v>ML</v>
      </c>
      <c r="D16" s="189">
        <v>375</v>
      </c>
      <c r="E16" s="45">
        <f>VLOOKUP(B16,Tabla134568109111393536414243[],5,FALSE)</f>
        <v>53.333333333333336</v>
      </c>
      <c r="F16" s="47">
        <f>E16*D16</f>
        <v>20000</v>
      </c>
      <c r="H16" s="48" t="s">
        <v>13</v>
      </c>
      <c r="I16" s="49">
        <f>F26</f>
        <v>20400</v>
      </c>
      <c r="L16" s="290" t="s">
        <v>35</v>
      </c>
      <c r="M16" s="291"/>
    </row>
    <row r="17" spans="1:13" ht="15" customHeight="1" x14ac:dyDescent="0.35">
      <c r="A17" s="296"/>
      <c r="B17" s="50"/>
      <c r="C17" s="51"/>
      <c r="D17" s="190"/>
      <c r="E17" s="51"/>
      <c r="F17" s="53"/>
      <c r="H17" s="17" t="s">
        <v>36</v>
      </c>
      <c r="I17" s="18">
        <f>F87</f>
        <v>22300</v>
      </c>
      <c r="L17" s="9" t="s">
        <v>37</v>
      </c>
      <c r="M17" s="11">
        <f>4.5/100</f>
        <v>4.4999999999999998E-2</v>
      </c>
    </row>
    <row r="18" spans="1:13" ht="15.75" customHeight="1" thickBot="1" x14ac:dyDescent="0.4">
      <c r="A18" s="296"/>
      <c r="B18" s="50"/>
      <c r="C18" s="51"/>
      <c r="D18" s="190"/>
      <c r="E18" s="51"/>
      <c r="F18" s="53"/>
      <c r="H18" s="17" t="s">
        <v>38</v>
      </c>
      <c r="I18" s="18">
        <f>F100</f>
        <v>49750</v>
      </c>
      <c r="L18" s="17" t="s">
        <v>39</v>
      </c>
      <c r="M18" s="19">
        <f>330/1000</f>
        <v>0.33</v>
      </c>
    </row>
    <row r="19" spans="1:13" ht="15.75" customHeight="1" x14ac:dyDescent="0.35">
      <c r="A19" s="296"/>
      <c r="B19" s="50"/>
      <c r="C19" s="51"/>
      <c r="D19" s="190"/>
      <c r="E19" s="51"/>
      <c r="F19" s="53"/>
      <c r="H19" s="58" t="s">
        <v>40</v>
      </c>
      <c r="I19" s="26">
        <f>I16-I17</f>
        <v>-1900</v>
      </c>
      <c r="J19" s="27">
        <f>(I16-I17)/I17*100%</f>
        <v>-8.520179372197309E-2</v>
      </c>
      <c r="L19" s="17" t="s">
        <v>20</v>
      </c>
      <c r="M19" s="19">
        <v>782</v>
      </c>
    </row>
    <row r="20" spans="1:13" ht="15.75" customHeight="1" thickBot="1" x14ac:dyDescent="0.4">
      <c r="A20" s="296"/>
      <c r="B20" s="50"/>
      <c r="C20" s="51"/>
      <c r="D20" s="190"/>
      <c r="E20" s="51"/>
      <c r="F20" s="53"/>
      <c r="H20" s="63" t="s">
        <v>41</v>
      </c>
      <c r="I20" s="31">
        <f>I16-I18</f>
        <v>-29350</v>
      </c>
      <c r="J20" s="32">
        <f>(I16-I18)/I18*100%</f>
        <v>-0.58994974874371864</v>
      </c>
      <c r="L20" s="38" t="s">
        <v>42</v>
      </c>
      <c r="M20" s="64">
        <f>M17*M18*M19</f>
        <v>11.6127</v>
      </c>
    </row>
    <row r="21" spans="1:13" ht="15.75" customHeight="1" thickBot="1" x14ac:dyDescent="0.4">
      <c r="A21" s="296"/>
      <c r="B21" s="300" t="s">
        <v>43</v>
      </c>
      <c r="C21" s="301"/>
      <c r="D21" s="302" t="s">
        <v>44</v>
      </c>
      <c r="E21" s="303"/>
      <c r="F21" s="65">
        <f>SUM(F16:F20)</f>
        <v>20000</v>
      </c>
    </row>
    <row r="22" spans="1:13" ht="16.5" customHeight="1" thickBot="1" x14ac:dyDescent="0.4">
      <c r="A22" s="296"/>
      <c r="B22" s="304"/>
      <c r="C22" s="305"/>
      <c r="D22" s="310" t="s">
        <v>46</v>
      </c>
      <c r="E22" s="311"/>
      <c r="F22" s="66">
        <f>F21*5%</f>
        <v>1000</v>
      </c>
      <c r="H22" s="290" t="s">
        <v>47</v>
      </c>
      <c r="I22" s="291"/>
    </row>
    <row r="23" spans="1:13" ht="15" customHeight="1" x14ac:dyDescent="0.35">
      <c r="A23" s="296"/>
      <c r="B23" s="306"/>
      <c r="C23" s="307"/>
      <c r="D23" s="312" t="s">
        <v>48</v>
      </c>
      <c r="E23" s="313"/>
      <c r="F23" s="67">
        <f>SUM(F21:F22)</f>
        <v>21000</v>
      </c>
      <c r="H23" s="9" t="s">
        <v>13</v>
      </c>
      <c r="I23" s="10">
        <f>F26</f>
        <v>20400</v>
      </c>
    </row>
    <row r="24" spans="1:13" ht="15" customHeight="1" thickBot="1" x14ac:dyDescent="0.4">
      <c r="A24" s="296"/>
      <c r="B24" s="306"/>
      <c r="C24" s="307"/>
      <c r="D24" s="314" t="s">
        <v>49</v>
      </c>
      <c r="E24" s="315"/>
      <c r="F24" s="191">
        <v>45000</v>
      </c>
      <c r="H24" s="17" t="s">
        <v>50</v>
      </c>
      <c r="I24" s="20">
        <f>F113</f>
        <v>8296.6666666666661</v>
      </c>
    </row>
    <row r="25" spans="1:13" ht="15" customHeight="1" thickBot="1" x14ac:dyDescent="0.4">
      <c r="A25" s="296"/>
      <c r="B25" s="306"/>
      <c r="C25" s="307"/>
      <c r="D25" s="316" t="s">
        <v>51</v>
      </c>
      <c r="E25" s="317"/>
      <c r="F25" s="120">
        <f>F24*8%</f>
        <v>3600</v>
      </c>
      <c r="H25" s="30" t="s">
        <v>52</v>
      </c>
      <c r="I25" s="70">
        <f>I23-I24</f>
        <v>12103.333333333334</v>
      </c>
      <c r="J25" s="71">
        <f>(I23-I24)/I23*100%</f>
        <v>0.59330065359477124</v>
      </c>
    </row>
    <row r="26" spans="1:13" ht="15.75" customHeight="1" thickBot="1" x14ac:dyDescent="0.4">
      <c r="A26" s="296"/>
      <c r="B26" s="306"/>
      <c r="C26" s="307"/>
      <c r="D26" s="310" t="s">
        <v>53</v>
      </c>
      <c r="E26" s="311"/>
      <c r="F26" s="67">
        <f>F24-F23-F25</f>
        <v>20400</v>
      </c>
    </row>
    <row r="27" spans="1:13" ht="15.75" customHeight="1" thickBot="1" x14ac:dyDescent="0.4">
      <c r="A27" s="296"/>
      <c r="B27" s="306"/>
      <c r="C27" s="307"/>
      <c r="D27" s="310" t="s">
        <v>54</v>
      </c>
      <c r="E27" s="311"/>
      <c r="F27" s="72">
        <f>IFERROR(F23/F24,0)</f>
        <v>0.46666666666666667</v>
      </c>
      <c r="G27" s="73"/>
      <c r="H27" s="293" t="s">
        <v>55</v>
      </c>
      <c r="I27" s="294"/>
    </row>
    <row r="28" spans="1:13" ht="15.75" customHeight="1" thickBot="1" x14ac:dyDescent="0.4">
      <c r="A28" s="297"/>
      <c r="B28" s="308"/>
      <c r="C28" s="309"/>
      <c r="D28" s="318" t="s">
        <v>56</v>
      </c>
      <c r="E28" s="319"/>
      <c r="F28" s="74">
        <f>IFERROR(F26/F24,0)</f>
        <v>0.45333333333333331</v>
      </c>
      <c r="G28" s="73"/>
      <c r="H28" s="9" t="s">
        <v>57</v>
      </c>
      <c r="I28" s="10">
        <f>F26</f>
        <v>20400</v>
      </c>
    </row>
    <row r="29" spans="1:13" ht="15.75" customHeight="1" x14ac:dyDescent="0.35">
      <c r="A29" s="75"/>
      <c r="B29" s="76"/>
      <c r="C29" s="77"/>
      <c r="D29" s="78"/>
      <c r="E29" s="78"/>
      <c r="F29" s="79"/>
      <c r="G29" s="73"/>
      <c r="H29" s="17" t="s">
        <v>58</v>
      </c>
      <c r="I29" s="80">
        <f>I28/F62</f>
        <v>4.0991292699263226</v>
      </c>
    </row>
    <row r="30" spans="1:13" x14ac:dyDescent="0.35">
      <c r="A30" s="75"/>
      <c r="B30" s="76"/>
      <c r="C30" s="77"/>
      <c r="D30" s="78"/>
      <c r="E30" s="78"/>
      <c r="F30" s="79"/>
      <c r="H30" s="17" t="s">
        <v>59</v>
      </c>
      <c r="I30" s="80">
        <f>I28/F74</f>
        <v>2.9115128449096099</v>
      </c>
    </row>
    <row r="31" spans="1:13" x14ac:dyDescent="0.35">
      <c r="H31" s="17" t="s">
        <v>60</v>
      </c>
      <c r="I31" s="80">
        <f>I28/F113</f>
        <v>2.4588188027320212</v>
      </c>
    </row>
    <row r="32" spans="1:13" x14ac:dyDescent="0.35">
      <c r="H32" s="17" t="s">
        <v>61</v>
      </c>
      <c r="I32" s="80">
        <f>I28/F87</f>
        <v>0.91479820627802688</v>
      </c>
    </row>
    <row r="33" spans="8:9" ht="15" thickBot="1" x14ac:dyDescent="0.4">
      <c r="H33" s="38" t="s">
        <v>62</v>
      </c>
      <c r="I33" s="81">
        <f>I28/F100</f>
        <v>0.41005025125628142</v>
      </c>
    </row>
    <row r="34" spans="8:9" ht="15" thickBot="1" x14ac:dyDescent="0.4"/>
    <row r="35" spans="8:9" ht="15" thickBot="1" x14ac:dyDescent="0.4">
      <c r="H35" s="293" t="s">
        <v>63</v>
      </c>
      <c r="I35" s="294"/>
    </row>
    <row r="36" spans="8:9" x14ac:dyDescent="0.35">
      <c r="H36" s="9" t="s">
        <v>64</v>
      </c>
      <c r="I36" s="10">
        <f>F24</f>
        <v>45000</v>
      </c>
    </row>
    <row r="37" spans="8:9" x14ac:dyDescent="0.35">
      <c r="H37" s="17" t="s">
        <v>58</v>
      </c>
      <c r="I37" s="80">
        <f>I36/F60</f>
        <v>5.625</v>
      </c>
    </row>
    <row r="38" spans="8:9" x14ac:dyDescent="0.35">
      <c r="H38" s="17" t="s">
        <v>59</v>
      </c>
      <c r="I38" s="80">
        <f>I36/F72</f>
        <v>3.75</v>
      </c>
    </row>
    <row r="39" spans="8:9" x14ac:dyDescent="0.35">
      <c r="H39" s="17" t="s">
        <v>60</v>
      </c>
      <c r="I39" s="80">
        <f>I36/F111</f>
        <v>3.2142857142857144</v>
      </c>
    </row>
    <row r="40" spans="8:9" x14ac:dyDescent="0.35">
      <c r="H40" s="17" t="s">
        <v>61</v>
      </c>
      <c r="I40" s="80">
        <f>I36/F85</f>
        <v>1.2857142857142858</v>
      </c>
    </row>
    <row r="41" spans="8:9" ht="15" thickBot="1" x14ac:dyDescent="0.4">
      <c r="H41" s="38" t="s">
        <v>62</v>
      </c>
      <c r="I41" s="81">
        <f>I36/F98</f>
        <v>0.6</v>
      </c>
    </row>
    <row r="47" spans="8:9" ht="3.75" customHeight="1" x14ac:dyDescent="0.35"/>
    <row r="49" spans="1:6" ht="15" customHeight="1" x14ac:dyDescent="0.35"/>
    <row r="53" spans="1:6" ht="75.75" customHeight="1" thickBot="1" x14ac:dyDescent="0.4"/>
    <row r="54" spans="1:6" ht="21.5" thickBot="1" x14ac:dyDescent="0.4">
      <c r="A54" s="320" t="s">
        <v>65</v>
      </c>
      <c r="B54" s="321"/>
      <c r="C54" s="321"/>
      <c r="D54" s="321"/>
      <c r="E54" s="321"/>
      <c r="F54" s="322"/>
    </row>
    <row r="55" spans="1:6" x14ac:dyDescent="0.35">
      <c r="A55" s="82" t="s">
        <v>30</v>
      </c>
      <c r="B55" s="83" t="s">
        <v>66</v>
      </c>
      <c r="C55" s="84" t="s">
        <v>31</v>
      </c>
      <c r="D55" s="84" t="s">
        <v>5</v>
      </c>
      <c r="E55" s="84" t="s">
        <v>67</v>
      </c>
      <c r="F55" s="85" t="s">
        <v>33</v>
      </c>
    </row>
    <row r="56" spans="1:6" ht="15" thickBot="1" x14ac:dyDescent="0.4">
      <c r="A56" s="86" t="s">
        <v>68</v>
      </c>
      <c r="B56" s="192">
        <f>13000/6</f>
        <v>2166.6666666666665</v>
      </c>
      <c r="C56" s="88" t="s">
        <v>12</v>
      </c>
      <c r="D56" s="193">
        <v>330</v>
      </c>
      <c r="E56" s="90">
        <f>B56/D56</f>
        <v>6.5656565656565649</v>
      </c>
      <c r="F56" s="91">
        <f>E56*D56</f>
        <v>2166.6666666666665</v>
      </c>
    </row>
    <row r="57" spans="1:6" x14ac:dyDescent="0.35">
      <c r="A57" s="323" t="s">
        <v>69</v>
      </c>
      <c r="B57" s="324"/>
      <c r="C57" s="325"/>
      <c r="D57" s="302" t="s">
        <v>44</v>
      </c>
      <c r="E57" s="303"/>
      <c r="F57" s="65">
        <f>F56</f>
        <v>2166.6666666666665</v>
      </c>
    </row>
    <row r="58" spans="1:6" ht="15" customHeight="1" x14ac:dyDescent="0.35">
      <c r="A58" s="326" t="s">
        <v>70</v>
      </c>
      <c r="B58" s="327"/>
      <c r="C58" s="328"/>
      <c r="D58" s="310" t="s">
        <v>46</v>
      </c>
      <c r="E58" s="311"/>
      <c r="F58" s="66">
        <f>F57*10%</f>
        <v>216.66666666666666</v>
      </c>
    </row>
    <row r="59" spans="1:6" x14ac:dyDescent="0.35">
      <c r="A59" s="329"/>
      <c r="B59" s="330"/>
      <c r="C59" s="331"/>
      <c r="D59" s="312" t="s">
        <v>48</v>
      </c>
      <c r="E59" s="313"/>
      <c r="F59" s="67">
        <f>F57+F58</f>
        <v>2383.333333333333</v>
      </c>
    </row>
    <row r="60" spans="1:6" x14ac:dyDescent="0.35">
      <c r="A60" s="329"/>
      <c r="B60" s="330"/>
      <c r="C60" s="331"/>
      <c r="D60" s="314" t="s">
        <v>49</v>
      </c>
      <c r="E60" s="315"/>
      <c r="F60" s="191">
        <v>8000</v>
      </c>
    </row>
    <row r="61" spans="1:6" x14ac:dyDescent="0.35">
      <c r="A61" s="329"/>
      <c r="B61" s="330"/>
      <c r="C61" s="331"/>
      <c r="D61" s="316" t="s">
        <v>51</v>
      </c>
      <c r="E61" s="317"/>
      <c r="F61" s="69">
        <f>F60*8%</f>
        <v>640</v>
      </c>
    </row>
    <row r="62" spans="1:6" x14ac:dyDescent="0.35">
      <c r="A62" s="329"/>
      <c r="B62" s="330"/>
      <c r="C62" s="331"/>
      <c r="D62" s="310" t="s">
        <v>53</v>
      </c>
      <c r="E62" s="311"/>
      <c r="F62" s="67">
        <f>F60-F59-F61</f>
        <v>4976.666666666667</v>
      </c>
    </row>
    <row r="63" spans="1:6" x14ac:dyDescent="0.35">
      <c r="A63" s="329"/>
      <c r="B63" s="330"/>
      <c r="C63" s="331"/>
      <c r="D63" s="310" t="s">
        <v>54</v>
      </c>
      <c r="E63" s="311"/>
      <c r="F63" s="72">
        <f>IFERROR(F59/F60,0)</f>
        <v>0.29791666666666661</v>
      </c>
    </row>
    <row r="64" spans="1:6" ht="15" thickBot="1" x14ac:dyDescent="0.4">
      <c r="A64" s="332"/>
      <c r="B64" s="333"/>
      <c r="C64" s="334"/>
      <c r="D64" s="318" t="s">
        <v>56</v>
      </c>
      <c r="E64" s="319"/>
      <c r="F64" s="74">
        <f>IFERROR(F62/F60,0)</f>
        <v>0.62208333333333332</v>
      </c>
    </row>
    <row r="65" spans="1:6" ht="15" thickBot="1" x14ac:dyDescent="0.4">
      <c r="A65" s="73"/>
      <c r="B65" s="73"/>
      <c r="C65" s="73"/>
      <c r="D65" s="73"/>
      <c r="E65" s="73"/>
      <c r="F65" s="73"/>
    </row>
    <row r="66" spans="1:6" ht="21.5" thickBot="1" x14ac:dyDescent="0.4">
      <c r="A66" s="320" t="s">
        <v>71</v>
      </c>
      <c r="B66" s="321"/>
      <c r="C66" s="321"/>
      <c r="D66" s="321"/>
      <c r="E66" s="321"/>
      <c r="F66" s="322"/>
    </row>
    <row r="67" spans="1:6" ht="26" x14ac:dyDescent="0.35">
      <c r="A67" s="82" t="s">
        <v>30</v>
      </c>
      <c r="B67" s="83" t="s">
        <v>66</v>
      </c>
      <c r="C67" s="84" t="s">
        <v>31</v>
      </c>
      <c r="D67" s="84" t="s">
        <v>5</v>
      </c>
      <c r="E67" s="84" t="s">
        <v>32</v>
      </c>
      <c r="F67" s="85" t="s">
        <v>33</v>
      </c>
    </row>
    <row r="68" spans="1:6" ht="15" thickBot="1" x14ac:dyDescent="0.4">
      <c r="A68" s="86" t="s">
        <v>72</v>
      </c>
      <c r="B68" s="192">
        <f>22000/6</f>
        <v>3666.6666666666665</v>
      </c>
      <c r="C68" s="88" t="s">
        <v>12</v>
      </c>
      <c r="D68" s="193">
        <v>330</v>
      </c>
      <c r="E68" s="90">
        <f>B68/D68</f>
        <v>11.111111111111111</v>
      </c>
      <c r="F68" s="91">
        <f>E68*D68</f>
        <v>3666.6666666666665</v>
      </c>
    </row>
    <row r="69" spans="1:6" x14ac:dyDescent="0.35">
      <c r="A69" s="323" t="s">
        <v>69</v>
      </c>
      <c r="B69" s="324"/>
      <c r="C69" s="325"/>
      <c r="D69" s="302" t="s">
        <v>44</v>
      </c>
      <c r="E69" s="303"/>
      <c r="F69" s="65">
        <f>F68</f>
        <v>3666.6666666666665</v>
      </c>
    </row>
    <row r="70" spans="1:6" ht="15" customHeight="1" x14ac:dyDescent="0.35">
      <c r="A70" s="326" t="s">
        <v>73</v>
      </c>
      <c r="B70" s="327"/>
      <c r="C70" s="328"/>
      <c r="D70" s="310" t="s">
        <v>46</v>
      </c>
      <c r="E70" s="311"/>
      <c r="F70" s="66">
        <f>F69*10%</f>
        <v>366.66666666666669</v>
      </c>
    </row>
    <row r="71" spans="1:6" x14ac:dyDescent="0.35">
      <c r="A71" s="329"/>
      <c r="B71" s="330"/>
      <c r="C71" s="331"/>
      <c r="D71" s="312" t="s">
        <v>48</v>
      </c>
      <c r="E71" s="313"/>
      <c r="F71" s="67">
        <f>F69+F70</f>
        <v>4033.333333333333</v>
      </c>
    </row>
    <row r="72" spans="1:6" x14ac:dyDescent="0.35">
      <c r="A72" s="329"/>
      <c r="B72" s="330"/>
      <c r="C72" s="331"/>
      <c r="D72" s="314" t="s">
        <v>49</v>
      </c>
      <c r="E72" s="315"/>
      <c r="F72" s="191">
        <v>12000</v>
      </c>
    </row>
    <row r="73" spans="1:6" x14ac:dyDescent="0.35">
      <c r="A73" s="329"/>
      <c r="B73" s="330"/>
      <c r="C73" s="331"/>
      <c r="D73" s="316" t="s">
        <v>51</v>
      </c>
      <c r="E73" s="317"/>
      <c r="F73" s="69">
        <f>F72*8%</f>
        <v>960</v>
      </c>
    </row>
    <row r="74" spans="1:6" x14ac:dyDescent="0.35">
      <c r="A74" s="329"/>
      <c r="B74" s="330"/>
      <c r="C74" s="331"/>
      <c r="D74" s="310" t="s">
        <v>53</v>
      </c>
      <c r="E74" s="311"/>
      <c r="F74" s="67">
        <f>F72-F71-F73</f>
        <v>7006.666666666667</v>
      </c>
    </row>
    <row r="75" spans="1:6" x14ac:dyDescent="0.35">
      <c r="A75" s="329"/>
      <c r="B75" s="330"/>
      <c r="C75" s="331"/>
      <c r="D75" s="310" t="s">
        <v>54</v>
      </c>
      <c r="E75" s="311"/>
      <c r="F75" s="72">
        <f>IFERROR(F71/F72,0)</f>
        <v>0.33611111111111108</v>
      </c>
    </row>
    <row r="76" spans="1:6" ht="15" thickBot="1" x14ac:dyDescent="0.4">
      <c r="A76" s="332"/>
      <c r="B76" s="333"/>
      <c r="C76" s="334"/>
      <c r="D76" s="318" t="s">
        <v>56</v>
      </c>
      <c r="E76" s="319"/>
      <c r="F76" s="74">
        <f>IFERROR(F74/F72,0)</f>
        <v>0.5838888888888889</v>
      </c>
    </row>
    <row r="78" spans="1:6" ht="15" thickBot="1" x14ac:dyDescent="0.4"/>
    <row r="79" spans="1:6" ht="21.5" thickBot="1" x14ac:dyDescent="0.4">
      <c r="A79" s="320" t="s">
        <v>74</v>
      </c>
      <c r="B79" s="321"/>
      <c r="C79" s="321"/>
      <c r="D79" s="321"/>
      <c r="E79" s="321"/>
      <c r="F79" s="322"/>
    </row>
    <row r="80" spans="1:6" ht="26" x14ac:dyDescent="0.35">
      <c r="A80" s="82" t="s">
        <v>30</v>
      </c>
      <c r="B80" s="83" t="s">
        <v>66</v>
      </c>
      <c r="C80" s="84" t="s">
        <v>31</v>
      </c>
      <c r="D80" s="84" t="s">
        <v>5</v>
      </c>
      <c r="E80" s="84" t="s">
        <v>32</v>
      </c>
      <c r="F80" s="85" t="s">
        <v>33</v>
      </c>
    </row>
    <row r="81" spans="1:9" ht="15" thickBot="1" x14ac:dyDescent="0.4">
      <c r="A81" s="86" t="s">
        <v>75</v>
      </c>
      <c r="B81" s="192">
        <v>18000</v>
      </c>
      <c r="C81" s="88" t="s">
        <v>12</v>
      </c>
      <c r="D81" s="89">
        <v>375</v>
      </c>
      <c r="E81" s="90">
        <f>B81/750</f>
        <v>24</v>
      </c>
      <c r="F81" s="91">
        <f>E81*D81</f>
        <v>9000</v>
      </c>
    </row>
    <row r="82" spans="1:9" x14ac:dyDescent="0.35">
      <c r="A82" s="323" t="s">
        <v>69</v>
      </c>
      <c r="B82" s="324"/>
      <c r="C82" s="325"/>
      <c r="D82" s="302" t="s">
        <v>44</v>
      </c>
      <c r="E82" s="303"/>
      <c r="F82" s="65">
        <f>F81</f>
        <v>9000</v>
      </c>
    </row>
    <row r="83" spans="1:9" ht="15" customHeight="1" x14ac:dyDescent="0.35">
      <c r="A83" s="326" t="s">
        <v>76</v>
      </c>
      <c r="B83" s="327"/>
      <c r="C83" s="328"/>
      <c r="D83" s="310" t="s">
        <v>46</v>
      </c>
      <c r="E83" s="311"/>
      <c r="F83" s="66">
        <f>F82*10%</f>
        <v>900</v>
      </c>
    </row>
    <row r="84" spans="1:9" x14ac:dyDescent="0.35">
      <c r="A84" s="329"/>
      <c r="B84" s="330"/>
      <c r="C84" s="331"/>
      <c r="D84" s="312" t="s">
        <v>48</v>
      </c>
      <c r="E84" s="313"/>
      <c r="F84" s="67">
        <f>F82+F83</f>
        <v>9900</v>
      </c>
    </row>
    <row r="85" spans="1:9" x14ac:dyDescent="0.35">
      <c r="A85" s="329"/>
      <c r="B85" s="330"/>
      <c r="C85" s="331"/>
      <c r="D85" s="314" t="s">
        <v>49</v>
      </c>
      <c r="E85" s="315"/>
      <c r="F85" s="191">
        <v>35000</v>
      </c>
    </row>
    <row r="86" spans="1:9" x14ac:dyDescent="0.35">
      <c r="A86" s="329"/>
      <c r="B86" s="330"/>
      <c r="C86" s="331"/>
      <c r="D86" s="316" t="s">
        <v>51</v>
      </c>
      <c r="E86" s="317"/>
      <c r="F86" s="69">
        <f>F85*8%</f>
        <v>2800</v>
      </c>
    </row>
    <row r="87" spans="1:9" x14ac:dyDescent="0.35">
      <c r="A87" s="329"/>
      <c r="B87" s="330"/>
      <c r="C87" s="331"/>
      <c r="D87" s="310" t="s">
        <v>53</v>
      </c>
      <c r="E87" s="311"/>
      <c r="F87" s="67">
        <f>F85-F84-F86</f>
        <v>22300</v>
      </c>
      <c r="I87" s="92"/>
    </row>
    <row r="88" spans="1:9" x14ac:dyDescent="0.35">
      <c r="A88" s="329"/>
      <c r="B88" s="330"/>
      <c r="C88" s="331"/>
      <c r="D88" s="310" t="s">
        <v>54</v>
      </c>
      <c r="E88" s="311"/>
      <c r="F88" s="72">
        <f>IFERROR(F84/F85,0)</f>
        <v>0.28285714285714286</v>
      </c>
      <c r="I88" s="92"/>
    </row>
    <row r="89" spans="1:9" ht="15" thickBot="1" x14ac:dyDescent="0.4">
      <c r="A89" s="332"/>
      <c r="B89" s="333"/>
      <c r="C89" s="334"/>
      <c r="D89" s="318" t="s">
        <v>56</v>
      </c>
      <c r="E89" s="319"/>
      <c r="F89" s="74">
        <f>IFERROR(F87/F85,0)</f>
        <v>0.63714285714285712</v>
      </c>
      <c r="I89" s="92"/>
    </row>
    <row r="91" spans="1:9" ht="15" thickBot="1" x14ac:dyDescent="0.4"/>
    <row r="92" spans="1:9" ht="21.5" thickBot="1" x14ac:dyDescent="0.4">
      <c r="A92" s="320" t="s">
        <v>77</v>
      </c>
      <c r="B92" s="321"/>
      <c r="C92" s="321"/>
      <c r="D92" s="321"/>
      <c r="E92" s="321"/>
      <c r="F92" s="322"/>
    </row>
    <row r="93" spans="1:9" ht="26" x14ac:dyDescent="0.35">
      <c r="A93" s="82" t="s">
        <v>30</v>
      </c>
      <c r="B93" s="83" t="s">
        <v>66</v>
      </c>
      <c r="C93" s="84" t="s">
        <v>31</v>
      </c>
      <c r="D93" s="84" t="s">
        <v>5</v>
      </c>
      <c r="E93" s="84" t="s">
        <v>32</v>
      </c>
      <c r="F93" s="85" t="s">
        <v>33</v>
      </c>
    </row>
    <row r="94" spans="1:9" ht="15" thickBot="1" x14ac:dyDescent="0.4">
      <c r="A94" s="86" t="s">
        <v>78</v>
      </c>
      <c r="B94" s="192">
        <v>35000</v>
      </c>
      <c r="C94" s="88" t="s">
        <v>12</v>
      </c>
      <c r="D94" s="89">
        <v>375</v>
      </c>
      <c r="E94" s="90">
        <f>B94/750</f>
        <v>46.666666666666664</v>
      </c>
      <c r="F94" s="91">
        <f>E94*D94</f>
        <v>17500</v>
      </c>
    </row>
    <row r="95" spans="1:9" x14ac:dyDescent="0.35">
      <c r="A95" s="323" t="s">
        <v>69</v>
      </c>
      <c r="B95" s="324"/>
      <c r="C95" s="325"/>
      <c r="D95" s="302" t="s">
        <v>44</v>
      </c>
      <c r="E95" s="303"/>
      <c r="F95" s="65">
        <f>F94</f>
        <v>17500</v>
      </c>
    </row>
    <row r="96" spans="1:9" ht="15" customHeight="1" x14ac:dyDescent="0.35">
      <c r="A96" s="326" t="s">
        <v>79</v>
      </c>
      <c r="B96" s="327"/>
      <c r="C96" s="328"/>
      <c r="D96" s="310" t="s">
        <v>46</v>
      </c>
      <c r="E96" s="311"/>
      <c r="F96" s="66">
        <f>F95*10%</f>
        <v>1750</v>
      </c>
    </row>
    <row r="97" spans="1:6" x14ac:dyDescent="0.35">
      <c r="A97" s="329"/>
      <c r="B97" s="330"/>
      <c r="C97" s="331"/>
      <c r="D97" s="312" t="s">
        <v>48</v>
      </c>
      <c r="E97" s="313"/>
      <c r="F97" s="67">
        <f>F95+F96</f>
        <v>19250</v>
      </c>
    </row>
    <row r="98" spans="1:6" x14ac:dyDescent="0.35">
      <c r="A98" s="329"/>
      <c r="B98" s="330"/>
      <c r="C98" s="331"/>
      <c r="D98" s="314" t="s">
        <v>49</v>
      </c>
      <c r="E98" s="315"/>
      <c r="F98" s="191">
        <v>75000</v>
      </c>
    </row>
    <row r="99" spans="1:6" x14ac:dyDescent="0.35">
      <c r="A99" s="329"/>
      <c r="B99" s="330"/>
      <c r="C99" s="331"/>
      <c r="D99" s="316" t="s">
        <v>51</v>
      </c>
      <c r="E99" s="317"/>
      <c r="F99" s="69">
        <f>F98*8%</f>
        <v>6000</v>
      </c>
    </row>
    <row r="100" spans="1:6" x14ac:dyDescent="0.35">
      <c r="A100" s="329"/>
      <c r="B100" s="330"/>
      <c r="C100" s="331"/>
      <c r="D100" s="310" t="s">
        <v>53</v>
      </c>
      <c r="E100" s="311"/>
      <c r="F100" s="67">
        <f>F98-F97-F99</f>
        <v>49750</v>
      </c>
    </row>
    <row r="101" spans="1:6" x14ac:dyDescent="0.35">
      <c r="A101" s="329"/>
      <c r="B101" s="330"/>
      <c r="C101" s="331"/>
      <c r="D101" s="310" t="s">
        <v>54</v>
      </c>
      <c r="E101" s="311"/>
      <c r="F101" s="72">
        <f>IFERROR(F97/F98,0)</f>
        <v>0.25666666666666665</v>
      </c>
    </row>
    <row r="102" spans="1:6" ht="15" thickBot="1" x14ac:dyDescent="0.4">
      <c r="A102" s="332"/>
      <c r="B102" s="333"/>
      <c r="C102" s="334"/>
      <c r="D102" s="318" t="s">
        <v>56</v>
      </c>
      <c r="E102" s="319"/>
      <c r="F102" s="74">
        <f>IFERROR(F100/F98,0)</f>
        <v>0.66333333333333333</v>
      </c>
    </row>
    <row r="104" spans="1:6" ht="15" thickBot="1" x14ac:dyDescent="0.4"/>
    <row r="105" spans="1:6" ht="21.5" thickBot="1" x14ac:dyDescent="0.4">
      <c r="A105" s="320" t="s">
        <v>80</v>
      </c>
      <c r="B105" s="321"/>
      <c r="C105" s="321"/>
      <c r="D105" s="321"/>
      <c r="E105" s="321"/>
      <c r="F105" s="322"/>
    </row>
    <row r="106" spans="1:6" ht="26" x14ac:dyDescent="0.35">
      <c r="A106" s="82" t="s">
        <v>30</v>
      </c>
      <c r="B106" s="83" t="s">
        <v>66</v>
      </c>
      <c r="C106" s="84" t="s">
        <v>31</v>
      </c>
      <c r="D106" s="84" t="s">
        <v>81</v>
      </c>
      <c r="E106" s="84" t="s">
        <v>32</v>
      </c>
      <c r="F106" s="85" t="s">
        <v>33</v>
      </c>
    </row>
    <row r="107" spans="1:6" ht="15" thickBot="1" x14ac:dyDescent="0.4">
      <c r="A107" s="86" t="s">
        <v>82</v>
      </c>
      <c r="B107" s="192">
        <v>25000</v>
      </c>
      <c r="C107" s="88" t="s">
        <v>12</v>
      </c>
      <c r="D107" s="193">
        <v>125</v>
      </c>
      <c r="E107" s="90">
        <f>B107/750</f>
        <v>33.333333333333336</v>
      </c>
      <c r="F107" s="91">
        <f>E107*D107</f>
        <v>4166.666666666667</v>
      </c>
    </row>
    <row r="108" spans="1:6" x14ac:dyDescent="0.35">
      <c r="A108" s="323" t="s">
        <v>69</v>
      </c>
      <c r="B108" s="324"/>
      <c r="C108" s="325"/>
      <c r="D108" s="302" t="s">
        <v>44</v>
      </c>
      <c r="E108" s="303"/>
      <c r="F108" s="65">
        <f>F107</f>
        <v>4166.666666666667</v>
      </c>
    </row>
    <row r="109" spans="1:6" ht="15" customHeight="1" x14ac:dyDescent="0.35">
      <c r="A109" s="326" t="s">
        <v>83</v>
      </c>
      <c r="B109" s="327"/>
      <c r="C109" s="328"/>
      <c r="D109" s="310" t="s">
        <v>46</v>
      </c>
      <c r="E109" s="311"/>
      <c r="F109" s="66">
        <f>F108*10%</f>
        <v>416.66666666666674</v>
      </c>
    </row>
    <row r="110" spans="1:6" x14ac:dyDescent="0.35">
      <c r="A110" s="329"/>
      <c r="B110" s="330"/>
      <c r="C110" s="331"/>
      <c r="D110" s="312" t="s">
        <v>48</v>
      </c>
      <c r="E110" s="313"/>
      <c r="F110" s="67">
        <f>F108+F109</f>
        <v>4583.3333333333339</v>
      </c>
    </row>
    <row r="111" spans="1:6" x14ac:dyDescent="0.35">
      <c r="A111" s="329"/>
      <c r="B111" s="330"/>
      <c r="C111" s="331"/>
      <c r="D111" s="314" t="s">
        <v>49</v>
      </c>
      <c r="E111" s="315"/>
      <c r="F111" s="191">
        <v>14000</v>
      </c>
    </row>
    <row r="112" spans="1:6" x14ac:dyDescent="0.35">
      <c r="A112" s="329"/>
      <c r="B112" s="330"/>
      <c r="C112" s="331"/>
      <c r="D112" s="316" t="s">
        <v>51</v>
      </c>
      <c r="E112" s="317"/>
      <c r="F112" s="69">
        <f>F111*8%</f>
        <v>1120</v>
      </c>
    </row>
    <row r="113" spans="1:6" x14ac:dyDescent="0.35">
      <c r="A113" s="329"/>
      <c r="B113" s="330"/>
      <c r="C113" s="331"/>
      <c r="D113" s="310" t="s">
        <v>53</v>
      </c>
      <c r="E113" s="311"/>
      <c r="F113" s="67">
        <f>F111-F110-F112</f>
        <v>8296.6666666666661</v>
      </c>
    </row>
    <row r="114" spans="1:6" x14ac:dyDescent="0.35">
      <c r="A114" s="329"/>
      <c r="B114" s="330"/>
      <c r="C114" s="331"/>
      <c r="D114" s="310" t="s">
        <v>54</v>
      </c>
      <c r="E114" s="311"/>
      <c r="F114" s="72">
        <f>IFERROR(F110/F111,0)</f>
        <v>0.32738095238095244</v>
      </c>
    </row>
    <row r="115" spans="1:6" ht="15" thickBot="1" x14ac:dyDescent="0.4">
      <c r="A115" s="332"/>
      <c r="B115" s="333"/>
      <c r="C115" s="334"/>
      <c r="D115" s="318" t="s">
        <v>56</v>
      </c>
      <c r="E115" s="319"/>
      <c r="F115" s="74">
        <f>IFERROR(F113/F111,0)</f>
        <v>0.5926190476190476</v>
      </c>
    </row>
  </sheetData>
  <sheetProtection algorithmName="SHA-512" hashValue="5DDvyteh2od90SPsUCLv+yeQxXVSQJNhrI/e0tveBSidieNj57/CEfXQDqO+cmYhoomBCKW0i2yikUn0Kv53gw==" saltValue="DuWlF8KFC7tD0XavK7/ipg==" spinCount="100000" sheet="1" objects="1" scenarios="1" formatCells="0" formatRows="0" selectLockedCells="1"/>
  <protectedRanges>
    <protectedRange sqref="B56 D56 F60 B68 D68 F72 B81 D81 F85 B94 D94 F98 B107 D107 F111" name="PRUEBA FINAL"/>
    <protectedRange sqref="E9:E13 D16:D20 F24" name="FINAL_1"/>
    <protectedRange sqref="E9:E13 D16:D20 F24" name="EDITABLES"/>
  </protectedRanges>
  <mergeCells count="78">
    <mergeCell ref="A6:F6"/>
    <mergeCell ref="H6:I6"/>
    <mergeCell ref="L6:M6"/>
    <mergeCell ref="A8:A13"/>
    <mergeCell ref="H8:I8"/>
    <mergeCell ref="L8:M8"/>
    <mergeCell ref="J9:J11"/>
    <mergeCell ref="H35:I35"/>
    <mergeCell ref="A15:A28"/>
    <mergeCell ref="H15:I15"/>
    <mergeCell ref="L16:M16"/>
    <mergeCell ref="B21:C21"/>
    <mergeCell ref="D21:E21"/>
    <mergeCell ref="B22:C28"/>
    <mergeCell ref="D22:E22"/>
    <mergeCell ref="H22:I22"/>
    <mergeCell ref="D23:E23"/>
    <mergeCell ref="D24:E24"/>
    <mergeCell ref="D25:E25"/>
    <mergeCell ref="D26:E26"/>
    <mergeCell ref="D27:E27"/>
    <mergeCell ref="H27:I27"/>
    <mergeCell ref="D28:E28"/>
    <mergeCell ref="A54:F54"/>
    <mergeCell ref="A57:C57"/>
    <mergeCell ref="D57:E57"/>
    <mergeCell ref="A58:C64"/>
    <mergeCell ref="D58:E58"/>
    <mergeCell ref="D59:E59"/>
    <mergeCell ref="D60:E60"/>
    <mergeCell ref="D61:E61"/>
    <mergeCell ref="D62:E62"/>
    <mergeCell ref="D63:E63"/>
    <mergeCell ref="D64:E64"/>
    <mergeCell ref="A66:F66"/>
    <mergeCell ref="A69:C69"/>
    <mergeCell ref="D69:E69"/>
    <mergeCell ref="A70:C76"/>
    <mergeCell ref="D70:E70"/>
    <mergeCell ref="D71:E71"/>
    <mergeCell ref="D72:E72"/>
    <mergeCell ref="D73:E73"/>
    <mergeCell ref="D74:E74"/>
    <mergeCell ref="D75:E75"/>
    <mergeCell ref="D76:E76"/>
    <mergeCell ref="A79:F79"/>
    <mergeCell ref="A82:C82"/>
    <mergeCell ref="D82:E82"/>
    <mergeCell ref="D87:E87"/>
    <mergeCell ref="D88:E88"/>
    <mergeCell ref="D89:E89"/>
    <mergeCell ref="A92:F92"/>
    <mergeCell ref="A95:C95"/>
    <mergeCell ref="D95:E95"/>
    <mergeCell ref="A83:C89"/>
    <mergeCell ref="D83:E83"/>
    <mergeCell ref="D84:E84"/>
    <mergeCell ref="D85:E85"/>
    <mergeCell ref="D86:E86"/>
    <mergeCell ref="A96:C102"/>
    <mergeCell ref="D96:E96"/>
    <mergeCell ref="D97:E97"/>
    <mergeCell ref="D98:E98"/>
    <mergeCell ref="D99:E99"/>
    <mergeCell ref="D100:E100"/>
    <mergeCell ref="D101:E101"/>
    <mergeCell ref="D102:E102"/>
    <mergeCell ref="D115:E115"/>
    <mergeCell ref="A105:F105"/>
    <mergeCell ref="A108:C108"/>
    <mergeCell ref="D108:E108"/>
    <mergeCell ref="A109:C115"/>
    <mergeCell ref="D109:E109"/>
    <mergeCell ref="D110:E110"/>
    <mergeCell ref="D111:E111"/>
    <mergeCell ref="D112:E112"/>
    <mergeCell ref="D113:E113"/>
    <mergeCell ref="D114:E1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91" r:id="rId4" name="Button 3">
              <controlPr defaultSize="0" print="0" autoFill="0" autoPict="0" macro="[0]!Ocultar">
                <anchor moveWithCells="1" sizeWithCells="1">
                  <from>
                    <xdr:col>7</xdr:col>
                    <xdr:colOff>869950</xdr:colOff>
                    <xdr:row>1</xdr:row>
                    <xdr:rowOff>69850</xdr:rowOff>
                  </from>
                  <to>
                    <xdr:col>7</xdr:col>
                    <xdr:colOff>2946400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Hoja46">
    <tabColor rgb="FF009900"/>
  </sheetPr>
  <dimension ref="A1:M111"/>
  <sheetViews>
    <sheetView showGridLines="0" zoomScale="90" zoomScaleNormal="90" workbookViewId="0">
      <selection activeCell="F20" sqref="F20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thickBot="1" x14ac:dyDescent="0.4"/>
    <row r="2" spans="1:13" ht="23.25" customHeight="1" thickBot="1" x14ac:dyDescent="0.4">
      <c r="A2" s="284" t="s">
        <v>180</v>
      </c>
      <c r="B2" s="285"/>
      <c r="C2" s="285"/>
      <c r="D2" s="285"/>
      <c r="E2" s="285"/>
      <c r="F2" s="286"/>
      <c r="H2" s="284" t="s">
        <v>1</v>
      </c>
      <c r="I2" s="286"/>
      <c r="L2" s="284" t="s">
        <v>2</v>
      </c>
      <c r="M2" s="286"/>
    </row>
    <row r="3" spans="1:13" ht="8.25" customHeight="1" thickBot="1" x14ac:dyDescent="0.4"/>
    <row r="4" spans="1:13" ht="25.5" customHeight="1" thickBot="1" x14ac:dyDescent="0.4">
      <c r="A4" s="287" t="s">
        <v>3</v>
      </c>
      <c r="B4" s="103" t="s">
        <v>4</v>
      </c>
      <c r="C4" s="103" t="s">
        <v>5</v>
      </c>
      <c r="D4" s="104" t="s">
        <v>6</v>
      </c>
      <c r="E4" s="103" t="s">
        <v>7</v>
      </c>
      <c r="F4" s="105" t="s">
        <v>8</v>
      </c>
      <c r="H4" s="290" t="s">
        <v>9</v>
      </c>
      <c r="I4" s="291"/>
      <c r="L4" s="290" t="s">
        <v>10</v>
      </c>
      <c r="M4" s="291"/>
    </row>
    <row r="5" spans="1:13" ht="15" customHeight="1" x14ac:dyDescent="0.35">
      <c r="A5" s="288"/>
      <c r="B5" s="12" t="s">
        <v>174</v>
      </c>
      <c r="C5" s="14">
        <v>750</v>
      </c>
      <c r="D5" s="96" t="s">
        <v>12</v>
      </c>
      <c r="E5" s="114">
        <v>93826</v>
      </c>
      <c r="F5" s="115">
        <f>Tabla1345681091113923252627293031323334353845[[#This Row],[PRECIO]]/Tabla1345681091113923252627293031323334353845[[#This Row],[CANTIDAD]]</f>
        <v>125.10133333333333</v>
      </c>
      <c r="H5" s="9" t="s">
        <v>13</v>
      </c>
      <c r="I5" s="10">
        <f>F22</f>
        <v>5918.616</v>
      </c>
      <c r="J5" s="292"/>
      <c r="L5" s="9" t="s">
        <v>14</v>
      </c>
      <c r="M5" s="11">
        <f>40/100</f>
        <v>0.4</v>
      </c>
    </row>
    <row r="6" spans="1:13" ht="15" customHeight="1" x14ac:dyDescent="0.35">
      <c r="A6" s="288"/>
      <c r="B6" s="12"/>
      <c r="C6" s="13"/>
      <c r="D6" s="14"/>
      <c r="E6" s="114"/>
      <c r="F6" s="115"/>
      <c r="H6" s="17" t="s">
        <v>16</v>
      </c>
      <c r="I6" s="18">
        <f>F58</f>
        <v>4976.666666666667</v>
      </c>
      <c r="J6" s="292"/>
      <c r="L6" s="17" t="s">
        <v>17</v>
      </c>
      <c r="M6" s="19">
        <f>D12/1000</f>
        <v>0.06</v>
      </c>
    </row>
    <row r="7" spans="1:13" ht="15" customHeight="1" thickBot="1" x14ac:dyDescent="0.4">
      <c r="A7" s="288"/>
      <c r="B7" s="12"/>
      <c r="C7" s="14"/>
      <c r="D7" s="14"/>
      <c r="E7" s="114"/>
      <c r="F7" s="115"/>
      <c r="H7" s="17" t="s">
        <v>19</v>
      </c>
      <c r="I7" s="20">
        <f>F70</f>
        <v>7006.666666666667</v>
      </c>
      <c r="J7" s="292"/>
      <c r="L7" s="17" t="s">
        <v>20</v>
      </c>
      <c r="M7" s="19">
        <v>782</v>
      </c>
    </row>
    <row r="8" spans="1:13" ht="15.75" customHeight="1" x14ac:dyDescent="0.35">
      <c r="A8" s="288"/>
      <c r="B8" s="21"/>
      <c r="C8" s="22"/>
      <c r="D8" s="22"/>
      <c r="E8" s="116"/>
      <c r="F8" s="115"/>
      <c r="H8" s="25" t="s">
        <v>23</v>
      </c>
      <c r="I8" s="26">
        <f>I5-I6</f>
        <v>941.94933333333302</v>
      </c>
      <c r="J8" s="27">
        <f>(I5-I6)/I6*100%</f>
        <v>0.1892731413261888</v>
      </c>
      <c r="L8" s="17" t="s">
        <v>24</v>
      </c>
      <c r="M8" s="28">
        <f>M5*M6*M7</f>
        <v>18.768000000000001</v>
      </c>
    </row>
    <row r="9" spans="1:13" ht="15.75" customHeight="1" thickBot="1" x14ac:dyDescent="0.4">
      <c r="A9" s="289"/>
      <c r="B9" s="29"/>
      <c r="C9" s="22"/>
      <c r="D9" s="22"/>
      <c r="E9" s="117"/>
      <c r="F9" s="115"/>
      <c r="H9" s="30" t="s">
        <v>26</v>
      </c>
      <c r="I9" s="31">
        <f>I5-I7</f>
        <v>-1088.050666666667</v>
      </c>
      <c r="J9" s="32">
        <f>(I5-I7)/I7*100%</f>
        <v>-0.15528791627021887</v>
      </c>
      <c r="L9" s="17" t="s">
        <v>27</v>
      </c>
      <c r="M9" s="19">
        <f>D13+D14+D12+D15+30</f>
        <v>90</v>
      </c>
    </row>
    <row r="10" spans="1:13" ht="16" thickBot="1" x14ac:dyDescent="0.4">
      <c r="A10" s="33"/>
      <c r="B10" s="34"/>
      <c r="C10" s="35"/>
      <c r="D10" s="35"/>
      <c r="E10" s="118"/>
      <c r="F10" s="119"/>
      <c r="L10" s="38" t="s">
        <v>28</v>
      </c>
      <c r="M10" s="39">
        <f>(D12*M5)/(D12+M9)</f>
        <v>0.16</v>
      </c>
    </row>
    <row r="11" spans="1:13" ht="24.75" customHeight="1" thickBot="1" x14ac:dyDescent="0.4">
      <c r="A11" s="295" t="s">
        <v>29</v>
      </c>
      <c r="B11" s="40" t="s">
        <v>30</v>
      </c>
      <c r="C11" s="41" t="s">
        <v>31</v>
      </c>
      <c r="D11" s="42" t="s">
        <v>5</v>
      </c>
      <c r="E11" s="41" t="s">
        <v>32</v>
      </c>
      <c r="F11" s="43" t="s">
        <v>33</v>
      </c>
      <c r="H11" s="298" t="s">
        <v>34</v>
      </c>
      <c r="I11" s="299"/>
    </row>
    <row r="12" spans="1:13" ht="15" customHeight="1" thickBot="1" x14ac:dyDescent="0.4">
      <c r="A12" s="296"/>
      <c r="B12" s="44" t="str">
        <f>B5</f>
        <v>BULLEIT BOURBON</v>
      </c>
      <c r="C12" s="45" t="str">
        <f>D5</f>
        <v>ML</v>
      </c>
      <c r="D12" s="46">
        <v>60</v>
      </c>
      <c r="E12" s="45">
        <f>VLOOKUP(B12,Tabla1345681091113923252627293031323334353845[],5,FALSE)</f>
        <v>125.10133333333333</v>
      </c>
      <c r="F12" s="47">
        <f>E12*D12</f>
        <v>7506.08</v>
      </c>
      <c r="H12" s="48" t="s">
        <v>13</v>
      </c>
      <c r="I12" s="49">
        <f>F22</f>
        <v>5918.616</v>
      </c>
      <c r="L12" s="290" t="s">
        <v>35</v>
      </c>
      <c r="M12" s="291"/>
    </row>
    <row r="13" spans="1:13" ht="15" customHeight="1" x14ac:dyDescent="0.35">
      <c r="A13" s="296"/>
      <c r="B13" s="50"/>
      <c r="C13" s="51"/>
      <c r="D13" s="52"/>
      <c r="E13" s="51"/>
      <c r="F13" s="53"/>
      <c r="H13" s="17" t="s">
        <v>36</v>
      </c>
      <c r="I13" s="18">
        <f>F83</f>
        <v>6120</v>
      </c>
      <c r="L13" s="9" t="s">
        <v>37</v>
      </c>
      <c r="M13" s="11">
        <f>4.5/100</f>
        <v>4.4999999999999998E-2</v>
      </c>
    </row>
    <row r="14" spans="1:13" ht="15.75" customHeight="1" thickBot="1" x14ac:dyDescent="0.4">
      <c r="A14" s="296"/>
      <c r="B14" s="50"/>
      <c r="C14" s="51"/>
      <c r="D14" s="52"/>
      <c r="E14" s="51"/>
      <c r="F14" s="53"/>
      <c r="H14" s="17" t="s">
        <v>38</v>
      </c>
      <c r="I14" s="18">
        <f>F96</f>
        <v>11800</v>
      </c>
      <c r="L14" s="17" t="s">
        <v>39</v>
      </c>
      <c r="M14" s="19">
        <f>330/1000</f>
        <v>0.33</v>
      </c>
    </row>
    <row r="15" spans="1:13" ht="15.75" customHeight="1" x14ac:dyDescent="0.35">
      <c r="A15" s="296"/>
      <c r="B15" s="50"/>
      <c r="C15" s="51"/>
      <c r="D15" s="52"/>
      <c r="E15" s="51"/>
      <c r="F15" s="53"/>
      <c r="H15" s="58" t="s">
        <v>40</v>
      </c>
      <c r="I15" s="26">
        <f>I12-I13</f>
        <v>-201.38400000000001</v>
      </c>
      <c r="J15" s="27">
        <f>(I12-I13)/I13*100%</f>
        <v>-3.2905882352941181E-2</v>
      </c>
      <c r="L15" s="17" t="s">
        <v>20</v>
      </c>
      <c r="M15" s="19">
        <v>782</v>
      </c>
    </row>
    <row r="16" spans="1:13" ht="15.75" customHeight="1" thickBot="1" x14ac:dyDescent="0.4">
      <c r="A16" s="296"/>
      <c r="B16" s="50"/>
      <c r="C16" s="51"/>
      <c r="D16" s="52"/>
      <c r="E16" s="51"/>
      <c r="F16" s="53"/>
      <c r="H16" s="63" t="s">
        <v>41</v>
      </c>
      <c r="I16" s="31">
        <f>I12-I14</f>
        <v>-5881.384</v>
      </c>
      <c r="J16" s="32">
        <f>(I12-I14)/I14*100%</f>
        <v>-0.49842237288135594</v>
      </c>
      <c r="L16" s="38" t="s">
        <v>42</v>
      </c>
      <c r="M16" s="64">
        <f>M13*M14*M15</f>
        <v>11.6127</v>
      </c>
    </row>
    <row r="17" spans="1:10" ht="15.75" customHeight="1" thickBot="1" x14ac:dyDescent="0.4">
      <c r="A17" s="296"/>
      <c r="B17" s="300" t="s">
        <v>43</v>
      </c>
      <c r="C17" s="301"/>
      <c r="D17" s="302" t="s">
        <v>44</v>
      </c>
      <c r="E17" s="303"/>
      <c r="F17" s="65">
        <f>SUM(F12:F16)</f>
        <v>7506.08</v>
      </c>
    </row>
    <row r="18" spans="1:10" ht="16.5" customHeight="1" thickBot="1" x14ac:dyDescent="0.4">
      <c r="A18" s="296"/>
      <c r="B18" s="304" t="s">
        <v>216</v>
      </c>
      <c r="C18" s="305"/>
      <c r="D18" s="310" t="s">
        <v>46</v>
      </c>
      <c r="E18" s="311"/>
      <c r="F18" s="66">
        <f>F17*5%</f>
        <v>375.30400000000003</v>
      </c>
      <c r="H18" s="290" t="s">
        <v>47</v>
      </c>
      <c r="I18" s="291"/>
    </row>
    <row r="19" spans="1:10" ht="15" customHeight="1" x14ac:dyDescent="0.35">
      <c r="A19" s="296"/>
      <c r="B19" s="306"/>
      <c r="C19" s="307"/>
      <c r="D19" s="312" t="s">
        <v>48</v>
      </c>
      <c r="E19" s="313"/>
      <c r="F19" s="67">
        <f>SUM(F17:F18)</f>
        <v>7881.384</v>
      </c>
      <c r="H19" s="9" t="s">
        <v>13</v>
      </c>
      <c r="I19" s="10">
        <f>F22</f>
        <v>5918.616</v>
      </c>
    </row>
    <row r="20" spans="1:10" ht="15" customHeight="1" thickBot="1" x14ac:dyDescent="0.4">
      <c r="A20" s="296"/>
      <c r="B20" s="306"/>
      <c r="C20" s="307"/>
      <c r="D20" s="314" t="s">
        <v>49</v>
      </c>
      <c r="E20" s="315"/>
      <c r="F20" s="68">
        <v>15000</v>
      </c>
      <c r="H20" s="17" t="s">
        <v>50</v>
      </c>
      <c r="I20" s="20">
        <f>F109</f>
        <v>8296.6666666666661</v>
      </c>
    </row>
    <row r="21" spans="1:10" ht="15" customHeight="1" thickBot="1" x14ac:dyDescent="0.4">
      <c r="A21" s="296"/>
      <c r="B21" s="306"/>
      <c r="C21" s="307"/>
      <c r="D21" s="316" t="s">
        <v>51</v>
      </c>
      <c r="E21" s="317"/>
      <c r="F21" s="120">
        <f>F20*8%</f>
        <v>1200</v>
      </c>
      <c r="H21" s="30" t="s">
        <v>52</v>
      </c>
      <c r="I21" s="70">
        <f>I19-I20</f>
        <v>-2378.0506666666661</v>
      </c>
      <c r="J21" s="71">
        <f>(I19-I20)/I19*100%</f>
        <v>-0.4017916801270206</v>
      </c>
    </row>
    <row r="22" spans="1:10" ht="15.75" customHeight="1" thickBot="1" x14ac:dyDescent="0.4">
      <c r="A22" s="296"/>
      <c r="B22" s="306"/>
      <c r="C22" s="307"/>
      <c r="D22" s="310" t="s">
        <v>53</v>
      </c>
      <c r="E22" s="311"/>
      <c r="F22" s="67">
        <f>F20-F19-F21</f>
        <v>5918.616</v>
      </c>
    </row>
    <row r="23" spans="1:10" ht="15.75" customHeight="1" thickBot="1" x14ac:dyDescent="0.4">
      <c r="A23" s="296"/>
      <c r="B23" s="306"/>
      <c r="C23" s="307"/>
      <c r="D23" s="310" t="s">
        <v>54</v>
      </c>
      <c r="E23" s="311"/>
      <c r="F23" s="72">
        <f>IFERROR(F19/F20,0)</f>
        <v>0.52542560000000005</v>
      </c>
      <c r="G23" s="73"/>
      <c r="H23" s="293" t="s">
        <v>55</v>
      </c>
      <c r="I23" s="294"/>
    </row>
    <row r="24" spans="1:10" ht="15.75" customHeight="1" thickBot="1" x14ac:dyDescent="0.4">
      <c r="A24" s="297"/>
      <c r="B24" s="308"/>
      <c r="C24" s="309"/>
      <c r="D24" s="318" t="s">
        <v>56</v>
      </c>
      <c r="E24" s="319"/>
      <c r="F24" s="74">
        <f>IFERROR(F22/F20,0)</f>
        <v>0.39457439999999999</v>
      </c>
      <c r="G24" s="73"/>
      <c r="H24" s="9" t="s">
        <v>57</v>
      </c>
      <c r="I24" s="10">
        <f>F22</f>
        <v>5918.616</v>
      </c>
    </row>
    <row r="25" spans="1:10" ht="15.75" customHeight="1" x14ac:dyDescent="0.35">
      <c r="A25" s="75"/>
      <c r="B25" s="76"/>
      <c r="C25" s="77"/>
      <c r="D25" s="78"/>
      <c r="E25" s="78"/>
      <c r="F25" s="79"/>
      <c r="G25" s="73"/>
      <c r="H25" s="17" t="s">
        <v>58</v>
      </c>
      <c r="I25" s="80">
        <f>I24/F58</f>
        <v>1.1892731413261888</v>
      </c>
    </row>
    <row r="26" spans="1:10" x14ac:dyDescent="0.35">
      <c r="A26" s="75"/>
      <c r="B26" s="76"/>
      <c r="C26" s="77"/>
      <c r="D26" s="78"/>
      <c r="E26" s="78"/>
      <c r="F26" s="79"/>
      <c r="H26" s="17" t="s">
        <v>59</v>
      </c>
      <c r="I26" s="80">
        <f>I24/F70</f>
        <v>0.84471208372978113</v>
      </c>
    </row>
    <row r="27" spans="1:10" x14ac:dyDescent="0.35">
      <c r="H27" s="17" t="s">
        <v>60</v>
      </c>
      <c r="I27" s="80">
        <f>I24/F109</f>
        <v>0.71337276014463646</v>
      </c>
    </row>
    <row r="28" spans="1:10" x14ac:dyDescent="0.35">
      <c r="H28" s="17" t="s">
        <v>61</v>
      </c>
      <c r="I28" s="80">
        <f>I24/F83</f>
        <v>0.96709411764705877</v>
      </c>
    </row>
    <row r="29" spans="1:10" ht="15" thickBot="1" x14ac:dyDescent="0.4">
      <c r="H29" s="38" t="s">
        <v>62</v>
      </c>
      <c r="I29" s="81">
        <f>I24/F96</f>
        <v>0.50157762711864406</v>
      </c>
    </row>
    <row r="30" spans="1:10" ht="15" thickBot="1" x14ac:dyDescent="0.4"/>
    <row r="31" spans="1:10" ht="15" thickBot="1" x14ac:dyDescent="0.4">
      <c r="H31" s="293" t="s">
        <v>63</v>
      </c>
      <c r="I31" s="294"/>
    </row>
    <row r="32" spans="1:10" x14ac:dyDescent="0.35">
      <c r="H32" s="9" t="s">
        <v>64</v>
      </c>
      <c r="I32" s="10">
        <f>F20</f>
        <v>15000</v>
      </c>
    </row>
    <row r="33" spans="8:9" x14ac:dyDescent="0.35">
      <c r="H33" s="17" t="s">
        <v>58</v>
      </c>
      <c r="I33" s="80">
        <f>I32/F56</f>
        <v>1.875</v>
      </c>
    </row>
    <row r="34" spans="8:9" x14ac:dyDescent="0.35">
      <c r="H34" s="17" t="s">
        <v>59</v>
      </c>
      <c r="I34" s="80">
        <f>I32/F68</f>
        <v>1.25</v>
      </c>
    </row>
    <row r="35" spans="8:9" x14ac:dyDescent="0.35">
      <c r="H35" s="17" t="s">
        <v>60</v>
      </c>
      <c r="I35" s="80">
        <f>I32/F107</f>
        <v>1.0714285714285714</v>
      </c>
    </row>
    <row r="36" spans="8:9" x14ac:dyDescent="0.35">
      <c r="H36" s="17" t="s">
        <v>61</v>
      </c>
      <c r="I36" s="80">
        <f>I32/F81</f>
        <v>1.5</v>
      </c>
    </row>
    <row r="37" spans="8:9" ht="15" thickBot="1" x14ac:dyDescent="0.4">
      <c r="H37" s="38" t="s">
        <v>62</v>
      </c>
      <c r="I37" s="81">
        <f>I32/F94</f>
        <v>0.75</v>
      </c>
    </row>
    <row r="43" spans="8:9" ht="3.75" customHeight="1" x14ac:dyDescent="0.35"/>
    <row r="45" spans="8:9" ht="15" customHeight="1" x14ac:dyDescent="0.35"/>
    <row r="49" spans="1:6" ht="75.75" customHeight="1" thickBot="1" x14ac:dyDescent="0.4"/>
    <row r="50" spans="1:6" ht="21.5" thickBot="1" x14ac:dyDescent="0.4">
      <c r="A50" s="320" t="s">
        <v>65</v>
      </c>
      <c r="B50" s="321"/>
      <c r="C50" s="321"/>
      <c r="D50" s="321"/>
      <c r="E50" s="321"/>
      <c r="F50" s="322"/>
    </row>
    <row r="51" spans="1:6" x14ac:dyDescent="0.35">
      <c r="A51" s="82" t="s">
        <v>30</v>
      </c>
      <c r="B51" s="83" t="s">
        <v>66</v>
      </c>
      <c r="C51" s="84" t="s">
        <v>31</v>
      </c>
      <c r="D51" s="84" t="s">
        <v>5</v>
      </c>
      <c r="E51" s="84" t="s">
        <v>67</v>
      </c>
      <c r="F51" s="85" t="s">
        <v>33</v>
      </c>
    </row>
    <row r="52" spans="1:6" ht="15" thickBot="1" x14ac:dyDescent="0.4">
      <c r="A52" s="86" t="s">
        <v>68</v>
      </c>
      <c r="B52" s="87">
        <f>13000/6</f>
        <v>2166.6666666666665</v>
      </c>
      <c r="C52" s="88" t="s">
        <v>12</v>
      </c>
      <c r="D52" s="89">
        <v>330</v>
      </c>
      <c r="E52" s="90">
        <f>B52/D52</f>
        <v>6.5656565656565649</v>
      </c>
      <c r="F52" s="91">
        <f>E52*D52</f>
        <v>2166.6666666666665</v>
      </c>
    </row>
    <row r="53" spans="1:6" x14ac:dyDescent="0.35">
      <c r="A53" s="323" t="s">
        <v>69</v>
      </c>
      <c r="B53" s="324"/>
      <c r="C53" s="325"/>
      <c r="D53" s="302" t="s">
        <v>44</v>
      </c>
      <c r="E53" s="303"/>
      <c r="F53" s="65">
        <f>F52</f>
        <v>2166.6666666666665</v>
      </c>
    </row>
    <row r="54" spans="1:6" x14ac:dyDescent="0.35">
      <c r="A54" s="326" t="s">
        <v>70</v>
      </c>
      <c r="B54" s="327"/>
      <c r="C54" s="328"/>
      <c r="D54" s="310" t="s">
        <v>46</v>
      </c>
      <c r="E54" s="311"/>
      <c r="F54" s="66">
        <f>F53*10%</f>
        <v>216.66666666666666</v>
      </c>
    </row>
    <row r="55" spans="1:6" ht="15" customHeight="1" x14ac:dyDescent="0.35">
      <c r="A55" s="329"/>
      <c r="B55" s="330"/>
      <c r="C55" s="331"/>
      <c r="D55" s="312" t="s">
        <v>48</v>
      </c>
      <c r="E55" s="313"/>
      <c r="F55" s="67">
        <f>F53+F54</f>
        <v>2383.333333333333</v>
      </c>
    </row>
    <row r="56" spans="1:6" x14ac:dyDescent="0.35">
      <c r="A56" s="329"/>
      <c r="B56" s="330"/>
      <c r="C56" s="331"/>
      <c r="D56" s="314" t="s">
        <v>49</v>
      </c>
      <c r="E56" s="315"/>
      <c r="F56" s="68">
        <v>8000</v>
      </c>
    </row>
    <row r="57" spans="1:6" x14ac:dyDescent="0.35">
      <c r="A57" s="329"/>
      <c r="B57" s="330"/>
      <c r="C57" s="331"/>
      <c r="D57" s="316" t="s">
        <v>51</v>
      </c>
      <c r="E57" s="317"/>
      <c r="F57" s="69">
        <f>F56*8%</f>
        <v>640</v>
      </c>
    </row>
    <row r="58" spans="1:6" ht="15" customHeight="1" x14ac:dyDescent="0.35">
      <c r="A58" s="329"/>
      <c r="B58" s="330"/>
      <c r="C58" s="331"/>
      <c r="D58" s="310" t="s">
        <v>53</v>
      </c>
      <c r="E58" s="311"/>
      <c r="F58" s="67">
        <f>F56-F55-F57</f>
        <v>4976.666666666667</v>
      </c>
    </row>
    <row r="59" spans="1:6" x14ac:dyDescent="0.35">
      <c r="A59" s="329"/>
      <c r="B59" s="330"/>
      <c r="C59" s="331"/>
      <c r="D59" s="310" t="s">
        <v>54</v>
      </c>
      <c r="E59" s="311"/>
      <c r="F59" s="72">
        <f>IFERROR(F55/F56,0)</f>
        <v>0.29791666666666661</v>
      </c>
    </row>
    <row r="60" spans="1:6" ht="15" thickBot="1" x14ac:dyDescent="0.4">
      <c r="A60" s="332"/>
      <c r="B60" s="333"/>
      <c r="C60" s="334"/>
      <c r="D60" s="318" t="s">
        <v>56</v>
      </c>
      <c r="E60" s="319"/>
      <c r="F60" s="74">
        <f>IFERROR(F58/F56,0)</f>
        <v>0.62208333333333332</v>
      </c>
    </row>
    <row r="61" spans="1:6" ht="15" thickBot="1" x14ac:dyDescent="0.4">
      <c r="A61" s="73"/>
      <c r="B61" s="73"/>
      <c r="C61" s="73"/>
      <c r="D61" s="73"/>
      <c r="E61" s="73"/>
      <c r="F61" s="73"/>
    </row>
    <row r="62" spans="1:6" ht="21.5" thickBot="1" x14ac:dyDescent="0.4">
      <c r="A62" s="320" t="s">
        <v>71</v>
      </c>
      <c r="B62" s="321"/>
      <c r="C62" s="321"/>
      <c r="D62" s="321"/>
      <c r="E62" s="321"/>
      <c r="F62" s="322"/>
    </row>
    <row r="63" spans="1:6" ht="26" x14ac:dyDescent="0.35">
      <c r="A63" s="82" t="s">
        <v>30</v>
      </c>
      <c r="B63" s="83" t="s">
        <v>66</v>
      </c>
      <c r="C63" s="84" t="s">
        <v>31</v>
      </c>
      <c r="D63" s="84" t="s">
        <v>5</v>
      </c>
      <c r="E63" s="84" t="s">
        <v>32</v>
      </c>
      <c r="F63" s="85" t="s">
        <v>33</v>
      </c>
    </row>
    <row r="64" spans="1:6" ht="15" thickBot="1" x14ac:dyDescent="0.4">
      <c r="A64" s="86" t="s">
        <v>72</v>
      </c>
      <c r="B64" s="87">
        <f>22000/6</f>
        <v>3666.6666666666665</v>
      </c>
      <c r="C64" s="88" t="s">
        <v>12</v>
      </c>
      <c r="D64" s="89">
        <v>330</v>
      </c>
      <c r="E64" s="90">
        <f>B64/D64</f>
        <v>11.111111111111111</v>
      </c>
      <c r="F64" s="91">
        <f>E64*D64</f>
        <v>3666.6666666666665</v>
      </c>
    </row>
    <row r="65" spans="1:6" x14ac:dyDescent="0.35">
      <c r="A65" s="323" t="s">
        <v>69</v>
      </c>
      <c r="B65" s="324"/>
      <c r="C65" s="325"/>
      <c r="D65" s="302" t="s">
        <v>44</v>
      </c>
      <c r="E65" s="303"/>
      <c r="F65" s="65">
        <f>F64</f>
        <v>3666.6666666666665</v>
      </c>
    </row>
    <row r="66" spans="1:6" x14ac:dyDescent="0.35">
      <c r="A66" s="326" t="s">
        <v>73</v>
      </c>
      <c r="B66" s="327"/>
      <c r="C66" s="328"/>
      <c r="D66" s="310" t="s">
        <v>46</v>
      </c>
      <c r="E66" s="311"/>
      <c r="F66" s="66">
        <f>F65*10%</f>
        <v>366.66666666666669</v>
      </c>
    </row>
    <row r="67" spans="1:6" x14ac:dyDescent="0.35">
      <c r="A67" s="329"/>
      <c r="B67" s="330"/>
      <c r="C67" s="331"/>
      <c r="D67" s="312" t="s">
        <v>48</v>
      </c>
      <c r="E67" s="313"/>
      <c r="F67" s="67">
        <f>F65+F66</f>
        <v>4033.333333333333</v>
      </c>
    </row>
    <row r="68" spans="1:6" x14ac:dyDescent="0.35">
      <c r="A68" s="329"/>
      <c r="B68" s="330"/>
      <c r="C68" s="331"/>
      <c r="D68" s="314" t="s">
        <v>49</v>
      </c>
      <c r="E68" s="315"/>
      <c r="F68" s="68">
        <v>12000</v>
      </c>
    </row>
    <row r="69" spans="1:6" ht="15" customHeight="1" x14ac:dyDescent="0.35">
      <c r="A69" s="329"/>
      <c r="B69" s="330"/>
      <c r="C69" s="331"/>
      <c r="D69" s="316" t="s">
        <v>51</v>
      </c>
      <c r="E69" s="317"/>
      <c r="F69" s="69">
        <f>F68*8%</f>
        <v>960</v>
      </c>
    </row>
    <row r="70" spans="1:6" x14ac:dyDescent="0.35">
      <c r="A70" s="329"/>
      <c r="B70" s="330"/>
      <c r="C70" s="331"/>
      <c r="D70" s="310" t="s">
        <v>53</v>
      </c>
      <c r="E70" s="311"/>
      <c r="F70" s="67">
        <f>F68-F67-F69</f>
        <v>7006.666666666667</v>
      </c>
    </row>
    <row r="71" spans="1:6" ht="15" customHeight="1" x14ac:dyDescent="0.35">
      <c r="A71" s="329"/>
      <c r="B71" s="330"/>
      <c r="C71" s="331"/>
      <c r="D71" s="310" t="s">
        <v>54</v>
      </c>
      <c r="E71" s="311"/>
      <c r="F71" s="72">
        <f>IFERROR(F67/F68,0)</f>
        <v>0.33611111111111108</v>
      </c>
    </row>
    <row r="72" spans="1:6" ht="15" thickBot="1" x14ac:dyDescent="0.4">
      <c r="A72" s="332"/>
      <c r="B72" s="333"/>
      <c r="C72" s="334"/>
      <c r="D72" s="318" t="s">
        <v>56</v>
      </c>
      <c r="E72" s="319"/>
      <c r="F72" s="74">
        <f>IFERROR(F70/F68,0)</f>
        <v>0.5838888888888889</v>
      </c>
    </row>
    <row r="74" spans="1:6" ht="15" thickBot="1" x14ac:dyDescent="0.4"/>
    <row r="75" spans="1:6" ht="21.5" thickBot="1" x14ac:dyDescent="0.4">
      <c r="A75" s="320" t="s">
        <v>74</v>
      </c>
      <c r="B75" s="321"/>
      <c r="C75" s="321"/>
      <c r="D75" s="321"/>
      <c r="E75" s="321"/>
      <c r="F75" s="322"/>
    </row>
    <row r="76" spans="1:6" ht="26" x14ac:dyDescent="0.35">
      <c r="A76" s="82" t="s">
        <v>30</v>
      </c>
      <c r="B76" s="83" t="s">
        <v>66</v>
      </c>
      <c r="C76" s="84" t="s">
        <v>31</v>
      </c>
      <c r="D76" s="84" t="s">
        <v>5</v>
      </c>
      <c r="E76" s="84" t="s">
        <v>32</v>
      </c>
      <c r="F76" s="85" t="s">
        <v>33</v>
      </c>
    </row>
    <row r="77" spans="1:6" ht="15" thickBot="1" x14ac:dyDescent="0.4">
      <c r="A77" s="86" t="s">
        <v>75</v>
      </c>
      <c r="B77" s="87">
        <v>35000</v>
      </c>
      <c r="C77" s="88" t="s">
        <v>12</v>
      </c>
      <c r="D77" s="89">
        <v>60</v>
      </c>
      <c r="E77" s="90">
        <f>B77/750</f>
        <v>46.666666666666664</v>
      </c>
      <c r="F77" s="91">
        <f>E77*D77</f>
        <v>2800</v>
      </c>
    </row>
    <row r="78" spans="1:6" x14ac:dyDescent="0.35">
      <c r="A78" s="323" t="s">
        <v>69</v>
      </c>
      <c r="B78" s="324"/>
      <c r="C78" s="325"/>
      <c r="D78" s="302" t="s">
        <v>44</v>
      </c>
      <c r="E78" s="303"/>
      <c r="F78" s="65">
        <f>F77</f>
        <v>2800</v>
      </c>
    </row>
    <row r="79" spans="1:6" x14ac:dyDescent="0.35">
      <c r="A79" s="326" t="s">
        <v>76</v>
      </c>
      <c r="B79" s="327"/>
      <c r="C79" s="328"/>
      <c r="D79" s="310" t="s">
        <v>46</v>
      </c>
      <c r="E79" s="311"/>
      <c r="F79" s="66">
        <f>F78*10%</f>
        <v>280</v>
      </c>
    </row>
    <row r="80" spans="1:6" x14ac:dyDescent="0.35">
      <c r="A80" s="329"/>
      <c r="B80" s="330"/>
      <c r="C80" s="331"/>
      <c r="D80" s="312" t="s">
        <v>48</v>
      </c>
      <c r="E80" s="313"/>
      <c r="F80" s="67">
        <f>F78+F79</f>
        <v>3080</v>
      </c>
    </row>
    <row r="81" spans="1:9" x14ac:dyDescent="0.35">
      <c r="A81" s="329"/>
      <c r="B81" s="330"/>
      <c r="C81" s="331"/>
      <c r="D81" s="314" t="s">
        <v>49</v>
      </c>
      <c r="E81" s="315"/>
      <c r="F81" s="68">
        <v>10000</v>
      </c>
    </row>
    <row r="82" spans="1:9" ht="15" customHeight="1" x14ac:dyDescent="0.35">
      <c r="A82" s="329"/>
      <c r="B82" s="330"/>
      <c r="C82" s="331"/>
      <c r="D82" s="316" t="s">
        <v>51</v>
      </c>
      <c r="E82" s="317"/>
      <c r="F82" s="69">
        <f>F81*8%</f>
        <v>800</v>
      </c>
    </row>
    <row r="83" spans="1:9" x14ac:dyDescent="0.35">
      <c r="A83" s="329"/>
      <c r="B83" s="330"/>
      <c r="C83" s="331"/>
      <c r="D83" s="310" t="s">
        <v>53</v>
      </c>
      <c r="E83" s="311"/>
      <c r="F83" s="67">
        <f>F81-F80-F82</f>
        <v>6120</v>
      </c>
      <c r="I83" s="92"/>
    </row>
    <row r="84" spans="1:9" ht="15" customHeight="1" x14ac:dyDescent="0.35">
      <c r="A84" s="329"/>
      <c r="B84" s="330"/>
      <c r="C84" s="331"/>
      <c r="D84" s="310" t="s">
        <v>54</v>
      </c>
      <c r="E84" s="311"/>
      <c r="F84" s="72">
        <f>IFERROR(F80/F81,0)</f>
        <v>0.308</v>
      </c>
      <c r="I84" s="92"/>
    </row>
    <row r="85" spans="1:9" ht="15" thickBot="1" x14ac:dyDescent="0.4">
      <c r="A85" s="332"/>
      <c r="B85" s="333"/>
      <c r="C85" s="334"/>
      <c r="D85" s="318" t="s">
        <v>56</v>
      </c>
      <c r="E85" s="319"/>
      <c r="F85" s="74">
        <f>IFERROR(F83/F81,0)</f>
        <v>0.61199999999999999</v>
      </c>
      <c r="I85" s="92"/>
    </row>
    <row r="87" spans="1:9" ht="15" thickBot="1" x14ac:dyDescent="0.4"/>
    <row r="88" spans="1:9" ht="21.5" thickBot="1" x14ac:dyDescent="0.4">
      <c r="A88" s="320" t="s">
        <v>77</v>
      </c>
      <c r="B88" s="321"/>
      <c r="C88" s="321"/>
      <c r="D88" s="321"/>
      <c r="E88" s="321"/>
      <c r="F88" s="322"/>
    </row>
    <row r="89" spans="1:9" ht="26" x14ac:dyDescent="0.35">
      <c r="A89" s="82" t="s">
        <v>30</v>
      </c>
      <c r="B89" s="83" t="s">
        <v>66</v>
      </c>
      <c r="C89" s="84" t="s">
        <v>31</v>
      </c>
      <c r="D89" s="84" t="s">
        <v>5</v>
      </c>
      <c r="E89" s="84" t="s">
        <v>32</v>
      </c>
      <c r="F89" s="85" t="s">
        <v>33</v>
      </c>
    </row>
    <row r="90" spans="1:9" ht="15" thickBot="1" x14ac:dyDescent="0.4">
      <c r="A90" s="86" t="s">
        <v>78</v>
      </c>
      <c r="B90" s="87">
        <v>75000</v>
      </c>
      <c r="C90" s="88" t="s">
        <v>12</v>
      </c>
      <c r="D90" s="89">
        <v>60</v>
      </c>
      <c r="E90" s="90">
        <f>B90/750</f>
        <v>100</v>
      </c>
      <c r="F90" s="91">
        <f>E90*D90</f>
        <v>6000</v>
      </c>
    </row>
    <row r="91" spans="1:9" x14ac:dyDescent="0.35">
      <c r="A91" s="323" t="s">
        <v>69</v>
      </c>
      <c r="B91" s="324"/>
      <c r="C91" s="325"/>
      <c r="D91" s="302" t="s">
        <v>44</v>
      </c>
      <c r="E91" s="303"/>
      <c r="F91" s="65">
        <f>F90</f>
        <v>6000</v>
      </c>
    </row>
    <row r="92" spans="1:9" x14ac:dyDescent="0.35">
      <c r="A92" s="326" t="s">
        <v>79</v>
      </c>
      <c r="B92" s="327"/>
      <c r="C92" s="328"/>
      <c r="D92" s="310" t="s">
        <v>46</v>
      </c>
      <c r="E92" s="311"/>
      <c r="F92" s="66">
        <f>F91*10%</f>
        <v>600</v>
      </c>
    </row>
    <row r="93" spans="1:9" x14ac:dyDescent="0.35">
      <c r="A93" s="329"/>
      <c r="B93" s="330"/>
      <c r="C93" s="331"/>
      <c r="D93" s="312" t="s">
        <v>48</v>
      </c>
      <c r="E93" s="313"/>
      <c r="F93" s="67">
        <f>F91+F92</f>
        <v>6600</v>
      </c>
    </row>
    <row r="94" spans="1:9" x14ac:dyDescent="0.35">
      <c r="A94" s="329"/>
      <c r="B94" s="330"/>
      <c r="C94" s="331"/>
      <c r="D94" s="314" t="s">
        <v>49</v>
      </c>
      <c r="E94" s="315"/>
      <c r="F94" s="68">
        <v>20000</v>
      </c>
    </row>
    <row r="95" spans="1:9" ht="15" customHeight="1" x14ac:dyDescent="0.35">
      <c r="A95" s="329"/>
      <c r="B95" s="330"/>
      <c r="C95" s="331"/>
      <c r="D95" s="316" t="s">
        <v>51</v>
      </c>
      <c r="E95" s="317"/>
      <c r="F95" s="69">
        <f>F94*8%</f>
        <v>1600</v>
      </c>
    </row>
    <row r="96" spans="1:9" x14ac:dyDescent="0.35">
      <c r="A96" s="329"/>
      <c r="B96" s="330"/>
      <c r="C96" s="331"/>
      <c r="D96" s="310" t="s">
        <v>53</v>
      </c>
      <c r="E96" s="311"/>
      <c r="F96" s="67">
        <f>F94-F93-F95</f>
        <v>11800</v>
      </c>
    </row>
    <row r="97" spans="1:6" x14ac:dyDescent="0.35">
      <c r="A97" s="329"/>
      <c r="B97" s="330"/>
      <c r="C97" s="331"/>
      <c r="D97" s="310" t="s">
        <v>54</v>
      </c>
      <c r="E97" s="311"/>
      <c r="F97" s="72">
        <f>IFERROR(F93/F94,0)</f>
        <v>0.33</v>
      </c>
    </row>
    <row r="98" spans="1:6" ht="15" thickBot="1" x14ac:dyDescent="0.4">
      <c r="A98" s="332"/>
      <c r="B98" s="333"/>
      <c r="C98" s="334"/>
      <c r="D98" s="318" t="s">
        <v>56</v>
      </c>
      <c r="E98" s="319"/>
      <c r="F98" s="74">
        <f>IFERROR(F96/F94,0)</f>
        <v>0.59</v>
      </c>
    </row>
    <row r="100" spans="1:6" ht="15" thickBot="1" x14ac:dyDescent="0.4"/>
    <row r="101" spans="1:6" ht="21.5" thickBot="1" x14ac:dyDescent="0.4">
      <c r="A101" s="320" t="s">
        <v>80</v>
      </c>
      <c r="B101" s="321"/>
      <c r="C101" s="321"/>
      <c r="D101" s="321"/>
      <c r="E101" s="321"/>
      <c r="F101" s="322"/>
    </row>
    <row r="102" spans="1:6" ht="26" x14ac:dyDescent="0.35">
      <c r="A102" s="82" t="s">
        <v>30</v>
      </c>
      <c r="B102" s="83" t="s">
        <v>66</v>
      </c>
      <c r="C102" s="84" t="s">
        <v>31</v>
      </c>
      <c r="D102" s="84" t="s">
        <v>81</v>
      </c>
      <c r="E102" s="84" t="s">
        <v>32</v>
      </c>
      <c r="F102" s="85" t="s">
        <v>33</v>
      </c>
    </row>
    <row r="103" spans="1:6" ht="15" thickBot="1" x14ac:dyDescent="0.4">
      <c r="A103" s="86" t="s">
        <v>82</v>
      </c>
      <c r="B103" s="87">
        <v>25000</v>
      </c>
      <c r="C103" s="88" t="s">
        <v>12</v>
      </c>
      <c r="D103" s="89">
        <v>125</v>
      </c>
      <c r="E103" s="90">
        <f>B103/750</f>
        <v>33.333333333333336</v>
      </c>
      <c r="F103" s="91">
        <f>E103*D103</f>
        <v>4166.666666666667</v>
      </c>
    </row>
    <row r="104" spans="1:6" x14ac:dyDescent="0.35">
      <c r="A104" s="323" t="s">
        <v>69</v>
      </c>
      <c r="B104" s="324"/>
      <c r="C104" s="325"/>
      <c r="D104" s="302" t="s">
        <v>44</v>
      </c>
      <c r="E104" s="303"/>
      <c r="F104" s="65">
        <f>F103</f>
        <v>4166.666666666667</v>
      </c>
    </row>
    <row r="105" spans="1:6" x14ac:dyDescent="0.35">
      <c r="A105" s="326" t="s">
        <v>83</v>
      </c>
      <c r="B105" s="327"/>
      <c r="C105" s="328"/>
      <c r="D105" s="310" t="s">
        <v>46</v>
      </c>
      <c r="E105" s="311"/>
      <c r="F105" s="66">
        <f>F104*10%</f>
        <v>416.66666666666674</v>
      </c>
    </row>
    <row r="106" spans="1:6" x14ac:dyDescent="0.35">
      <c r="A106" s="329"/>
      <c r="B106" s="330"/>
      <c r="C106" s="331"/>
      <c r="D106" s="312" t="s">
        <v>48</v>
      </c>
      <c r="E106" s="313"/>
      <c r="F106" s="67">
        <f>F104+F105</f>
        <v>4583.3333333333339</v>
      </c>
    </row>
    <row r="107" spans="1:6" x14ac:dyDescent="0.35">
      <c r="A107" s="329"/>
      <c r="B107" s="330"/>
      <c r="C107" s="331"/>
      <c r="D107" s="314" t="s">
        <v>49</v>
      </c>
      <c r="E107" s="315"/>
      <c r="F107" s="68">
        <v>14000</v>
      </c>
    </row>
    <row r="108" spans="1:6" x14ac:dyDescent="0.35">
      <c r="A108" s="329"/>
      <c r="B108" s="330"/>
      <c r="C108" s="331"/>
      <c r="D108" s="316" t="s">
        <v>51</v>
      </c>
      <c r="E108" s="317"/>
      <c r="F108" s="69">
        <f>F107*8%</f>
        <v>1120</v>
      </c>
    </row>
    <row r="109" spans="1:6" x14ac:dyDescent="0.35">
      <c r="A109" s="329"/>
      <c r="B109" s="330"/>
      <c r="C109" s="331"/>
      <c r="D109" s="310" t="s">
        <v>53</v>
      </c>
      <c r="E109" s="311"/>
      <c r="F109" s="67">
        <f>F107-F106-F108</f>
        <v>8296.6666666666661</v>
      </c>
    </row>
    <row r="110" spans="1:6" x14ac:dyDescent="0.35">
      <c r="A110" s="329"/>
      <c r="B110" s="330"/>
      <c r="C110" s="331"/>
      <c r="D110" s="310" t="s">
        <v>54</v>
      </c>
      <c r="E110" s="311"/>
      <c r="F110" s="72">
        <f>IFERROR(F106/F107,0)</f>
        <v>0.32738095238095244</v>
      </c>
    </row>
    <row r="111" spans="1:6" ht="15" thickBot="1" x14ac:dyDescent="0.4">
      <c r="A111" s="332"/>
      <c r="B111" s="333"/>
      <c r="C111" s="334"/>
      <c r="D111" s="318" t="s">
        <v>56</v>
      </c>
      <c r="E111" s="319"/>
      <c r="F111" s="74">
        <f>IFERROR(F109/F107,0)</f>
        <v>0.5926190476190476</v>
      </c>
    </row>
  </sheetData>
  <sheetProtection algorithmName="SHA-512" hashValue="KvuOoCBacJUhG8k+cThrCTYpnJOO/2y4DtwyYPdFfUBFHDQ25Ff7IRvZq/qLpNWcCh+3jqV+Ak8shTKJUBuo7Q==" saltValue="QWwpXw/Dfbtv/HBPPpV0PQ==" spinCount="100000" sheet="1" objects="1" scenarios="1" formatCells="0" formatRows="0" selectLockedCells="1"/>
  <protectedRanges>
    <protectedRange sqref="B52 D52 F56 B64 D64 F68 B77 D77 F81 B90 D90 F94 B103 D103 F107" name="PRUEBA FINAL"/>
    <protectedRange sqref="E5:E9 D12:D16 F20" name="FINAL_1"/>
    <protectedRange sqref="E5:E9 D12:D16 F20" name="EDITABLES"/>
  </protectedRanges>
  <mergeCells count="78">
    <mergeCell ref="D111:E111"/>
    <mergeCell ref="A101:F101"/>
    <mergeCell ref="A104:C104"/>
    <mergeCell ref="D104:E104"/>
    <mergeCell ref="A105:C111"/>
    <mergeCell ref="D105:E105"/>
    <mergeCell ref="D106:E106"/>
    <mergeCell ref="D107:E107"/>
    <mergeCell ref="D108:E108"/>
    <mergeCell ref="D109:E109"/>
    <mergeCell ref="D110:E110"/>
    <mergeCell ref="A92:C98"/>
    <mergeCell ref="D92:E92"/>
    <mergeCell ref="D93:E93"/>
    <mergeCell ref="D94:E94"/>
    <mergeCell ref="D95:E95"/>
    <mergeCell ref="D96:E96"/>
    <mergeCell ref="D97:E97"/>
    <mergeCell ref="D98:E98"/>
    <mergeCell ref="D85:E85"/>
    <mergeCell ref="A88:F88"/>
    <mergeCell ref="A91:C91"/>
    <mergeCell ref="D91:E91"/>
    <mergeCell ref="A79:C85"/>
    <mergeCell ref="D79:E79"/>
    <mergeCell ref="D80:E80"/>
    <mergeCell ref="D81:E81"/>
    <mergeCell ref="D82:E82"/>
    <mergeCell ref="A75:F75"/>
    <mergeCell ref="A78:C78"/>
    <mergeCell ref="D78:E78"/>
    <mergeCell ref="D83:E83"/>
    <mergeCell ref="D84:E84"/>
    <mergeCell ref="A62:F62"/>
    <mergeCell ref="A65:C65"/>
    <mergeCell ref="D65:E65"/>
    <mergeCell ref="A66:C72"/>
    <mergeCell ref="D66:E66"/>
    <mergeCell ref="D67:E67"/>
    <mergeCell ref="D68:E68"/>
    <mergeCell ref="D69:E69"/>
    <mergeCell ref="D70:E70"/>
    <mergeCell ref="D71:E71"/>
    <mergeCell ref="D72:E72"/>
    <mergeCell ref="A50:F50"/>
    <mergeCell ref="A53:C53"/>
    <mergeCell ref="D53:E53"/>
    <mergeCell ref="A54:C60"/>
    <mergeCell ref="D54:E54"/>
    <mergeCell ref="D55:E55"/>
    <mergeCell ref="D56:E56"/>
    <mergeCell ref="D57:E57"/>
    <mergeCell ref="D58:E58"/>
    <mergeCell ref="D59:E59"/>
    <mergeCell ref="D60:E60"/>
    <mergeCell ref="H31:I31"/>
    <mergeCell ref="A11:A24"/>
    <mergeCell ref="H11:I11"/>
    <mergeCell ref="L12:M12"/>
    <mergeCell ref="B17:C17"/>
    <mergeCell ref="D17:E17"/>
    <mergeCell ref="B18:C24"/>
    <mergeCell ref="D18:E18"/>
    <mergeCell ref="H18:I18"/>
    <mergeCell ref="D19:E19"/>
    <mergeCell ref="D20:E20"/>
    <mergeCell ref="D21:E21"/>
    <mergeCell ref="D22:E22"/>
    <mergeCell ref="D23:E23"/>
    <mergeCell ref="H23:I23"/>
    <mergeCell ref="D24:E24"/>
    <mergeCell ref="A2:F2"/>
    <mergeCell ref="H2:I2"/>
    <mergeCell ref="L2:M2"/>
    <mergeCell ref="A4:A9"/>
    <mergeCell ref="H4:I4"/>
    <mergeCell ref="L4:M4"/>
    <mergeCell ref="J5:J7"/>
  </mergeCell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Hoja47">
    <tabColor rgb="FF009900"/>
  </sheetPr>
  <dimension ref="A1:M111"/>
  <sheetViews>
    <sheetView showGridLines="0" topLeftCell="A3" zoomScale="90" zoomScaleNormal="90" workbookViewId="0">
      <selection activeCell="F20" sqref="F20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thickBot="1" x14ac:dyDescent="0.4"/>
    <row r="2" spans="1:13" ht="23.25" customHeight="1" thickBot="1" x14ac:dyDescent="0.4">
      <c r="A2" s="284" t="s">
        <v>181</v>
      </c>
      <c r="B2" s="285"/>
      <c r="C2" s="285"/>
      <c r="D2" s="285"/>
      <c r="E2" s="285"/>
      <c r="F2" s="286"/>
      <c r="H2" s="284" t="s">
        <v>1</v>
      </c>
      <c r="I2" s="286"/>
      <c r="L2" s="284" t="s">
        <v>2</v>
      </c>
      <c r="M2" s="286"/>
    </row>
    <row r="3" spans="1:13" ht="8.25" customHeight="1" thickBot="1" x14ac:dyDescent="0.4"/>
    <row r="4" spans="1:13" ht="25.5" customHeight="1" thickBot="1" x14ac:dyDescent="0.4">
      <c r="A4" s="287" t="s">
        <v>3</v>
      </c>
      <c r="B4" s="103" t="s">
        <v>4</v>
      </c>
      <c r="C4" s="103" t="s">
        <v>5</v>
      </c>
      <c r="D4" s="104" t="s">
        <v>6</v>
      </c>
      <c r="E4" s="103" t="s">
        <v>7</v>
      </c>
      <c r="F4" s="105" t="s">
        <v>8</v>
      </c>
      <c r="H4" s="290" t="s">
        <v>9</v>
      </c>
      <c r="I4" s="291"/>
      <c r="L4" s="290" t="s">
        <v>10</v>
      </c>
      <c r="M4" s="291"/>
    </row>
    <row r="5" spans="1:13" ht="15" customHeight="1" x14ac:dyDescent="0.35">
      <c r="A5" s="288"/>
      <c r="B5" s="12" t="s">
        <v>178</v>
      </c>
      <c r="C5" s="14">
        <v>750</v>
      </c>
      <c r="D5" s="96" t="s">
        <v>12</v>
      </c>
      <c r="E5" s="114">
        <v>104261</v>
      </c>
      <c r="F5" s="115">
        <f>Tabla134568109111392325262729303132333435384690[[#This Row],[PRECIO]]/Tabla134568109111392325262729303132333435384690[[#This Row],[CANTIDAD]]</f>
        <v>139.01466666666667</v>
      </c>
      <c r="H5" s="9" t="s">
        <v>13</v>
      </c>
      <c r="I5" s="10">
        <f>F22</f>
        <v>5042.0759999999991</v>
      </c>
      <c r="J5" s="292"/>
      <c r="L5" s="9" t="s">
        <v>14</v>
      </c>
      <c r="M5" s="11">
        <f>40/100</f>
        <v>0.4</v>
      </c>
    </row>
    <row r="6" spans="1:13" ht="15" customHeight="1" x14ac:dyDescent="0.35">
      <c r="A6" s="288"/>
      <c r="B6" s="12"/>
      <c r="C6" s="13"/>
      <c r="D6" s="14"/>
      <c r="E6" s="114"/>
      <c r="F6" s="115"/>
      <c r="H6" s="17" t="s">
        <v>16</v>
      </c>
      <c r="I6" s="18">
        <f>F58</f>
        <v>4976.666666666667</v>
      </c>
      <c r="J6" s="292"/>
      <c r="L6" s="17" t="s">
        <v>17</v>
      </c>
      <c r="M6" s="19">
        <f>D12/1000</f>
        <v>0.06</v>
      </c>
    </row>
    <row r="7" spans="1:13" ht="15" customHeight="1" thickBot="1" x14ac:dyDescent="0.4">
      <c r="A7" s="288"/>
      <c r="B7" s="12"/>
      <c r="C7" s="14"/>
      <c r="D7" s="14"/>
      <c r="E7" s="114"/>
      <c r="F7" s="115"/>
      <c r="H7" s="17" t="s">
        <v>19</v>
      </c>
      <c r="I7" s="20">
        <f>F70</f>
        <v>7006.666666666667</v>
      </c>
      <c r="J7" s="292"/>
      <c r="L7" s="17" t="s">
        <v>20</v>
      </c>
      <c r="M7" s="19">
        <v>782</v>
      </c>
    </row>
    <row r="8" spans="1:13" ht="15.75" customHeight="1" x14ac:dyDescent="0.35">
      <c r="A8" s="288"/>
      <c r="B8" s="21"/>
      <c r="C8" s="22"/>
      <c r="D8" s="22"/>
      <c r="E8" s="116"/>
      <c r="F8" s="115"/>
      <c r="H8" s="25" t="s">
        <v>23</v>
      </c>
      <c r="I8" s="26">
        <f>I5-I6</f>
        <v>65.409333333332143</v>
      </c>
      <c r="J8" s="27">
        <f>(I5-I6)/I6*100%</f>
        <v>1.3143201607501435E-2</v>
      </c>
      <c r="L8" s="17" t="s">
        <v>24</v>
      </c>
      <c r="M8" s="28">
        <f>M5*M6*M7</f>
        <v>18.768000000000001</v>
      </c>
    </row>
    <row r="9" spans="1:13" ht="15.75" customHeight="1" thickBot="1" x14ac:dyDescent="0.4">
      <c r="A9" s="289"/>
      <c r="B9" s="29"/>
      <c r="C9" s="22"/>
      <c r="D9" s="22"/>
      <c r="E9" s="117"/>
      <c r="F9" s="115"/>
      <c r="H9" s="30" t="s">
        <v>26</v>
      </c>
      <c r="I9" s="31">
        <f>I5-I7</f>
        <v>-1964.5906666666679</v>
      </c>
      <c r="J9" s="32">
        <f>(I5-I7)/I7*100%</f>
        <v>-0.28038877259752631</v>
      </c>
      <c r="L9" s="17" t="s">
        <v>27</v>
      </c>
      <c r="M9" s="19">
        <f>D13+D14+D12+D15+30</f>
        <v>90</v>
      </c>
    </row>
    <row r="10" spans="1:13" ht="16" thickBot="1" x14ac:dyDescent="0.4">
      <c r="A10" s="33"/>
      <c r="B10" s="34"/>
      <c r="C10" s="35"/>
      <c r="D10" s="35"/>
      <c r="E10" s="118"/>
      <c r="F10" s="119"/>
      <c r="L10" s="38" t="s">
        <v>28</v>
      </c>
      <c r="M10" s="39">
        <f>(D12*M5)/(D12+M9)</f>
        <v>0.16</v>
      </c>
    </row>
    <row r="11" spans="1:13" ht="24.75" customHeight="1" thickBot="1" x14ac:dyDescent="0.4">
      <c r="A11" s="295" t="s">
        <v>29</v>
      </c>
      <c r="B11" s="40" t="s">
        <v>30</v>
      </c>
      <c r="C11" s="41" t="s">
        <v>31</v>
      </c>
      <c r="D11" s="42" t="s">
        <v>5</v>
      </c>
      <c r="E11" s="41" t="s">
        <v>32</v>
      </c>
      <c r="F11" s="43" t="s">
        <v>33</v>
      </c>
      <c r="H11" s="298" t="s">
        <v>34</v>
      </c>
      <c r="I11" s="299"/>
    </row>
    <row r="12" spans="1:13" ht="15" customHeight="1" thickBot="1" x14ac:dyDescent="0.4">
      <c r="A12" s="296"/>
      <c r="B12" s="44" t="str">
        <f>B5</f>
        <v>BULLEIT RYE</v>
      </c>
      <c r="C12" s="45" t="str">
        <f>D5</f>
        <v>ML</v>
      </c>
      <c r="D12" s="46">
        <v>60</v>
      </c>
      <c r="E12" s="45">
        <f>VLOOKUP(B12,Tabla134568109111392325262729303132333435384690[],5,FALSE)</f>
        <v>139.01466666666667</v>
      </c>
      <c r="F12" s="47">
        <f>E12*D12</f>
        <v>8340.880000000001</v>
      </c>
      <c r="H12" s="48" t="s">
        <v>13</v>
      </c>
      <c r="I12" s="49">
        <f>F22</f>
        <v>5042.0759999999991</v>
      </c>
      <c r="L12" s="290" t="s">
        <v>35</v>
      </c>
      <c r="M12" s="291"/>
    </row>
    <row r="13" spans="1:13" ht="15" customHeight="1" x14ac:dyDescent="0.35">
      <c r="A13" s="296"/>
      <c r="B13" s="50"/>
      <c r="C13" s="51"/>
      <c r="D13" s="52"/>
      <c r="E13" s="51"/>
      <c r="F13" s="53"/>
      <c r="H13" s="17" t="s">
        <v>36</v>
      </c>
      <c r="I13" s="18">
        <f>F83</f>
        <v>6120</v>
      </c>
      <c r="L13" s="9" t="s">
        <v>37</v>
      </c>
      <c r="M13" s="11">
        <f>4.5/100</f>
        <v>4.4999999999999998E-2</v>
      </c>
    </row>
    <row r="14" spans="1:13" ht="15.75" customHeight="1" thickBot="1" x14ac:dyDescent="0.4">
      <c r="A14" s="296"/>
      <c r="B14" s="50"/>
      <c r="C14" s="51"/>
      <c r="D14" s="52"/>
      <c r="E14" s="51"/>
      <c r="F14" s="53"/>
      <c r="H14" s="17" t="s">
        <v>38</v>
      </c>
      <c r="I14" s="18">
        <f>F96</f>
        <v>11800</v>
      </c>
      <c r="L14" s="17" t="s">
        <v>39</v>
      </c>
      <c r="M14" s="19">
        <f>330/1000</f>
        <v>0.33</v>
      </c>
    </row>
    <row r="15" spans="1:13" ht="15.75" customHeight="1" x14ac:dyDescent="0.35">
      <c r="A15" s="296"/>
      <c r="B15" s="50"/>
      <c r="C15" s="51"/>
      <c r="D15" s="52"/>
      <c r="E15" s="51"/>
      <c r="F15" s="53"/>
      <c r="H15" s="58" t="s">
        <v>40</v>
      </c>
      <c r="I15" s="26">
        <f>I12-I13</f>
        <v>-1077.9240000000009</v>
      </c>
      <c r="J15" s="27">
        <f>(I12-I13)/I13*100%</f>
        <v>-0.17613137254901975</v>
      </c>
      <c r="L15" s="17" t="s">
        <v>20</v>
      </c>
      <c r="M15" s="19">
        <v>782</v>
      </c>
    </row>
    <row r="16" spans="1:13" ht="15.75" customHeight="1" thickBot="1" x14ac:dyDescent="0.4">
      <c r="A16" s="296"/>
      <c r="B16" s="50"/>
      <c r="C16" s="51"/>
      <c r="D16" s="52"/>
      <c r="E16" s="51"/>
      <c r="F16" s="53"/>
      <c r="H16" s="63" t="s">
        <v>41</v>
      </c>
      <c r="I16" s="31">
        <f>I12-I14</f>
        <v>-6757.9240000000009</v>
      </c>
      <c r="J16" s="32">
        <f>(I12-I14)/I14*100%</f>
        <v>-0.57270542372881361</v>
      </c>
      <c r="L16" s="38" t="s">
        <v>42</v>
      </c>
      <c r="M16" s="64">
        <f>M13*M14*M15</f>
        <v>11.6127</v>
      </c>
    </row>
    <row r="17" spans="1:10" ht="15.75" customHeight="1" thickBot="1" x14ac:dyDescent="0.4">
      <c r="A17" s="296"/>
      <c r="B17" s="300" t="s">
        <v>43</v>
      </c>
      <c r="C17" s="301"/>
      <c r="D17" s="302" t="s">
        <v>44</v>
      </c>
      <c r="E17" s="303"/>
      <c r="F17" s="65">
        <f>SUM(F12:F16)</f>
        <v>8340.880000000001</v>
      </c>
    </row>
    <row r="18" spans="1:10" ht="16.5" customHeight="1" thickBot="1" x14ac:dyDescent="0.4">
      <c r="A18" s="296"/>
      <c r="B18" s="304" t="s">
        <v>217</v>
      </c>
      <c r="C18" s="305"/>
      <c r="D18" s="310" t="s">
        <v>46</v>
      </c>
      <c r="E18" s="311"/>
      <c r="F18" s="66">
        <f>F17*5%</f>
        <v>417.0440000000001</v>
      </c>
      <c r="H18" s="290" t="s">
        <v>47</v>
      </c>
      <c r="I18" s="291"/>
    </row>
    <row r="19" spans="1:10" ht="15" customHeight="1" x14ac:dyDescent="0.35">
      <c r="A19" s="296"/>
      <c r="B19" s="306"/>
      <c r="C19" s="307"/>
      <c r="D19" s="312" t="s">
        <v>48</v>
      </c>
      <c r="E19" s="313"/>
      <c r="F19" s="67">
        <f>SUM(F17:F18)</f>
        <v>8757.9240000000009</v>
      </c>
      <c r="H19" s="9" t="s">
        <v>13</v>
      </c>
      <c r="I19" s="10">
        <f>F22</f>
        <v>5042.0759999999991</v>
      </c>
    </row>
    <row r="20" spans="1:10" ht="15" customHeight="1" thickBot="1" x14ac:dyDescent="0.4">
      <c r="A20" s="296"/>
      <c r="B20" s="306"/>
      <c r="C20" s="307"/>
      <c r="D20" s="314" t="s">
        <v>49</v>
      </c>
      <c r="E20" s="315"/>
      <c r="F20" s="68">
        <v>15000</v>
      </c>
      <c r="H20" s="17" t="s">
        <v>50</v>
      </c>
      <c r="I20" s="20">
        <f>F109</f>
        <v>8296.6666666666661</v>
      </c>
    </row>
    <row r="21" spans="1:10" ht="15" customHeight="1" thickBot="1" x14ac:dyDescent="0.4">
      <c r="A21" s="296"/>
      <c r="B21" s="306"/>
      <c r="C21" s="307"/>
      <c r="D21" s="316" t="s">
        <v>51</v>
      </c>
      <c r="E21" s="317"/>
      <c r="F21" s="120">
        <f>F20*8%</f>
        <v>1200</v>
      </c>
      <c r="H21" s="30" t="s">
        <v>52</v>
      </c>
      <c r="I21" s="70">
        <f>I19-I20</f>
        <v>-3254.5906666666669</v>
      </c>
      <c r="J21" s="71">
        <f>(I19-I20)/I19*100%</f>
        <v>-0.64548623754712697</v>
      </c>
    </row>
    <row r="22" spans="1:10" ht="15.75" customHeight="1" thickBot="1" x14ac:dyDescent="0.4">
      <c r="A22" s="296"/>
      <c r="B22" s="306"/>
      <c r="C22" s="307"/>
      <c r="D22" s="310" t="s">
        <v>53</v>
      </c>
      <c r="E22" s="311"/>
      <c r="F22" s="67">
        <f>F20-F19-F21</f>
        <v>5042.0759999999991</v>
      </c>
    </row>
    <row r="23" spans="1:10" ht="15.75" customHeight="1" thickBot="1" x14ac:dyDescent="0.4">
      <c r="A23" s="296"/>
      <c r="B23" s="306"/>
      <c r="C23" s="307"/>
      <c r="D23" s="310" t="s">
        <v>54</v>
      </c>
      <c r="E23" s="311"/>
      <c r="F23" s="72">
        <f>IFERROR(F19/F20,0)</f>
        <v>0.58386160000000009</v>
      </c>
      <c r="G23" s="73"/>
      <c r="H23" s="293" t="s">
        <v>55</v>
      </c>
      <c r="I23" s="294"/>
    </row>
    <row r="24" spans="1:10" ht="15.75" customHeight="1" thickBot="1" x14ac:dyDescent="0.4">
      <c r="A24" s="297"/>
      <c r="B24" s="308"/>
      <c r="C24" s="309"/>
      <c r="D24" s="318" t="s">
        <v>56</v>
      </c>
      <c r="E24" s="319"/>
      <c r="F24" s="74">
        <f>IFERROR(F22/F20,0)</f>
        <v>0.33613839999999995</v>
      </c>
      <c r="G24" s="73"/>
      <c r="H24" s="9" t="s">
        <v>57</v>
      </c>
      <c r="I24" s="10">
        <f>F22</f>
        <v>5042.0759999999991</v>
      </c>
    </row>
    <row r="25" spans="1:10" ht="15.75" customHeight="1" x14ac:dyDescent="0.35">
      <c r="A25" s="75"/>
      <c r="B25" s="76"/>
      <c r="C25" s="77"/>
      <c r="D25" s="78"/>
      <c r="E25" s="78"/>
      <c r="F25" s="79"/>
      <c r="G25" s="73"/>
      <c r="H25" s="17" t="s">
        <v>58</v>
      </c>
      <c r="I25" s="80">
        <f>I24/F58</f>
        <v>1.0131432016075015</v>
      </c>
    </row>
    <row r="26" spans="1:10" x14ac:dyDescent="0.35">
      <c r="A26" s="75"/>
      <c r="B26" s="76"/>
      <c r="C26" s="77"/>
      <c r="D26" s="78"/>
      <c r="E26" s="78"/>
      <c r="F26" s="79"/>
      <c r="H26" s="17" t="s">
        <v>59</v>
      </c>
      <c r="I26" s="80">
        <f>I24/F70</f>
        <v>0.71961122740247363</v>
      </c>
    </row>
    <row r="27" spans="1:10" x14ac:dyDescent="0.35">
      <c r="H27" s="17" t="s">
        <v>60</v>
      </c>
      <c r="I27" s="80">
        <f>I24/F109</f>
        <v>0.60772310164724785</v>
      </c>
    </row>
    <row r="28" spans="1:10" x14ac:dyDescent="0.35">
      <c r="H28" s="17" t="s">
        <v>61</v>
      </c>
      <c r="I28" s="80">
        <f>I24/F83</f>
        <v>0.82386862745098022</v>
      </c>
    </row>
    <row r="29" spans="1:10" ht="15" thickBot="1" x14ac:dyDescent="0.4">
      <c r="H29" s="38" t="s">
        <v>62</v>
      </c>
      <c r="I29" s="81">
        <f>I24/F96</f>
        <v>0.42729457627118639</v>
      </c>
    </row>
    <row r="30" spans="1:10" ht="15" thickBot="1" x14ac:dyDescent="0.4"/>
    <row r="31" spans="1:10" ht="15" thickBot="1" x14ac:dyDescent="0.4">
      <c r="H31" s="293" t="s">
        <v>63</v>
      </c>
      <c r="I31" s="294"/>
    </row>
    <row r="32" spans="1:10" x14ac:dyDescent="0.35">
      <c r="H32" s="9" t="s">
        <v>64</v>
      </c>
      <c r="I32" s="10">
        <f>F20</f>
        <v>15000</v>
      </c>
    </row>
    <row r="33" spans="8:9" x14ac:dyDescent="0.35">
      <c r="H33" s="17" t="s">
        <v>58</v>
      </c>
      <c r="I33" s="80">
        <f>I32/F56</f>
        <v>1.875</v>
      </c>
    </row>
    <row r="34" spans="8:9" x14ac:dyDescent="0.35">
      <c r="H34" s="17" t="s">
        <v>59</v>
      </c>
      <c r="I34" s="80">
        <f>I32/F68</f>
        <v>1.25</v>
      </c>
    </row>
    <row r="35" spans="8:9" x14ac:dyDescent="0.35">
      <c r="H35" s="17" t="s">
        <v>60</v>
      </c>
      <c r="I35" s="80">
        <f>I32/F107</f>
        <v>1.0714285714285714</v>
      </c>
    </row>
    <row r="36" spans="8:9" x14ac:dyDescent="0.35">
      <c r="H36" s="17" t="s">
        <v>61</v>
      </c>
      <c r="I36" s="80">
        <f>I32/F81</f>
        <v>1.5</v>
      </c>
    </row>
    <row r="37" spans="8:9" ht="15" thickBot="1" x14ac:dyDescent="0.4">
      <c r="H37" s="38" t="s">
        <v>62</v>
      </c>
      <c r="I37" s="81">
        <f>I32/F94</f>
        <v>0.75</v>
      </c>
    </row>
    <row r="43" spans="8:9" ht="3.75" customHeight="1" x14ac:dyDescent="0.35"/>
    <row r="45" spans="8:9" ht="15" customHeight="1" x14ac:dyDescent="0.35"/>
    <row r="49" spans="1:6" ht="75.75" customHeight="1" thickBot="1" x14ac:dyDescent="0.4"/>
    <row r="50" spans="1:6" ht="21.5" thickBot="1" x14ac:dyDescent="0.4">
      <c r="A50" s="320" t="s">
        <v>65</v>
      </c>
      <c r="B50" s="321"/>
      <c r="C50" s="321"/>
      <c r="D50" s="321"/>
      <c r="E50" s="321"/>
      <c r="F50" s="322"/>
    </row>
    <row r="51" spans="1:6" x14ac:dyDescent="0.35">
      <c r="A51" s="82" t="s">
        <v>30</v>
      </c>
      <c r="B51" s="83" t="s">
        <v>66</v>
      </c>
      <c r="C51" s="84" t="s">
        <v>31</v>
      </c>
      <c r="D51" s="84" t="s">
        <v>5</v>
      </c>
      <c r="E51" s="84" t="s">
        <v>67</v>
      </c>
      <c r="F51" s="85" t="s">
        <v>33</v>
      </c>
    </row>
    <row r="52" spans="1:6" ht="15" thickBot="1" x14ac:dyDescent="0.4">
      <c r="A52" s="86" t="s">
        <v>68</v>
      </c>
      <c r="B52" s="87">
        <f>13000/6</f>
        <v>2166.6666666666665</v>
      </c>
      <c r="C52" s="88" t="s">
        <v>12</v>
      </c>
      <c r="D52" s="89">
        <v>330</v>
      </c>
      <c r="E52" s="90">
        <f>B52/D52</f>
        <v>6.5656565656565649</v>
      </c>
      <c r="F52" s="91">
        <f>E52*D52</f>
        <v>2166.6666666666665</v>
      </c>
    </row>
    <row r="53" spans="1:6" x14ac:dyDescent="0.35">
      <c r="A53" s="323" t="s">
        <v>69</v>
      </c>
      <c r="B53" s="324"/>
      <c r="C53" s="325"/>
      <c r="D53" s="302" t="s">
        <v>44</v>
      </c>
      <c r="E53" s="303"/>
      <c r="F53" s="65">
        <f>F52</f>
        <v>2166.6666666666665</v>
      </c>
    </row>
    <row r="54" spans="1:6" x14ac:dyDescent="0.35">
      <c r="A54" s="326" t="s">
        <v>70</v>
      </c>
      <c r="B54" s="327"/>
      <c r="C54" s="328"/>
      <c r="D54" s="310" t="s">
        <v>46</v>
      </c>
      <c r="E54" s="311"/>
      <c r="F54" s="66">
        <f>F53*10%</f>
        <v>216.66666666666666</v>
      </c>
    </row>
    <row r="55" spans="1:6" ht="15" customHeight="1" x14ac:dyDescent="0.35">
      <c r="A55" s="329"/>
      <c r="B55" s="330"/>
      <c r="C55" s="331"/>
      <c r="D55" s="312" t="s">
        <v>48</v>
      </c>
      <c r="E55" s="313"/>
      <c r="F55" s="67">
        <f>F53+F54</f>
        <v>2383.333333333333</v>
      </c>
    </row>
    <row r="56" spans="1:6" x14ac:dyDescent="0.35">
      <c r="A56" s="329"/>
      <c r="B56" s="330"/>
      <c r="C56" s="331"/>
      <c r="D56" s="314" t="s">
        <v>49</v>
      </c>
      <c r="E56" s="315"/>
      <c r="F56" s="68">
        <v>8000</v>
      </c>
    </row>
    <row r="57" spans="1:6" x14ac:dyDescent="0.35">
      <c r="A57" s="329"/>
      <c r="B57" s="330"/>
      <c r="C57" s="331"/>
      <c r="D57" s="316" t="s">
        <v>51</v>
      </c>
      <c r="E57" s="317"/>
      <c r="F57" s="69">
        <f>F56*8%</f>
        <v>640</v>
      </c>
    </row>
    <row r="58" spans="1:6" ht="15" customHeight="1" x14ac:dyDescent="0.35">
      <c r="A58" s="329"/>
      <c r="B58" s="330"/>
      <c r="C58" s="331"/>
      <c r="D58" s="310" t="s">
        <v>53</v>
      </c>
      <c r="E58" s="311"/>
      <c r="F58" s="67">
        <f>F56-F55-F57</f>
        <v>4976.666666666667</v>
      </c>
    </row>
    <row r="59" spans="1:6" x14ac:dyDescent="0.35">
      <c r="A59" s="329"/>
      <c r="B59" s="330"/>
      <c r="C59" s="331"/>
      <c r="D59" s="310" t="s">
        <v>54</v>
      </c>
      <c r="E59" s="311"/>
      <c r="F59" s="72">
        <f>IFERROR(F55/F56,0)</f>
        <v>0.29791666666666661</v>
      </c>
    </row>
    <row r="60" spans="1:6" ht="15" thickBot="1" x14ac:dyDescent="0.4">
      <c r="A60" s="332"/>
      <c r="B60" s="333"/>
      <c r="C60" s="334"/>
      <c r="D60" s="318" t="s">
        <v>56</v>
      </c>
      <c r="E60" s="319"/>
      <c r="F60" s="74">
        <f>IFERROR(F58/F56,0)</f>
        <v>0.62208333333333332</v>
      </c>
    </row>
    <row r="61" spans="1:6" ht="15" thickBot="1" x14ac:dyDescent="0.4">
      <c r="A61" s="73"/>
      <c r="B61" s="73"/>
      <c r="C61" s="73"/>
      <c r="D61" s="73"/>
      <c r="E61" s="73"/>
      <c r="F61" s="73"/>
    </row>
    <row r="62" spans="1:6" ht="21.5" thickBot="1" x14ac:dyDescent="0.4">
      <c r="A62" s="320" t="s">
        <v>71</v>
      </c>
      <c r="B62" s="321"/>
      <c r="C62" s="321"/>
      <c r="D62" s="321"/>
      <c r="E62" s="321"/>
      <c r="F62" s="322"/>
    </row>
    <row r="63" spans="1:6" ht="26" x14ac:dyDescent="0.35">
      <c r="A63" s="82" t="s">
        <v>30</v>
      </c>
      <c r="B63" s="83" t="s">
        <v>66</v>
      </c>
      <c r="C63" s="84" t="s">
        <v>31</v>
      </c>
      <c r="D63" s="84" t="s">
        <v>5</v>
      </c>
      <c r="E63" s="84" t="s">
        <v>32</v>
      </c>
      <c r="F63" s="85" t="s">
        <v>33</v>
      </c>
    </row>
    <row r="64" spans="1:6" ht="15" thickBot="1" x14ac:dyDescent="0.4">
      <c r="A64" s="86" t="s">
        <v>72</v>
      </c>
      <c r="B64" s="87">
        <f>22000/6</f>
        <v>3666.6666666666665</v>
      </c>
      <c r="C64" s="88" t="s">
        <v>12</v>
      </c>
      <c r="D64" s="89">
        <v>330</v>
      </c>
      <c r="E64" s="90">
        <f>B64/D64</f>
        <v>11.111111111111111</v>
      </c>
      <c r="F64" s="91">
        <f>E64*D64</f>
        <v>3666.6666666666665</v>
      </c>
    </row>
    <row r="65" spans="1:6" x14ac:dyDescent="0.35">
      <c r="A65" s="323" t="s">
        <v>69</v>
      </c>
      <c r="B65" s="324"/>
      <c r="C65" s="325"/>
      <c r="D65" s="302" t="s">
        <v>44</v>
      </c>
      <c r="E65" s="303"/>
      <c r="F65" s="65">
        <f>F64</f>
        <v>3666.6666666666665</v>
      </c>
    </row>
    <row r="66" spans="1:6" x14ac:dyDescent="0.35">
      <c r="A66" s="326" t="s">
        <v>73</v>
      </c>
      <c r="B66" s="327"/>
      <c r="C66" s="328"/>
      <c r="D66" s="310" t="s">
        <v>46</v>
      </c>
      <c r="E66" s="311"/>
      <c r="F66" s="66">
        <f>F65*10%</f>
        <v>366.66666666666669</v>
      </c>
    </row>
    <row r="67" spans="1:6" x14ac:dyDescent="0.35">
      <c r="A67" s="329"/>
      <c r="B67" s="330"/>
      <c r="C67" s="331"/>
      <c r="D67" s="312" t="s">
        <v>48</v>
      </c>
      <c r="E67" s="313"/>
      <c r="F67" s="67">
        <f>F65+F66</f>
        <v>4033.333333333333</v>
      </c>
    </row>
    <row r="68" spans="1:6" x14ac:dyDescent="0.35">
      <c r="A68" s="329"/>
      <c r="B68" s="330"/>
      <c r="C68" s="331"/>
      <c r="D68" s="314" t="s">
        <v>49</v>
      </c>
      <c r="E68" s="315"/>
      <c r="F68" s="68">
        <v>12000</v>
      </c>
    </row>
    <row r="69" spans="1:6" ht="15" customHeight="1" x14ac:dyDescent="0.35">
      <c r="A69" s="329"/>
      <c r="B69" s="330"/>
      <c r="C69" s="331"/>
      <c r="D69" s="316" t="s">
        <v>51</v>
      </c>
      <c r="E69" s="317"/>
      <c r="F69" s="69">
        <f>F68*8%</f>
        <v>960</v>
      </c>
    </row>
    <row r="70" spans="1:6" x14ac:dyDescent="0.35">
      <c r="A70" s="329"/>
      <c r="B70" s="330"/>
      <c r="C70" s="331"/>
      <c r="D70" s="310" t="s">
        <v>53</v>
      </c>
      <c r="E70" s="311"/>
      <c r="F70" s="67">
        <f>F68-F67-F69</f>
        <v>7006.666666666667</v>
      </c>
    </row>
    <row r="71" spans="1:6" ht="15" customHeight="1" x14ac:dyDescent="0.35">
      <c r="A71" s="329"/>
      <c r="B71" s="330"/>
      <c r="C71" s="331"/>
      <c r="D71" s="310" t="s">
        <v>54</v>
      </c>
      <c r="E71" s="311"/>
      <c r="F71" s="72">
        <f>IFERROR(F67/F68,0)</f>
        <v>0.33611111111111108</v>
      </c>
    </row>
    <row r="72" spans="1:6" ht="15" thickBot="1" x14ac:dyDescent="0.4">
      <c r="A72" s="332"/>
      <c r="B72" s="333"/>
      <c r="C72" s="334"/>
      <c r="D72" s="318" t="s">
        <v>56</v>
      </c>
      <c r="E72" s="319"/>
      <c r="F72" s="74">
        <f>IFERROR(F70/F68,0)</f>
        <v>0.5838888888888889</v>
      </c>
    </row>
    <row r="74" spans="1:6" ht="15" thickBot="1" x14ac:dyDescent="0.4"/>
    <row r="75" spans="1:6" ht="21.5" thickBot="1" x14ac:dyDescent="0.4">
      <c r="A75" s="320" t="s">
        <v>74</v>
      </c>
      <c r="B75" s="321"/>
      <c r="C75" s="321"/>
      <c r="D75" s="321"/>
      <c r="E75" s="321"/>
      <c r="F75" s="322"/>
    </row>
    <row r="76" spans="1:6" ht="26" x14ac:dyDescent="0.35">
      <c r="A76" s="82" t="s">
        <v>30</v>
      </c>
      <c r="B76" s="83" t="s">
        <v>66</v>
      </c>
      <c r="C76" s="84" t="s">
        <v>31</v>
      </c>
      <c r="D76" s="84" t="s">
        <v>5</v>
      </c>
      <c r="E76" s="84" t="s">
        <v>32</v>
      </c>
      <c r="F76" s="85" t="s">
        <v>33</v>
      </c>
    </row>
    <row r="77" spans="1:6" ht="15" thickBot="1" x14ac:dyDescent="0.4">
      <c r="A77" s="86" t="s">
        <v>75</v>
      </c>
      <c r="B77" s="87">
        <v>35000</v>
      </c>
      <c r="C77" s="88" t="s">
        <v>12</v>
      </c>
      <c r="D77" s="89">
        <v>60</v>
      </c>
      <c r="E77" s="90">
        <f>B77/750</f>
        <v>46.666666666666664</v>
      </c>
      <c r="F77" s="91">
        <f>E77*D77</f>
        <v>2800</v>
      </c>
    </row>
    <row r="78" spans="1:6" x14ac:dyDescent="0.35">
      <c r="A78" s="323" t="s">
        <v>69</v>
      </c>
      <c r="B78" s="324"/>
      <c r="C78" s="325"/>
      <c r="D78" s="302" t="s">
        <v>44</v>
      </c>
      <c r="E78" s="303"/>
      <c r="F78" s="65">
        <f>F77</f>
        <v>2800</v>
      </c>
    </row>
    <row r="79" spans="1:6" x14ac:dyDescent="0.35">
      <c r="A79" s="326" t="s">
        <v>76</v>
      </c>
      <c r="B79" s="327"/>
      <c r="C79" s="328"/>
      <c r="D79" s="310" t="s">
        <v>46</v>
      </c>
      <c r="E79" s="311"/>
      <c r="F79" s="66">
        <f>F78*10%</f>
        <v>280</v>
      </c>
    </row>
    <row r="80" spans="1:6" x14ac:dyDescent="0.35">
      <c r="A80" s="329"/>
      <c r="B80" s="330"/>
      <c r="C80" s="331"/>
      <c r="D80" s="312" t="s">
        <v>48</v>
      </c>
      <c r="E80" s="313"/>
      <c r="F80" s="67">
        <f>F78+F79</f>
        <v>3080</v>
      </c>
    </row>
    <row r="81" spans="1:9" x14ac:dyDescent="0.35">
      <c r="A81" s="329"/>
      <c r="B81" s="330"/>
      <c r="C81" s="331"/>
      <c r="D81" s="314" t="s">
        <v>49</v>
      </c>
      <c r="E81" s="315"/>
      <c r="F81" s="68">
        <v>10000</v>
      </c>
    </row>
    <row r="82" spans="1:9" ht="15" customHeight="1" x14ac:dyDescent="0.35">
      <c r="A82" s="329"/>
      <c r="B82" s="330"/>
      <c r="C82" s="331"/>
      <c r="D82" s="316" t="s">
        <v>51</v>
      </c>
      <c r="E82" s="317"/>
      <c r="F82" s="69">
        <f>F81*8%</f>
        <v>800</v>
      </c>
    </row>
    <row r="83" spans="1:9" x14ac:dyDescent="0.35">
      <c r="A83" s="329"/>
      <c r="B83" s="330"/>
      <c r="C83" s="331"/>
      <c r="D83" s="310" t="s">
        <v>53</v>
      </c>
      <c r="E83" s="311"/>
      <c r="F83" s="67">
        <f>F81-F80-F82</f>
        <v>6120</v>
      </c>
      <c r="I83" s="92"/>
    </row>
    <row r="84" spans="1:9" ht="15" customHeight="1" x14ac:dyDescent="0.35">
      <c r="A84" s="329"/>
      <c r="B84" s="330"/>
      <c r="C84" s="331"/>
      <c r="D84" s="310" t="s">
        <v>54</v>
      </c>
      <c r="E84" s="311"/>
      <c r="F84" s="72">
        <f>IFERROR(F80/F81,0)</f>
        <v>0.308</v>
      </c>
      <c r="I84" s="92"/>
    </row>
    <row r="85" spans="1:9" ht="15" thickBot="1" x14ac:dyDescent="0.4">
      <c r="A85" s="332"/>
      <c r="B85" s="333"/>
      <c r="C85" s="334"/>
      <c r="D85" s="318" t="s">
        <v>56</v>
      </c>
      <c r="E85" s="319"/>
      <c r="F85" s="74">
        <f>IFERROR(F83/F81,0)</f>
        <v>0.61199999999999999</v>
      </c>
      <c r="I85" s="92"/>
    </row>
    <row r="87" spans="1:9" ht="15" thickBot="1" x14ac:dyDescent="0.4"/>
    <row r="88" spans="1:9" ht="21.5" thickBot="1" x14ac:dyDescent="0.4">
      <c r="A88" s="320" t="s">
        <v>77</v>
      </c>
      <c r="B88" s="321"/>
      <c r="C88" s="321"/>
      <c r="D88" s="321"/>
      <c r="E88" s="321"/>
      <c r="F88" s="322"/>
    </row>
    <row r="89" spans="1:9" ht="26" x14ac:dyDescent="0.35">
      <c r="A89" s="82" t="s">
        <v>30</v>
      </c>
      <c r="B89" s="83" t="s">
        <v>66</v>
      </c>
      <c r="C89" s="84" t="s">
        <v>31</v>
      </c>
      <c r="D89" s="84" t="s">
        <v>5</v>
      </c>
      <c r="E89" s="84" t="s">
        <v>32</v>
      </c>
      <c r="F89" s="85" t="s">
        <v>33</v>
      </c>
    </row>
    <row r="90" spans="1:9" ht="15" thickBot="1" x14ac:dyDescent="0.4">
      <c r="A90" s="86" t="s">
        <v>78</v>
      </c>
      <c r="B90" s="87">
        <v>75000</v>
      </c>
      <c r="C90" s="88" t="s">
        <v>12</v>
      </c>
      <c r="D90" s="89">
        <v>60</v>
      </c>
      <c r="E90" s="90">
        <f>B90/750</f>
        <v>100</v>
      </c>
      <c r="F90" s="91">
        <f>E90*D90</f>
        <v>6000</v>
      </c>
    </row>
    <row r="91" spans="1:9" x14ac:dyDescent="0.35">
      <c r="A91" s="323" t="s">
        <v>69</v>
      </c>
      <c r="B91" s="324"/>
      <c r="C91" s="325"/>
      <c r="D91" s="302" t="s">
        <v>44</v>
      </c>
      <c r="E91" s="303"/>
      <c r="F91" s="65">
        <f>F90</f>
        <v>6000</v>
      </c>
    </row>
    <row r="92" spans="1:9" x14ac:dyDescent="0.35">
      <c r="A92" s="326" t="s">
        <v>79</v>
      </c>
      <c r="B92" s="327"/>
      <c r="C92" s="328"/>
      <c r="D92" s="310" t="s">
        <v>46</v>
      </c>
      <c r="E92" s="311"/>
      <c r="F92" s="66">
        <f>F91*10%</f>
        <v>600</v>
      </c>
    </row>
    <row r="93" spans="1:9" x14ac:dyDescent="0.35">
      <c r="A93" s="329"/>
      <c r="B93" s="330"/>
      <c r="C93" s="331"/>
      <c r="D93" s="312" t="s">
        <v>48</v>
      </c>
      <c r="E93" s="313"/>
      <c r="F93" s="67">
        <f>F91+F92</f>
        <v>6600</v>
      </c>
    </row>
    <row r="94" spans="1:9" x14ac:dyDescent="0.35">
      <c r="A94" s="329"/>
      <c r="B94" s="330"/>
      <c r="C94" s="331"/>
      <c r="D94" s="314" t="s">
        <v>49</v>
      </c>
      <c r="E94" s="315"/>
      <c r="F94" s="68">
        <v>20000</v>
      </c>
    </row>
    <row r="95" spans="1:9" ht="15" customHeight="1" x14ac:dyDescent="0.35">
      <c r="A95" s="329"/>
      <c r="B95" s="330"/>
      <c r="C95" s="331"/>
      <c r="D95" s="316" t="s">
        <v>51</v>
      </c>
      <c r="E95" s="317"/>
      <c r="F95" s="69">
        <f>F94*8%</f>
        <v>1600</v>
      </c>
    </row>
    <row r="96" spans="1:9" x14ac:dyDescent="0.35">
      <c r="A96" s="329"/>
      <c r="B96" s="330"/>
      <c r="C96" s="331"/>
      <c r="D96" s="310" t="s">
        <v>53</v>
      </c>
      <c r="E96" s="311"/>
      <c r="F96" s="67">
        <f>F94-F93-F95</f>
        <v>11800</v>
      </c>
    </row>
    <row r="97" spans="1:6" x14ac:dyDescent="0.35">
      <c r="A97" s="329"/>
      <c r="B97" s="330"/>
      <c r="C97" s="331"/>
      <c r="D97" s="310" t="s">
        <v>54</v>
      </c>
      <c r="E97" s="311"/>
      <c r="F97" s="72">
        <f>IFERROR(F93/F94,0)</f>
        <v>0.33</v>
      </c>
    </row>
    <row r="98" spans="1:6" ht="15" thickBot="1" x14ac:dyDescent="0.4">
      <c r="A98" s="332"/>
      <c r="B98" s="333"/>
      <c r="C98" s="334"/>
      <c r="D98" s="318" t="s">
        <v>56</v>
      </c>
      <c r="E98" s="319"/>
      <c r="F98" s="74">
        <f>IFERROR(F96/F94,0)</f>
        <v>0.59</v>
      </c>
    </row>
    <row r="100" spans="1:6" ht="15" thickBot="1" x14ac:dyDescent="0.4"/>
    <row r="101" spans="1:6" ht="21.5" thickBot="1" x14ac:dyDescent="0.4">
      <c r="A101" s="320" t="s">
        <v>80</v>
      </c>
      <c r="B101" s="321"/>
      <c r="C101" s="321"/>
      <c r="D101" s="321"/>
      <c r="E101" s="321"/>
      <c r="F101" s="322"/>
    </row>
    <row r="102" spans="1:6" ht="26" x14ac:dyDescent="0.35">
      <c r="A102" s="82" t="s">
        <v>30</v>
      </c>
      <c r="B102" s="83" t="s">
        <v>66</v>
      </c>
      <c r="C102" s="84" t="s">
        <v>31</v>
      </c>
      <c r="D102" s="84" t="s">
        <v>81</v>
      </c>
      <c r="E102" s="84" t="s">
        <v>32</v>
      </c>
      <c r="F102" s="85" t="s">
        <v>33</v>
      </c>
    </row>
    <row r="103" spans="1:6" ht="15" thickBot="1" x14ac:dyDescent="0.4">
      <c r="A103" s="86" t="s">
        <v>82</v>
      </c>
      <c r="B103" s="87">
        <v>25000</v>
      </c>
      <c r="C103" s="88" t="s">
        <v>12</v>
      </c>
      <c r="D103" s="89">
        <v>125</v>
      </c>
      <c r="E103" s="90">
        <f>B103/750</f>
        <v>33.333333333333336</v>
      </c>
      <c r="F103" s="91">
        <f>E103*D103</f>
        <v>4166.666666666667</v>
      </c>
    </row>
    <row r="104" spans="1:6" x14ac:dyDescent="0.35">
      <c r="A104" s="323" t="s">
        <v>69</v>
      </c>
      <c r="B104" s="324"/>
      <c r="C104" s="325"/>
      <c r="D104" s="302" t="s">
        <v>44</v>
      </c>
      <c r="E104" s="303"/>
      <c r="F104" s="65">
        <f>F103</f>
        <v>4166.666666666667</v>
      </c>
    </row>
    <row r="105" spans="1:6" x14ac:dyDescent="0.35">
      <c r="A105" s="326" t="s">
        <v>83</v>
      </c>
      <c r="B105" s="327"/>
      <c r="C105" s="328"/>
      <c r="D105" s="310" t="s">
        <v>46</v>
      </c>
      <c r="E105" s="311"/>
      <c r="F105" s="66">
        <f>F104*10%</f>
        <v>416.66666666666674</v>
      </c>
    </row>
    <row r="106" spans="1:6" x14ac:dyDescent="0.35">
      <c r="A106" s="329"/>
      <c r="B106" s="330"/>
      <c r="C106" s="331"/>
      <c r="D106" s="312" t="s">
        <v>48</v>
      </c>
      <c r="E106" s="313"/>
      <c r="F106" s="67">
        <f>F104+F105</f>
        <v>4583.3333333333339</v>
      </c>
    </row>
    <row r="107" spans="1:6" x14ac:dyDescent="0.35">
      <c r="A107" s="329"/>
      <c r="B107" s="330"/>
      <c r="C107" s="331"/>
      <c r="D107" s="314" t="s">
        <v>49</v>
      </c>
      <c r="E107" s="315"/>
      <c r="F107" s="68">
        <v>14000</v>
      </c>
    </row>
    <row r="108" spans="1:6" x14ac:dyDescent="0.35">
      <c r="A108" s="329"/>
      <c r="B108" s="330"/>
      <c r="C108" s="331"/>
      <c r="D108" s="316" t="s">
        <v>51</v>
      </c>
      <c r="E108" s="317"/>
      <c r="F108" s="69">
        <f>F107*8%</f>
        <v>1120</v>
      </c>
    </row>
    <row r="109" spans="1:6" x14ac:dyDescent="0.35">
      <c r="A109" s="329"/>
      <c r="B109" s="330"/>
      <c r="C109" s="331"/>
      <c r="D109" s="310" t="s">
        <v>53</v>
      </c>
      <c r="E109" s="311"/>
      <c r="F109" s="67">
        <f>F107-F106-F108</f>
        <v>8296.6666666666661</v>
      </c>
    </row>
    <row r="110" spans="1:6" x14ac:dyDescent="0.35">
      <c r="A110" s="329"/>
      <c r="B110" s="330"/>
      <c r="C110" s="331"/>
      <c r="D110" s="310" t="s">
        <v>54</v>
      </c>
      <c r="E110" s="311"/>
      <c r="F110" s="72">
        <f>IFERROR(F106/F107,0)</f>
        <v>0.32738095238095244</v>
      </c>
    </row>
    <row r="111" spans="1:6" ht="15" thickBot="1" x14ac:dyDescent="0.4">
      <c r="A111" s="332"/>
      <c r="B111" s="333"/>
      <c r="C111" s="334"/>
      <c r="D111" s="318" t="s">
        <v>56</v>
      </c>
      <c r="E111" s="319"/>
      <c r="F111" s="74">
        <f>IFERROR(F109/F107,0)</f>
        <v>0.5926190476190476</v>
      </c>
    </row>
  </sheetData>
  <sheetProtection algorithmName="SHA-512" hashValue="Z7DA3LpuvmdIAGNu7KvlmEvRUiOE9EWglvoM3FSg2HbZ5Xwwqo8SYGXwbwM7ubgt10KKX82SvwvuBj/dS469zg==" saltValue="0sNxTNK6iaG1We/RLoOvCg==" spinCount="100000" sheet="1" objects="1" scenarios="1" formatCells="0" formatRows="0" selectLockedCells="1"/>
  <protectedRanges>
    <protectedRange sqref="B52 D52 F56 B64 D64 F68 B77 D77 F81 B90 D90 F94 B103 D103 F107" name="PRUEBA FINAL"/>
    <protectedRange sqref="E5:E9 D12:D16 F20" name="FINAL_1"/>
    <protectedRange sqref="E5:E9 D12:D16 F20" name="EDITABLES"/>
  </protectedRanges>
  <mergeCells count="78">
    <mergeCell ref="D111:E111"/>
    <mergeCell ref="A101:F101"/>
    <mergeCell ref="A104:C104"/>
    <mergeCell ref="D104:E104"/>
    <mergeCell ref="A105:C111"/>
    <mergeCell ref="D105:E105"/>
    <mergeCell ref="D106:E106"/>
    <mergeCell ref="D107:E107"/>
    <mergeCell ref="D108:E108"/>
    <mergeCell ref="D109:E109"/>
    <mergeCell ref="D110:E110"/>
    <mergeCell ref="A92:C98"/>
    <mergeCell ref="D92:E92"/>
    <mergeCell ref="D93:E93"/>
    <mergeCell ref="D94:E94"/>
    <mergeCell ref="D95:E95"/>
    <mergeCell ref="D96:E96"/>
    <mergeCell ref="D97:E97"/>
    <mergeCell ref="D98:E98"/>
    <mergeCell ref="D85:E85"/>
    <mergeCell ref="A88:F88"/>
    <mergeCell ref="A91:C91"/>
    <mergeCell ref="D91:E91"/>
    <mergeCell ref="A79:C85"/>
    <mergeCell ref="D79:E79"/>
    <mergeCell ref="D80:E80"/>
    <mergeCell ref="D81:E81"/>
    <mergeCell ref="D82:E82"/>
    <mergeCell ref="A75:F75"/>
    <mergeCell ref="A78:C78"/>
    <mergeCell ref="D78:E78"/>
    <mergeCell ref="D83:E83"/>
    <mergeCell ref="D84:E84"/>
    <mergeCell ref="A62:F62"/>
    <mergeCell ref="A65:C65"/>
    <mergeCell ref="D65:E65"/>
    <mergeCell ref="A66:C72"/>
    <mergeCell ref="D66:E66"/>
    <mergeCell ref="D67:E67"/>
    <mergeCell ref="D68:E68"/>
    <mergeCell ref="D69:E69"/>
    <mergeCell ref="D70:E70"/>
    <mergeCell ref="D71:E71"/>
    <mergeCell ref="D72:E72"/>
    <mergeCell ref="A50:F50"/>
    <mergeCell ref="A53:C53"/>
    <mergeCell ref="D53:E53"/>
    <mergeCell ref="A54:C60"/>
    <mergeCell ref="D54:E54"/>
    <mergeCell ref="D55:E55"/>
    <mergeCell ref="D56:E56"/>
    <mergeCell ref="D57:E57"/>
    <mergeCell ref="D58:E58"/>
    <mergeCell ref="D59:E59"/>
    <mergeCell ref="D60:E60"/>
    <mergeCell ref="H31:I31"/>
    <mergeCell ref="A11:A24"/>
    <mergeCell ref="H11:I11"/>
    <mergeCell ref="L12:M12"/>
    <mergeCell ref="B17:C17"/>
    <mergeCell ref="D17:E17"/>
    <mergeCell ref="B18:C24"/>
    <mergeCell ref="D18:E18"/>
    <mergeCell ref="H18:I18"/>
    <mergeCell ref="D19:E19"/>
    <mergeCell ref="D20:E20"/>
    <mergeCell ref="D21:E21"/>
    <mergeCell ref="D22:E22"/>
    <mergeCell ref="D23:E23"/>
    <mergeCell ref="H23:I23"/>
    <mergeCell ref="D24:E24"/>
    <mergeCell ref="A2:F2"/>
    <mergeCell ref="H2:I2"/>
    <mergeCell ref="L2:M2"/>
    <mergeCell ref="A4:A9"/>
    <mergeCell ref="H4:I4"/>
    <mergeCell ref="L4:M4"/>
    <mergeCell ref="J5:J7"/>
  </mergeCell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Hoja48">
    <tabColor rgb="FF009900"/>
  </sheetPr>
  <dimension ref="A1:M111"/>
  <sheetViews>
    <sheetView showGridLines="0" topLeftCell="A3" zoomScale="90" zoomScaleNormal="90" workbookViewId="0">
      <selection activeCell="F20" sqref="F20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thickBot="1" x14ac:dyDescent="0.4"/>
    <row r="2" spans="1:13" ht="23.25" customHeight="1" thickBot="1" x14ac:dyDescent="0.4">
      <c r="A2" s="284" t="s">
        <v>172</v>
      </c>
      <c r="B2" s="285"/>
      <c r="C2" s="285"/>
      <c r="D2" s="285"/>
      <c r="E2" s="285"/>
      <c r="F2" s="286"/>
      <c r="H2" s="284" t="s">
        <v>1</v>
      </c>
      <c r="I2" s="286"/>
      <c r="L2" s="284" t="s">
        <v>2</v>
      </c>
      <c r="M2" s="286"/>
    </row>
    <row r="3" spans="1:13" ht="8.25" customHeight="1" thickBot="1" x14ac:dyDescent="0.4"/>
    <row r="4" spans="1:13" ht="25.5" customHeight="1" thickBot="1" x14ac:dyDescent="0.4">
      <c r="A4" s="287" t="s">
        <v>3</v>
      </c>
      <c r="B4" s="103" t="s">
        <v>4</v>
      </c>
      <c r="C4" s="103" t="s">
        <v>5</v>
      </c>
      <c r="D4" s="104" t="s">
        <v>6</v>
      </c>
      <c r="E4" s="103" t="s">
        <v>7</v>
      </c>
      <c r="F4" s="105" t="s">
        <v>8</v>
      </c>
      <c r="H4" s="290" t="s">
        <v>9</v>
      </c>
      <c r="I4" s="291"/>
      <c r="L4" s="290" t="s">
        <v>10</v>
      </c>
      <c r="M4" s="291"/>
    </row>
    <row r="5" spans="1:13" ht="15" customHeight="1" x14ac:dyDescent="0.35">
      <c r="A5" s="288"/>
      <c r="B5" s="12" t="s">
        <v>173</v>
      </c>
      <c r="C5" s="14">
        <v>750</v>
      </c>
      <c r="D5" s="96" t="s">
        <v>12</v>
      </c>
      <c r="E5" s="114">
        <v>169407</v>
      </c>
      <c r="F5" s="115">
        <f>Tabla1345681091113923252627293031323334353879[[#This Row],[PRECIO]]/Tabla1345681091113923252627293031323334353879[[#This Row],[CANTIDAD]]</f>
        <v>225.876</v>
      </c>
      <c r="H5" s="9" t="s">
        <v>13</v>
      </c>
      <c r="I5" s="10">
        <f>F22</f>
        <v>-430.1880000000001</v>
      </c>
      <c r="J5" s="292"/>
      <c r="L5" s="9" t="s">
        <v>14</v>
      </c>
      <c r="M5" s="11">
        <f>40/100</f>
        <v>0.4</v>
      </c>
    </row>
    <row r="6" spans="1:13" ht="15" customHeight="1" x14ac:dyDescent="0.35">
      <c r="A6" s="288"/>
      <c r="B6" s="12"/>
      <c r="C6" s="13"/>
      <c r="D6" s="14"/>
      <c r="E6" s="114"/>
      <c r="F6" s="115"/>
      <c r="H6" s="17" t="s">
        <v>16</v>
      </c>
      <c r="I6" s="18">
        <f>F58</f>
        <v>4976.666666666667</v>
      </c>
      <c r="J6" s="292"/>
      <c r="L6" s="17" t="s">
        <v>17</v>
      </c>
      <c r="M6" s="19">
        <f>D12/1000</f>
        <v>0.06</v>
      </c>
    </row>
    <row r="7" spans="1:13" ht="15" customHeight="1" thickBot="1" x14ac:dyDescent="0.4">
      <c r="A7" s="288"/>
      <c r="B7" s="12"/>
      <c r="C7" s="14"/>
      <c r="D7" s="14"/>
      <c r="E7" s="114"/>
      <c r="F7" s="115"/>
      <c r="H7" s="17" t="s">
        <v>19</v>
      </c>
      <c r="I7" s="20">
        <f>F70</f>
        <v>7006.666666666667</v>
      </c>
      <c r="J7" s="292"/>
      <c r="L7" s="17" t="s">
        <v>20</v>
      </c>
      <c r="M7" s="19">
        <v>782</v>
      </c>
    </row>
    <row r="8" spans="1:13" ht="15.75" customHeight="1" x14ac:dyDescent="0.35">
      <c r="A8" s="288"/>
      <c r="B8" s="21"/>
      <c r="C8" s="22"/>
      <c r="D8" s="22"/>
      <c r="E8" s="116"/>
      <c r="F8" s="115"/>
      <c r="H8" s="25" t="s">
        <v>23</v>
      </c>
      <c r="I8" s="26">
        <f>I5-I6</f>
        <v>-5406.8546666666671</v>
      </c>
      <c r="J8" s="27">
        <f>(I5-I6)/I6*100%</f>
        <v>-1.0864409912926993</v>
      </c>
      <c r="L8" s="17" t="s">
        <v>24</v>
      </c>
      <c r="M8" s="28">
        <f>M5*M6*M7</f>
        <v>18.768000000000001</v>
      </c>
    </row>
    <row r="9" spans="1:13" ht="15.75" customHeight="1" thickBot="1" x14ac:dyDescent="0.4">
      <c r="A9" s="289"/>
      <c r="B9" s="29"/>
      <c r="C9" s="22"/>
      <c r="D9" s="22"/>
      <c r="E9" s="117"/>
      <c r="F9" s="115"/>
      <c r="H9" s="30" t="s">
        <v>26</v>
      </c>
      <c r="I9" s="31">
        <f>I5-I7</f>
        <v>-7436.8546666666671</v>
      </c>
      <c r="J9" s="32">
        <f>(I5-I7)/I7*100%</f>
        <v>-1.061396955280685</v>
      </c>
      <c r="L9" s="17" t="s">
        <v>27</v>
      </c>
      <c r="M9" s="19">
        <f>D13+D14+D12+D15+30</f>
        <v>90</v>
      </c>
    </row>
    <row r="10" spans="1:13" ht="16" thickBot="1" x14ac:dyDescent="0.4">
      <c r="A10" s="33"/>
      <c r="B10" s="34"/>
      <c r="C10" s="35"/>
      <c r="D10" s="35"/>
      <c r="E10" s="118"/>
      <c r="F10" s="119"/>
      <c r="L10" s="38" t="s">
        <v>28</v>
      </c>
      <c r="M10" s="39">
        <f>(D12*M5)/(D12+M9)</f>
        <v>0.16</v>
      </c>
    </row>
    <row r="11" spans="1:13" ht="24.75" customHeight="1" thickBot="1" x14ac:dyDescent="0.4">
      <c r="A11" s="335" t="s">
        <v>29</v>
      </c>
      <c r="B11" s="40" t="s">
        <v>30</v>
      </c>
      <c r="C11" s="41" t="s">
        <v>31</v>
      </c>
      <c r="D11" s="42" t="s">
        <v>5</v>
      </c>
      <c r="E11" s="41" t="s">
        <v>32</v>
      </c>
      <c r="F11" s="43" t="s">
        <v>33</v>
      </c>
      <c r="H11" s="298" t="s">
        <v>34</v>
      </c>
      <c r="I11" s="299"/>
    </row>
    <row r="12" spans="1:13" ht="15" customHeight="1" thickBot="1" x14ac:dyDescent="0.4">
      <c r="A12" s="336"/>
      <c r="B12" s="44" t="str">
        <f>B5</f>
        <v>DON JULIO 70</v>
      </c>
      <c r="C12" s="45" t="str">
        <f>D5</f>
        <v>ML</v>
      </c>
      <c r="D12" s="46">
        <v>60</v>
      </c>
      <c r="E12" s="45">
        <f>VLOOKUP(B12,Tabla1345681091113923252627293031323334353879[],5,FALSE)</f>
        <v>225.876</v>
      </c>
      <c r="F12" s="47">
        <f>E12*D12</f>
        <v>13552.56</v>
      </c>
      <c r="H12" s="48" t="s">
        <v>13</v>
      </c>
      <c r="I12" s="49">
        <f>F22</f>
        <v>-430.1880000000001</v>
      </c>
      <c r="L12" s="290" t="s">
        <v>35</v>
      </c>
      <c r="M12" s="291"/>
    </row>
    <row r="13" spans="1:13" ht="15" customHeight="1" x14ac:dyDescent="0.35">
      <c r="A13" s="336"/>
      <c r="B13" s="50"/>
      <c r="C13" s="51"/>
      <c r="D13" s="52"/>
      <c r="E13" s="51"/>
      <c r="F13" s="53"/>
      <c r="H13" s="17" t="s">
        <v>36</v>
      </c>
      <c r="I13" s="18">
        <f>F83</f>
        <v>6120</v>
      </c>
      <c r="L13" s="9" t="s">
        <v>37</v>
      </c>
      <c r="M13" s="11">
        <f>4.5/100</f>
        <v>4.4999999999999998E-2</v>
      </c>
    </row>
    <row r="14" spans="1:13" ht="15.75" customHeight="1" thickBot="1" x14ac:dyDescent="0.4">
      <c r="A14" s="336"/>
      <c r="B14" s="50"/>
      <c r="C14" s="51"/>
      <c r="D14" s="52"/>
      <c r="E14" s="51"/>
      <c r="F14" s="53"/>
      <c r="H14" s="17" t="s">
        <v>38</v>
      </c>
      <c r="I14" s="18">
        <f>F96</f>
        <v>11800</v>
      </c>
      <c r="L14" s="17" t="s">
        <v>39</v>
      </c>
      <c r="M14" s="19">
        <f>330/1000</f>
        <v>0.33</v>
      </c>
    </row>
    <row r="15" spans="1:13" ht="15.75" customHeight="1" x14ac:dyDescent="0.35">
      <c r="A15" s="336"/>
      <c r="B15" s="50"/>
      <c r="C15" s="51"/>
      <c r="D15" s="52"/>
      <c r="E15" s="51"/>
      <c r="F15" s="53"/>
      <c r="H15" s="58" t="s">
        <v>40</v>
      </c>
      <c r="I15" s="26">
        <f>I12-I13</f>
        <v>-6550.1880000000001</v>
      </c>
      <c r="J15" s="27">
        <f>(I12-I13)/I13*100%</f>
        <v>-1.070292156862745</v>
      </c>
      <c r="L15" s="17" t="s">
        <v>20</v>
      </c>
      <c r="M15" s="19">
        <v>782</v>
      </c>
    </row>
    <row r="16" spans="1:13" ht="15.75" customHeight="1" thickBot="1" x14ac:dyDescent="0.4">
      <c r="A16" s="336"/>
      <c r="B16" s="50"/>
      <c r="C16" s="51"/>
      <c r="D16" s="52"/>
      <c r="E16" s="51"/>
      <c r="F16" s="53"/>
      <c r="H16" s="63" t="s">
        <v>41</v>
      </c>
      <c r="I16" s="31">
        <f>I12-I14</f>
        <v>-12230.188</v>
      </c>
      <c r="J16" s="32">
        <f>(I12-I14)/I14*100%</f>
        <v>-1.0364566101694916</v>
      </c>
      <c r="L16" s="38" t="s">
        <v>42</v>
      </c>
      <c r="M16" s="64">
        <f>M13*M14*M15</f>
        <v>11.6127</v>
      </c>
    </row>
    <row r="17" spans="1:10" ht="15.75" customHeight="1" thickBot="1" x14ac:dyDescent="0.4">
      <c r="A17" s="336"/>
      <c r="B17" s="338" t="s">
        <v>43</v>
      </c>
      <c r="C17" s="339"/>
      <c r="D17" s="340" t="s">
        <v>44</v>
      </c>
      <c r="E17" s="341"/>
      <c r="F17" s="65">
        <f>SUM(F12:F16)</f>
        <v>13552.56</v>
      </c>
    </row>
    <row r="18" spans="1:10" ht="16.5" customHeight="1" thickBot="1" x14ac:dyDescent="0.4">
      <c r="A18" s="336"/>
      <c r="B18" s="304" t="s">
        <v>214</v>
      </c>
      <c r="C18" s="305"/>
      <c r="D18" s="342" t="s">
        <v>46</v>
      </c>
      <c r="E18" s="343"/>
      <c r="F18" s="66">
        <f>F17*5%</f>
        <v>677.62800000000004</v>
      </c>
      <c r="H18" s="290" t="s">
        <v>47</v>
      </c>
      <c r="I18" s="291"/>
    </row>
    <row r="19" spans="1:10" ht="15" customHeight="1" x14ac:dyDescent="0.35">
      <c r="A19" s="336"/>
      <c r="B19" s="306"/>
      <c r="C19" s="307"/>
      <c r="D19" s="344" t="s">
        <v>48</v>
      </c>
      <c r="E19" s="345"/>
      <c r="F19" s="67">
        <f>SUM(F17:F18)</f>
        <v>14230.188</v>
      </c>
      <c r="H19" s="9" t="s">
        <v>13</v>
      </c>
      <c r="I19" s="10">
        <f>F22</f>
        <v>-430.1880000000001</v>
      </c>
    </row>
    <row r="20" spans="1:10" ht="15" customHeight="1" thickBot="1" x14ac:dyDescent="0.4">
      <c r="A20" s="336"/>
      <c r="B20" s="306"/>
      <c r="C20" s="307"/>
      <c r="D20" s="346" t="s">
        <v>49</v>
      </c>
      <c r="E20" s="347"/>
      <c r="F20" s="68">
        <v>15000</v>
      </c>
      <c r="H20" s="17" t="s">
        <v>50</v>
      </c>
      <c r="I20" s="20">
        <f>F109</f>
        <v>8296.6666666666661</v>
      </c>
    </row>
    <row r="21" spans="1:10" ht="15" customHeight="1" thickBot="1" x14ac:dyDescent="0.4">
      <c r="A21" s="336"/>
      <c r="B21" s="306"/>
      <c r="C21" s="307"/>
      <c r="D21" s="348" t="s">
        <v>51</v>
      </c>
      <c r="E21" s="349"/>
      <c r="F21" s="120">
        <f>F20*8%</f>
        <v>1200</v>
      </c>
      <c r="H21" s="30" t="s">
        <v>52</v>
      </c>
      <c r="I21" s="70">
        <f>I19-I20</f>
        <v>-8726.8546666666662</v>
      </c>
      <c r="J21" s="71">
        <f>(I19-I20)/I19*100%</f>
        <v>20.286141562913574</v>
      </c>
    </row>
    <row r="22" spans="1:10" ht="15.75" customHeight="1" thickBot="1" x14ac:dyDescent="0.4">
      <c r="A22" s="336"/>
      <c r="B22" s="306"/>
      <c r="C22" s="307"/>
      <c r="D22" s="342" t="s">
        <v>53</v>
      </c>
      <c r="E22" s="343"/>
      <c r="F22" s="67">
        <f>F20-F19-F21</f>
        <v>-430.1880000000001</v>
      </c>
    </row>
    <row r="23" spans="1:10" ht="15.75" customHeight="1" thickBot="1" x14ac:dyDescent="0.4">
      <c r="A23" s="336"/>
      <c r="B23" s="306"/>
      <c r="C23" s="307"/>
      <c r="D23" s="342" t="s">
        <v>54</v>
      </c>
      <c r="E23" s="343"/>
      <c r="F23" s="72">
        <f>IFERROR(F19/F20,0)</f>
        <v>0.94867920000000006</v>
      </c>
      <c r="G23" s="73"/>
      <c r="H23" s="293" t="s">
        <v>55</v>
      </c>
      <c r="I23" s="294"/>
    </row>
    <row r="24" spans="1:10" ht="15.75" customHeight="1" thickBot="1" x14ac:dyDescent="0.4">
      <c r="A24" s="337"/>
      <c r="B24" s="308"/>
      <c r="C24" s="309"/>
      <c r="D24" s="350" t="s">
        <v>56</v>
      </c>
      <c r="E24" s="351"/>
      <c r="F24" s="74">
        <f>IFERROR(F22/F20,0)</f>
        <v>-2.8679200000000005E-2</v>
      </c>
      <c r="G24" s="73"/>
      <c r="H24" s="9" t="s">
        <v>57</v>
      </c>
      <c r="I24" s="10">
        <f>F22</f>
        <v>-430.1880000000001</v>
      </c>
    </row>
    <row r="25" spans="1:10" ht="15.75" customHeight="1" x14ac:dyDescent="0.35">
      <c r="A25" s="75"/>
      <c r="B25" s="76"/>
      <c r="C25" s="77"/>
      <c r="D25" s="78"/>
      <c r="E25" s="78"/>
      <c r="F25" s="79"/>
      <c r="G25" s="73"/>
      <c r="H25" s="17" t="s">
        <v>58</v>
      </c>
      <c r="I25" s="80">
        <f>I24/F58</f>
        <v>-8.6440991292699276E-2</v>
      </c>
    </row>
    <row r="26" spans="1:10" x14ac:dyDescent="0.35">
      <c r="A26" s="75"/>
      <c r="B26" s="76"/>
      <c r="C26" s="77"/>
      <c r="D26" s="78"/>
      <c r="E26" s="78"/>
      <c r="F26" s="79"/>
      <c r="H26" s="17" t="s">
        <v>59</v>
      </c>
      <c r="I26" s="80">
        <f>I24/F70</f>
        <v>-6.1396955280685075E-2</v>
      </c>
    </row>
    <row r="27" spans="1:10" x14ac:dyDescent="0.35">
      <c r="H27" s="17" t="s">
        <v>60</v>
      </c>
      <c r="I27" s="80">
        <f>I24/F109</f>
        <v>-5.1850703093611908E-2</v>
      </c>
    </row>
    <row r="28" spans="1:10" x14ac:dyDescent="0.35">
      <c r="H28" s="17" t="s">
        <v>61</v>
      </c>
      <c r="I28" s="80">
        <f>I24/F83</f>
        <v>-7.029215686274512E-2</v>
      </c>
    </row>
    <row r="29" spans="1:10" ht="15" thickBot="1" x14ac:dyDescent="0.4">
      <c r="H29" s="38" t="s">
        <v>62</v>
      </c>
      <c r="I29" s="81">
        <f>I24/F96</f>
        <v>-3.6456610169491532E-2</v>
      </c>
    </row>
    <row r="30" spans="1:10" ht="15" thickBot="1" x14ac:dyDescent="0.4"/>
    <row r="31" spans="1:10" ht="15" thickBot="1" x14ac:dyDescent="0.4">
      <c r="H31" s="293" t="s">
        <v>63</v>
      </c>
      <c r="I31" s="294"/>
    </row>
    <row r="32" spans="1:10" x14ac:dyDescent="0.35">
      <c r="H32" s="9" t="s">
        <v>64</v>
      </c>
      <c r="I32" s="10">
        <f>F20</f>
        <v>15000</v>
      </c>
    </row>
    <row r="33" spans="8:9" x14ac:dyDescent="0.35">
      <c r="H33" s="17" t="s">
        <v>58</v>
      </c>
      <c r="I33" s="80">
        <f>I32/F56</f>
        <v>1.875</v>
      </c>
    </row>
    <row r="34" spans="8:9" x14ac:dyDescent="0.35">
      <c r="H34" s="17" t="s">
        <v>59</v>
      </c>
      <c r="I34" s="80">
        <f>I32/F68</f>
        <v>1.25</v>
      </c>
    </row>
    <row r="35" spans="8:9" x14ac:dyDescent="0.35">
      <c r="H35" s="17" t="s">
        <v>60</v>
      </c>
      <c r="I35" s="80">
        <f>I32/F107</f>
        <v>1.0714285714285714</v>
      </c>
    </row>
    <row r="36" spans="8:9" x14ac:dyDescent="0.35">
      <c r="H36" s="17" t="s">
        <v>61</v>
      </c>
      <c r="I36" s="80">
        <f>I32/F81</f>
        <v>1.5</v>
      </c>
    </row>
    <row r="37" spans="8:9" ht="15" thickBot="1" x14ac:dyDescent="0.4">
      <c r="H37" s="38" t="s">
        <v>62</v>
      </c>
      <c r="I37" s="81">
        <f>I32/F94</f>
        <v>0.75</v>
      </c>
    </row>
    <row r="43" spans="8:9" ht="3.75" customHeight="1" x14ac:dyDescent="0.35"/>
    <row r="45" spans="8:9" ht="15" customHeight="1" x14ac:dyDescent="0.35"/>
    <row r="49" spans="1:6" ht="75.75" customHeight="1" thickBot="1" x14ac:dyDescent="0.4"/>
    <row r="50" spans="1:6" ht="21.5" thickBot="1" x14ac:dyDescent="0.4">
      <c r="A50" s="320" t="s">
        <v>65</v>
      </c>
      <c r="B50" s="321"/>
      <c r="C50" s="321"/>
      <c r="D50" s="321"/>
      <c r="E50" s="321"/>
      <c r="F50" s="322"/>
    </row>
    <row r="51" spans="1:6" x14ac:dyDescent="0.35">
      <c r="A51" s="82" t="s">
        <v>30</v>
      </c>
      <c r="B51" s="83" t="s">
        <v>66</v>
      </c>
      <c r="C51" s="84" t="s">
        <v>31</v>
      </c>
      <c r="D51" s="84" t="s">
        <v>5</v>
      </c>
      <c r="E51" s="84" t="s">
        <v>67</v>
      </c>
      <c r="F51" s="85" t="s">
        <v>33</v>
      </c>
    </row>
    <row r="52" spans="1:6" ht="15" thickBot="1" x14ac:dyDescent="0.4">
      <c r="A52" s="86" t="s">
        <v>68</v>
      </c>
      <c r="B52" s="87">
        <f>13000/6</f>
        <v>2166.6666666666665</v>
      </c>
      <c r="C52" s="88" t="s">
        <v>12</v>
      </c>
      <c r="D52" s="89">
        <v>330</v>
      </c>
      <c r="E52" s="90">
        <f>B52/D52</f>
        <v>6.5656565656565649</v>
      </c>
      <c r="F52" s="91">
        <f>E52*D52</f>
        <v>2166.6666666666665</v>
      </c>
    </row>
    <row r="53" spans="1:6" x14ac:dyDescent="0.35">
      <c r="A53" s="323" t="s">
        <v>69</v>
      </c>
      <c r="B53" s="324"/>
      <c r="C53" s="325"/>
      <c r="D53" s="302" t="s">
        <v>44</v>
      </c>
      <c r="E53" s="303"/>
      <c r="F53" s="65">
        <f>F52</f>
        <v>2166.6666666666665</v>
      </c>
    </row>
    <row r="54" spans="1:6" x14ac:dyDescent="0.35">
      <c r="A54" s="326" t="s">
        <v>70</v>
      </c>
      <c r="B54" s="327"/>
      <c r="C54" s="328"/>
      <c r="D54" s="310" t="s">
        <v>46</v>
      </c>
      <c r="E54" s="311"/>
      <c r="F54" s="66">
        <f>F53*10%</f>
        <v>216.66666666666666</v>
      </c>
    </row>
    <row r="55" spans="1:6" ht="15" customHeight="1" x14ac:dyDescent="0.35">
      <c r="A55" s="329"/>
      <c r="B55" s="330"/>
      <c r="C55" s="331"/>
      <c r="D55" s="312" t="s">
        <v>48</v>
      </c>
      <c r="E55" s="313"/>
      <c r="F55" s="67">
        <f>F53+F54</f>
        <v>2383.333333333333</v>
      </c>
    </row>
    <row r="56" spans="1:6" x14ac:dyDescent="0.35">
      <c r="A56" s="329"/>
      <c r="B56" s="330"/>
      <c r="C56" s="331"/>
      <c r="D56" s="314" t="s">
        <v>49</v>
      </c>
      <c r="E56" s="315"/>
      <c r="F56" s="68">
        <v>8000</v>
      </c>
    </row>
    <row r="57" spans="1:6" x14ac:dyDescent="0.35">
      <c r="A57" s="329"/>
      <c r="B57" s="330"/>
      <c r="C57" s="331"/>
      <c r="D57" s="316" t="s">
        <v>51</v>
      </c>
      <c r="E57" s="317"/>
      <c r="F57" s="69">
        <f>F56*8%</f>
        <v>640</v>
      </c>
    </row>
    <row r="58" spans="1:6" ht="15" customHeight="1" x14ac:dyDescent="0.35">
      <c r="A58" s="329"/>
      <c r="B58" s="330"/>
      <c r="C58" s="331"/>
      <c r="D58" s="310" t="s">
        <v>53</v>
      </c>
      <c r="E58" s="311"/>
      <c r="F58" s="67">
        <f>F56-F55-F57</f>
        <v>4976.666666666667</v>
      </c>
    </row>
    <row r="59" spans="1:6" x14ac:dyDescent="0.35">
      <c r="A59" s="329"/>
      <c r="B59" s="330"/>
      <c r="C59" s="331"/>
      <c r="D59" s="310" t="s">
        <v>54</v>
      </c>
      <c r="E59" s="311"/>
      <c r="F59" s="72">
        <f>IFERROR(F55/F56,0)</f>
        <v>0.29791666666666661</v>
      </c>
    </row>
    <row r="60" spans="1:6" ht="15" thickBot="1" x14ac:dyDescent="0.4">
      <c r="A60" s="332"/>
      <c r="B60" s="333"/>
      <c r="C60" s="334"/>
      <c r="D60" s="318" t="s">
        <v>56</v>
      </c>
      <c r="E60" s="319"/>
      <c r="F60" s="74">
        <f>IFERROR(F58/F56,0)</f>
        <v>0.62208333333333332</v>
      </c>
    </row>
    <row r="61" spans="1:6" ht="15" thickBot="1" x14ac:dyDescent="0.4">
      <c r="A61" s="73"/>
      <c r="B61" s="73"/>
      <c r="C61" s="73"/>
      <c r="D61" s="73"/>
      <c r="E61" s="73"/>
      <c r="F61" s="73"/>
    </row>
    <row r="62" spans="1:6" ht="21.5" thickBot="1" x14ac:dyDescent="0.4">
      <c r="A62" s="320" t="s">
        <v>71</v>
      </c>
      <c r="B62" s="321"/>
      <c r="C62" s="321"/>
      <c r="D62" s="321"/>
      <c r="E62" s="321"/>
      <c r="F62" s="322"/>
    </row>
    <row r="63" spans="1:6" ht="26" x14ac:dyDescent="0.35">
      <c r="A63" s="82" t="s">
        <v>30</v>
      </c>
      <c r="B63" s="83" t="s">
        <v>66</v>
      </c>
      <c r="C63" s="84" t="s">
        <v>31</v>
      </c>
      <c r="D63" s="84" t="s">
        <v>5</v>
      </c>
      <c r="E63" s="84" t="s">
        <v>32</v>
      </c>
      <c r="F63" s="85" t="s">
        <v>33</v>
      </c>
    </row>
    <row r="64" spans="1:6" ht="15" thickBot="1" x14ac:dyDescent="0.4">
      <c r="A64" s="86" t="s">
        <v>72</v>
      </c>
      <c r="B64" s="87">
        <f>22000/6</f>
        <v>3666.6666666666665</v>
      </c>
      <c r="C64" s="88" t="s">
        <v>12</v>
      </c>
      <c r="D64" s="89">
        <v>330</v>
      </c>
      <c r="E64" s="90">
        <f>B64/D64</f>
        <v>11.111111111111111</v>
      </c>
      <c r="F64" s="91">
        <f>E64*D64</f>
        <v>3666.6666666666665</v>
      </c>
    </row>
    <row r="65" spans="1:6" x14ac:dyDescent="0.35">
      <c r="A65" s="323" t="s">
        <v>69</v>
      </c>
      <c r="B65" s="324"/>
      <c r="C65" s="325"/>
      <c r="D65" s="302" t="s">
        <v>44</v>
      </c>
      <c r="E65" s="303"/>
      <c r="F65" s="65">
        <f>F64</f>
        <v>3666.6666666666665</v>
      </c>
    </row>
    <row r="66" spans="1:6" x14ac:dyDescent="0.35">
      <c r="A66" s="326" t="s">
        <v>73</v>
      </c>
      <c r="B66" s="327"/>
      <c r="C66" s="328"/>
      <c r="D66" s="310" t="s">
        <v>46</v>
      </c>
      <c r="E66" s="311"/>
      <c r="F66" s="66">
        <f>F65*10%</f>
        <v>366.66666666666669</v>
      </c>
    </row>
    <row r="67" spans="1:6" x14ac:dyDescent="0.35">
      <c r="A67" s="329"/>
      <c r="B67" s="330"/>
      <c r="C67" s="331"/>
      <c r="D67" s="312" t="s">
        <v>48</v>
      </c>
      <c r="E67" s="313"/>
      <c r="F67" s="67">
        <f>F65+F66</f>
        <v>4033.333333333333</v>
      </c>
    </row>
    <row r="68" spans="1:6" x14ac:dyDescent="0.35">
      <c r="A68" s="329"/>
      <c r="B68" s="330"/>
      <c r="C68" s="331"/>
      <c r="D68" s="314" t="s">
        <v>49</v>
      </c>
      <c r="E68" s="315"/>
      <c r="F68" s="68">
        <v>12000</v>
      </c>
    </row>
    <row r="69" spans="1:6" ht="15" customHeight="1" x14ac:dyDescent="0.35">
      <c r="A69" s="329"/>
      <c r="B69" s="330"/>
      <c r="C69" s="331"/>
      <c r="D69" s="316" t="s">
        <v>51</v>
      </c>
      <c r="E69" s="317"/>
      <c r="F69" s="69">
        <f>F68*8%</f>
        <v>960</v>
      </c>
    </row>
    <row r="70" spans="1:6" x14ac:dyDescent="0.35">
      <c r="A70" s="329"/>
      <c r="B70" s="330"/>
      <c r="C70" s="331"/>
      <c r="D70" s="310" t="s">
        <v>53</v>
      </c>
      <c r="E70" s="311"/>
      <c r="F70" s="67">
        <f>F68-F67-F69</f>
        <v>7006.666666666667</v>
      </c>
    </row>
    <row r="71" spans="1:6" ht="15" customHeight="1" x14ac:dyDescent="0.35">
      <c r="A71" s="329"/>
      <c r="B71" s="330"/>
      <c r="C71" s="331"/>
      <c r="D71" s="310" t="s">
        <v>54</v>
      </c>
      <c r="E71" s="311"/>
      <c r="F71" s="72">
        <f>IFERROR(F67/F68,0)</f>
        <v>0.33611111111111108</v>
      </c>
    </row>
    <row r="72" spans="1:6" ht="15" thickBot="1" x14ac:dyDescent="0.4">
      <c r="A72" s="332"/>
      <c r="B72" s="333"/>
      <c r="C72" s="334"/>
      <c r="D72" s="318" t="s">
        <v>56</v>
      </c>
      <c r="E72" s="319"/>
      <c r="F72" s="74">
        <f>IFERROR(F70/F68,0)</f>
        <v>0.5838888888888889</v>
      </c>
    </row>
    <row r="74" spans="1:6" ht="15" thickBot="1" x14ac:dyDescent="0.4"/>
    <row r="75" spans="1:6" ht="21.5" thickBot="1" x14ac:dyDescent="0.4">
      <c r="A75" s="320" t="s">
        <v>74</v>
      </c>
      <c r="B75" s="321"/>
      <c r="C75" s="321"/>
      <c r="D75" s="321"/>
      <c r="E75" s="321"/>
      <c r="F75" s="322"/>
    </row>
    <row r="76" spans="1:6" ht="26" x14ac:dyDescent="0.35">
      <c r="A76" s="82" t="s">
        <v>30</v>
      </c>
      <c r="B76" s="83" t="s">
        <v>66</v>
      </c>
      <c r="C76" s="84" t="s">
        <v>31</v>
      </c>
      <c r="D76" s="84" t="s">
        <v>5</v>
      </c>
      <c r="E76" s="84" t="s">
        <v>32</v>
      </c>
      <c r="F76" s="85" t="s">
        <v>33</v>
      </c>
    </row>
    <row r="77" spans="1:6" ht="15" thickBot="1" x14ac:dyDescent="0.4">
      <c r="A77" s="86" t="s">
        <v>75</v>
      </c>
      <c r="B77" s="87">
        <v>35000</v>
      </c>
      <c r="C77" s="88" t="s">
        <v>12</v>
      </c>
      <c r="D77" s="89">
        <v>60</v>
      </c>
      <c r="E77" s="90">
        <f>B77/750</f>
        <v>46.666666666666664</v>
      </c>
      <c r="F77" s="91">
        <f>E77*D77</f>
        <v>2800</v>
      </c>
    </row>
    <row r="78" spans="1:6" x14ac:dyDescent="0.35">
      <c r="A78" s="323" t="s">
        <v>69</v>
      </c>
      <c r="B78" s="324"/>
      <c r="C78" s="325"/>
      <c r="D78" s="302" t="s">
        <v>44</v>
      </c>
      <c r="E78" s="303"/>
      <c r="F78" s="65">
        <f>F77</f>
        <v>2800</v>
      </c>
    </row>
    <row r="79" spans="1:6" x14ac:dyDescent="0.35">
      <c r="A79" s="326" t="s">
        <v>76</v>
      </c>
      <c r="B79" s="327"/>
      <c r="C79" s="328"/>
      <c r="D79" s="310" t="s">
        <v>46</v>
      </c>
      <c r="E79" s="311"/>
      <c r="F79" s="66">
        <f>F78*10%</f>
        <v>280</v>
      </c>
    </row>
    <row r="80" spans="1:6" x14ac:dyDescent="0.35">
      <c r="A80" s="329"/>
      <c r="B80" s="330"/>
      <c r="C80" s="331"/>
      <c r="D80" s="312" t="s">
        <v>48</v>
      </c>
      <c r="E80" s="313"/>
      <c r="F80" s="67">
        <f>F78+F79</f>
        <v>3080</v>
      </c>
    </row>
    <row r="81" spans="1:9" x14ac:dyDescent="0.35">
      <c r="A81" s="329"/>
      <c r="B81" s="330"/>
      <c r="C81" s="331"/>
      <c r="D81" s="314" t="s">
        <v>49</v>
      </c>
      <c r="E81" s="315"/>
      <c r="F81" s="68">
        <v>10000</v>
      </c>
    </row>
    <row r="82" spans="1:9" ht="15" customHeight="1" x14ac:dyDescent="0.35">
      <c r="A82" s="329"/>
      <c r="B82" s="330"/>
      <c r="C82" s="331"/>
      <c r="D82" s="316" t="s">
        <v>51</v>
      </c>
      <c r="E82" s="317"/>
      <c r="F82" s="69">
        <f>F81*8%</f>
        <v>800</v>
      </c>
    </row>
    <row r="83" spans="1:9" x14ac:dyDescent="0.35">
      <c r="A83" s="329"/>
      <c r="B83" s="330"/>
      <c r="C83" s="331"/>
      <c r="D83" s="310" t="s">
        <v>53</v>
      </c>
      <c r="E83" s="311"/>
      <c r="F83" s="67">
        <f>F81-F80-F82</f>
        <v>6120</v>
      </c>
      <c r="I83" s="92"/>
    </row>
    <row r="84" spans="1:9" ht="15" customHeight="1" x14ac:dyDescent="0.35">
      <c r="A84" s="329"/>
      <c r="B84" s="330"/>
      <c r="C84" s="331"/>
      <c r="D84" s="310" t="s">
        <v>54</v>
      </c>
      <c r="E84" s="311"/>
      <c r="F84" s="72">
        <f>IFERROR(F80/F81,0)</f>
        <v>0.308</v>
      </c>
      <c r="I84" s="92"/>
    </row>
    <row r="85" spans="1:9" ht="15" thickBot="1" x14ac:dyDescent="0.4">
      <c r="A85" s="332"/>
      <c r="B85" s="333"/>
      <c r="C85" s="334"/>
      <c r="D85" s="318" t="s">
        <v>56</v>
      </c>
      <c r="E85" s="319"/>
      <c r="F85" s="74">
        <f>IFERROR(F83/F81,0)</f>
        <v>0.61199999999999999</v>
      </c>
      <c r="I85" s="92"/>
    </row>
    <row r="87" spans="1:9" ht="15" thickBot="1" x14ac:dyDescent="0.4"/>
    <row r="88" spans="1:9" ht="21.5" thickBot="1" x14ac:dyDescent="0.4">
      <c r="A88" s="320" t="s">
        <v>77</v>
      </c>
      <c r="B88" s="321"/>
      <c r="C88" s="321"/>
      <c r="D88" s="321"/>
      <c r="E88" s="321"/>
      <c r="F88" s="322"/>
    </row>
    <row r="89" spans="1:9" ht="26" x14ac:dyDescent="0.35">
      <c r="A89" s="82" t="s">
        <v>30</v>
      </c>
      <c r="B89" s="83" t="s">
        <v>66</v>
      </c>
      <c r="C89" s="84" t="s">
        <v>31</v>
      </c>
      <c r="D89" s="84" t="s">
        <v>5</v>
      </c>
      <c r="E89" s="84" t="s">
        <v>32</v>
      </c>
      <c r="F89" s="85" t="s">
        <v>33</v>
      </c>
    </row>
    <row r="90" spans="1:9" ht="15" thickBot="1" x14ac:dyDescent="0.4">
      <c r="A90" s="86" t="s">
        <v>78</v>
      </c>
      <c r="B90" s="87">
        <v>75000</v>
      </c>
      <c r="C90" s="88" t="s">
        <v>12</v>
      </c>
      <c r="D90" s="89">
        <v>60</v>
      </c>
      <c r="E90" s="90">
        <f>B90/750</f>
        <v>100</v>
      </c>
      <c r="F90" s="91">
        <f>E90*D90</f>
        <v>6000</v>
      </c>
    </row>
    <row r="91" spans="1:9" x14ac:dyDescent="0.35">
      <c r="A91" s="323" t="s">
        <v>69</v>
      </c>
      <c r="B91" s="324"/>
      <c r="C91" s="325"/>
      <c r="D91" s="302" t="s">
        <v>44</v>
      </c>
      <c r="E91" s="303"/>
      <c r="F91" s="65">
        <f>F90</f>
        <v>6000</v>
      </c>
    </row>
    <row r="92" spans="1:9" x14ac:dyDescent="0.35">
      <c r="A92" s="326" t="s">
        <v>79</v>
      </c>
      <c r="B92" s="327"/>
      <c r="C92" s="328"/>
      <c r="D92" s="310" t="s">
        <v>46</v>
      </c>
      <c r="E92" s="311"/>
      <c r="F92" s="66">
        <f>F91*10%</f>
        <v>600</v>
      </c>
    </row>
    <row r="93" spans="1:9" x14ac:dyDescent="0.35">
      <c r="A93" s="329"/>
      <c r="B93" s="330"/>
      <c r="C93" s="331"/>
      <c r="D93" s="312" t="s">
        <v>48</v>
      </c>
      <c r="E93" s="313"/>
      <c r="F93" s="67">
        <f>F91+F92</f>
        <v>6600</v>
      </c>
    </row>
    <row r="94" spans="1:9" x14ac:dyDescent="0.35">
      <c r="A94" s="329"/>
      <c r="B94" s="330"/>
      <c r="C94" s="331"/>
      <c r="D94" s="314" t="s">
        <v>49</v>
      </c>
      <c r="E94" s="315"/>
      <c r="F94" s="68">
        <v>20000</v>
      </c>
    </row>
    <row r="95" spans="1:9" ht="15" customHeight="1" x14ac:dyDescent="0.35">
      <c r="A95" s="329"/>
      <c r="B95" s="330"/>
      <c r="C95" s="331"/>
      <c r="D95" s="316" t="s">
        <v>51</v>
      </c>
      <c r="E95" s="317"/>
      <c r="F95" s="69">
        <f>F94*8%</f>
        <v>1600</v>
      </c>
    </row>
    <row r="96" spans="1:9" x14ac:dyDescent="0.35">
      <c r="A96" s="329"/>
      <c r="B96" s="330"/>
      <c r="C96" s="331"/>
      <c r="D96" s="310" t="s">
        <v>53</v>
      </c>
      <c r="E96" s="311"/>
      <c r="F96" s="67">
        <f>F94-F93-F95</f>
        <v>11800</v>
      </c>
    </row>
    <row r="97" spans="1:6" x14ac:dyDescent="0.35">
      <c r="A97" s="329"/>
      <c r="B97" s="330"/>
      <c r="C97" s="331"/>
      <c r="D97" s="310" t="s">
        <v>54</v>
      </c>
      <c r="E97" s="311"/>
      <c r="F97" s="72">
        <f>IFERROR(F93/F94,0)</f>
        <v>0.33</v>
      </c>
    </row>
    <row r="98" spans="1:6" ht="15" thickBot="1" x14ac:dyDescent="0.4">
      <c r="A98" s="332"/>
      <c r="B98" s="333"/>
      <c r="C98" s="334"/>
      <c r="D98" s="318" t="s">
        <v>56</v>
      </c>
      <c r="E98" s="319"/>
      <c r="F98" s="74">
        <f>IFERROR(F96/F94,0)</f>
        <v>0.59</v>
      </c>
    </row>
    <row r="100" spans="1:6" ht="15" thickBot="1" x14ac:dyDescent="0.4"/>
    <row r="101" spans="1:6" ht="21.5" thickBot="1" x14ac:dyDescent="0.4">
      <c r="A101" s="320" t="s">
        <v>80</v>
      </c>
      <c r="B101" s="321"/>
      <c r="C101" s="321"/>
      <c r="D101" s="321"/>
      <c r="E101" s="321"/>
      <c r="F101" s="322"/>
    </row>
    <row r="102" spans="1:6" ht="26" x14ac:dyDescent="0.35">
      <c r="A102" s="82" t="s">
        <v>30</v>
      </c>
      <c r="B102" s="83" t="s">
        <v>66</v>
      </c>
      <c r="C102" s="84" t="s">
        <v>31</v>
      </c>
      <c r="D102" s="84" t="s">
        <v>81</v>
      </c>
      <c r="E102" s="84" t="s">
        <v>32</v>
      </c>
      <c r="F102" s="85" t="s">
        <v>33</v>
      </c>
    </row>
    <row r="103" spans="1:6" ht="15" thickBot="1" x14ac:dyDescent="0.4">
      <c r="A103" s="86" t="s">
        <v>82</v>
      </c>
      <c r="B103" s="87">
        <v>25000</v>
      </c>
      <c r="C103" s="88" t="s">
        <v>12</v>
      </c>
      <c r="D103" s="89">
        <v>125</v>
      </c>
      <c r="E103" s="90">
        <f>B103/750</f>
        <v>33.333333333333336</v>
      </c>
      <c r="F103" s="91">
        <f>E103*D103</f>
        <v>4166.666666666667</v>
      </c>
    </row>
    <row r="104" spans="1:6" x14ac:dyDescent="0.35">
      <c r="A104" s="323" t="s">
        <v>69</v>
      </c>
      <c r="B104" s="324"/>
      <c r="C104" s="325"/>
      <c r="D104" s="302" t="s">
        <v>44</v>
      </c>
      <c r="E104" s="303"/>
      <c r="F104" s="65">
        <f>F103</f>
        <v>4166.666666666667</v>
      </c>
    </row>
    <row r="105" spans="1:6" x14ac:dyDescent="0.35">
      <c r="A105" s="326" t="s">
        <v>83</v>
      </c>
      <c r="B105" s="327"/>
      <c r="C105" s="328"/>
      <c r="D105" s="310" t="s">
        <v>46</v>
      </c>
      <c r="E105" s="311"/>
      <c r="F105" s="66">
        <f>F104*10%</f>
        <v>416.66666666666674</v>
      </c>
    </row>
    <row r="106" spans="1:6" x14ac:dyDescent="0.35">
      <c r="A106" s="329"/>
      <c r="B106" s="330"/>
      <c r="C106" s="331"/>
      <c r="D106" s="312" t="s">
        <v>48</v>
      </c>
      <c r="E106" s="313"/>
      <c r="F106" s="67">
        <f>F104+F105</f>
        <v>4583.3333333333339</v>
      </c>
    </row>
    <row r="107" spans="1:6" x14ac:dyDescent="0.35">
      <c r="A107" s="329"/>
      <c r="B107" s="330"/>
      <c r="C107" s="331"/>
      <c r="D107" s="314" t="s">
        <v>49</v>
      </c>
      <c r="E107" s="315"/>
      <c r="F107" s="68">
        <v>14000</v>
      </c>
    </row>
    <row r="108" spans="1:6" x14ac:dyDescent="0.35">
      <c r="A108" s="329"/>
      <c r="B108" s="330"/>
      <c r="C108" s="331"/>
      <c r="D108" s="316" t="s">
        <v>51</v>
      </c>
      <c r="E108" s="317"/>
      <c r="F108" s="69">
        <f>F107*8%</f>
        <v>1120</v>
      </c>
    </row>
    <row r="109" spans="1:6" x14ac:dyDescent="0.35">
      <c r="A109" s="329"/>
      <c r="B109" s="330"/>
      <c r="C109" s="331"/>
      <c r="D109" s="310" t="s">
        <v>53</v>
      </c>
      <c r="E109" s="311"/>
      <c r="F109" s="67">
        <f>F107-F106-F108</f>
        <v>8296.6666666666661</v>
      </c>
    </row>
    <row r="110" spans="1:6" x14ac:dyDescent="0.35">
      <c r="A110" s="329"/>
      <c r="B110" s="330"/>
      <c r="C110" s="331"/>
      <c r="D110" s="310" t="s">
        <v>54</v>
      </c>
      <c r="E110" s="311"/>
      <c r="F110" s="72">
        <f>IFERROR(F106/F107,0)</f>
        <v>0.32738095238095244</v>
      </c>
    </row>
    <row r="111" spans="1:6" ht="15" thickBot="1" x14ac:dyDescent="0.4">
      <c r="A111" s="332"/>
      <c r="B111" s="333"/>
      <c r="C111" s="334"/>
      <c r="D111" s="318" t="s">
        <v>56</v>
      </c>
      <c r="E111" s="319"/>
      <c r="F111" s="74">
        <f>IFERROR(F109/F107,0)</f>
        <v>0.5926190476190476</v>
      </c>
    </row>
  </sheetData>
  <sheetProtection algorithmName="SHA-512" hashValue="I4j3Xv3ebimYxgwAtoOK0Hbq9/Oz3NlexpbclnpAo3z0U6dwvyx54BgnKvhYKVdNBSSIL6NlwgKM0j2AE44MRA==" saltValue="VxOYz+nxAQKVrcm4/fb2lw==" spinCount="100000" sheet="1" objects="1" scenarios="1" formatCells="0" formatRows="0" selectLockedCells="1"/>
  <protectedRanges>
    <protectedRange sqref="B52 D52 F56 B64 D64 F68 B77 D77 F81 B90 D90 F94 B103 D103 F107" name="PRUEBA FINAL"/>
    <protectedRange sqref="E5:E9 D12:D16 F20" name="FINAL_1"/>
    <protectedRange sqref="E5:E9 D12:D16 F20" name="EDITABLES"/>
  </protectedRanges>
  <mergeCells count="78">
    <mergeCell ref="D111:E111"/>
    <mergeCell ref="A101:F101"/>
    <mergeCell ref="A104:C104"/>
    <mergeCell ref="D104:E104"/>
    <mergeCell ref="A105:C111"/>
    <mergeCell ref="D105:E105"/>
    <mergeCell ref="D106:E106"/>
    <mergeCell ref="D107:E107"/>
    <mergeCell ref="D108:E108"/>
    <mergeCell ref="D109:E109"/>
    <mergeCell ref="D110:E110"/>
    <mergeCell ref="A92:C98"/>
    <mergeCell ref="D92:E92"/>
    <mergeCell ref="D93:E93"/>
    <mergeCell ref="D94:E94"/>
    <mergeCell ref="D95:E95"/>
    <mergeCell ref="D96:E96"/>
    <mergeCell ref="D97:E97"/>
    <mergeCell ref="D98:E98"/>
    <mergeCell ref="D85:E85"/>
    <mergeCell ref="A88:F88"/>
    <mergeCell ref="A91:C91"/>
    <mergeCell ref="D91:E91"/>
    <mergeCell ref="A79:C85"/>
    <mergeCell ref="D79:E79"/>
    <mergeCell ref="D80:E80"/>
    <mergeCell ref="D81:E81"/>
    <mergeCell ref="D82:E82"/>
    <mergeCell ref="A75:F75"/>
    <mergeCell ref="A78:C78"/>
    <mergeCell ref="D78:E78"/>
    <mergeCell ref="D83:E83"/>
    <mergeCell ref="D84:E84"/>
    <mergeCell ref="A62:F62"/>
    <mergeCell ref="A65:C65"/>
    <mergeCell ref="D65:E65"/>
    <mergeCell ref="A66:C72"/>
    <mergeCell ref="D66:E66"/>
    <mergeCell ref="D67:E67"/>
    <mergeCell ref="D68:E68"/>
    <mergeCell ref="D69:E69"/>
    <mergeCell ref="D70:E70"/>
    <mergeCell ref="D71:E71"/>
    <mergeCell ref="D72:E72"/>
    <mergeCell ref="A50:F50"/>
    <mergeCell ref="A53:C53"/>
    <mergeCell ref="D53:E53"/>
    <mergeCell ref="A54:C60"/>
    <mergeCell ref="D54:E54"/>
    <mergeCell ref="D55:E55"/>
    <mergeCell ref="D56:E56"/>
    <mergeCell ref="D57:E57"/>
    <mergeCell ref="D58:E58"/>
    <mergeCell ref="D59:E59"/>
    <mergeCell ref="D60:E60"/>
    <mergeCell ref="H31:I31"/>
    <mergeCell ref="A11:A24"/>
    <mergeCell ref="H11:I11"/>
    <mergeCell ref="L12:M12"/>
    <mergeCell ref="B17:C17"/>
    <mergeCell ref="D17:E17"/>
    <mergeCell ref="B18:C24"/>
    <mergeCell ref="D18:E18"/>
    <mergeCell ref="H18:I18"/>
    <mergeCell ref="D19:E19"/>
    <mergeCell ref="D20:E20"/>
    <mergeCell ref="D21:E21"/>
    <mergeCell ref="D22:E22"/>
    <mergeCell ref="D23:E23"/>
    <mergeCell ref="H23:I23"/>
    <mergeCell ref="D24:E24"/>
    <mergeCell ref="A2:F2"/>
    <mergeCell ref="H2:I2"/>
    <mergeCell ref="L2:M2"/>
    <mergeCell ref="A4:A9"/>
    <mergeCell ref="H4:I4"/>
    <mergeCell ref="L4:M4"/>
    <mergeCell ref="J5:J7"/>
  </mergeCell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Hoja49">
    <tabColor rgb="FF009900"/>
  </sheetPr>
  <dimension ref="A1:M111"/>
  <sheetViews>
    <sheetView showGridLines="0" zoomScale="90" zoomScaleNormal="90" workbookViewId="0">
      <selection activeCell="F20" sqref="F20"/>
    </sheetView>
  </sheetViews>
  <sheetFormatPr baseColWidth="10" defaultColWidth="11.36328125" defaultRowHeight="14.5" x14ac:dyDescent="0.35"/>
  <cols>
    <col min="1" max="1" width="12.81640625" customWidth="1"/>
    <col min="2" max="2" width="30.08984375" customWidth="1"/>
    <col min="3" max="3" width="13.36328125" bestFit="1" customWidth="1"/>
    <col min="4" max="4" width="15.26953125" customWidth="1"/>
    <col min="5" max="5" width="12.08984375" bestFit="1" customWidth="1"/>
    <col min="6" max="6" width="16.36328125" customWidth="1"/>
    <col min="7" max="7" width="6.36328125" customWidth="1"/>
    <col min="8" max="8" width="56" bestFit="1" customWidth="1"/>
    <col min="9" max="9" width="12.81640625" customWidth="1"/>
    <col min="10" max="10" width="9.81640625" customWidth="1"/>
    <col min="11" max="11" width="6.6328125" customWidth="1"/>
    <col min="12" max="12" width="35.36328125" customWidth="1"/>
  </cols>
  <sheetData>
    <row r="1" spans="1:13" ht="15" customHeight="1" thickBot="1" x14ac:dyDescent="0.4"/>
    <row r="2" spans="1:13" ht="23.25" customHeight="1" thickBot="1" x14ac:dyDescent="0.4">
      <c r="A2" s="284" t="s">
        <v>171</v>
      </c>
      <c r="B2" s="285"/>
      <c r="C2" s="285"/>
      <c r="D2" s="285"/>
      <c r="E2" s="285"/>
      <c r="F2" s="286"/>
      <c r="H2" s="284" t="s">
        <v>1</v>
      </c>
      <c r="I2" s="286"/>
      <c r="L2" s="284" t="s">
        <v>2</v>
      </c>
      <c r="M2" s="286"/>
    </row>
    <row r="3" spans="1:13" ht="8.25" customHeight="1" thickBot="1" x14ac:dyDescent="0.4"/>
    <row r="4" spans="1:13" ht="25.5" customHeight="1" thickBot="1" x14ac:dyDescent="0.4">
      <c r="A4" s="287" t="s">
        <v>3</v>
      </c>
      <c r="B4" s="103" t="s">
        <v>4</v>
      </c>
      <c r="C4" s="103" t="s">
        <v>5</v>
      </c>
      <c r="D4" s="104" t="s">
        <v>6</v>
      </c>
      <c r="E4" s="103" t="s">
        <v>7</v>
      </c>
      <c r="F4" s="105" t="s">
        <v>8</v>
      </c>
      <c r="H4" s="290" t="s">
        <v>9</v>
      </c>
      <c r="I4" s="291"/>
      <c r="L4" s="290" t="s">
        <v>10</v>
      </c>
      <c r="M4" s="291"/>
    </row>
    <row r="5" spans="1:13" ht="15" customHeight="1" x14ac:dyDescent="0.35">
      <c r="A5" s="288"/>
      <c r="B5" s="12" t="s">
        <v>170</v>
      </c>
      <c r="C5" s="14">
        <v>750</v>
      </c>
      <c r="D5" s="96" t="s">
        <v>12</v>
      </c>
      <c r="E5" s="114">
        <v>161780</v>
      </c>
      <c r="F5" s="115">
        <f>Tabla1345681091113923252627293031323334353637[[#This Row],[PRECIO]]/Tabla1345681091113923252627293031323334353637[[#This Row],[CANTIDAD]]</f>
        <v>215.70666666666668</v>
      </c>
      <c r="H5" s="9" t="s">
        <v>13</v>
      </c>
      <c r="I5" s="10">
        <f>F22</f>
        <v>18610.479999999996</v>
      </c>
      <c r="J5" s="292"/>
      <c r="L5" s="9" t="s">
        <v>14</v>
      </c>
      <c r="M5" s="11">
        <f>40/100</f>
        <v>0.4</v>
      </c>
    </row>
    <row r="6" spans="1:13" ht="15" customHeight="1" x14ac:dyDescent="0.35">
      <c r="A6" s="288"/>
      <c r="B6" s="12"/>
      <c r="C6" s="13"/>
      <c r="D6" s="14"/>
      <c r="E6" s="114"/>
      <c r="F6" s="115"/>
      <c r="H6" s="17" t="s">
        <v>16</v>
      </c>
      <c r="I6" s="18">
        <f>F58</f>
        <v>4976.666666666667</v>
      </c>
      <c r="J6" s="292"/>
      <c r="L6" s="17" t="s">
        <v>17</v>
      </c>
      <c r="M6" s="19">
        <f>D12/1000</f>
        <v>0.06</v>
      </c>
    </row>
    <row r="7" spans="1:13" ht="15" customHeight="1" thickBot="1" x14ac:dyDescent="0.4">
      <c r="A7" s="288"/>
      <c r="B7" s="12"/>
      <c r="C7" s="14"/>
      <c r="D7" s="14"/>
      <c r="E7" s="114"/>
      <c r="F7" s="115"/>
      <c r="H7" s="17" t="s">
        <v>19</v>
      </c>
      <c r="I7" s="20">
        <f>F70</f>
        <v>7006.666666666667</v>
      </c>
      <c r="J7" s="292"/>
      <c r="L7" s="17" t="s">
        <v>20</v>
      </c>
      <c r="M7" s="19">
        <v>782</v>
      </c>
    </row>
    <row r="8" spans="1:13" ht="15.75" customHeight="1" x14ac:dyDescent="0.35">
      <c r="A8" s="288"/>
      <c r="B8" s="21"/>
      <c r="C8" s="22"/>
      <c r="D8" s="22"/>
      <c r="E8" s="116"/>
      <c r="F8" s="115"/>
      <c r="H8" s="25" t="s">
        <v>23</v>
      </c>
      <c r="I8" s="26">
        <f>I5-I6</f>
        <v>13633.813333333328</v>
      </c>
      <c r="J8" s="27">
        <f>(I5-I6)/I6*100%</f>
        <v>2.7395472203616866</v>
      </c>
      <c r="L8" s="17" t="s">
        <v>24</v>
      </c>
      <c r="M8" s="28">
        <f>M5*M6*M7</f>
        <v>18.768000000000001</v>
      </c>
    </row>
    <row r="9" spans="1:13" ht="15.75" customHeight="1" thickBot="1" x14ac:dyDescent="0.4">
      <c r="A9" s="289"/>
      <c r="B9" s="29"/>
      <c r="C9" s="22"/>
      <c r="D9" s="22"/>
      <c r="E9" s="117"/>
      <c r="F9" s="115"/>
      <c r="H9" s="30" t="s">
        <v>26</v>
      </c>
      <c r="I9" s="31">
        <f>I5-I7</f>
        <v>11603.813333333328</v>
      </c>
      <c r="J9" s="32">
        <f>(I5-I7)/I7*100%</f>
        <v>1.6561103710751657</v>
      </c>
      <c r="L9" s="17" t="s">
        <v>27</v>
      </c>
      <c r="M9" s="19">
        <f>D13+D14+D12+D15+30</f>
        <v>90</v>
      </c>
    </row>
    <row r="10" spans="1:13" ht="16" thickBot="1" x14ac:dyDescent="0.4">
      <c r="A10" s="33"/>
      <c r="B10" s="34"/>
      <c r="C10" s="35"/>
      <c r="D10" s="35"/>
      <c r="E10" s="118"/>
      <c r="F10" s="119"/>
      <c r="L10" s="38" t="s">
        <v>28</v>
      </c>
      <c r="M10" s="39">
        <f>(D12*M5)/(D12+M9)</f>
        <v>0.16</v>
      </c>
    </row>
    <row r="11" spans="1:13" ht="24.75" customHeight="1" thickBot="1" x14ac:dyDescent="0.4">
      <c r="A11" s="295" t="s">
        <v>29</v>
      </c>
      <c r="B11" s="40" t="s">
        <v>30</v>
      </c>
      <c r="C11" s="41" t="s">
        <v>31</v>
      </c>
      <c r="D11" s="42" t="s">
        <v>5</v>
      </c>
      <c r="E11" s="41" t="s">
        <v>32</v>
      </c>
      <c r="F11" s="43" t="s">
        <v>33</v>
      </c>
      <c r="H11" s="298" t="s">
        <v>34</v>
      </c>
      <c r="I11" s="299"/>
    </row>
    <row r="12" spans="1:13" ht="15" customHeight="1" thickBot="1" x14ac:dyDescent="0.4">
      <c r="A12" s="296"/>
      <c r="B12" s="44" t="str">
        <f>B5</f>
        <v>DON JULIO AÑEJO</v>
      </c>
      <c r="C12" s="45" t="str">
        <f>D5</f>
        <v>ML</v>
      </c>
      <c r="D12" s="46">
        <v>60</v>
      </c>
      <c r="E12" s="45">
        <f>VLOOKUP(B12,Tabla1345681091113923252627293031323334353637[],5,FALSE)</f>
        <v>215.70666666666668</v>
      </c>
      <c r="F12" s="47">
        <f>E12*D12</f>
        <v>12942.400000000001</v>
      </c>
      <c r="H12" s="48" t="s">
        <v>13</v>
      </c>
      <c r="I12" s="49">
        <f>F22</f>
        <v>18610.479999999996</v>
      </c>
      <c r="L12" s="290" t="s">
        <v>35</v>
      </c>
      <c r="M12" s="291"/>
    </row>
    <row r="13" spans="1:13" ht="15" customHeight="1" x14ac:dyDescent="0.35">
      <c r="A13" s="296"/>
      <c r="B13" s="50"/>
      <c r="C13" s="51"/>
      <c r="D13" s="52"/>
      <c r="E13" s="51"/>
      <c r="F13" s="53"/>
      <c r="H13" s="17" t="s">
        <v>36</v>
      </c>
      <c r="I13" s="18">
        <f>F83</f>
        <v>6120</v>
      </c>
      <c r="L13" s="9" t="s">
        <v>37</v>
      </c>
      <c r="M13" s="11">
        <f>4.5/100</f>
        <v>4.4999999999999998E-2</v>
      </c>
    </row>
    <row r="14" spans="1:13" ht="15.75" customHeight="1" thickBot="1" x14ac:dyDescent="0.4">
      <c r="A14" s="296"/>
      <c r="B14" s="50"/>
      <c r="C14" s="51"/>
      <c r="D14" s="52"/>
      <c r="E14" s="51"/>
      <c r="F14" s="53"/>
      <c r="H14" s="17" t="s">
        <v>38</v>
      </c>
      <c r="I14" s="18">
        <f>F96</f>
        <v>11800</v>
      </c>
      <c r="L14" s="17" t="s">
        <v>39</v>
      </c>
      <c r="M14" s="19">
        <f>330/1000</f>
        <v>0.33</v>
      </c>
    </row>
    <row r="15" spans="1:13" ht="15.75" customHeight="1" x14ac:dyDescent="0.35">
      <c r="A15" s="296"/>
      <c r="B15" s="50"/>
      <c r="C15" s="51"/>
      <c r="D15" s="52"/>
      <c r="E15" s="51"/>
      <c r="F15" s="53"/>
      <c r="H15" s="58" t="s">
        <v>40</v>
      </c>
      <c r="I15" s="26">
        <f>I12-I13</f>
        <v>12490.479999999996</v>
      </c>
      <c r="J15" s="27">
        <f>(I12-I13)/I13*100%</f>
        <v>2.0409281045751628</v>
      </c>
      <c r="L15" s="17" t="s">
        <v>20</v>
      </c>
      <c r="M15" s="19">
        <v>782</v>
      </c>
    </row>
    <row r="16" spans="1:13" ht="15.75" customHeight="1" thickBot="1" x14ac:dyDescent="0.4">
      <c r="A16" s="296"/>
      <c r="B16" s="50"/>
      <c r="C16" s="51"/>
      <c r="D16" s="52"/>
      <c r="E16" s="51"/>
      <c r="F16" s="53"/>
      <c r="H16" s="63" t="s">
        <v>41</v>
      </c>
      <c r="I16" s="31">
        <f>I12-I14</f>
        <v>6810.4799999999959</v>
      </c>
      <c r="J16" s="32">
        <f>(I12-I14)/I14*100%</f>
        <v>0.57715932203389797</v>
      </c>
      <c r="L16" s="38" t="s">
        <v>42</v>
      </c>
      <c r="M16" s="64">
        <f>M13*M14*M15</f>
        <v>11.6127</v>
      </c>
    </row>
    <row r="17" spans="1:10" ht="15.75" customHeight="1" thickBot="1" x14ac:dyDescent="0.4">
      <c r="A17" s="296"/>
      <c r="B17" s="300" t="s">
        <v>43</v>
      </c>
      <c r="C17" s="301"/>
      <c r="D17" s="302" t="s">
        <v>44</v>
      </c>
      <c r="E17" s="303"/>
      <c r="F17" s="65">
        <f>SUM(F12:F16)</f>
        <v>12942.400000000001</v>
      </c>
    </row>
    <row r="18" spans="1:10" ht="16.5" customHeight="1" thickBot="1" x14ac:dyDescent="0.4">
      <c r="A18" s="296"/>
      <c r="B18" s="304" t="s">
        <v>213</v>
      </c>
      <c r="C18" s="305"/>
      <c r="D18" s="310" t="s">
        <v>46</v>
      </c>
      <c r="E18" s="311"/>
      <c r="F18" s="66">
        <f>F17*5%</f>
        <v>647.12000000000012</v>
      </c>
      <c r="H18" s="290" t="s">
        <v>47</v>
      </c>
      <c r="I18" s="291"/>
    </row>
    <row r="19" spans="1:10" ht="15" customHeight="1" x14ac:dyDescent="0.35">
      <c r="A19" s="296"/>
      <c r="B19" s="306"/>
      <c r="C19" s="307"/>
      <c r="D19" s="312" t="s">
        <v>48</v>
      </c>
      <c r="E19" s="313"/>
      <c r="F19" s="67">
        <f>SUM(F17:F18)</f>
        <v>13589.520000000002</v>
      </c>
      <c r="H19" s="9" t="s">
        <v>13</v>
      </c>
      <c r="I19" s="10">
        <f>F22</f>
        <v>18610.479999999996</v>
      </c>
    </row>
    <row r="20" spans="1:10" ht="15" customHeight="1" thickBot="1" x14ac:dyDescent="0.4">
      <c r="A20" s="296"/>
      <c r="B20" s="306"/>
      <c r="C20" s="307"/>
      <c r="D20" s="314" t="s">
        <v>49</v>
      </c>
      <c r="E20" s="315"/>
      <c r="F20" s="68">
        <v>35000</v>
      </c>
      <c r="H20" s="17" t="s">
        <v>50</v>
      </c>
      <c r="I20" s="20">
        <f>F109</f>
        <v>8296.6666666666661</v>
      </c>
    </row>
    <row r="21" spans="1:10" ht="15" customHeight="1" thickBot="1" x14ac:dyDescent="0.4">
      <c r="A21" s="296"/>
      <c r="B21" s="306"/>
      <c r="C21" s="307"/>
      <c r="D21" s="316" t="s">
        <v>51</v>
      </c>
      <c r="E21" s="317"/>
      <c r="F21" s="120">
        <f>F20*8%</f>
        <v>2800</v>
      </c>
      <c r="H21" s="30" t="s">
        <v>52</v>
      </c>
      <c r="I21" s="70">
        <f>I19-I20</f>
        <v>10313.81333333333</v>
      </c>
      <c r="J21" s="71">
        <f>(I19-I20)/I19*100%</f>
        <v>0.55419383773730346</v>
      </c>
    </row>
    <row r="22" spans="1:10" ht="15.75" customHeight="1" thickBot="1" x14ac:dyDescent="0.4">
      <c r="A22" s="296"/>
      <c r="B22" s="306"/>
      <c r="C22" s="307"/>
      <c r="D22" s="310" t="s">
        <v>53</v>
      </c>
      <c r="E22" s="311"/>
      <c r="F22" s="67">
        <f>F20-F19-F21</f>
        <v>18610.479999999996</v>
      </c>
    </row>
    <row r="23" spans="1:10" ht="15.75" customHeight="1" thickBot="1" x14ac:dyDescent="0.4">
      <c r="A23" s="296"/>
      <c r="B23" s="306"/>
      <c r="C23" s="307"/>
      <c r="D23" s="310" t="s">
        <v>54</v>
      </c>
      <c r="E23" s="311"/>
      <c r="F23" s="72">
        <f>IFERROR(F19/F20,0)</f>
        <v>0.38827200000000006</v>
      </c>
      <c r="G23" s="73"/>
      <c r="H23" s="293" t="s">
        <v>55</v>
      </c>
      <c r="I23" s="294"/>
    </row>
    <row r="24" spans="1:10" ht="15.75" customHeight="1" thickBot="1" x14ac:dyDescent="0.4">
      <c r="A24" s="297"/>
      <c r="B24" s="308"/>
      <c r="C24" s="309"/>
      <c r="D24" s="318" t="s">
        <v>56</v>
      </c>
      <c r="E24" s="319"/>
      <c r="F24" s="74">
        <f>IFERROR(F22/F20,0)</f>
        <v>0.53172799999999987</v>
      </c>
      <c r="G24" s="73"/>
      <c r="H24" s="9" t="s">
        <v>57</v>
      </c>
      <c r="I24" s="10">
        <f>F22</f>
        <v>18610.479999999996</v>
      </c>
    </row>
    <row r="25" spans="1:10" ht="15.75" customHeight="1" x14ac:dyDescent="0.35">
      <c r="A25" s="75"/>
      <c r="B25" s="76"/>
      <c r="C25" s="77"/>
      <c r="D25" s="78"/>
      <c r="E25" s="78"/>
      <c r="F25" s="79"/>
      <c r="G25" s="73"/>
      <c r="H25" s="17" t="s">
        <v>58</v>
      </c>
      <c r="I25" s="80">
        <f>I24/F58</f>
        <v>3.7395472203616866</v>
      </c>
    </row>
    <row r="26" spans="1:10" x14ac:dyDescent="0.35">
      <c r="A26" s="75"/>
      <c r="B26" s="76"/>
      <c r="C26" s="77"/>
      <c r="D26" s="78"/>
      <c r="E26" s="78"/>
      <c r="F26" s="79"/>
      <c r="H26" s="17" t="s">
        <v>59</v>
      </c>
      <c r="I26" s="80">
        <f>I24/F70</f>
        <v>2.6561103710751657</v>
      </c>
    </row>
    <row r="27" spans="1:10" x14ac:dyDescent="0.35">
      <c r="H27" s="17" t="s">
        <v>60</v>
      </c>
      <c r="I27" s="80">
        <f>I24/F109</f>
        <v>2.2431273603856967</v>
      </c>
    </row>
    <row r="28" spans="1:10" x14ac:dyDescent="0.35">
      <c r="H28" s="17" t="s">
        <v>61</v>
      </c>
      <c r="I28" s="80">
        <f>I24/F83</f>
        <v>3.0409281045751628</v>
      </c>
    </row>
    <row r="29" spans="1:10" ht="15" thickBot="1" x14ac:dyDescent="0.4">
      <c r="H29" s="38" t="s">
        <v>62</v>
      </c>
      <c r="I29" s="81">
        <f>I24/F96</f>
        <v>1.577159322033898</v>
      </c>
    </row>
    <row r="30" spans="1:10" ht="15" thickBot="1" x14ac:dyDescent="0.4"/>
    <row r="31" spans="1:10" ht="15" thickBot="1" x14ac:dyDescent="0.4">
      <c r="H31" s="293" t="s">
        <v>63</v>
      </c>
      <c r="I31" s="294"/>
    </row>
    <row r="32" spans="1:10" x14ac:dyDescent="0.35">
      <c r="H32" s="9" t="s">
        <v>64</v>
      </c>
      <c r="I32" s="10">
        <f>F20</f>
        <v>35000</v>
      </c>
    </row>
    <row r="33" spans="8:9" x14ac:dyDescent="0.35">
      <c r="H33" s="17" t="s">
        <v>58</v>
      </c>
      <c r="I33" s="80">
        <f>I32/F56</f>
        <v>4.375</v>
      </c>
    </row>
    <row r="34" spans="8:9" x14ac:dyDescent="0.35">
      <c r="H34" s="17" t="s">
        <v>59</v>
      </c>
      <c r="I34" s="80">
        <f>I32/F68</f>
        <v>2.9166666666666665</v>
      </c>
    </row>
    <row r="35" spans="8:9" x14ac:dyDescent="0.35">
      <c r="H35" s="17" t="s">
        <v>60</v>
      </c>
      <c r="I35" s="80">
        <f>I32/F107</f>
        <v>2.5</v>
      </c>
    </row>
    <row r="36" spans="8:9" x14ac:dyDescent="0.35">
      <c r="H36" s="17" t="s">
        <v>61</v>
      </c>
      <c r="I36" s="80">
        <f>I32/F81</f>
        <v>3.5</v>
      </c>
    </row>
    <row r="37" spans="8:9" ht="15" thickBot="1" x14ac:dyDescent="0.4">
      <c r="H37" s="38" t="s">
        <v>62</v>
      </c>
      <c r="I37" s="81">
        <f>I32/F94</f>
        <v>1.75</v>
      </c>
    </row>
    <row r="43" spans="8:9" ht="3.75" customHeight="1" x14ac:dyDescent="0.35"/>
    <row r="45" spans="8:9" ht="15" customHeight="1" x14ac:dyDescent="0.35"/>
    <row r="49" spans="1:6" ht="75.75" customHeight="1" thickBot="1" x14ac:dyDescent="0.4"/>
    <row r="50" spans="1:6" ht="21.5" thickBot="1" x14ac:dyDescent="0.4">
      <c r="A50" s="320" t="s">
        <v>65</v>
      </c>
      <c r="B50" s="321"/>
      <c r="C50" s="321"/>
      <c r="D50" s="321"/>
      <c r="E50" s="321"/>
      <c r="F50" s="322"/>
    </row>
    <row r="51" spans="1:6" x14ac:dyDescent="0.35">
      <c r="A51" s="82" t="s">
        <v>30</v>
      </c>
      <c r="B51" s="83" t="s">
        <v>66</v>
      </c>
      <c r="C51" s="84" t="s">
        <v>31</v>
      </c>
      <c r="D51" s="84" t="s">
        <v>5</v>
      </c>
      <c r="E51" s="84" t="s">
        <v>67</v>
      </c>
      <c r="F51" s="85" t="s">
        <v>33</v>
      </c>
    </row>
    <row r="52" spans="1:6" ht="15" thickBot="1" x14ac:dyDescent="0.4">
      <c r="A52" s="86" t="s">
        <v>68</v>
      </c>
      <c r="B52" s="87">
        <f>13000/6</f>
        <v>2166.6666666666665</v>
      </c>
      <c r="C52" s="88" t="s">
        <v>12</v>
      </c>
      <c r="D52" s="89">
        <v>330</v>
      </c>
      <c r="E52" s="90">
        <f>B52/D52</f>
        <v>6.5656565656565649</v>
      </c>
      <c r="F52" s="91">
        <f>E52*D52</f>
        <v>2166.6666666666665</v>
      </c>
    </row>
    <row r="53" spans="1:6" x14ac:dyDescent="0.35">
      <c r="A53" s="323" t="s">
        <v>69</v>
      </c>
      <c r="B53" s="324"/>
      <c r="C53" s="325"/>
      <c r="D53" s="302" t="s">
        <v>44</v>
      </c>
      <c r="E53" s="303"/>
      <c r="F53" s="65">
        <f>F52</f>
        <v>2166.6666666666665</v>
      </c>
    </row>
    <row r="54" spans="1:6" x14ac:dyDescent="0.35">
      <c r="A54" s="326" t="s">
        <v>70</v>
      </c>
      <c r="B54" s="327"/>
      <c r="C54" s="328"/>
      <c r="D54" s="310" t="s">
        <v>46</v>
      </c>
      <c r="E54" s="311"/>
      <c r="F54" s="66">
        <f>F53*10%</f>
        <v>216.66666666666666</v>
      </c>
    </row>
    <row r="55" spans="1:6" ht="15" customHeight="1" x14ac:dyDescent="0.35">
      <c r="A55" s="329"/>
      <c r="B55" s="330"/>
      <c r="C55" s="331"/>
      <c r="D55" s="312" t="s">
        <v>48</v>
      </c>
      <c r="E55" s="313"/>
      <c r="F55" s="67">
        <f>F53+F54</f>
        <v>2383.333333333333</v>
      </c>
    </row>
    <row r="56" spans="1:6" x14ac:dyDescent="0.35">
      <c r="A56" s="329"/>
      <c r="B56" s="330"/>
      <c r="C56" s="331"/>
      <c r="D56" s="314" t="s">
        <v>49</v>
      </c>
      <c r="E56" s="315"/>
      <c r="F56" s="68">
        <v>8000</v>
      </c>
    </row>
    <row r="57" spans="1:6" x14ac:dyDescent="0.35">
      <c r="A57" s="329"/>
      <c r="B57" s="330"/>
      <c r="C57" s="331"/>
      <c r="D57" s="316" t="s">
        <v>51</v>
      </c>
      <c r="E57" s="317"/>
      <c r="F57" s="69">
        <f>F56*8%</f>
        <v>640</v>
      </c>
    </row>
    <row r="58" spans="1:6" ht="15" customHeight="1" x14ac:dyDescent="0.35">
      <c r="A58" s="329"/>
      <c r="B58" s="330"/>
      <c r="C58" s="331"/>
      <c r="D58" s="310" t="s">
        <v>53</v>
      </c>
      <c r="E58" s="311"/>
      <c r="F58" s="67">
        <f>F56-F55-F57</f>
        <v>4976.666666666667</v>
      </c>
    </row>
    <row r="59" spans="1:6" x14ac:dyDescent="0.35">
      <c r="A59" s="329"/>
      <c r="B59" s="330"/>
      <c r="C59" s="331"/>
      <c r="D59" s="310" t="s">
        <v>54</v>
      </c>
      <c r="E59" s="311"/>
      <c r="F59" s="72">
        <f>IFERROR(F55/F56,0)</f>
        <v>0.29791666666666661</v>
      </c>
    </row>
    <row r="60" spans="1:6" ht="15" thickBot="1" x14ac:dyDescent="0.4">
      <c r="A60" s="332"/>
      <c r="B60" s="333"/>
      <c r="C60" s="334"/>
      <c r="D60" s="318" t="s">
        <v>56</v>
      </c>
      <c r="E60" s="319"/>
      <c r="F60" s="74">
        <f>IFERROR(F58/F56,0)</f>
        <v>0.62208333333333332</v>
      </c>
    </row>
    <row r="61" spans="1:6" ht="15" thickBot="1" x14ac:dyDescent="0.4">
      <c r="A61" s="73"/>
      <c r="B61" s="73"/>
      <c r="C61" s="73"/>
      <c r="D61" s="73"/>
      <c r="E61" s="73"/>
      <c r="F61" s="73"/>
    </row>
    <row r="62" spans="1:6" ht="21.5" thickBot="1" x14ac:dyDescent="0.4">
      <c r="A62" s="320" t="s">
        <v>71</v>
      </c>
      <c r="B62" s="321"/>
      <c r="C62" s="321"/>
      <c r="D62" s="321"/>
      <c r="E62" s="321"/>
      <c r="F62" s="322"/>
    </row>
    <row r="63" spans="1:6" ht="26" x14ac:dyDescent="0.35">
      <c r="A63" s="82" t="s">
        <v>30</v>
      </c>
      <c r="B63" s="83" t="s">
        <v>66</v>
      </c>
      <c r="C63" s="84" t="s">
        <v>31</v>
      </c>
      <c r="D63" s="84" t="s">
        <v>5</v>
      </c>
      <c r="E63" s="84" t="s">
        <v>32</v>
      </c>
      <c r="F63" s="85" t="s">
        <v>33</v>
      </c>
    </row>
    <row r="64" spans="1:6" ht="15" thickBot="1" x14ac:dyDescent="0.4">
      <c r="A64" s="86" t="s">
        <v>72</v>
      </c>
      <c r="B64" s="87">
        <f>22000/6</f>
        <v>3666.6666666666665</v>
      </c>
      <c r="C64" s="88" t="s">
        <v>12</v>
      </c>
      <c r="D64" s="89">
        <v>330</v>
      </c>
      <c r="E64" s="90">
        <f>B64/D64</f>
        <v>11.111111111111111</v>
      </c>
      <c r="F64" s="91">
        <f>E64*D64</f>
        <v>3666.6666666666665</v>
      </c>
    </row>
    <row r="65" spans="1:6" x14ac:dyDescent="0.35">
      <c r="A65" s="323" t="s">
        <v>69</v>
      </c>
      <c r="B65" s="324"/>
      <c r="C65" s="325"/>
      <c r="D65" s="302" t="s">
        <v>44</v>
      </c>
      <c r="E65" s="303"/>
      <c r="F65" s="65">
        <f>F64</f>
        <v>3666.6666666666665</v>
      </c>
    </row>
    <row r="66" spans="1:6" x14ac:dyDescent="0.35">
      <c r="A66" s="326" t="s">
        <v>73</v>
      </c>
      <c r="B66" s="327"/>
      <c r="C66" s="328"/>
      <c r="D66" s="310" t="s">
        <v>46</v>
      </c>
      <c r="E66" s="311"/>
      <c r="F66" s="66">
        <f>F65*10%</f>
        <v>366.66666666666669</v>
      </c>
    </row>
    <row r="67" spans="1:6" x14ac:dyDescent="0.35">
      <c r="A67" s="329"/>
      <c r="B67" s="330"/>
      <c r="C67" s="331"/>
      <c r="D67" s="312" t="s">
        <v>48</v>
      </c>
      <c r="E67" s="313"/>
      <c r="F67" s="67">
        <f>F65+F66</f>
        <v>4033.333333333333</v>
      </c>
    </row>
    <row r="68" spans="1:6" x14ac:dyDescent="0.35">
      <c r="A68" s="329"/>
      <c r="B68" s="330"/>
      <c r="C68" s="331"/>
      <c r="D68" s="314" t="s">
        <v>49</v>
      </c>
      <c r="E68" s="315"/>
      <c r="F68" s="68">
        <v>12000</v>
      </c>
    </row>
    <row r="69" spans="1:6" ht="15" customHeight="1" x14ac:dyDescent="0.35">
      <c r="A69" s="329"/>
      <c r="B69" s="330"/>
      <c r="C69" s="331"/>
      <c r="D69" s="316" t="s">
        <v>51</v>
      </c>
      <c r="E69" s="317"/>
      <c r="F69" s="69">
        <f>F68*8%</f>
        <v>960</v>
      </c>
    </row>
    <row r="70" spans="1:6" x14ac:dyDescent="0.35">
      <c r="A70" s="329"/>
      <c r="B70" s="330"/>
      <c r="C70" s="331"/>
      <c r="D70" s="310" t="s">
        <v>53</v>
      </c>
      <c r="E70" s="311"/>
      <c r="F70" s="67">
        <f>F68-F67-F69</f>
        <v>7006.666666666667</v>
      </c>
    </row>
    <row r="71" spans="1:6" ht="15" customHeight="1" x14ac:dyDescent="0.35">
      <c r="A71" s="329"/>
      <c r="B71" s="330"/>
      <c r="C71" s="331"/>
      <c r="D71" s="310" t="s">
        <v>54</v>
      </c>
      <c r="E71" s="311"/>
      <c r="F71" s="72">
        <f>IFERROR(F67/F68,0)</f>
        <v>0.33611111111111108</v>
      </c>
    </row>
    <row r="72" spans="1:6" ht="15" thickBot="1" x14ac:dyDescent="0.4">
      <c r="A72" s="332"/>
      <c r="B72" s="333"/>
      <c r="C72" s="334"/>
      <c r="D72" s="318" t="s">
        <v>56</v>
      </c>
      <c r="E72" s="319"/>
      <c r="F72" s="74">
        <f>IFERROR(F70/F68,0)</f>
        <v>0.5838888888888889</v>
      </c>
    </row>
    <row r="74" spans="1:6" ht="15" thickBot="1" x14ac:dyDescent="0.4"/>
    <row r="75" spans="1:6" ht="21.5" thickBot="1" x14ac:dyDescent="0.4">
      <c r="A75" s="320" t="s">
        <v>74</v>
      </c>
      <c r="B75" s="321"/>
      <c r="C75" s="321"/>
      <c r="D75" s="321"/>
      <c r="E75" s="321"/>
      <c r="F75" s="322"/>
    </row>
    <row r="76" spans="1:6" ht="26" x14ac:dyDescent="0.35">
      <c r="A76" s="82" t="s">
        <v>30</v>
      </c>
      <c r="B76" s="83" t="s">
        <v>66</v>
      </c>
      <c r="C76" s="84" t="s">
        <v>31</v>
      </c>
      <c r="D76" s="84" t="s">
        <v>5</v>
      </c>
      <c r="E76" s="84" t="s">
        <v>32</v>
      </c>
      <c r="F76" s="85" t="s">
        <v>33</v>
      </c>
    </row>
    <row r="77" spans="1:6" ht="15" thickBot="1" x14ac:dyDescent="0.4">
      <c r="A77" s="86" t="s">
        <v>75</v>
      </c>
      <c r="B77" s="87">
        <v>35000</v>
      </c>
      <c r="C77" s="88" t="s">
        <v>12</v>
      </c>
      <c r="D77" s="89">
        <v>60</v>
      </c>
      <c r="E77" s="90">
        <f>B77/750</f>
        <v>46.666666666666664</v>
      </c>
      <c r="F77" s="91">
        <f>E77*D77</f>
        <v>2800</v>
      </c>
    </row>
    <row r="78" spans="1:6" x14ac:dyDescent="0.35">
      <c r="A78" s="323" t="s">
        <v>69</v>
      </c>
      <c r="B78" s="324"/>
      <c r="C78" s="325"/>
      <c r="D78" s="302" t="s">
        <v>44</v>
      </c>
      <c r="E78" s="303"/>
      <c r="F78" s="65">
        <f>F77</f>
        <v>2800</v>
      </c>
    </row>
    <row r="79" spans="1:6" x14ac:dyDescent="0.35">
      <c r="A79" s="326" t="s">
        <v>76</v>
      </c>
      <c r="B79" s="327"/>
      <c r="C79" s="328"/>
      <c r="D79" s="310" t="s">
        <v>46</v>
      </c>
      <c r="E79" s="311"/>
      <c r="F79" s="66">
        <f>F78*10%</f>
        <v>280</v>
      </c>
    </row>
    <row r="80" spans="1:6" x14ac:dyDescent="0.35">
      <c r="A80" s="329"/>
      <c r="B80" s="330"/>
      <c r="C80" s="331"/>
      <c r="D80" s="312" t="s">
        <v>48</v>
      </c>
      <c r="E80" s="313"/>
      <c r="F80" s="67">
        <f>F78+F79</f>
        <v>3080</v>
      </c>
    </row>
    <row r="81" spans="1:9" x14ac:dyDescent="0.35">
      <c r="A81" s="329"/>
      <c r="B81" s="330"/>
      <c r="C81" s="331"/>
      <c r="D81" s="314" t="s">
        <v>49</v>
      </c>
      <c r="E81" s="315"/>
      <c r="F81" s="68">
        <v>10000</v>
      </c>
    </row>
    <row r="82" spans="1:9" ht="15" customHeight="1" x14ac:dyDescent="0.35">
      <c r="A82" s="329"/>
      <c r="B82" s="330"/>
      <c r="C82" s="331"/>
      <c r="D82" s="316" t="s">
        <v>51</v>
      </c>
      <c r="E82" s="317"/>
      <c r="F82" s="69">
        <f>F81*8%</f>
        <v>800</v>
      </c>
    </row>
    <row r="83" spans="1:9" x14ac:dyDescent="0.35">
      <c r="A83" s="329"/>
      <c r="B83" s="330"/>
      <c r="C83" s="331"/>
      <c r="D83" s="310" t="s">
        <v>53</v>
      </c>
      <c r="E83" s="311"/>
      <c r="F83" s="67">
        <f>F81-F80-F82</f>
        <v>6120</v>
      </c>
      <c r="I83" s="92"/>
    </row>
    <row r="84" spans="1:9" ht="15" customHeight="1" x14ac:dyDescent="0.35">
      <c r="A84" s="329"/>
      <c r="B84" s="330"/>
      <c r="C84" s="331"/>
      <c r="D84" s="310" t="s">
        <v>54</v>
      </c>
      <c r="E84" s="311"/>
      <c r="F84" s="72">
        <f>IFERROR(F80/F81,0)</f>
        <v>0.308</v>
      </c>
      <c r="I84" s="92"/>
    </row>
    <row r="85" spans="1:9" ht="15" thickBot="1" x14ac:dyDescent="0.4">
      <c r="A85" s="332"/>
      <c r="B85" s="333"/>
      <c r="C85" s="334"/>
      <c r="D85" s="318" t="s">
        <v>56</v>
      </c>
      <c r="E85" s="319"/>
      <c r="F85" s="74">
        <f>IFERROR(F83/F81,0)</f>
        <v>0.61199999999999999</v>
      </c>
      <c r="I85" s="92"/>
    </row>
    <row r="87" spans="1:9" ht="15" thickBot="1" x14ac:dyDescent="0.4"/>
    <row r="88" spans="1:9" ht="21.5" thickBot="1" x14ac:dyDescent="0.4">
      <c r="A88" s="320" t="s">
        <v>77</v>
      </c>
      <c r="B88" s="321"/>
      <c r="C88" s="321"/>
      <c r="D88" s="321"/>
      <c r="E88" s="321"/>
      <c r="F88" s="322"/>
    </row>
    <row r="89" spans="1:9" ht="26" x14ac:dyDescent="0.35">
      <c r="A89" s="82" t="s">
        <v>30</v>
      </c>
      <c r="B89" s="83" t="s">
        <v>66</v>
      </c>
      <c r="C89" s="84" t="s">
        <v>31</v>
      </c>
      <c r="D89" s="84" t="s">
        <v>5</v>
      </c>
      <c r="E89" s="84" t="s">
        <v>32</v>
      </c>
      <c r="F89" s="85" t="s">
        <v>33</v>
      </c>
    </row>
    <row r="90" spans="1:9" ht="15" thickBot="1" x14ac:dyDescent="0.4">
      <c r="A90" s="86" t="s">
        <v>78</v>
      </c>
      <c r="B90" s="87">
        <v>75000</v>
      </c>
      <c r="C90" s="88" t="s">
        <v>12</v>
      </c>
      <c r="D90" s="89">
        <v>60</v>
      </c>
      <c r="E90" s="90">
        <f>B90/750</f>
        <v>100</v>
      </c>
      <c r="F90" s="91">
        <f>E90*D90</f>
        <v>6000</v>
      </c>
    </row>
    <row r="91" spans="1:9" x14ac:dyDescent="0.35">
      <c r="A91" s="323" t="s">
        <v>69</v>
      </c>
      <c r="B91" s="324"/>
      <c r="C91" s="325"/>
      <c r="D91" s="302" t="s">
        <v>44</v>
      </c>
      <c r="E91" s="303"/>
      <c r="F91" s="65">
        <f>F90</f>
        <v>6000</v>
      </c>
    </row>
    <row r="92" spans="1:9" x14ac:dyDescent="0.35">
      <c r="A92" s="326" t="s">
        <v>79</v>
      </c>
      <c r="B92" s="327"/>
      <c r="C92" s="328"/>
      <c r="D92" s="310" t="s">
        <v>46</v>
      </c>
      <c r="E92" s="311"/>
      <c r="F92" s="66">
        <f>F91*10%</f>
        <v>600</v>
      </c>
    </row>
    <row r="93" spans="1:9" x14ac:dyDescent="0.35">
      <c r="A93" s="329"/>
      <c r="B93" s="330"/>
      <c r="C93" s="331"/>
      <c r="D93" s="312" t="s">
        <v>48</v>
      </c>
      <c r="E93" s="313"/>
      <c r="F93" s="67">
        <f>F91+F92</f>
        <v>6600</v>
      </c>
    </row>
    <row r="94" spans="1:9" x14ac:dyDescent="0.35">
      <c r="A94" s="329"/>
      <c r="B94" s="330"/>
      <c r="C94" s="331"/>
      <c r="D94" s="314" t="s">
        <v>49</v>
      </c>
      <c r="E94" s="315"/>
      <c r="F94" s="68">
        <v>20000</v>
      </c>
    </row>
    <row r="95" spans="1:9" ht="15" customHeight="1" x14ac:dyDescent="0.35">
      <c r="A95" s="329"/>
      <c r="B95" s="330"/>
      <c r="C95" s="331"/>
      <c r="D95" s="316" t="s">
        <v>51</v>
      </c>
      <c r="E95" s="317"/>
      <c r="F95" s="69">
        <f>F94*8%</f>
        <v>1600</v>
      </c>
    </row>
    <row r="96" spans="1:9" x14ac:dyDescent="0.35">
      <c r="A96" s="329"/>
      <c r="B96" s="330"/>
      <c r="C96" s="331"/>
      <c r="D96" s="310" t="s">
        <v>53</v>
      </c>
      <c r="E96" s="311"/>
      <c r="F96" s="67">
        <f>F94-F93-F95</f>
        <v>11800</v>
      </c>
    </row>
    <row r="97" spans="1:6" x14ac:dyDescent="0.35">
      <c r="A97" s="329"/>
      <c r="B97" s="330"/>
      <c r="C97" s="331"/>
      <c r="D97" s="310" t="s">
        <v>54</v>
      </c>
      <c r="E97" s="311"/>
      <c r="F97" s="72">
        <f>IFERROR(F93/F94,0)</f>
        <v>0.33</v>
      </c>
    </row>
    <row r="98" spans="1:6" ht="15" thickBot="1" x14ac:dyDescent="0.4">
      <c r="A98" s="332"/>
      <c r="B98" s="333"/>
      <c r="C98" s="334"/>
      <c r="D98" s="318" t="s">
        <v>56</v>
      </c>
      <c r="E98" s="319"/>
      <c r="F98" s="74">
        <f>IFERROR(F96/F94,0)</f>
        <v>0.59</v>
      </c>
    </row>
    <row r="100" spans="1:6" ht="15" thickBot="1" x14ac:dyDescent="0.4"/>
    <row r="101" spans="1:6" ht="21.5" thickBot="1" x14ac:dyDescent="0.4">
      <c r="A101" s="320" t="s">
        <v>80</v>
      </c>
      <c r="B101" s="321"/>
      <c r="C101" s="321"/>
      <c r="D101" s="321"/>
      <c r="E101" s="321"/>
      <c r="F101" s="322"/>
    </row>
    <row r="102" spans="1:6" ht="26" x14ac:dyDescent="0.35">
      <c r="A102" s="82" t="s">
        <v>30</v>
      </c>
      <c r="B102" s="83" t="s">
        <v>66</v>
      </c>
      <c r="C102" s="84" t="s">
        <v>31</v>
      </c>
      <c r="D102" s="84" t="s">
        <v>81</v>
      </c>
      <c r="E102" s="84" t="s">
        <v>32</v>
      </c>
      <c r="F102" s="85" t="s">
        <v>33</v>
      </c>
    </row>
    <row r="103" spans="1:6" ht="15" thickBot="1" x14ac:dyDescent="0.4">
      <c r="A103" s="86" t="s">
        <v>82</v>
      </c>
      <c r="B103" s="87">
        <v>25000</v>
      </c>
      <c r="C103" s="88" t="s">
        <v>12</v>
      </c>
      <c r="D103" s="89">
        <v>125</v>
      </c>
      <c r="E103" s="90">
        <f>B103/750</f>
        <v>33.333333333333336</v>
      </c>
      <c r="F103" s="91">
        <f>E103*D103</f>
        <v>4166.666666666667</v>
      </c>
    </row>
    <row r="104" spans="1:6" x14ac:dyDescent="0.35">
      <c r="A104" s="323" t="s">
        <v>69</v>
      </c>
      <c r="B104" s="324"/>
      <c r="C104" s="325"/>
      <c r="D104" s="302" t="s">
        <v>44</v>
      </c>
      <c r="E104" s="303"/>
      <c r="F104" s="65">
        <f>F103</f>
        <v>4166.666666666667</v>
      </c>
    </row>
    <row r="105" spans="1:6" x14ac:dyDescent="0.35">
      <c r="A105" s="326" t="s">
        <v>83</v>
      </c>
      <c r="B105" s="327"/>
      <c r="C105" s="328"/>
      <c r="D105" s="310" t="s">
        <v>46</v>
      </c>
      <c r="E105" s="311"/>
      <c r="F105" s="66">
        <f>F104*10%</f>
        <v>416.66666666666674</v>
      </c>
    </row>
    <row r="106" spans="1:6" x14ac:dyDescent="0.35">
      <c r="A106" s="329"/>
      <c r="B106" s="330"/>
      <c r="C106" s="331"/>
      <c r="D106" s="312" t="s">
        <v>48</v>
      </c>
      <c r="E106" s="313"/>
      <c r="F106" s="67">
        <f>F104+F105</f>
        <v>4583.3333333333339</v>
      </c>
    </row>
    <row r="107" spans="1:6" x14ac:dyDescent="0.35">
      <c r="A107" s="329"/>
      <c r="B107" s="330"/>
      <c r="C107" s="331"/>
      <c r="D107" s="314" t="s">
        <v>49</v>
      </c>
      <c r="E107" s="315"/>
      <c r="F107" s="68">
        <v>14000</v>
      </c>
    </row>
    <row r="108" spans="1:6" x14ac:dyDescent="0.35">
      <c r="A108" s="329"/>
      <c r="B108" s="330"/>
      <c r="C108" s="331"/>
      <c r="D108" s="316" t="s">
        <v>51</v>
      </c>
      <c r="E108" s="317"/>
      <c r="F108" s="69">
        <f>F107*8%</f>
        <v>1120</v>
      </c>
    </row>
    <row r="109" spans="1:6" x14ac:dyDescent="0.35">
      <c r="A109" s="329"/>
      <c r="B109" s="330"/>
      <c r="C109" s="331"/>
      <c r="D109" s="310" t="s">
        <v>53</v>
      </c>
      <c r="E109" s="311"/>
      <c r="F109" s="67">
        <f>F107-F106-F108</f>
        <v>8296.6666666666661</v>
      </c>
    </row>
    <row r="110" spans="1:6" x14ac:dyDescent="0.35">
      <c r="A110" s="329"/>
      <c r="B110" s="330"/>
      <c r="C110" s="331"/>
      <c r="D110" s="310" t="s">
        <v>54</v>
      </c>
      <c r="E110" s="311"/>
      <c r="F110" s="72">
        <f>IFERROR(F106/F107,0)</f>
        <v>0.32738095238095244</v>
      </c>
    </row>
    <row r="111" spans="1:6" ht="15" thickBot="1" x14ac:dyDescent="0.4">
      <c r="A111" s="332"/>
      <c r="B111" s="333"/>
      <c r="C111" s="334"/>
      <c r="D111" s="318" t="s">
        <v>56</v>
      </c>
      <c r="E111" s="319"/>
      <c r="F111" s="74">
        <f>IFERROR(F109/F107,0)</f>
        <v>0.5926190476190476</v>
      </c>
    </row>
  </sheetData>
  <sheetProtection algorithmName="SHA-512" hashValue="edsMT9fN1oUXDcfgW8QzGHDx/LuVV1PEJpconn7c9vG7YHfgi452lG+d8334MpHb00KcuDopCR70sK4LGIuoZA==" saltValue="RsUyR8gx66LtOgDrEv/dQg==" spinCount="100000" sheet="1" objects="1" scenarios="1" formatCells="0" formatRows="0" selectLockedCells="1"/>
  <protectedRanges>
    <protectedRange sqref="B52 D52 F56 B64 D64 F68 B77 D77 F81 B90 D90 F94 B103 D103 F107" name="PRUEBA FINAL"/>
    <protectedRange sqref="E5:E9 D12:D16 F20" name="FINAL_1"/>
    <protectedRange sqref="E5:E9 D12:D16 F20" name="EDITABLES"/>
  </protectedRanges>
  <mergeCells count="78">
    <mergeCell ref="D111:E111"/>
    <mergeCell ref="A101:F101"/>
    <mergeCell ref="A104:C104"/>
    <mergeCell ref="D104:E104"/>
    <mergeCell ref="A105:C111"/>
    <mergeCell ref="D105:E105"/>
    <mergeCell ref="D106:E106"/>
    <mergeCell ref="D107:E107"/>
    <mergeCell ref="D108:E108"/>
    <mergeCell ref="D109:E109"/>
    <mergeCell ref="D110:E110"/>
    <mergeCell ref="A92:C98"/>
    <mergeCell ref="D92:E92"/>
    <mergeCell ref="D93:E93"/>
    <mergeCell ref="D94:E94"/>
    <mergeCell ref="D95:E95"/>
    <mergeCell ref="D96:E96"/>
    <mergeCell ref="D97:E97"/>
    <mergeCell ref="D98:E98"/>
    <mergeCell ref="D85:E85"/>
    <mergeCell ref="A88:F88"/>
    <mergeCell ref="A91:C91"/>
    <mergeCell ref="D91:E91"/>
    <mergeCell ref="A79:C85"/>
    <mergeCell ref="D79:E79"/>
    <mergeCell ref="D80:E80"/>
    <mergeCell ref="D81:E81"/>
    <mergeCell ref="D82:E82"/>
    <mergeCell ref="A75:F75"/>
    <mergeCell ref="A78:C78"/>
    <mergeCell ref="D78:E78"/>
    <mergeCell ref="D83:E83"/>
    <mergeCell ref="D84:E84"/>
    <mergeCell ref="A62:F62"/>
    <mergeCell ref="A65:C65"/>
    <mergeCell ref="D65:E65"/>
    <mergeCell ref="A66:C72"/>
    <mergeCell ref="D66:E66"/>
    <mergeCell ref="D67:E67"/>
    <mergeCell ref="D68:E68"/>
    <mergeCell ref="D69:E69"/>
    <mergeCell ref="D70:E70"/>
    <mergeCell ref="D71:E71"/>
    <mergeCell ref="D72:E72"/>
    <mergeCell ref="A50:F50"/>
    <mergeCell ref="A53:C53"/>
    <mergeCell ref="D53:E53"/>
    <mergeCell ref="A54:C60"/>
    <mergeCell ref="D54:E54"/>
    <mergeCell ref="D55:E55"/>
    <mergeCell ref="D56:E56"/>
    <mergeCell ref="D57:E57"/>
    <mergeCell ref="D58:E58"/>
    <mergeCell ref="D59:E59"/>
    <mergeCell ref="D60:E60"/>
    <mergeCell ref="H31:I31"/>
    <mergeCell ref="A11:A24"/>
    <mergeCell ref="H11:I11"/>
    <mergeCell ref="L12:M12"/>
    <mergeCell ref="B17:C17"/>
    <mergeCell ref="D17:E17"/>
    <mergeCell ref="B18:C24"/>
    <mergeCell ref="D18:E18"/>
    <mergeCell ref="H18:I18"/>
    <mergeCell ref="D19:E19"/>
    <mergeCell ref="D20:E20"/>
    <mergeCell ref="D21:E21"/>
    <mergeCell ref="D22:E22"/>
    <mergeCell ref="D23:E23"/>
    <mergeCell ref="H23:I23"/>
    <mergeCell ref="D24:E24"/>
    <mergeCell ref="A2:F2"/>
    <mergeCell ref="H2:I2"/>
    <mergeCell ref="L2:M2"/>
    <mergeCell ref="A4:A9"/>
    <mergeCell ref="H4:I4"/>
    <mergeCell ref="L4:M4"/>
    <mergeCell ref="J5:J7"/>
  </mergeCell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39</vt:i4>
      </vt:variant>
      <vt:variant>
        <vt:lpstr>Rangos con nombre</vt:lpstr>
      </vt:variant>
      <vt:variant>
        <vt:i4>25</vt:i4>
      </vt:variant>
    </vt:vector>
  </HeadingPairs>
  <TitlesOfParts>
    <vt:vector size="64" baseType="lpstr">
      <vt:lpstr>ARBOL</vt:lpstr>
      <vt:lpstr>PLANEACIÓN SERVE STRATEGY</vt:lpstr>
      <vt:lpstr>PRECIOS DIALSA - mar 2019</vt:lpstr>
      <vt:lpstr>TANQUERAY TONIC LONDON DRY</vt:lpstr>
      <vt:lpstr>BULLEIT &amp; BEER </vt:lpstr>
      <vt:lpstr>BULLEIT OLD FASHION</vt:lpstr>
      <vt:lpstr>RYE &amp; BEER</vt:lpstr>
      <vt:lpstr>KETEL MULE</vt:lpstr>
      <vt:lpstr>SINGLETON 12</vt:lpstr>
      <vt:lpstr>SINGLETON PENICILIN</vt:lpstr>
      <vt:lpstr>SINGLETON OLD FASHION</vt:lpstr>
      <vt:lpstr>ZACAPA 23</vt:lpstr>
      <vt:lpstr>ZACAPA OLD FASHION</vt:lpstr>
      <vt:lpstr>ZACAPA MOJITO</vt:lpstr>
      <vt:lpstr>OLD PARR 18</vt:lpstr>
      <vt:lpstr>WHISKY BUCHANAN'S 12</vt:lpstr>
      <vt:lpstr>BUCHANAN'S LIME 12 </vt:lpstr>
      <vt:lpstr>BUCHANAN'S MASTER</vt:lpstr>
      <vt:lpstr>BUCHANAN'S LIME MASTER</vt:lpstr>
      <vt:lpstr>BUCHANAN'S SPRITZ</vt:lpstr>
      <vt:lpstr>JOHNNIE RED &amp; LEMON</vt:lpstr>
      <vt:lpstr>JOHNNIE RED &amp; RED COLA</vt:lpstr>
      <vt:lpstr>JOHNNIE BLACK &amp; LEMON</vt:lpstr>
      <vt:lpstr>JW BLACK &amp; SODA</vt:lpstr>
      <vt:lpstr>JW BLACK SOUR</vt:lpstr>
      <vt:lpstr>JW DOBLE BLACK</vt:lpstr>
      <vt:lpstr>HAIG H.O.T</vt:lpstr>
      <vt:lpstr>HAIG HERVAL-FRUTAL</vt:lpstr>
      <vt:lpstr>BAILEY'S MARSHMALLOW</vt:lpstr>
      <vt:lpstr>WHISKY BUCHNAN'S 18</vt:lpstr>
      <vt:lpstr>WHISKY JW GREEN LABEL</vt:lpstr>
      <vt:lpstr>JOHNNIE WALKER 18</vt:lpstr>
      <vt:lpstr>JW BLUE LABEL</vt:lpstr>
      <vt:lpstr>KING GEORGE V</vt:lpstr>
      <vt:lpstr>PRIVATE COLLECTION</vt:lpstr>
      <vt:lpstr>BULLEIT BOURBON</vt:lpstr>
      <vt:lpstr>BULLEIT RYE</vt:lpstr>
      <vt:lpstr>DON JULIO 70</vt:lpstr>
      <vt:lpstr>DON JULIO AÑEJO</vt:lpstr>
      <vt:lpstr>'PRECIOS DIALSA - mar 2019'!Área_de_impresión</vt:lpstr>
      <vt:lpstr>Estrato2y3</vt:lpstr>
      <vt:lpstr>Estrato2y3BarElite</vt:lpstr>
      <vt:lpstr>Estrato2y3BarEstandár</vt:lpstr>
      <vt:lpstr>Estrato2y3DiscotecaElite</vt:lpstr>
      <vt:lpstr>Estrato2y3DiscotecaEstándar</vt:lpstr>
      <vt:lpstr>Estrato2y3Juegostípicos</vt:lpstr>
      <vt:lpstr>Estrato2y3Licobares</vt:lpstr>
      <vt:lpstr>Estrato2y3Reposteríaycafé</vt:lpstr>
      <vt:lpstr>Estrato2y3RestauranteCasual</vt:lpstr>
      <vt:lpstr>Estrato2y3RestauranteÉlite</vt:lpstr>
      <vt:lpstr>Estrato2y3RestauranteFormal</vt:lpstr>
      <vt:lpstr>Estrato4al6</vt:lpstr>
      <vt:lpstr>Estrato4al6BarElite</vt:lpstr>
      <vt:lpstr>Estrato4al6BarEstandár</vt:lpstr>
      <vt:lpstr>Estrato4al6DiscotecaElite</vt:lpstr>
      <vt:lpstr>Estrato4al6DiscotecaEstándar</vt:lpstr>
      <vt:lpstr>Estrato4al6Juegostípicos</vt:lpstr>
      <vt:lpstr>Estrato4al6Licobares</vt:lpstr>
      <vt:lpstr>Estrato4al6Reposteríaycafé</vt:lpstr>
      <vt:lpstr>Estrato4al6RestauranteCasual</vt:lpstr>
      <vt:lpstr>Estrato4al6RestauranteÉlite</vt:lpstr>
      <vt:lpstr>Estrato4al6RestauranteFormal</vt:lpstr>
      <vt:lpstr>nFILA</vt:lpstr>
      <vt:lpstr>nFILAS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Lorena Dager</dc:creator>
  <cp:keywords/>
  <dc:description/>
  <cp:lastModifiedBy>Lenovo</cp:lastModifiedBy>
  <cp:revision/>
  <dcterms:created xsi:type="dcterms:W3CDTF">2019-04-12T04:42:54Z</dcterms:created>
  <dcterms:modified xsi:type="dcterms:W3CDTF">2019-10-05T22:38:19Z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c77bae-9cad-4b1a-aac3-2a4ad557d70b_Enabled">
    <vt:lpwstr>True</vt:lpwstr>
  </property>
  <property fmtid="{D5CDD505-2E9C-101B-9397-08002B2CF9AE}" pid="3" name="MSIP_Label_a7c77bae-9cad-4b1a-aac3-2a4ad557d70b_SiteId">
    <vt:lpwstr>88ed286b-88d8-4faf-918f-883d693321ae</vt:lpwstr>
  </property>
  <property fmtid="{D5CDD505-2E9C-101B-9397-08002B2CF9AE}" pid="4" name="MSIP_Label_a7c77bae-9cad-4b1a-aac3-2a4ad557d70b_Owner">
    <vt:lpwstr>Juan.Gama@diageo.com</vt:lpwstr>
  </property>
  <property fmtid="{D5CDD505-2E9C-101B-9397-08002B2CF9AE}" pid="5" name="MSIP_Label_a7c77bae-9cad-4b1a-aac3-2a4ad557d70b_SetDate">
    <vt:lpwstr>2019-10-01T22:17:36.1992759Z</vt:lpwstr>
  </property>
  <property fmtid="{D5CDD505-2E9C-101B-9397-08002B2CF9AE}" pid="6" name="MSIP_Label_a7c77bae-9cad-4b1a-aac3-2a4ad557d70b_Name">
    <vt:lpwstr>General</vt:lpwstr>
  </property>
  <property fmtid="{D5CDD505-2E9C-101B-9397-08002B2CF9AE}" pid="7" name="MSIP_Label_a7c77bae-9cad-4b1a-aac3-2a4ad557d70b_Application">
    <vt:lpwstr>Microsoft Azure Information Protection</vt:lpwstr>
  </property>
  <property fmtid="{D5CDD505-2E9C-101B-9397-08002B2CF9AE}" pid="8" name="MSIP_Label_a7c77bae-9cad-4b1a-aac3-2a4ad557d70b_Extended_MSFT_Method">
    <vt:lpwstr>Manual</vt:lpwstr>
  </property>
  <property fmtid="{D5CDD505-2E9C-101B-9397-08002B2CF9AE}" pid="9" name="Sensitivity">
    <vt:lpwstr>General</vt:lpwstr>
  </property>
</Properties>
</file>