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quirogagarza/Desktop/Escritorio Agosto_Diciembre_2022/Proyectos de Inversión_2022/Mi Clase/3. Casos Prácticos/Casos Prácticos/"/>
    </mc:Choice>
  </mc:AlternateContent>
  <xr:revisionPtr revIDLastSave="0" documentId="13_ncr:1_{245D78B8-292C-BB49-B500-C22F4281E8B1}" xr6:coauthVersionLast="47" xr6:coauthVersionMax="47" xr10:uidLastSave="{00000000-0000-0000-0000-000000000000}"/>
  <bookViews>
    <workbookView xWindow="0" yWindow="500" windowWidth="28800" windowHeight="17500" activeTab="8" xr2:uid="{00000000-000D-0000-FFFF-FFFF00000000}"/>
  </bookViews>
  <sheets>
    <sheet name="Flujo" sheetId="1" r:id="rId1"/>
    <sheet name="VPN" sheetId="5" r:id="rId2"/>
    <sheet name="TIR" sheetId="2" r:id="rId3"/>
    <sheet name="Índice" sheetId="3" r:id="rId4"/>
    <sheet name="VP Capital de Trabajo" sheetId="7" r:id="rId5"/>
    <sheet name="Sensibilizando" sheetId="6" r:id="rId6"/>
    <sheet name="Tabla de amortización" sheetId="12" r:id="rId7"/>
    <sheet name="Contribución Marginal" sheetId="11" r:id="rId8"/>
    <sheet name="Unidad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2" l="1"/>
  <c r="E14" i="12"/>
  <c r="C14" i="12"/>
  <c r="D14" i="12" s="1"/>
  <c r="F14" i="12" s="1"/>
  <c r="E13" i="12"/>
  <c r="C13" i="12"/>
  <c r="D13" i="12" s="1"/>
  <c r="F13" i="12" s="1"/>
  <c r="C4" i="12"/>
  <c r="C3" i="12"/>
  <c r="C2" i="12"/>
  <c r="F9" i="12" s="1"/>
  <c r="E19" i="7"/>
  <c r="C10" i="12" l="1"/>
  <c r="E10" i="12"/>
  <c r="C11" i="12" l="1"/>
  <c r="D10" i="12"/>
  <c r="F10" i="12" s="1"/>
  <c r="E11" i="12" l="1"/>
  <c r="D11" i="12" s="1"/>
  <c r="F11" i="12" s="1"/>
  <c r="C12" i="12"/>
  <c r="E12" i="12" l="1"/>
  <c r="D12" i="12"/>
  <c r="F12" i="12" s="1"/>
  <c r="C15" i="12" l="1"/>
  <c r="E15" i="12" l="1"/>
  <c r="D15" i="12"/>
  <c r="F15" i="12" s="1"/>
  <c r="C15" i="8"/>
  <c r="E15" i="11"/>
  <c r="E21" i="11" s="1"/>
  <c r="E14" i="7"/>
  <c r="F14" i="5"/>
  <c r="F15" i="5" s="1"/>
  <c r="D26" i="6"/>
  <c r="C28" i="6" s="1"/>
  <c r="E12" i="6"/>
  <c r="C50" i="6" s="1"/>
  <c r="F50" i="6" s="1"/>
  <c r="F6" i="7"/>
  <c r="F7" i="7"/>
  <c r="F8" i="7"/>
  <c r="F9" i="7"/>
  <c r="F10" i="7"/>
  <c r="F11" i="7"/>
  <c r="F12" i="7"/>
  <c r="C12" i="3"/>
  <c r="F6" i="5"/>
  <c r="F7" i="5"/>
  <c r="F8" i="5"/>
  <c r="F9" i="5"/>
  <c r="F10" i="5"/>
  <c r="F11" i="5"/>
  <c r="F12" i="5"/>
  <c r="F6" i="2"/>
  <c r="F14" i="2" s="1"/>
  <c r="F7" i="2"/>
  <c r="F8" i="2"/>
  <c r="F9" i="2"/>
  <c r="F10" i="2"/>
  <c r="F11" i="2"/>
  <c r="F12" i="2"/>
  <c r="C11" i="1"/>
  <c r="C13" i="1" s="1"/>
  <c r="C17" i="1"/>
  <c r="C9" i="1"/>
  <c r="C14" i="1" l="1"/>
  <c r="C16" i="1" s="1"/>
  <c r="C19" i="1" s="1"/>
  <c r="C30" i="6"/>
  <c r="D51" i="6" l="1"/>
  <c r="E23" i="11"/>
  <c r="E20" i="11" s="1"/>
  <c r="E17" i="11" s="1"/>
  <c r="E13" i="11" l="1"/>
  <c r="C9" i="8" s="1"/>
  <c r="C13" i="8" s="1"/>
  <c r="E18" i="11"/>
  <c r="F51" i="6"/>
  <c r="D52" i="6"/>
  <c r="D53" i="6" l="1"/>
  <c r="F52" i="6"/>
  <c r="C17" i="8"/>
  <c r="F9" i="8"/>
  <c r="F13" i="8" s="1"/>
  <c r="F17" i="8" s="1"/>
  <c r="D54" i="6" l="1"/>
  <c r="F53" i="6"/>
  <c r="F54" i="6" l="1"/>
  <c r="D55" i="6"/>
  <c r="D56" i="6" l="1"/>
  <c r="F56" i="6" s="1"/>
  <c r="F55" i="6"/>
  <c r="F59" i="6" l="1"/>
</calcChain>
</file>

<file path=xl/sharedStrings.xml><?xml version="1.0" encoding="utf-8"?>
<sst xmlns="http://schemas.openxmlformats.org/spreadsheetml/2006/main" count="135" uniqueCount="83">
  <si>
    <t>Costos variavles (50,000 x $5.00)</t>
  </si>
  <si>
    <t>Ventas (50,000 x $8.00)</t>
  </si>
  <si>
    <t>Contribuación Marginal</t>
  </si>
  <si>
    <t>Costos fijos desembolsables</t>
  </si>
  <si>
    <t>Depreciación ($210,000 / 6)</t>
  </si>
  <si>
    <t>Utilidad antes de impuestos</t>
  </si>
  <si>
    <t>ISR (40%)</t>
  </si>
  <si>
    <t>Utilidad después de impuestos</t>
  </si>
  <si>
    <t>Más Depreciación</t>
  </si>
  <si>
    <t>Flujo anual</t>
  </si>
  <si>
    <t xml:space="preserve"> ----------------</t>
  </si>
  <si>
    <t>Año</t>
  </si>
  <si>
    <t>Inversión</t>
  </si>
  <si>
    <t>Inversión en CxC Inventarios</t>
  </si>
  <si>
    <t>Flujo Libre</t>
  </si>
  <si>
    <t>VPN =</t>
  </si>
  <si>
    <t>Costo de Capital</t>
  </si>
  <si>
    <t>TIR =</t>
  </si>
  <si>
    <t>Valor presente de los flujos positivos</t>
  </si>
  <si>
    <t>Importe total de la inversión</t>
  </si>
  <si>
    <t>Índice de Valor Presente =</t>
  </si>
  <si>
    <t>V.P. de los flujos =</t>
  </si>
  <si>
    <t>Valor presente de una anualidad:</t>
  </si>
  <si>
    <t>C</t>
  </si>
  <si>
    <t xml:space="preserve"> =  R</t>
  </si>
  <si>
    <t>i</t>
  </si>
  <si>
    <t xml:space="preserve"> = Valor presente</t>
  </si>
  <si>
    <t>R</t>
  </si>
  <si>
    <t xml:space="preserve"> = Amortización (anualidad)</t>
  </si>
  <si>
    <t>R  =</t>
  </si>
  <si>
    <t xml:space="preserve"> -------------------------------</t>
  </si>
  <si>
    <t xml:space="preserve"> </t>
  </si>
  <si>
    <r>
      <t xml:space="preserve"> 1 - (1+i)</t>
    </r>
    <r>
      <rPr>
        <vertAlign val="superscript"/>
        <sz val="12"/>
        <rFont val="Arial"/>
        <family val="2"/>
      </rPr>
      <t>-n</t>
    </r>
  </si>
  <si>
    <t>(250,000 - 18,223)</t>
  </si>
  <si>
    <t>Flujo @ 14% =</t>
  </si>
  <si>
    <t>TIR</t>
  </si>
  <si>
    <t>Número de Unidades =</t>
  </si>
  <si>
    <t>Contribución marginal</t>
  </si>
  <si>
    <t>(precio de venta unitario - Costo variable unitario</t>
  </si>
  <si>
    <t xml:space="preserve"> --------------------------------------------------------------------</t>
  </si>
  <si>
    <t xml:space="preserve"> ( $ 8.00 - $5.00 )</t>
  </si>
  <si>
    <t>---------------</t>
  </si>
  <si>
    <t xml:space="preserve">Precio de venta = </t>
  </si>
  <si>
    <t>50,000 unidades</t>
  </si>
  <si>
    <t>---------------------------------</t>
  </si>
  <si>
    <t>?</t>
  </si>
  <si>
    <t xml:space="preserve"> = Tasa de Interés</t>
  </si>
  <si>
    <t>n</t>
  </si>
  <si>
    <t xml:space="preserve"> = Número de Períodos</t>
  </si>
  <si>
    <t>PAGO =</t>
  </si>
  <si>
    <t>Flujo de Efectivo</t>
  </si>
  <si>
    <t>Valor Presente Neto</t>
  </si>
  <si>
    <t>Tasa Interna de Rendimiento</t>
  </si>
  <si>
    <t>Índice de Valor Presente Neto</t>
  </si>
  <si>
    <t xml:space="preserve"> -------------------------------------------------</t>
  </si>
  <si>
    <t>Valor Presente del Capital de Trabajo</t>
  </si>
  <si>
    <t>Inversión en Capital de Trabajo</t>
  </si>
  <si>
    <t>Valor Presente del Capital de Trabajo =</t>
  </si>
  <si>
    <t>Si queremos obtener la utilidad neta y tenemos el flujo libre anual, procedemos a restarle la depreciación = ($59,603 - $35,000) para obtener una Utilidad neta después de impuestos de $24,603.</t>
  </si>
  <si>
    <t>Si la tasa de ISR es de 40% debemos reconocer que la cifra obtenida representa el 60% de la Utilidad antes de impuestos y para obtener la Utilidad neta antes de impuestos dividimos $24,603 / 0.6 para obtener $41,005.</t>
  </si>
  <si>
    <t>Si a la contribución marginal se le disminuyen los costos fijos desembolsables y la depreciación, se obtendrá esta cifra.</t>
  </si>
  <si>
    <t>Calculando en forma inversa ya que tenemos los tres elementos, procedemos a sumar a $41,005, los costos fijos desembolsables por $60,000 y la depreciación por $35,000 para obtener una Contribución Marginal de $136,005.</t>
  </si>
  <si>
    <t>Recordemos el formato del estado de resultados para obtener el flujo libre anual, para poder calcular la contribución marginal lo haremos en forma inversa:</t>
  </si>
  <si>
    <t>Pago</t>
  </si>
  <si>
    <t>Contribución Marginal</t>
  </si>
  <si>
    <t>De contribución marginal por unidad</t>
  </si>
  <si>
    <t>Costos variables por unidad =</t>
  </si>
  <si>
    <t>En lugar de $8.00 por unidad</t>
  </si>
  <si>
    <t>8. Para calcular el precio de venta requerido para obtener esa contribución marginal y suponiendo que se vendieran 50,000 unidades:</t>
  </si>
  <si>
    <t>7. ¿Cuántas unidades tendrían que venderse para que la empresa obtenga exactamente una tasa interna de rendimiento de 14%?</t>
  </si>
  <si>
    <t>6. ¿Cuánto tendría que ser la contribución marginal del proyecto de manera que exactamente se obtenga una tasa interna de rendimiento de 14%?</t>
  </si>
  <si>
    <t>TIR=</t>
  </si>
  <si>
    <t>-------------</t>
  </si>
  <si>
    <t>Monto</t>
  </si>
  <si>
    <t>Plazo (años)</t>
  </si>
  <si>
    <t>Tasa de Interés</t>
  </si>
  <si>
    <t>Tabla de Amortización</t>
  </si>
  <si>
    <t>Capital</t>
  </si>
  <si>
    <t>Intereses (14%)</t>
  </si>
  <si>
    <t>Saldo Insoluto</t>
  </si>
  <si>
    <t>VNA =</t>
  </si>
  <si>
    <t>Valor de la Inversión =</t>
  </si>
  <si>
    <r>
      <rPr>
        <b/>
        <sz val="12"/>
        <color rgb="FFFF0000"/>
        <rFont val="Arial"/>
        <family val="2"/>
      </rPr>
      <t xml:space="preserve"> -$250,000</t>
    </r>
    <r>
      <rPr>
        <b/>
        <sz val="12"/>
        <rFont val="Arial"/>
        <family val="2"/>
      </rPr>
      <t xml:space="preserve"> + $18,223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</si>
</sst>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&quot;$&quot;#,##0"/>
    <numFmt numFmtId="165" formatCode="&quot;$&quot;#,##0.00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/>
    <xf numFmtId="0" fontId="7" fillId="0" borderId="0" xfId="0" applyFont="1"/>
    <xf numFmtId="8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3" fontId="3" fillId="0" borderId="0" xfId="0" applyNumberFormat="1" applyFont="1" applyAlignment="1">
      <alignment horizontal="left"/>
    </xf>
    <xf numFmtId="0" fontId="0" fillId="0" borderId="0" xfId="0" quotePrefix="1" applyAlignment="1">
      <alignment horizontal="center"/>
    </xf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5" fontId="6" fillId="0" borderId="0" xfId="2" applyNumberFormat="1" applyFont="1" applyAlignment="1">
      <alignment horizontal="left"/>
    </xf>
    <xf numFmtId="10" fontId="6" fillId="0" borderId="0" xfId="3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 vertical="center"/>
    </xf>
    <xf numFmtId="6" fontId="6" fillId="0" borderId="0" xfId="0" applyNumberFormat="1" applyFont="1" applyAlignment="1">
      <alignment horizontal="center" vertical="center"/>
    </xf>
    <xf numFmtId="6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right"/>
    </xf>
    <xf numFmtId="6" fontId="9" fillId="0" borderId="0" xfId="0" applyNumberFormat="1" applyFont="1" applyAlignment="1">
      <alignment horizontal="left"/>
    </xf>
    <xf numFmtId="6" fontId="0" fillId="0" borderId="0" xfId="0" applyNumberForma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4" fillId="0" borderId="0" xfId="1" applyAlignment="1" applyProtection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3" fontId="7" fillId="0" borderId="0" xfId="0" quotePrefix="1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6" fontId="7" fillId="0" borderId="0" xfId="0" applyNumberFormat="1" applyFont="1" applyAlignment="1">
      <alignment horizontal="center" vertical="center"/>
    </xf>
    <xf numFmtId="6" fontId="7" fillId="0" borderId="0" xfId="0" applyNumberFormat="1" applyFont="1" applyAlignment="1">
      <alignment horizontal="center"/>
    </xf>
    <xf numFmtId="0" fontId="6" fillId="0" borderId="0" xfId="0" applyFont="1" applyAlignment="1">
      <alignment horizontal="right" vertical="center"/>
    </xf>
    <xf numFmtId="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/>
    </xf>
    <xf numFmtId="6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4" applyFont="1" applyAlignment="1">
      <alignment horizontal="right" vertical="center"/>
    </xf>
    <xf numFmtId="6" fontId="7" fillId="0" borderId="0" xfId="4" applyNumberFormat="1" applyFont="1" applyAlignment="1">
      <alignment horizontal="center" vertical="center"/>
    </xf>
    <xf numFmtId="0" fontId="1" fillId="0" borderId="0" xfId="4"/>
    <xf numFmtId="0" fontId="7" fillId="0" borderId="0" xfId="4" applyFont="1" applyAlignment="1">
      <alignment horizontal="center" vertical="center"/>
    </xf>
    <xf numFmtId="10" fontId="7" fillId="0" borderId="0" xfId="4" applyNumberFormat="1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1" fillId="0" borderId="2" xfId="4" applyBorder="1" applyAlignment="1">
      <alignment horizontal="center" vertical="center"/>
    </xf>
    <xf numFmtId="6" fontId="1" fillId="0" borderId="3" xfId="4" applyNumberFormat="1" applyBorder="1" applyAlignment="1">
      <alignment horizontal="center" vertical="center"/>
    </xf>
    <xf numFmtId="6" fontId="1" fillId="0" borderId="4" xfId="4" applyNumberForma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6" fontId="1" fillId="0" borderId="6" xfId="4" applyNumberFormat="1" applyBorder="1" applyAlignment="1">
      <alignment horizontal="center" vertical="center"/>
    </xf>
    <xf numFmtId="6" fontId="1" fillId="0" borderId="7" xfId="4" applyNumberFormat="1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6" fontId="1" fillId="0" borderId="9" xfId="4" applyNumberFormat="1" applyBorder="1" applyAlignment="1">
      <alignment horizontal="center" vertical="center"/>
    </xf>
    <xf numFmtId="6" fontId="1" fillId="0" borderId="10" xfId="4" applyNumberFormat="1" applyBorder="1" applyAlignment="1">
      <alignment horizontal="center" vertical="center"/>
    </xf>
    <xf numFmtId="0" fontId="3" fillId="0" borderId="11" xfId="4" applyFont="1" applyBorder="1" applyAlignment="1">
      <alignment horizontal="right"/>
    </xf>
    <xf numFmtId="6" fontId="3" fillId="0" borderId="12" xfId="4" applyNumberFormat="1" applyFont="1" applyBorder="1" applyAlignment="1">
      <alignment horizontal="left"/>
    </xf>
    <xf numFmtId="3" fontId="6" fillId="0" borderId="0" xfId="0" applyNumberFormat="1" applyFont="1" applyAlignment="1">
      <alignment horizontal="center" vertical="center" wrapText="1"/>
    </xf>
    <xf numFmtId="6" fontId="6" fillId="0" borderId="0" xfId="0" applyNumberFormat="1" applyFont="1" applyAlignment="1">
      <alignment horizontal="left" vertical="center"/>
    </xf>
    <xf numFmtId="6" fontId="6" fillId="0" borderId="0" xfId="0" applyNumberFormat="1" applyFont="1" applyAlignment="1">
      <alignment horizontal="left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</cellXfs>
  <cellStyles count="5">
    <cellStyle name="Hipervínculo" xfId="1" builtinId="8"/>
    <cellStyle name="Millares" xfId="2" builtinId="3"/>
    <cellStyle name="Normal" xfId="0" builtinId="0"/>
    <cellStyle name="Normal 2" xfId="4" xr:uid="{A561C3F6-8FBD-7943-B530-7F8349D48F3F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6</xdr:row>
      <xdr:rowOff>101600</xdr:rowOff>
    </xdr:from>
    <xdr:to>
      <xdr:col>4</xdr:col>
      <xdr:colOff>165100</xdr:colOff>
      <xdr:row>9</xdr:row>
      <xdr:rowOff>76200</xdr:rowOff>
    </xdr:to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CC6C9815-F1CF-2040-81A0-05E1E8FB844F}"/>
            </a:ext>
          </a:extLst>
        </xdr:cNvPr>
        <xdr:cNvSpPr>
          <a:spLocks noChangeArrowheads="1"/>
        </xdr:cNvSpPr>
      </xdr:nvSpPr>
      <xdr:spPr bwMode="auto">
        <a:xfrm>
          <a:off x="2616200" y="1155700"/>
          <a:ext cx="1447800" cy="60960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12700</xdr:rowOff>
    </xdr:from>
    <xdr:to>
      <xdr:col>4</xdr:col>
      <xdr:colOff>12700</xdr:colOff>
      <xdr:row>21</xdr:row>
      <xdr:rowOff>190500</xdr:rowOff>
    </xdr:to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2F6F46ED-1F03-0447-AEFA-91028472C4F0}"/>
            </a:ext>
          </a:extLst>
        </xdr:cNvPr>
        <xdr:cNvSpPr>
          <a:spLocks noChangeArrowheads="1"/>
        </xdr:cNvSpPr>
      </xdr:nvSpPr>
      <xdr:spPr bwMode="auto">
        <a:xfrm>
          <a:off x="2463800" y="3733800"/>
          <a:ext cx="1447800" cy="60960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9"/>
  <sheetViews>
    <sheetView showGridLines="0" zoomScale="200" zoomScaleNormal="200" workbookViewId="0">
      <selection activeCell="C19" sqref="C19"/>
    </sheetView>
  </sheetViews>
  <sheetFormatPr baseColWidth="10" defaultRowHeight="13" x14ac:dyDescent="0.15"/>
  <cols>
    <col min="1" max="1" width="2.83203125" customWidth="1"/>
    <col min="2" max="2" width="32.83203125" customWidth="1"/>
  </cols>
  <sheetData>
    <row r="4" spans="2:3" ht="18" x14ac:dyDescent="0.15">
      <c r="B4" s="52" t="s">
        <v>50</v>
      </c>
      <c r="C4" s="52"/>
    </row>
    <row r="6" spans="2:3" ht="16" x14ac:dyDescent="0.2">
      <c r="B6" s="9" t="s">
        <v>1</v>
      </c>
      <c r="C6" s="48">
        <v>400000</v>
      </c>
    </row>
    <row r="7" spans="2:3" ht="16" x14ac:dyDescent="0.2">
      <c r="B7" s="9" t="s">
        <v>0</v>
      </c>
      <c r="C7" s="48">
        <v>250000</v>
      </c>
    </row>
    <row r="8" spans="2:3" ht="9" customHeight="1" x14ac:dyDescent="0.2">
      <c r="B8" s="9"/>
      <c r="C8" s="48" t="s">
        <v>10</v>
      </c>
    </row>
    <row r="9" spans="2:3" ht="16" x14ac:dyDescent="0.2">
      <c r="B9" s="21" t="s">
        <v>2</v>
      </c>
      <c r="C9" s="48">
        <f>C6-C7</f>
        <v>150000</v>
      </c>
    </row>
    <row r="10" spans="2:3" ht="16" x14ac:dyDescent="0.2">
      <c r="B10" s="9" t="s">
        <v>3</v>
      </c>
      <c r="C10" s="48">
        <v>60000</v>
      </c>
    </row>
    <row r="11" spans="2:3" ht="16" x14ac:dyDescent="0.2">
      <c r="B11" s="9" t="s">
        <v>4</v>
      </c>
      <c r="C11" s="48">
        <f>210000/6</f>
        <v>35000</v>
      </c>
    </row>
    <row r="12" spans="2:3" ht="9" customHeight="1" x14ac:dyDescent="0.2">
      <c r="B12" s="9"/>
      <c r="C12" s="48" t="s">
        <v>10</v>
      </c>
    </row>
    <row r="13" spans="2:3" ht="16" x14ac:dyDescent="0.2">
      <c r="B13" s="21" t="s">
        <v>5</v>
      </c>
      <c r="C13" s="48">
        <f>C9-C10-C11</f>
        <v>55000</v>
      </c>
    </row>
    <row r="14" spans="2:3" ht="16" x14ac:dyDescent="0.2">
      <c r="B14" s="9" t="s">
        <v>6</v>
      </c>
      <c r="C14" s="48">
        <f>C13*0.4</f>
        <v>22000</v>
      </c>
    </row>
    <row r="15" spans="2:3" ht="9" customHeight="1" x14ac:dyDescent="0.2">
      <c r="B15" s="9"/>
      <c r="C15" s="48" t="s">
        <v>10</v>
      </c>
    </row>
    <row r="16" spans="2:3" ht="16" x14ac:dyDescent="0.2">
      <c r="B16" s="9" t="s">
        <v>7</v>
      </c>
      <c r="C16" s="48">
        <f>C13-C14</f>
        <v>33000</v>
      </c>
    </row>
    <row r="17" spans="2:3" ht="16" x14ac:dyDescent="0.2">
      <c r="B17" s="9" t="s">
        <v>8</v>
      </c>
      <c r="C17" s="48">
        <f>C11</f>
        <v>35000</v>
      </c>
    </row>
    <row r="18" spans="2:3" ht="9" customHeight="1" x14ac:dyDescent="0.2">
      <c r="B18" s="9"/>
      <c r="C18" s="48" t="s">
        <v>10</v>
      </c>
    </row>
    <row r="19" spans="2:3" ht="16" x14ac:dyDescent="0.2">
      <c r="B19" s="22" t="s">
        <v>9</v>
      </c>
      <c r="C19" s="29">
        <f>C16+C17</f>
        <v>68000</v>
      </c>
    </row>
  </sheetData>
  <mergeCells count="1">
    <mergeCell ref="B4:C4"/>
  </mergeCells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5"/>
  <sheetViews>
    <sheetView showGridLines="0" zoomScale="172" zoomScaleNormal="172" workbookViewId="0">
      <selection activeCell="F15" sqref="F15"/>
    </sheetView>
  </sheetViews>
  <sheetFormatPr baseColWidth="10" defaultRowHeight="13" x14ac:dyDescent="0.15"/>
  <cols>
    <col min="1" max="1" width="2.83203125" customWidth="1"/>
    <col min="2" max="2" width="5.33203125" customWidth="1"/>
    <col min="3" max="3" width="10.6640625" customWidth="1"/>
    <col min="4" max="4" width="12.5" customWidth="1"/>
    <col min="5" max="5" width="17.33203125" customWidth="1"/>
    <col min="6" max="6" width="13.1640625" customWidth="1"/>
    <col min="7" max="7" width="10" customWidth="1"/>
  </cols>
  <sheetData>
    <row r="4" spans="2:7" ht="18" x14ac:dyDescent="0.15">
      <c r="B4" s="52" t="s">
        <v>51</v>
      </c>
      <c r="C4" s="52"/>
      <c r="D4" s="52"/>
      <c r="E4" s="52"/>
      <c r="F4" s="52"/>
      <c r="G4" s="52"/>
    </row>
    <row r="5" spans="2:7" ht="36" customHeight="1" x14ac:dyDescent="0.15">
      <c r="B5" s="23" t="s">
        <v>11</v>
      </c>
      <c r="C5" s="23" t="s">
        <v>12</v>
      </c>
      <c r="D5" s="23" t="s">
        <v>9</v>
      </c>
      <c r="E5" s="24" t="s">
        <v>13</v>
      </c>
      <c r="F5" s="24" t="s">
        <v>14</v>
      </c>
      <c r="G5" s="24" t="s">
        <v>16</v>
      </c>
    </row>
    <row r="6" spans="2:7" ht="16" x14ac:dyDescent="0.2">
      <c r="B6" s="11">
        <v>0</v>
      </c>
      <c r="C6" s="47">
        <v>-250000</v>
      </c>
      <c r="D6" s="47"/>
      <c r="E6" s="47"/>
      <c r="F6" s="28">
        <f t="shared" ref="F6:F12" si="0">SUM(C6:E6)</f>
        <v>-250000</v>
      </c>
      <c r="G6" s="26">
        <v>0.14000000000000001</v>
      </c>
    </row>
    <row r="7" spans="2:7" ht="16" x14ac:dyDescent="0.2">
      <c r="B7" s="11">
        <v>1</v>
      </c>
      <c r="C7" s="47"/>
      <c r="D7" s="47">
        <v>68000</v>
      </c>
      <c r="E7" s="47"/>
      <c r="F7" s="28">
        <f t="shared" si="0"/>
        <v>68000</v>
      </c>
      <c r="G7" s="9"/>
    </row>
    <row r="8" spans="2:7" ht="16" x14ac:dyDescent="0.2">
      <c r="B8" s="11">
        <v>2</v>
      </c>
      <c r="C8" s="47"/>
      <c r="D8" s="47">
        <v>68000</v>
      </c>
      <c r="E8" s="47"/>
      <c r="F8" s="28">
        <f t="shared" si="0"/>
        <v>68000</v>
      </c>
      <c r="G8" s="9"/>
    </row>
    <row r="9" spans="2:7" ht="16" x14ac:dyDescent="0.2">
      <c r="B9" s="11">
        <v>3</v>
      </c>
      <c r="C9" s="47"/>
      <c r="D9" s="47">
        <v>68000</v>
      </c>
      <c r="E9" s="47"/>
      <c r="F9" s="28">
        <f t="shared" si="0"/>
        <v>68000</v>
      </c>
      <c r="G9" s="9"/>
    </row>
    <row r="10" spans="2:7" ht="16" x14ac:dyDescent="0.2">
      <c r="B10" s="11">
        <v>4</v>
      </c>
      <c r="C10" s="47"/>
      <c r="D10" s="47">
        <v>68000</v>
      </c>
      <c r="E10" s="47"/>
      <c r="F10" s="28">
        <f t="shared" si="0"/>
        <v>68000</v>
      </c>
      <c r="G10" s="9"/>
    </row>
    <row r="11" spans="2:7" ht="16" x14ac:dyDescent="0.2">
      <c r="B11" s="11">
        <v>5</v>
      </c>
      <c r="C11" s="47"/>
      <c r="D11" s="47">
        <v>68000</v>
      </c>
      <c r="E11" s="47"/>
      <c r="F11" s="28">
        <f t="shared" si="0"/>
        <v>68000</v>
      </c>
      <c r="G11" s="9"/>
    </row>
    <row r="12" spans="2:7" ht="16" x14ac:dyDescent="0.2">
      <c r="B12" s="11">
        <v>6</v>
      </c>
      <c r="C12" s="47"/>
      <c r="D12" s="47">
        <v>68000</v>
      </c>
      <c r="E12" s="47">
        <v>40000</v>
      </c>
      <c r="F12" s="28">
        <f t="shared" si="0"/>
        <v>108000</v>
      </c>
      <c r="G12" s="9"/>
    </row>
    <row r="13" spans="2:7" ht="16" x14ac:dyDescent="0.2">
      <c r="B13" s="9"/>
      <c r="C13" s="25"/>
      <c r="D13" s="25"/>
      <c r="E13" s="25"/>
      <c r="F13" s="25"/>
      <c r="G13" s="9"/>
    </row>
    <row r="14" spans="2:7" ht="16" x14ac:dyDescent="0.2">
      <c r="B14" s="9"/>
      <c r="C14" s="25"/>
      <c r="D14" s="25"/>
      <c r="E14" s="27" t="s">
        <v>21</v>
      </c>
      <c r="F14" s="28">
        <f>NPV(G6,F7:F12)</f>
        <v>282652.85303225246</v>
      </c>
      <c r="G14" s="9"/>
    </row>
    <row r="15" spans="2:7" ht="16" x14ac:dyDescent="0.2">
      <c r="B15" s="9"/>
      <c r="C15" s="9"/>
      <c r="D15" s="9"/>
      <c r="E15" s="13" t="s">
        <v>15</v>
      </c>
      <c r="F15" s="29">
        <f>F14+F6</f>
        <v>32652.85303225246</v>
      </c>
      <c r="G15" s="9"/>
    </row>
  </sheetData>
  <mergeCells count="1">
    <mergeCell ref="B4:G4"/>
  </mergeCells>
  <phoneticPr fontId="2" type="noConversion"/>
  <pageMargins left="0.75" right="0.75" top="1" bottom="1" header="0" footer="0"/>
  <headerFooter alignWithMargins="0"/>
  <ignoredErrors>
    <ignoredError sqref="F6:F1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7"/>
  <sheetViews>
    <sheetView showGridLines="0" zoomScale="200" zoomScaleNormal="200" workbookViewId="0">
      <selection activeCell="F14" sqref="F14"/>
    </sheetView>
  </sheetViews>
  <sheetFormatPr baseColWidth="10" defaultRowHeight="13" x14ac:dyDescent="0.15"/>
  <cols>
    <col min="1" max="1" width="2.83203125" customWidth="1"/>
    <col min="2" max="2" width="5.1640625" customWidth="1"/>
    <col min="3" max="3" width="11" customWidth="1"/>
    <col min="4" max="4" width="12.33203125" customWidth="1"/>
    <col min="5" max="5" width="17.33203125" customWidth="1"/>
    <col min="6" max="6" width="10.6640625" customWidth="1"/>
    <col min="7" max="7" width="8.6640625" customWidth="1"/>
  </cols>
  <sheetData>
    <row r="4" spans="2:7" ht="18" x14ac:dyDescent="0.15">
      <c r="B4" s="52" t="s">
        <v>52</v>
      </c>
      <c r="C4" s="52"/>
      <c r="D4" s="52"/>
      <c r="E4" s="52"/>
      <c r="F4" s="52"/>
    </row>
    <row r="5" spans="2:7" ht="36" customHeight="1" x14ac:dyDescent="0.15">
      <c r="B5" s="23" t="s">
        <v>11</v>
      </c>
      <c r="C5" s="23" t="s">
        <v>12</v>
      </c>
      <c r="D5" s="23" t="s">
        <v>9</v>
      </c>
      <c r="E5" s="24" t="s">
        <v>13</v>
      </c>
      <c r="F5" s="24" t="s">
        <v>14</v>
      </c>
      <c r="G5" s="2"/>
    </row>
    <row r="6" spans="2:7" ht="16" x14ac:dyDescent="0.2">
      <c r="B6" s="48">
        <v>0</v>
      </c>
      <c r="C6" s="47">
        <v>-250000</v>
      </c>
      <c r="D6" s="47"/>
      <c r="E6" s="47"/>
      <c r="F6" s="28">
        <f>SUM(C6:E6)</f>
        <v>-250000</v>
      </c>
      <c r="G6" s="4"/>
    </row>
    <row r="7" spans="2:7" ht="16" x14ac:dyDescent="0.2">
      <c r="B7" s="48">
        <v>1</v>
      </c>
      <c r="C7" s="47"/>
      <c r="D7" s="47">
        <v>68000</v>
      </c>
      <c r="E7" s="47"/>
      <c r="F7" s="28">
        <f t="shared" ref="F7:F12" si="0">SUM(C7:E7)</f>
        <v>68000</v>
      </c>
    </row>
    <row r="8" spans="2:7" ht="16" x14ac:dyDescent="0.2">
      <c r="B8" s="48">
        <v>2</v>
      </c>
      <c r="C8" s="47"/>
      <c r="D8" s="47">
        <v>68000</v>
      </c>
      <c r="E8" s="47"/>
      <c r="F8" s="28">
        <f t="shared" si="0"/>
        <v>68000</v>
      </c>
    </row>
    <row r="9" spans="2:7" ht="16" x14ac:dyDescent="0.2">
      <c r="B9" s="48">
        <v>3</v>
      </c>
      <c r="C9" s="47"/>
      <c r="D9" s="47">
        <v>68000</v>
      </c>
      <c r="E9" s="47"/>
      <c r="F9" s="28">
        <f t="shared" si="0"/>
        <v>68000</v>
      </c>
    </row>
    <row r="10" spans="2:7" ht="16" x14ac:dyDescent="0.2">
      <c r="B10" s="48">
        <v>4</v>
      </c>
      <c r="C10" s="47"/>
      <c r="D10" s="47">
        <v>68000</v>
      </c>
      <c r="E10" s="47"/>
      <c r="F10" s="28">
        <f t="shared" si="0"/>
        <v>68000</v>
      </c>
    </row>
    <row r="11" spans="2:7" ht="16" x14ac:dyDescent="0.2">
      <c r="B11" s="48">
        <v>5</v>
      </c>
      <c r="C11" s="47"/>
      <c r="D11" s="47">
        <v>68000</v>
      </c>
      <c r="E11" s="47"/>
      <c r="F11" s="28">
        <f t="shared" si="0"/>
        <v>68000</v>
      </c>
    </row>
    <row r="12" spans="2:7" ht="16" x14ac:dyDescent="0.2">
      <c r="B12" s="48">
        <v>6</v>
      </c>
      <c r="C12" s="47"/>
      <c r="D12" s="47">
        <v>68000</v>
      </c>
      <c r="E12" s="47">
        <v>40000</v>
      </c>
      <c r="F12" s="28">
        <f t="shared" si="0"/>
        <v>108000</v>
      </c>
    </row>
    <row r="13" spans="2:7" ht="16" x14ac:dyDescent="0.2">
      <c r="B13" s="9"/>
      <c r="C13" s="25"/>
      <c r="D13" s="25"/>
      <c r="E13" s="25"/>
      <c r="F13" s="25"/>
    </row>
    <row r="14" spans="2:7" ht="16" x14ac:dyDescent="0.2">
      <c r="B14" s="9"/>
      <c r="C14" s="25"/>
      <c r="D14" s="25"/>
      <c r="E14" s="27" t="s">
        <v>17</v>
      </c>
      <c r="F14" s="30">
        <f>IRR(F6:F12)</f>
        <v>0.18390745249421436</v>
      </c>
    </row>
    <row r="17" spans="3:3" x14ac:dyDescent="0.15">
      <c r="C17" s="38"/>
    </row>
  </sheetData>
  <mergeCells count="1">
    <mergeCell ref="B4:F4"/>
  </mergeCells>
  <phoneticPr fontId="2" type="noConversion"/>
  <pageMargins left="0.75" right="0.75" top="1" bottom="1" header="0" footer="0"/>
  <headerFooter alignWithMargins="0"/>
  <ignoredErrors>
    <ignoredError sqref="F6:F1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3"/>
  <sheetViews>
    <sheetView showGridLines="0" zoomScale="200" zoomScaleNormal="200" workbookViewId="0">
      <selection activeCell="C10" sqref="C10"/>
    </sheetView>
  </sheetViews>
  <sheetFormatPr baseColWidth="10" defaultRowHeight="13" x14ac:dyDescent="0.15"/>
  <cols>
    <col min="1" max="1" width="2.6640625" customWidth="1"/>
    <col min="2" max="2" width="25.6640625" customWidth="1"/>
    <col min="3" max="3" width="33.6640625" customWidth="1"/>
  </cols>
  <sheetData>
    <row r="2" spans="2:3" ht="18" x14ac:dyDescent="0.15">
      <c r="B2" s="52" t="s">
        <v>53</v>
      </c>
      <c r="C2" s="52"/>
    </row>
    <row r="3" spans="2:3" ht="16" x14ac:dyDescent="0.2">
      <c r="B3" s="9"/>
      <c r="C3" s="9"/>
    </row>
    <row r="4" spans="2:3" ht="16" x14ac:dyDescent="0.2">
      <c r="B4" s="9"/>
      <c r="C4" s="11" t="s">
        <v>18</v>
      </c>
    </row>
    <row r="5" spans="2:3" ht="16" x14ac:dyDescent="0.2">
      <c r="B5" s="12" t="s">
        <v>20</v>
      </c>
      <c r="C5" s="11" t="s">
        <v>54</v>
      </c>
    </row>
    <row r="6" spans="2:3" ht="16" x14ac:dyDescent="0.2">
      <c r="B6" s="9"/>
      <c r="C6" s="11" t="s">
        <v>19</v>
      </c>
    </row>
    <row r="7" spans="2:3" ht="16" x14ac:dyDescent="0.2">
      <c r="B7" s="9"/>
      <c r="C7" s="9"/>
    </row>
    <row r="8" spans="2:3" ht="16" x14ac:dyDescent="0.2">
      <c r="B8" s="9"/>
      <c r="C8" s="46">
        <v>282653</v>
      </c>
    </row>
    <row r="9" spans="2:3" ht="12.75" customHeight="1" x14ac:dyDescent="0.2">
      <c r="B9" s="12" t="s">
        <v>20</v>
      </c>
      <c r="C9" s="45" t="s">
        <v>72</v>
      </c>
    </row>
    <row r="10" spans="2:3" ht="16" x14ac:dyDescent="0.2">
      <c r="B10" s="9"/>
      <c r="C10" s="46">
        <v>250000</v>
      </c>
    </row>
    <row r="11" spans="2:3" ht="16" x14ac:dyDescent="0.2">
      <c r="B11" s="9"/>
      <c r="C11" s="9"/>
    </row>
    <row r="12" spans="2:3" ht="16" x14ac:dyDescent="0.2">
      <c r="B12" s="13" t="s">
        <v>20</v>
      </c>
      <c r="C12" s="31">
        <f>C8/C10</f>
        <v>1.130612</v>
      </c>
    </row>
    <row r="13" spans="2:3" ht="16" x14ac:dyDescent="0.2">
      <c r="B13" s="9"/>
      <c r="C13" s="9"/>
    </row>
  </sheetData>
  <mergeCells count="1">
    <mergeCell ref="B2:C2"/>
  </mergeCells>
  <phoneticPr fontId="2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19"/>
  <sheetViews>
    <sheetView showGridLines="0" topLeftCell="A10" zoomScale="252" zoomScaleNormal="199" workbookViewId="0">
      <selection activeCell="C8" sqref="C8"/>
    </sheetView>
  </sheetViews>
  <sheetFormatPr baseColWidth="10" defaultRowHeight="13" x14ac:dyDescent="0.15"/>
  <cols>
    <col min="1" max="1" width="11.83203125" customWidth="1"/>
    <col min="2" max="2" width="5.5" customWidth="1"/>
    <col min="3" max="3" width="10.5" customWidth="1"/>
    <col min="4" max="4" width="12" customWidth="1"/>
    <col min="5" max="5" width="15.5" customWidth="1"/>
    <col min="6" max="6" width="10.6640625" customWidth="1"/>
    <col min="7" max="7" width="10.1640625" customWidth="1"/>
  </cols>
  <sheetData>
    <row r="3" spans="2:7" ht="18" x14ac:dyDescent="0.15">
      <c r="B3" s="52" t="s">
        <v>55</v>
      </c>
      <c r="C3" s="52"/>
      <c r="D3" s="52"/>
      <c r="E3" s="52"/>
      <c r="F3" s="52"/>
      <c r="G3" s="52"/>
    </row>
    <row r="5" spans="2:7" ht="41" customHeight="1" x14ac:dyDescent="0.15">
      <c r="B5" s="23" t="s">
        <v>11</v>
      </c>
      <c r="C5" s="23" t="s">
        <v>12</v>
      </c>
      <c r="D5" s="23" t="s">
        <v>9</v>
      </c>
      <c r="E5" s="24" t="s">
        <v>56</v>
      </c>
      <c r="F5" s="24" t="s">
        <v>14</v>
      </c>
      <c r="G5" s="24" t="s">
        <v>35</v>
      </c>
    </row>
    <row r="6" spans="2:7" ht="16" x14ac:dyDescent="0.2">
      <c r="B6" s="11">
        <v>0</v>
      </c>
      <c r="C6" s="47">
        <v>-250000</v>
      </c>
      <c r="D6" s="47"/>
      <c r="E6" s="47"/>
      <c r="F6" s="28">
        <f t="shared" ref="F6:F12" si="0">SUM(C6:E6)</f>
        <v>-250000</v>
      </c>
      <c r="G6" s="26">
        <v>0.14000000000000001</v>
      </c>
    </row>
    <row r="7" spans="2:7" ht="16" x14ac:dyDescent="0.2">
      <c r="B7" s="11">
        <v>1</v>
      </c>
      <c r="C7" s="47"/>
      <c r="D7" s="47">
        <v>68000</v>
      </c>
      <c r="E7" s="47">
        <v>0</v>
      </c>
      <c r="F7" s="28">
        <f t="shared" si="0"/>
        <v>68000</v>
      </c>
      <c r="G7" s="9"/>
    </row>
    <row r="8" spans="2:7" ht="16" x14ac:dyDescent="0.2">
      <c r="B8" s="11">
        <v>2</v>
      </c>
      <c r="C8" s="47"/>
      <c r="D8" s="47">
        <v>68000</v>
      </c>
      <c r="E8" s="47">
        <v>0</v>
      </c>
      <c r="F8" s="28">
        <f t="shared" si="0"/>
        <v>68000</v>
      </c>
      <c r="G8" s="9"/>
    </row>
    <row r="9" spans="2:7" ht="16" x14ac:dyDescent="0.2">
      <c r="B9" s="11">
        <v>3</v>
      </c>
      <c r="C9" s="47"/>
      <c r="D9" s="47">
        <v>68000</v>
      </c>
      <c r="E9" s="47">
        <v>0</v>
      </c>
      <c r="F9" s="28">
        <f t="shared" si="0"/>
        <v>68000</v>
      </c>
      <c r="G9" s="9"/>
    </row>
    <row r="10" spans="2:7" ht="16" x14ac:dyDescent="0.2">
      <c r="B10" s="11">
        <v>4</v>
      </c>
      <c r="C10" s="47"/>
      <c r="D10" s="47">
        <v>68000</v>
      </c>
      <c r="E10" s="47">
        <v>0</v>
      </c>
      <c r="F10" s="28">
        <f t="shared" si="0"/>
        <v>68000</v>
      </c>
      <c r="G10" s="9"/>
    </row>
    <row r="11" spans="2:7" ht="16" x14ac:dyDescent="0.2">
      <c r="B11" s="11">
        <v>5</v>
      </c>
      <c r="C11" s="47"/>
      <c r="D11" s="47">
        <v>68000</v>
      </c>
      <c r="E11" s="47">
        <v>0</v>
      </c>
      <c r="F11" s="28">
        <f t="shared" si="0"/>
        <v>68000</v>
      </c>
      <c r="G11" s="9"/>
    </row>
    <row r="12" spans="2:7" ht="16" x14ac:dyDescent="0.2">
      <c r="B12" s="11">
        <v>6</v>
      </c>
      <c r="C12" s="47"/>
      <c r="D12" s="47">
        <v>68000</v>
      </c>
      <c r="E12" s="47">
        <v>40000</v>
      </c>
      <c r="F12" s="28">
        <f t="shared" si="0"/>
        <v>108000</v>
      </c>
      <c r="G12" s="9"/>
    </row>
    <row r="13" spans="2:7" ht="16" x14ac:dyDescent="0.2">
      <c r="B13" s="9"/>
      <c r="C13" s="25"/>
      <c r="D13" s="25"/>
      <c r="E13" s="25"/>
      <c r="F13" s="25"/>
      <c r="G13" s="9"/>
    </row>
    <row r="14" spans="2:7" ht="34" customHeight="1" x14ac:dyDescent="0.2">
      <c r="B14" s="9"/>
      <c r="C14" s="53" t="s">
        <v>57</v>
      </c>
      <c r="D14" s="53"/>
      <c r="E14" s="28">
        <f>NPV(G6,E7:E12)</f>
        <v>18223.461907361936</v>
      </c>
      <c r="F14" s="30"/>
      <c r="G14" s="9"/>
    </row>
    <row r="17" spans="3:6" ht="34" customHeight="1" x14ac:dyDescent="0.15">
      <c r="C17" s="79" t="s">
        <v>81</v>
      </c>
      <c r="D17" s="79"/>
      <c r="E17" s="80" t="s">
        <v>82</v>
      </c>
      <c r="F17" s="80"/>
    </row>
    <row r="19" spans="3:6" ht="16" x14ac:dyDescent="0.15">
      <c r="C19" s="79" t="s">
        <v>81</v>
      </c>
      <c r="D19" s="79"/>
      <c r="E19" s="81">
        <f>F6+E14</f>
        <v>-231776.53809263807</v>
      </c>
    </row>
  </sheetData>
  <mergeCells count="5">
    <mergeCell ref="B3:G3"/>
    <mergeCell ref="C14:D14"/>
    <mergeCell ref="C17:D17"/>
    <mergeCell ref="C19:D19"/>
    <mergeCell ref="E17:F17"/>
  </mergeCells>
  <phoneticPr fontId="2" type="noConversion"/>
  <pageMargins left="0.75" right="0.75" top="1" bottom="1" header="0" footer="0"/>
  <headerFooter alignWithMargins="0"/>
  <ignoredErrors>
    <ignoredError sqref="F6:F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G59"/>
  <sheetViews>
    <sheetView showGridLines="0" topLeftCell="A10" zoomScale="169" zoomScaleNormal="200" workbookViewId="0">
      <selection activeCell="C30" sqref="C30"/>
    </sheetView>
  </sheetViews>
  <sheetFormatPr baseColWidth="10" defaultRowHeight="13" x14ac:dyDescent="0.15"/>
  <cols>
    <col min="1" max="1" width="8" customWidth="1"/>
    <col min="3" max="3" width="13.5" bestFit="1" customWidth="1"/>
    <col min="4" max="4" width="18.83203125" customWidth="1"/>
    <col min="6" max="6" width="20.33203125" bestFit="1" customWidth="1"/>
  </cols>
  <sheetData>
    <row r="6" spans="2:6" ht="18" x14ac:dyDescent="0.2">
      <c r="B6" s="32" t="s">
        <v>22</v>
      </c>
      <c r="C6" s="9"/>
      <c r="D6" s="9"/>
      <c r="E6" s="9"/>
    </row>
    <row r="7" spans="2:6" ht="16" x14ac:dyDescent="0.2">
      <c r="B7" s="10"/>
      <c r="C7" s="9"/>
      <c r="D7" s="9"/>
      <c r="E7" s="9"/>
    </row>
    <row r="8" spans="2:6" ht="18" x14ac:dyDescent="0.2">
      <c r="B8" s="9"/>
      <c r="C8" s="9"/>
      <c r="D8" s="11" t="s">
        <v>32</v>
      </c>
      <c r="E8" s="9"/>
    </row>
    <row r="9" spans="2:6" ht="16" x14ac:dyDescent="0.2">
      <c r="B9" s="12" t="s">
        <v>23</v>
      </c>
      <c r="C9" s="9" t="s">
        <v>24</v>
      </c>
      <c r="D9" s="11" t="s">
        <v>10</v>
      </c>
      <c r="E9" s="9"/>
    </row>
    <row r="10" spans="2:6" ht="16" x14ac:dyDescent="0.2">
      <c r="B10" s="9"/>
      <c r="C10" s="9"/>
      <c r="D10" s="11" t="s">
        <v>25</v>
      </c>
      <c r="E10" s="9"/>
    </row>
    <row r="11" spans="2:6" ht="16" x14ac:dyDescent="0.2">
      <c r="B11" s="9"/>
      <c r="C11" s="9"/>
      <c r="D11" s="9"/>
      <c r="E11" s="9"/>
    </row>
    <row r="12" spans="2:6" ht="16" x14ac:dyDescent="0.2">
      <c r="B12" s="13" t="s">
        <v>23</v>
      </c>
      <c r="C12" s="54" t="s">
        <v>26</v>
      </c>
      <c r="D12" s="54"/>
      <c r="E12" s="18">
        <f>250000-18223</f>
        <v>231777</v>
      </c>
    </row>
    <row r="13" spans="2:6" ht="16" x14ac:dyDescent="0.2">
      <c r="B13" s="13" t="s">
        <v>27</v>
      </c>
      <c r="C13" s="8" t="s">
        <v>28</v>
      </c>
      <c r="D13" s="8"/>
      <c r="E13" s="8" t="s">
        <v>45</v>
      </c>
      <c r="F13" s="8" t="s">
        <v>63</v>
      </c>
    </row>
    <row r="14" spans="2:6" ht="16" x14ac:dyDescent="0.2">
      <c r="B14" s="13" t="s">
        <v>25</v>
      </c>
      <c r="C14" s="54" t="s">
        <v>46</v>
      </c>
      <c r="D14" s="54"/>
      <c r="E14" s="19">
        <v>0.14000000000000001</v>
      </c>
    </row>
    <row r="15" spans="2:6" ht="16" x14ac:dyDescent="0.2">
      <c r="B15" s="13" t="s">
        <v>47</v>
      </c>
      <c r="C15" s="17" t="s">
        <v>48</v>
      </c>
      <c r="D15" s="20"/>
      <c r="E15" s="17">
        <v>6</v>
      </c>
    </row>
    <row r="16" spans="2:6" ht="16" x14ac:dyDescent="0.2">
      <c r="B16" s="12"/>
      <c r="C16" s="9"/>
      <c r="D16" s="9"/>
      <c r="E16" s="9"/>
    </row>
    <row r="17" spans="2:5" ht="16" x14ac:dyDescent="0.2">
      <c r="B17" s="9"/>
      <c r="C17" s="9"/>
      <c r="D17" s="9"/>
      <c r="E17" s="9"/>
    </row>
    <row r="18" spans="2:5" ht="16" x14ac:dyDescent="0.2">
      <c r="B18" s="9"/>
      <c r="C18" s="9"/>
      <c r="D18" s="11" t="s">
        <v>23</v>
      </c>
      <c r="E18" s="9"/>
    </row>
    <row r="19" spans="2:5" ht="16" x14ac:dyDescent="0.2">
      <c r="B19" s="13" t="s">
        <v>29</v>
      </c>
      <c r="C19" s="9"/>
      <c r="D19" s="11" t="s">
        <v>30</v>
      </c>
      <c r="E19" s="9"/>
    </row>
    <row r="20" spans="2:5" ht="18" x14ac:dyDescent="0.2">
      <c r="B20" s="9"/>
      <c r="C20" s="9"/>
      <c r="D20" s="11" t="s">
        <v>32</v>
      </c>
      <c r="E20" s="9"/>
    </row>
    <row r="21" spans="2:5" ht="16" x14ac:dyDescent="0.2">
      <c r="B21" s="9"/>
      <c r="C21" s="9" t="s">
        <v>31</v>
      </c>
      <c r="D21" s="11" t="s">
        <v>10</v>
      </c>
      <c r="E21" s="9"/>
    </row>
    <row r="22" spans="2:5" ht="16" x14ac:dyDescent="0.2">
      <c r="B22" s="9"/>
      <c r="C22" s="9"/>
      <c r="D22" s="11" t="s">
        <v>25</v>
      </c>
      <c r="E22" s="9"/>
    </row>
    <row r="23" spans="2:5" ht="16" x14ac:dyDescent="0.2">
      <c r="B23" s="9"/>
      <c r="C23" s="9"/>
      <c r="D23" s="9"/>
      <c r="E23" s="9"/>
    </row>
    <row r="24" spans="2:5" ht="16" x14ac:dyDescent="0.2">
      <c r="B24" s="9"/>
      <c r="C24" s="9"/>
      <c r="D24" s="11" t="s">
        <v>33</v>
      </c>
      <c r="E24" s="9"/>
    </row>
    <row r="25" spans="2:5" ht="16" x14ac:dyDescent="0.2">
      <c r="B25" s="13" t="s">
        <v>29</v>
      </c>
      <c r="D25" s="11" t="s">
        <v>30</v>
      </c>
      <c r="E25" s="9"/>
    </row>
    <row r="26" spans="2:5" x14ac:dyDescent="0.15">
      <c r="D26" s="33">
        <f>(1-(1+E14)^-E15)/E14</f>
        <v>3.8886675165425113</v>
      </c>
    </row>
    <row r="28" spans="2:5" ht="18" x14ac:dyDescent="0.2">
      <c r="B28" s="34" t="s">
        <v>34</v>
      </c>
      <c r="C28" s="55">
        <f>(250000-18223)/D26</f>
        <v>59603.192871083345</v>
      </c>
      <c r="D28" s="55"/>
    </row>
    <row r="30" spans="2:5" ht="18" x14ac:dyDescent="0.2">
      <c r="B30" s="34" t="s">
        <v>49</v>
      </c>
      <c r="C30" s="35">
        <f>-PMT(E14,E15,E12)</f>
        <v>59603.192871083374</v>
      </c>
    </row>
    <row r="49" spans="2:7" ht="32" customHeight="1" x14ac:dyDescent="0.15">
      <c r="B49" s="39" t="s">
        <v>11</v>
      </c>
      <c r="C49" s="39" t="s">
        <v>12</v>
      </c>
      <c r="D49" s="39" t="s">
        <v>9</v>
      </c>
      <c r="E49" s="51" t="s">
        <v>56</v>
      </c>
      <c r="F49" s="51" t="s">
        <v>14</v>
      </c>
      <c r="G49" s="24"/>
    </row>
    <row r="50" spans="2:7" ht="16" x14ac:dyDescent="0.2">
      <c r="B50" s="11">
        <v>0</v>
      </c>
      <c r="C50" s="47">
        <f>-E12</f>
        <v>-231777</v>
      </c>
      <c r="D50" s="47"/>
      <c r="E50" s="47"/>
      <c r="F50" s="28">
        <f t="shared" ref="F50:F56" si="0">SUM(C50:E50)</f>
        <v>-231777</v>
      </c>
      <c r="G50" s="26"/>
    </row>
    <row r="51" spans="2:7" ht="16" x14ac:dyDescent="0.2">
      <c r="B51" s="11">
        <v>1</v>
      </c>
      <c r="C51" s="47"/>
      <c r="D51" s="47">
        <f>C30</f>
        <v>59603.192871083374</v>
      </c>
      <c r="E51" s="47">
        <v>0</v>
      </c>
      <c r="F51" s="28">
        <f t="shared" si="0"/>
        <v>59603.192871083374</v>
      </c>
      <c r="G51" s="9"/>
    </row>
    <row r="52" spans="2:7" ht="16" x14ac:dyDescent="0.2">
      <c r="B52" s="11">
        <v>2</v>
      </c>
      <c r="C52" s="47"/>
      <c r="D52" s="47">
        <f>D51</f>
        <v>59603.192871083374</v>
      </c>
      <c r="E52" s="47">
        <v>0</v>
      </c>
      <c r="F52" s="28">
        <f t="shared" si="0"/>
        <v>59603.192871083374</v>
      </c>
      <c r="G52" s="9"/>
    </row>
    <row r="53" spans="2:7" ht="16" x14ac:dyDescent="0.2">
      <c r="B53" s="11">
        <v>3</v>
      </c>
      <c r="C53" s="47"/>
      <c r="D53" s="47">
        <f t="shared" ref="D53:D56" si="1">D52</f>
        <v>59603.192871083374</v>
      </c>
      <c r="E53" s="47">
        <v>0</v>
      </c>
      <c r="F53" s="28">
        <f t="shared" si="0"/>
        <v>59603.192871083374</v>
      </c>
      <c r="G53" s="9"/>
    </row>
    <row r="54" spans="2:7" ht="16" x14ac:dyDescent="0.2">
      <c r="B54" s="11">
        <v>4</v>
      </c>
      <c r="C54" s="47"/>
      <c r="D54" s="47">
        <f t="shared" si="1"/>
        <v>59603.192871083374</v>
      </c>
      <c r="E54" s="47">
        <v>0</v>
      </c>
      <c r="F54" s="28">
        <f t="shared" si="0"/>
        <v>59603.192871083374</v>
      </c>
      <c r="G54" s="9"/>
    </row>
    <row r="55" spans="2:7" ht="16" x14ac:dyDescent="0.2">
      <c r="B55" s="11">
        <v>5</v>
      </c>
      <c r="C55" s="47"/>
      <c r="D55" s="47">
        <f t="shared" si="1"/>
        <v>59603.192871083374</v>
      </c>
      <c r="E55" s="47">
        <v>0</v>
      </c>
      <c r="F55" s="28">
        <f t="shared" si="0"/>
        <v>59603.192871083374</v>
      </c>
      <c r="G55" s="9"/>
    </row>
    <row r="56" spans="2:7" ht="16" x14ac:dyDescent="0.2">
      <c r="B56" s="11">
        <v>6</v>
      </c>
      <c r="C56" s="47"/>
      <c r="D56" s="47">
        <f t="shared" si="1"/>
        <v>59603.192871083374</v>
      </c>
      <c r="E56" s="47">
        <v>0</v>
      </c>
      <c r="F56" s="28">
        <f t="shared" si="0"/>
        <v>59603.192871083374</v>
      </c>
      <c r="G56" s="9"/>
    </row>
    <row r="59" spans="2:7" ht="16" x14ac:dyDescent="0.15">
      <c r="E59" s="49" t="s">
        <v>71</v>
      </c>
      <c r="F59" s="50">
        <f>IRR(F50:F56)</f>
        <v>0.1399999999999999</v>
      </c>
    </row>
  </sheetData>
  <mergeCells count="3">
    <mergeCell ref="C12:D12"/>
    <mergeCell ref="C28:D28"/>
    <mergeCell ref="C14:D14"/>
  </mergeCells>
  <phoneticPr fontId="2" type="noConversion"/>
  <pageMargins left="0.75" right="0.75" top="1" bottom="1" header="0" footer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C3A0-9782-AE46-9F11-A4FD5356A259}">
  <dimension ref="B2:F18"/>
  <sheetViews>
    <sheetView showGridLines="0" zoomScale="200" zoomScaleNormal="200" workbookViewId="0">
      <selection activeCell="E21" sqref="E21"/>
    </sheetView>
  </sheetViews>
  <sheetFormatPr baseColWidth="10" defaultRowHeight="13" x14ac:dyDescent="0.15"/>
  <cols>
    <col min="1" max="1" width="10.83203125" style="63"/>
    <col min="2" max="2" width="12.5" style="63" customWidth="1"/>
    <col min="3" max="3" width="11.1640625" style="63" bestFit="1" customWidth="1"/>
    <col min="4" max="4" width="10.83203125" style="63"/>
    <col min="5" max="5" width="15.83203125" style="63" customWidth="1"/>
    <col min="6" max="6" width="15.5" style="63" customWidth="1"/>
    <col min="7" max="16384" width="10.83203125" style="63"/>
  </cols>
  <sheetData>
    <row r="2" spans="2:6" ht="16" x14ac:dyDescent="0.15">
      <c r="B2" s="61" t="s">
        <v>73</v>
      </c>
      <c r="C2" s="62">
        <f>-'VP Capital de Trabajo'!E19</f>
        <v>231776.53809263807</v>
      </c>
    </row>
    <row r="3" spans="2:6" ht="16" x14ac:dyDescent="0.15">
      <c r="B3" s="61" t="s">
        <v>74</v>
      </c>
      <c r="C3" s="64">
        <f>Sensibilizando!E15</f>
        <v>6</v>
      </c>
    </row>
    <row r="4" spans="2:6" ht="16" x14ac:dyDescent="0.15">
      <c r="B4" s="61" t="s">
        <v>75</v>
      </c>
      <c r="C4" s="65">
        <f>Sensibilizando!E14</f>
        <v>0.14000000000000001</v>
      </c>
    </row>
    <row r="6" spans="2:6" ht="18" x14ac:dyDescent="0.15">
      <c r="B6" s="66" t="s">
        <v>76</v>
      </c>
      <c r="C6" s="66"/>
      <c r="D6" s="66"/>
      <c r="E6" s="66"/>
      <c r="F6" s="66"/>
    </row>
    <row r="7" spans="2:6" ht="14" thickBot="1" x14ac:dyDescent="0.2"/>
    <row r="8" spans="2:6" ht="17" thickBot="1" x14ac:dyDescent="0.2">
      <c r="B8" s="67" t="s">
        <v>11</v>
      </c>
      <c r="C8" s="67" t="s">
        <v>63</v>
      </c>
      <c r="D8" s="67" t="s">
        <v>77</v>
      </c>
      <c r="E8" s="67" t="s">
        <v>78</v>
      </c>
      <c r="F8" s="67" t="s">
        <v>79</v>
      </c>
    </row>
    <row r="9" spans="2:6" x14ac:dyDescent="0.15">
      <c r="B9" s="68">
        <v>0</v>
      </c>
      <c r="C9" s="69"/>
      <c r="D9" s="69"/>
      <c r="E9" s="69"/>
      <c r="F9" s="70">
        <f>C2</f>
        <v>231776.53809263807</v>
      </c>
    </row>
    <row r="10" spans="2:6" x14ac:dyDescent="0.15">
      <c r="B10" s="71">
        <v>1</v>
      </c>
      <c r="C10" s="72">
        <f>-PMT(C4,C3,C2)</f>
        <v>59603.074088142959</v>
      </c>
      <c r="D10" s="72">
        <f>C10-E10</f>
        <v>27154.358755173627</v>
      </c>
      <c r="E10" s="72">
        <f>F9*0.14</f>
        <v>32448.715332969332</v>
      </c>
      <c r="F10" s="73">
        <f>F9-D10</f>
        <v>204622.17933746445</v>
      </c>
    </row>
    <row r="11" spans="2:6" x14ac:dyDescent="0.15">
      <c r="B11" s="71">
        <v>2</v>
      </c>
      <c r="C11" s="72">
        <f>C10</f>
        <v>59603.074088142959</v>
      </c>
      <c r="D11" s="72">
        <f>C11-E11</f>
        <v>30955.968980897935</v>
      </c>
      <c r="E11" s="72">
        <f>F10*0.14</f>
        <v>28647.105107245025</v>
      </c>
      <c r="F11" s="73">
        <f>F10-D11</f>
        <v>173666.2103565665</v>
      </c>
    </row>
    <row r="12" spans="2:6" x14ac:dyDescent="0.15">
      <c r="B12" s="71">
        <v>3</v>
      </c>
      <c r="C12" s="72">
        <f>C11</f>
        <v>59603.074088142959</v>
      </c>
      <c r="D12" s="72">
        <f>C12-E12</f>
        <v>35289.80463822365</v>
      </c>
      <c r="E12" s="72">
        <f>F11*0.14</f>
        <v>24313.269449919313</v>
      </c>
      <c r="F12" s="73">
        <f>F11-D12</f>
        <v>138376.40571834287</v>
      </c>
    </row>
    <row r="13" spans="2:6" x14ac:dyDescent="0.15">
      <c r="B13" s="71">
        <v>4</v>
      </c>
      <c r="C13" s="72">
        <f>C12</f>
        <v>59603.074088142959</v>
      </c>
      <c r="D13" s="72">
        <f>C13-E13</f>
        <v>40230.377287574956</v>
      </c>
      <c r="E13" s="72">
        <f>F12*0.14</f>
        <v>19372.696800568003</v>
      </c>
      <c r="F13" s="73">
        <f>F12-D13</f>
        <v>98146.02843076791</v>
      </c>
    </row>
    <row r="14" spans="2:6" x14ac:dyDescent="0.15">
      <c r="B14" s="71">
        <v>5</v>
      </c>
      <c r="C14" s="72">
        <f>C13</f>
        <v>59603.074088142959</v>
      </c>
      <c r="D14" s="72">
        <f>C14-E14</f>
        <v>45862.630107835452</v>
      </c>
      <c r="E14" s="72">
        <f>F13*0.14</f>
        <v>13740.443980307509</v>
      </c>
      <c r="F14" s="73">
        <f>F13-D14</f>
        <v>52283.398322932459</v>
      </c>
    </row>
    <row r="15" spans="2:6" ht="14" thickBot="1" x14ac:dyDescent="0.2">
      <c r="B15" s="74">
        <v>6</v>
      </c>
      <c r="C15" s="75">
        <f t="shared" ref="C15" si="0">C14</f>
        <v>59603.074088142959</v>
      </c>
      <c r="D15" s="75">
        <f>C15-E15</f>
        <v>52283.398322932415</v>
      </c>
      <c r="E15" s="75">
        <f>F14*0.14</f>
        <v>7319.6757652105453</v>
      </c>
      <c r="F15" s="76">
        <f>F14-D15</f>
        <v>0</v>
      </c>
    </row>
    <row r="16" spans="2:6" ht="14" thickBot="1" x14ac:dyDescent="0.2"/>
    <row r="17" spans="2:3" ht="15" thickTop="1" thickBot="1" x14ac:dyDescent="0.2">
      <c r="B17" s="77" t="s">
        <v>80</v>
      </c>
      <c r="C17" s="78">
        <f>NPV(C4,C10:C15)</f>
        <v>231776.53809263799</v>
      </c>
    </row>
    <row r="18" spans="2:3" ht="14" thickTop="1" x14ac:dyDescent="0.15"/>
  </sheetData>
  <mergeCells count="1">
    <mergeCell ref="B6:F6"/>
  </mergeCells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23"/>
  <sheetViews>
    <sheetView showGridLines="0" topLeftCell="A2" zoomScale="176" zoomScaleNormal="176" workbookViewId="0">
      <selection activeCell="E13" sqref="E13"/>
    </sheetView>
  </sheetViews>
  <sheetFormatPr baseColWidth="10" defaultRowHeight="13" x14ac:dyDescent="0.15"/>
  <cols>
    <col min="1" max="1" width="4.83203125" customWidth="1"/>
    <col min="2" max="2" width="10.83203125" customWidth="1"/>
  </cols>
  <sheetData>
    <row r="2" spans="2:12" ht="26" customHeight="1" x14ac:dyDescent="0.15">
      <c r="B2" s="58" t="s">
        <v>70</v>
      </c>
      <c r="C2" s="58"/>
      <c r="D2" s="58"/>
      <c r="E2" s="58"/>
      <c r="F2" s="58"/>
      <c r="G2" s="58"/>
      <c r="H2" s="58"/>
      <c r="I2" s="58"/>
      <c r="J2" s="58"/>
      <c r="K2" s="58"/>
      <c r="L2" s="58"/>
    </row>
    <row r="4" spans="2:12" ht="35" customHeight="1" x14ac:dyDescent="0.15">
      <c r="B4" s="59" t="s">
        <v>62</v>
      </c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2:12" ht="35" customHeight="1" x14ac:dyDescent="0.15">
      <c r="B5" s="59" t="s">
        <v>58</v>
      </c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2:12" ht="34" customHeight="1" x14ac:dyDescent="0.15">
      <c r="B6" s="59" t="s">
        <v>59</v>
      </c>
      <c r="C6" s="59"/>
      <c r="D6" s="59"/>
      <c r="E6" s="59"/>
      <c r="F6" s="59"/>
      <c r="G6" s="59"/>
      <c r="H6" s="59"/>
      <c r="I6" s="59"/>
      <c r="J6" s="59"/>
      <c r="K6" s="59"/>
      <c r="L6" s="59"/>
    </row>
    <row r="7" spans="2:12" ht="20" customHeight="1" x14ac:dyDescent="0.15">
      <c r="B7" s="60" t="s">
        <v>60</v>
      </c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2:12" ht="34" customHeight="1" x14ac:dyDescent="0.15">
      <c r="B8" s="58" t="s">
        <v>61</v>
      </c>
      <c r="C8" s="58"/>
      <c r="D8" s="58"/>
      <c r="E8" s="58"/>
      <c r="F8" s="58"/>
      <c r="G8" s="58"/>
      <c r="H8" s="58"/>
      <c r="I8" s="58"/>
      <c r="J8" s="58"/>
      <c r="K8" s="58"/>
      <c r="L8" s="58"/>
    </row>
    <row r="11" spans="2:12" ht="18" x14ac:dyDescent="0.15">
      <c r="B11" s="52" t="s">
        <v>64</v>
      </c>
      <c r="C11" s="52"/>
      <c r="D11" s="52"/>
      <c r="E11" s="52"/>
    </row>
    <row r="13" spans="2:12" ht="16" x14ac:dyDescent="0.2">
      <c r="B13" s="56" t="s">
        <v>2</v>
      </c>
      <c r="C13" s="56"/>
      <c r="D13" s="56"/>
      <c r="E13" s="29">
        <f>E17+E14+E15</f>
        <v>136005.32145180562</v>
      </c>
    </row>
    <row r="14" spans="2:12" ht="16" x14ac:dyDescent="0.2">
      <c r="B14" s="57" t="s">
        <v>3</v>
      </c>
      <c r="C14" s="57"/>
      <c r="D14" s="57"/>
      <c r="E14" s="48">
        <v>60000</v>
      </c>
    </row>
    <row r="15" spans="2:12" ht="16" x14ac:dyDescent="0.2">
      <c r="B15" s="57" t="s">
        <v>4</v>
      </c>
      <c r="C15" s="57"/>
      <c r="D15" s="57"/>
      <c r="E15" s="48">
        <f>210000/6</f>
        <v>35000</v>
      </c>
    </row>
    <row r="16" spans="2:12" ht="16" x14ac:dyDescent="0.2">
      <c r="B16" s="9"/>
      <c r="E16" s="48" t="s">
        <v>10</v>
      </c>
    </row>
    <row r="17" spans="2:5" ht="16" x14ac:dyDescent="0.2">
      <c r="B17" s="57" t="s">
        <v>5</v>
      </c>
      <c r="C17" s="57"/>
      <c r="D17" s="57"/>
      <c r="E17" s="48">
        <f>E20/0.6</f>
        <v>41005.321451805627</v>
      </c>
    </row>
    <row r="18" spans="2:5" ht="16" x14ac:dyDescent="0.2">
      <c r="B18" s="57" t="s">
        <v>6</v>
      </c>
      <c r="C18" s="57"/>
      <c r="D18" s="57"/>
      <c r="E18" s="48">
        <f>E17*0.4</f>
        <v>16402.128580722252</v>
      </c>
    </row>
    <row r="19" spans="2:5" ht="16" x14ac:dyDescent="0.2">
      <c r="B19" s="9"/>
      <c r="E19" s="48" t="s">
        <v>10</v>
      </c>
    </row>
    <row r="20" spans="2:5" ht="16" x14ac:dyDescent="0.2">
      <c r="B20" s="57" t="s">
        <v>7</v>
      </c>
      <c r="C20" s="57"/>
      <c r="D20" s="57"/>
      <c r="E20" s="48">
        <f>E23-E21</f>
        <v>24603.192871083374</v>
      </c>
    </row>
    <row r="21" spans="2:5" ht="16" x14ac:dyDescent="0.2">
      <c r="B21" s="57" t="s">
        <v>8</v>
      </c>
      <c r="C21" s="57"/>
      <c r="D21" s="57"/>
      <c r="E21" s="48">
        <f>E15</f>
        <v>35000</v>
      </c>
    </row>
    <row r="22" spans="2:5" ht="16" x14ac:dyDescent="0.2">
      <c r="B22" s="9"/>
      <c r="E22" s="48" t="s">
        <v>10</v>
      </c>
    </row>
    <row r="23" spans="2:5" ht="16" x14ac:dyDescent="0.2">
      <c r="B23" s="56" t="s">
        <v>9</v>
      </c>
      <c r="C23" s="56"/>
      <c r="D23" s="56"/>
      <c r="E23" s="29">
        <f>Sensibilizando!C30</f>
        <v>59603.192871083374</v>
      </c>
    </row>
  </sheetData>
  <mergeCells count="15">
    <mergeCell ref="B2:L2"/>
    <mergeCell ref="B17:D17"/>
    <mergeCell ref="B18:D18"/>
    <mergeCell ref="B20:D20"/>
    <mergeCell ref="B21:D21"/>
    <mergeCell ref="B4:L4"/>
    <mergeCell ref="B5:L5"/>
    <mergeCell ref="B6:L6"/>
    <mergeCell ref="B7:L7"/>
    <mergeCell ref="B8:L8"/>
    <mergeCell ref="B23:D23"/>
    <mergeCell ref="B11:E11"/>
    <mergeCell ref="B13:D13"/>
    <mergeCell ref="B14:D14"/>
    <mergeCell ref="B15:D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7"/>
  <sheetViews>
    <sheetView showGridLines="0" tabSelected="1" zoomScale="170" zoomScaleNormal="170" workbookViewId="0"/>
  </sheetViews>
  <sheetFormatPr baseColWidth="10" defaultRowHeight="13" x14ac:dyDescent="0.15"/>
  <cols>
    <col min="1" max="1" width="2.83203125" customWidth="1"/>
    <col min="2" max="2" width="21.6640625" customWidth="1"/>
    <col min="3" max="3" width="40.6640625" customWidth="1"/>
    <col min="5" max="5" width="17.6640625" customWidth="1"/>
    <col min="6" max="6" width="20.6640625" customWidth="1"/>
    <col min="7" max="7" width="21.83203125" customWidth="1"/>
  </cols>
  <sheetData>
    <row r="1" spans="2:7" ht="13" customHeight="1" x14ac:dyDescent="0.15"/>
    <row r="2" spans="2:7" ht="13" customHeight="1" x14ac:dyDescent="0.15">
      <c r="B2" s="37"/>
      <c r="C2" s="37"/>
      <c r="D2" s="37"/>
      <c r="E2" s="37"/>
      <c r="F2" s="37"/>
      <c r="G2" s="37"/>
    </row>
    <row r="3" spans="2:7" ht="30" customHeight="1" x14ac:dyDescent="0.15">
      <c r="B3" s="58" t="s">
        <v>69</v>
      </c>
      <c r="C3" s="58"/>
      <c r="D3" s="37"/>
      <c r="E3" s="58" t="s">
        <v>68</v>
      </c>
      <c r="F3" s="58"/>
      <c r="G3" s="58"/>
    </row>
    <row r="4" spans="2:7" ht="25" customHeight="1" x14ac:dyDescent="0.15">
      <c r="B4" s="37"/>
      <c r="C4" s="37"/>
      <c r="D4" s="37"/>
      <c r="E4" s="37"/>
      <c r="F4" s="37"/>
      <c r="G4" s="37"/>
    </row>
    <row r="5" spans="2:7" x14ac:dyDescent="0.15">
      <c r="C5" s="3" t="s">
        <v>37</v>
      </c>
      <c r="F5" s="3" t="s">
        <v>37</v>
      </c>
    </row>
    <row r="6" spans="2:7" x14ac:dyDescent="0.15">
      <c r="B6" s="5" t="s">
        <v>36</v>
      </c>
      <c r="C6" t="s">
        <v>39</v>
      </c>
      <c r="E6" s="44" t="s">
        <v>42</v>
      </c>
      <c r="F6" s="15" t="s">
        <v>44</v>
      </c>
    </row>
    <row r="7" spans="2:7" x14ac:dyDescent="0.15">
      <c r="B7" s="5"/>
      <c r="C7" s="3" t="s">
        <v>38</v>
      </c>
      <c r="F7" s="3" t="s">
        <v>43</v>
      </c>
    </row>
    <row r="8" spans="2:7" x14ac:dyDescent="0.15">
      <c r="B8" s="5"/>
    </row>
    <row r="9" spans="2:7" x14ac:dyDescent="0.15">
      <c r="B9" s="5"/>
      <c r="C9" s="82">
        <f>'Contribución Marginal'!E13</f>
        <v>136005.32145180562</v>
      </c>
      <c r="F9" s="16">
        <f>C13</f>
        <v>136005.32145180562</v>
      </c>
    </row>
    <row r="10" spans="2:7" x14ac:dyDescent="0.15">
      <c r="B10" s="5" t="s">
        <v>36</v>
      </c>
      <c r="C10" s="83" t="s">
        <v>39</v>
      </c>
      <c r="E10" s="44" t="s">
        <v>42</v>
      </c>
      <c r="F10" s="15" t="s">
        <v>44</v>
      </c>
    </row>
    <row r="11" spans="2:7" x14ac:dyDescent="0.15">
      <c r="B11" s="5"/>
      <c r="C11" s="3" t="s">
        <v>40</v>
      </c>
      <c r="F11" s="3">
        <v>50000</v>
      </c>
      <c r="G11" s="1"/>
    </row>
    <row r="12" spans="2:7" x14ac:dyDescent="0.15">
      <c r="B12" s="5"/>
      <c r="C12" s="6"/>
    </row>
    <row r="13" spans="2:7" ht="29" customHeight="1" x14ac:dyDescent="0.15">
      <c r="B13" s="5"/>
      <c r="C13" s="36">
        <f>C9</f>
        <v>136005.32145180562</v>
      </c>
      <c r="E13" s="44" t="s">
        <v>42</v>
      </c>
      <c r="F13" s="41">
        <f>F9/F11</f>
        <v>2.7201064290361123</v>
      </c>
      <c r="G13" s="40" t="s">
        <v>65</v>
      </c>
    </row>
    <row r="14" spans="2:7" x14ac:dyDescent="0.15">
      <c r="B14" s="5" t="s">
        <v>36</v>
      </c>
      <c r="C14" s="7" t="s">
        <v>41</v>
      </c>
    </row>
    <row r="15" spans="2:7" ht="28" x14ac:dyDescent="0.15">
      <c r="C15" s="84">
        <f>(8-5)</f>
        <v>3</v>
      </c>
      <c r="E15" s="42" t="s">
        <v>66</v>
      </c>
      <c r="F15" s="43">
        <v>5</v>
      </c>
    </row>
    <row r="17" spans="2:7" x14ac:dyDescent="0.15">
      <c r="B17" s="1" t="s">
        <v>36</v>
      </c>
      <c r="C17" s="14">
        <f>C13/C15</f>
        <v>45335.107150601871</v>
      </c>
      <c r="E17" s="44" t="s">
        <v>42</v>
      </c>
      <c r="F17" s="41">
        <f>F13+F15</f>
        <v>7.7201064290361128</v>
      </c>
      <c r="G17" s="1" t="s">
        <v>67</v>
      </c>
    </row>
  </sheetData>
  <mergeCells count="2">
    <mergeCell ref="E3:G3"/>
    <mergeCell ref="B3:C3"/>
  </mergeCells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Flujo</vt:lpstr>
      <vt:lpstr>VPN</vt:lpstr>
      <vt:lpstr>TIR</vt:lpstr>
      <vt:lpstr>Índice</vt:lpstr>
      <vt:lpstr>VP Capital de Trabajo</vt:lpstr>
      <vt:lpstr>Sensibilizando</vt:lpstr>
      <vt:lpstr>Tabla de amortización</vt:lpstr>
      <vt:lpstr>Contribución Marginal</vt:lpstr>
      <vt:lpstr>Unidades</vt:lpstr>
    </vt:vector>
  </TitlesOfParts>
  <Company>Jorge Quiroga Garza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Métodos de Evaluación</dc:title>
  <dc:creator>Jorge Quiroga Garza</dc:creator>
  <cp:lastModifiedBy>Microsoft Office User</cp:lastModifiedBy>
  <dcterms:created xsi:type="dcterms:W3CDTF">2007-03-11T23:42:42Z</dcterms:created>
  <dcterms:modified xsi:type="dcterms:W3CDTF">2022-10-19T16:33:40Z</dcterms:modified>
</cp:coreProperties>
</file>