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sk d\MATLABSECTION\نهاد_PGEC PROJECT\نهائي\"/>
    </mc:Choice>
  </mc:AlternateContent>
  <xr:revisionPtr revIDLastSave="0" documentId="13_ncr:1_{67BC01D0-D631-4925-94D7-74B5A2674B1F}" xr6:coauthVersionLast="47" xr6:coauthVersionMax="47" xr10:uidLastSave="{00000000-0000-0000-0000-000000000000}"/>
  <bookViews>
    <workbookView xWindow="-120" yWindow="-120" windowWidth="20730" windowHeight="11160" activeTab="2" xr2:uid="{8369E107-E9A7-45A0-8B90-291197148DF7}"/>
  </bookViews>
  <sheets>
    <sheet name="Material Composition " sheetId="4" r:id="rId1"/>
    <sheet name="Validation " sheetId="3" r:id="rId2"/>
    <sheet name="Results" sheetId="6" r:id="rId3"/>
    <sheet name="Lattice Calculations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6" l="1"/>
  <c r="J25" i="6"/>
  <c r="I25" i="6"/>
  <c r="J46" i="6"/>
  <c r="J47" i="6"/>
  <c r="J48" i="6"/>
  <c r="J49" i="6"/>
  <c r="J50" i="6"/>
  <c r="J51" i="6"/>
  <c r="J52" i="6"/>
  <c r="J45" i="6"/>
  <c r="I46" i="6"/>
  <c r="I47" i="6"/>
  <c r="I48" i="6"/>
  <c r="I49" i="6"/>
  <c r="I50" i="6"/>
  <c r="I51" i="6"/>
  <c r="I52" i="6"/>
  <c r="I45" i="6"/>
  <c r="J26" i="6"/>
  <c r="J27" i="6"/>
  <c r="J28" i="6"/>
  <c r="J29" i="6"/>
  <c r="J30" i="6"/>
  <c r="J31" i="6"/>
  <c r="J32" i="6"/>
  <c r="I26" i="6"/>
  <c r="I27" i="6"/>
  <c r="I29" i="6"/>
  <c r="I30" i="6"/>
  <c r="I31" i="6"/>
  <c r="I32" i="6"/>
  <c r="J16" i="6"/>
  <c r="J17" i="6"/>
  <c r="J18" i="6"/>
  <c r="J19" i="6"/>
  <c r="J20" i="6"/>
  <c r="J21" i="6"/>
  <c r="J22" i="6"/>
  <c r="J15" i="6"/>
  <c r="I16" i="6"/>
  <c r="I17" i="6"/>
  <c r="I18" i="6"/>
  <c r="I19" i="6"/>
  <c r="I20" i="6"/>
  <c r="I21" i="6"/>
  <c r="I22" i="6"/>
  <c r="I15" i="6"/>
  <c r="J6" i="6"/>
  <c r="J7" i="6"/>
  <c r="J8" i="6"/>
  <c r="J9" i="6"/>
  <c r="J10" i="6"/>
  <c r="J11" i="6"/>
  <c r="J12" i="6"/>
  <c r="J5" i="6"/>
  <c r="I6" i="6"/>
  <c r="I7" i="6"/>
  <c r="I8" i="6"/>
  <c r="I9" i="6"/>
  <c r="I10" i="6"/>
  <c r="I11" i="6"/>
  <c r="I12" i="6"/>
  <c r="I5" i="6"/>
  <c r="J36" i="6"/>
  <c r="J37" i="6"/>
  <c r="J38" i="6"/>
  <c r="J39" i="6"/>
  <c r="J40" i="6"/>
  <c r="J41" i="6"/>
  <c r="J42" i="6"/>
  <c r="J35" i="6"/>
  <c r="I36" i="6"/>
  <c r="I37" i="6"/>
  <c r="I38" i="6"/>
  <c r="I39" i="6"/>
  <c r="I40" i="6"/>
  <c r="I41" i="6"/>
  <c r="I42" i="6"/>
  <c r="I35" i="6"/>
  <c r="H25" i="3"/>
  <c r="F5" i="3"/>
  <c r="D32" i="6"/>
  <c r="D30" i="6"/>
  <c r="E30" i="6" s="1"/>
  <c r="F30" i="6" s="1"/>
  <c r="H30" i="6" s="1"/>
  <c r="D31" i="6"/>
  <c r="E31" i="6" s="1"/>
  <c r="F31" i="6" s="1"/>
  <c r="H31" i="6" s="1"/>
  <c r="D28" i="6"/>
  <c r="D29" i="6"/>
  <c r="D27" i="6"/>
  <c r="E27" i="6" s="1"/>
  <c r="F27" i="6" s="1"/>
  <c r="D26" i="6"/>
  <c r="E26" i="6" s="1"/>
  <c r="F26" i="6" s="1"/>
  <c r="D25" i="6"/>
  <c r="D52" i="6"/>
  <c r="D51" i="6"/>
  <c r="D50" i="6"/>
  <c r="D49" i="6"/>
  <c r="D48" i="6"/>
  <c r="D47" i="6"/>
  <c r="E47" i="6" s="1"/>
  <c r="F47" i="6" s="1"/>
  <c r="H47" i="6" s="1"/>
  <c r="D46" i="6"/>
  <c r="E46" i="6" s="1"/>
  <c r="F46" i="6" s="1"/>
  <c r="D45" i="6"/>
  <c r="E49" i="6"/>
  <c r="F49" i="6" s="1"/>
  <c r="H49" i="6" s="1"/>
  <c r="E50" i="6"/>
  <c r="F50" i="6" s="1"/>
  <c r="H50" i="6" s="1"/>
  <c r="G52" i="6"/>
  <c r="G51" i="6"/>
  <c r="G50" i="6"/>
  <c r="G49" i="6"/>
  <c r="G48" i="6"/>
  <c r="G47" i="6"/>
  <c r="G46" i="6"/>
  <c r="G45" i="6"/>
  <c r="G42" i="6"/>
  <c r="G41" i="6"/>
  <c r="G40" i="6"/>
  <c r="G39" i="6"/>
  <c r="G38" i="6"/>
  <c r="G37" i="6"/>
  <c r="G36" i="6"/>
  <c r="G35" i="6"/>
  <c r="G27" i="6"/>
  <c r="G28" i="6"/>
  <c r="G29" i="6"/>
  <c r="G30" i="6"/>
  <c r="G31" i="6"/>
  <c r="G32" i="6"/>
  <c r="G26" i="6"/>
  <c r="G25" i="6"/>
  <c r="G22" i="6"/>
  <c r="G21" i="6"/>
  <c r="G20" i="6"/>
  <c r="G19" i="6"/>
  <c r="G18" i="6"/>
  <c r="G17" i="6"/>
  <c r="G16" i="6"/>
  <c r="G15" i="6"/>
  <c r="D41" i="6"/>
  <c r="D42" i="6"/>
  <c r="E42" i="6" s="1"/>
  <c r="F42" i="6" s="1"/>
  <c r="D40" i="6"/>
  <c r="E40" i="6" s="1"/>
  <c r="F40" i="6" s="1"/>
  <c r="D39" i="6"/>
  <c r="D38" i="6"/>
  <c r="D37" i="6"/>
  <c r="E37" i="6" s="1"/>
  <c r="F37" i="6" s="1"/>
  <c r="H37" i="6" s="1"/>
  <c r="D35" i="6"/>
  <c r="D36" i="6"/>
  <c r="E36" i="6" s="1"/>
  <c r="F36" i="6" s="1"/>
  <c r="E29" i="6"/>
  <c r="F29" i="6" s="1"/>
  <c r="D22" i="6"/>
  <c r="D21" i="6"/>
  <c r="E21" i="6" s="1"/>
  <c r="F21" i="6" s="1"/>
  <c r="D20" i="6"/>
  <c r="E20" i="6" s="1"/>
  <c r="F20" i="6" s="1"/>
  <c r="H20" i="6" s="1"/>
  <c r="D19" i="6"/>
  <c r="D18" i="6"/>
  <c r="C52" i="6"/>
  <c r="C51" i="6"/>
  <c r="C50" i="6"/>
  <c r="C49" i="6"/>
  <c r="C48" i="6"/>
  <c r="C47" i="6"/>
  <c r="C46" i="6"/>
  <c r="C45" i="6"/>
  <c r="D17" i="6"/>
  <c r="E17" i="6" s="1"/>
  <c r="F17" i="6" s="1"/>
  <c r="C42" i="6"/>
  <c r="C41" i="6"/>
  <c r="C40" i="6"/>
  <c r="C39" i="6"/>
  <c r="E39" i="6" s="1"/>
  <c r="F39" i="6" s="1"/>
  <c r="C38" i="6"/>
  <c r="E38" i="6" s="1"/>
  <c r="F38" i="6" s="1"/>
  <c r="C37" i="6"/>
  <c r="C36" i="6"/>
  <c r="C35" i="6"/>
  <c r="E35" i="6" s="1"/>
  <c r="F35" i="6" s="1"/>
  <c r="D16" i="6"/>
  <c r="C32" i="6"/>
  <c r="C31" i="6"/>
  <c r="C30" i="6"/>
  <c r="C29" i="6"/>
  <c r="C28" i="6"/>
  <c r="C27" i="6"/>
  <c r="C26" i="6"/>
  <c r="C25" i="6"/>
  <c r="E15" i="6"/>
  <c r="F15" i="6" s="1"/>
  <c r="H15" i="6" s="1"/>
  <c r="D15" i="6"/>
  <c r="C22" i="6"/>
  <c r="C21" i="6"/>
  <c r="C20" i="6"/>
  <c r="C19" i="6"/>
  <c r="C18" i="6"/>
  <c r="C17" i="6"/>
  <c r="C16" i="6"/>
  <c r="E16" i="6" s="1"/>
  <c r="F16" i="6" s="1"/>
  <c r="C15" i="6"/>
  <c r="D12" i="6"/>
  <c r="D11" i="6"/>
  <c r="D10" i="6"/>
  <c r="D9" i="6"/>
  <c r="D8" i="6"/>
  <c r="D7" i="6"/>
  <c r="D6" i="6"/>
  <c r="E6" i="6" s="1"/>
  <c r="F6" i="6" s="1"/>
  <c r="D5" i="6"/>
  <c r="G12" i="6"/>
  <c r="G11" i="6"/>
  <c r="G10" i="6"/>
  <c r="G9" i="6"/>
  <c r="G8" i="6"/>
  <c r="G7" i="6"/>
  <c r="G6" i="6"/>
  <c r="H6" i="6" s="1"/>
  <c r="G5" i="6"/>
  <c r="C12" i="6"/>
  <c r="C11" i="6"/>
  <c r="C10" i="6"/>
  <c r="C9" i="6"/>
  <c r="C8" i="6"/>
  <c r="C7" i="6"/>
  <c r="C6" i="6"/>
  <c r="C5" i="6"/>
  <c r="D32" i="3"/>
  <c r="E32" i="3" s="1"/>
  <c r="F32" i="3" s="1"/>
  <c r="D31" i="3"/>
  <c r="E31" i="3" s="1"/>
  <c r="F31" i="3" s="1"/>
  <c r="D30" i="3"/>
  <c r="E30" i="3" s="1"/>
  <c r="F30" i="3" s="1"/>
  <c r="H30" i="3" s="1"/>
  <c r="H29" i="3"/>
  <c r="E29" i="3"/>
  <c r="F29" i="3" s="1"/>
  <c r="D29" i="3"/>
  <c r="D28" i="3"/>
  <c r="E27" i="3"/>
  <c r="F27" i="3" s="1"/>
  <c r="D27" i="3"/>
  <c r="E26" i="3"/>
  <c r="F26" i="3" s="1"/>
  <c r="D26" i="3"/>
  <c r="E25" i="3"/>
  <c r="F25" i="3" s="1"/>
  <c r="D25" i="3"/>
  <c r="D17" i="3"/>
  <c r="D16" i="3"/>
  <c r="G32" i="3"/>
  <c r="H32" i="3" s="1"/>
  <c r="G31" i="3"/>
  <c r="G30" i="3"/>
  <c r="G29" i="3"/>
  <c r="G28" i="3"/>
  <c r="G27" i="3"/>
  <c r="G26" i="3"/>
  <c r="G25" i="3"/>
  <c r="C32" i="3"/>
  <c r="C31" i="3"/>
  <c r="C30" i="3"/>
  <c r="C29" i="3"/>
  <c r="C28" i="3"/>
  <c r="E28" i="3" s="1"/>
  <c r="F28" i="3" s="1"/>
  <c r="C27" i="3"/>
  <c r="C26" i="3"/>
  <c r="C25" i="3"/>
  <c r="C22" i="3"/>
  <c r="C21" i="3"/>
  <c r="C20" i="3"/>
  <c r="C19" i="3"/>
  <c r="C18" i="3"/>
  <c r="C17" i="3"/>
  <c r="C16" i="3"/>
  <c r="C15" i="3"/>
  <c r="C10" i="3"/>
  <c r="C9" i="3"/>
  <c r="D15" i="3"/>
  <c r="D12" i="3"/>
  <c r="D11" i="3"/>
  <c r="D10" i="3"/>
  <c r="D9" i="3"/>
  <c r="D8" i="3"/>
  <c r="D7" i="3"/>
  <c r="D6" i="3"/>
  <c r="C12" i="3"/>
  <c r="C11" i="3"/>
  <c r="C8" i="3"/>
  <c r="C7" i="3"/>
  <c r="C6" i="3"/>
  <c r="D5" i="3"/>
  <c r="C5" i="3"/>
  <c r="N32" i="4"/>
  <c r="E32" i="4"/>
  <c r="D32" i="4"/>
  <c r="C32" i="4"/>
  <c r="B32" i="4"/>
  <c r="F32" i="4" s="1"/>
  <c r="A32" i="4"/>
  <c r="E31" i="4"/>
  <c r="E34" i="4" s="1"/>
  <c r="D31" i="4"/>
  <c r="C31" i="4"/>
  <c r="B31" i="4"/>
  <c r="F31" i="4" s="1"/>
  <c r="A31" i="4"/>
  <c r="N25" i="4"/>
  <c r="O24" i="4" s="1"/>
  <c r="N18" i="4"/>
  <c r="O17" i="4" s="1"/>
  <c r="N11" i="4"/>
  <c r="O10" i="4" s="1"/>
  <c r="N4" i="4"/>
  <c r="O3" i="4" s="1"/>
  <c r="E25" i="4"/>
  <c r="D25" i="4"/>
  <c r="C25" i="4"/>
  <c r="B25" i="4"/>
  <c r="A25" i="4"/>
  <c r="E24" i="4"/>
  <c r="D24" i="4"/>
  <c r="C24" i="4"/>
  <c r="B24" i="4"/>
  <c r="A24" i="4"/>
  <c r="E18" i="4"/>
  <c r="D18" i="4"/>
  <c r="C18" i="4"/>
  <c r="B18" i="4"/>
  <c r="A18" i="4"/>
  <c r="E17" i="4"/>
  <c r="D17" i="4"/>
  <c r="C17" i="4"/>
  <c r="B17" i="4"/>
  <c r="A17" i="4"/>
  <c r="E11" i="4"/>
  <c r="D11" i="4"/>
  <c r="C11" i="4"/>
  <c r="B11" i="4"/>
  <c r="A11" i="4"/>
  <c r="E10" i="4"/>
  <c r="D10" i="4"/>
  <c r="C10" i="4"/>
  <c r="B10" i="4"/>
  <c r="B13" i="4" s="1"/>
  <c r="A10" i="4"/>
  <c r="F4" i="7"/>
  <c r="E4" i="7"/>
  <c r="H26" i="3" l="1"/>
  <c r="H28" i="3"/>
  <c r="H27" i="3"/>
  <c r="H31" i="3"/>
  <c r="E18" i="6"/>
  <c r="F18" i="6" s="1"/>
  <c r="H18" i="6" s="1"/>
  <c r="E22" i="6"/>
  <c r="F22" i="6" s="1"/>
  <c r="H22" i="6" s="1"/>
  <c r="E41" i="6"/>
  <c r="F41" i="6" s="1"/>
  <c r="H41" i="6" s="1"/>
  <c r="E48" i="6"/>
  <c r="F48" i="6" s="1"/>
  <c r="H48" i="6" s="1"/>
  <c r="E52" i="6"/>
  <c r="F52" i="6" s="1"/>
  <c r="H52" i="6" s="1"/>
  <c r="E32" i="6"/>
  <c r="F32" i="6" s="1"/>
  <c r="E51" i="6"/>
  <c r="F51" i="6" s="1"/>
  <c r="H51" i="6" s="1"/>
  <c r="F24" i="4"/>
  <c r="F25" i="4"/>
  <c r="D34" i="4"/>
  <c r="E19" i="6"/>
  <c r="F19" i="6" s="1"/>
  <c r="H19" i="6" s="1"/>
  <c r="H35" i="6"/>
  <c r="E45" i="6"/>
  <c r="F45" i="6" s="1"/>
  <c r="H45" i="6" s="1"/>
  <c r="E25" i="6"/>
  <c r="F25" i="6" s="1"/>
  <c r="H25" i="6" s="1"/>
  <c r="E28" i="6"/>
  <c r="F28" i="6" s="1"/>
  <c r="H28" i="6" s="1"/>
  <c r="A34" i="4"/>
  <c r="H36" i="6"/>
  <c r="H46" i="6"/>
  <c r="H42" i="6"/>
  <c r="H40" i="6"/>
  <c r="H39" i="6"/>
  <c r="H38" i="6"/>
  <c r="H27" i="6"/>
  <c r="H29" i="6"/>
  <c r="H32" i="6"/>
  <c r="H26" i="6"/>
  <c r="H21" i="6"/>
  <c r="H17" i="6"/>
  <c r="H16" i="6"/>
  <c r="B34" i="4"/>
  <c r="C34" i="4"/>
  <c r="O31" i="4"/>
  <c r="C27" i="4"/>
  <c r="D27" i="4"/>
  <c r="A27" i="4"/>
  <c r="E27" i="4"/>
  <c r="B27" i="4"/>
  <c r="A13" i="4"/>
  <c r="E13" i="4"/>
  <c r="C20" i="4"/>
  <c r="D20" i="4"/>
  <c r="E20" i="4"/>
  <c r="C13" i="4"/>
  <c r="D13" i="4"/>
  <c r="F11" i="4"/>
  <c r="A20" i="4"/>
  <c r="B20" i="4"/>
  <c r="F18" i="4"/>
  <c r="F10" i="4"/>
  <c r="F17" i="4"/>
  <c r="G4" i="7"/>
  <c r="H3" i="7" s="1"/>
  <c r="I3" i="7" s="1"/>
  <c r="J3" i="7" s="1"/>
  <c r="E12" i="6"/>
  <c r="F12" i="6" s="1"/>
  <c r="E11" i="6"/>
  <c r="F11" i="6" s="1"/>
  <c r="E10" i="6"/>
  <c r="F10" i="6" s="1"/>
  <c r="E8" i="6"/>
  <c r="E7" i="6"/>
  <c r="F7" i="6" s="1"/>
  <c r="E5" i="6"/>
  <c r="F5" i="6" s="1"/>
  <c r="E9" i="6"/>
  <c r="F9" i="6" s="1"/>
  <c r="E4" i="4"/>
  <c r="D4" i="4"/>
  <c r="C4" i="4"/>
  <c r="A4" i="4"/>
  <c r="B4" i="4"/>
  <c r="E3" i="4"/>
  <c r="D3" i="4"/>
  <c r="C3" i="4"/>
  <c r="B3" i="4"/>
  <c r="A3" i="4"/>
  <c r="A6" i="4" s="1"/>
  <c r="D22" i="3"/>
  <c r="D21" i="3"/>
  <c r="E21" i="3" s="1"/>
  <c r="F21" i="3" s="1"/>
  <c r="D20" i="3"/>
  <c r="E20" i="3" s="1"/>
  <c r="F20" i="3" s="1"/>
  <c r="D19" i="3"/>
  <c r="E19" i="3" s="1"/>
  <c r="F19" i="3" s="1"/>
  <c r="D18" i="3"/>
  <c r="E18" i="3" s="1"/>
  <c r="F18" i="3" s="1"/>
  <c r="E12" i="3"/>
  <c r="F12" i="3" s="1"/>
  <c r="E11" i="3"/>
  <c r="F11" i="3" s="1"/>
  <c r="E9" i="3"/>
  <c r="F9" i="3" s="1"/>
  <c r="H9" i="3" s="1"/>
  <c r="E10" i="3"/>
  <c r="F10" i="3" s="1"/>
  <c r="E7" i="3"/>
  <c r="F7" i="3" s="1"/>
  <c r="E8" i="3"/>
  <c r="F8" i="3" s="1"/>
  <c r="E22" i="3"/>
  <c r="F22" i="3" s="1"/>
  <c r="E15" i="3"/>
  <c r="F15" i="3" s="1"/>
  <c r="E6" i="3"/>
  <c r="F6" i="3" s="1"/>
  <c r="H6" i="3" s="1"/>
  <c r="G5" i="3"/>
  <c r="G22" i="3"/>
  <c r="G21" i="3"/>
  <c r="G20" i="3"/>
  <c r="G19" i="3"/>
  <c r="G18" i="3"/>
  <c r="G17" i="3"/>
  <c r="G12" i="3"/>
  <c r="G11" i="3"/>
  <c r="G10" i="3"/>
  <c r="G9" i="3"/>
  <c r="G8" i="3"/>
  <c r="G7" i="3"/>
  <c r="G6" i="3"/>
  <c r="G16" i="3"/>
  <c r="G15" i="3"/>
  <c r="H8" i="3" l="1"/>
  <c r="F34" i="4"/>
  <c r="H19" i="3"/>
  <c r="H11" i="3"/>
  <c r="H7" i="3"/>
  <c r="H12" i="3"/>
  <c r="H15" i="3"/>
  <c r="H10" i="3"/>
  <c r="F8" i="6"/>
  <c r="H8" i="6" s="1"/>
  <c r="F27" i="4"/>
  <c r="F20" i="4"/>
  <c r="F13" i="4"/>
  <c r="C6" i="4"/>
  <c r="H12" i="6"/>
  <c r="H9" i="6"/>
  <c r="H10" i="6"/>
  <c r="H5" i="6"/>
  <c r="H11" i="6"/>
  <c r="H7" i="6"/>
  <c r="D6" i="4"/>
  <c r="E6" i="4"/>
  <c r="F4" i="4"/>
  <c r="B6" i="4"/>
  <c r="F3" i="4"/>
  <c r="E17" i="3"/>
  <c r="F17" i="3" s="1"/>
  <c r="H17" i="3" s="1"/>
  <c r="H21" i="3"/>
  <c r="H22" i="3"/>
  <c r="H18" i="3"/>
  <c r="H20" i="3"/>
  <c r="E5" i="3"/>
  <c r="H5" i="3" s="1"/>
  <c r="E16" i="3"/>
  <c r="F6" i="4" l="1"/>
  <c r="F16" i="3"/>
  <c r="H1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2" authorId="0" shapeId="0" xr:uid="{D728DCFB-3F48-4A74-92FA-DB30CE08DE5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How many volume of each materials in  total sample volume</t>
        </r>
      </text>
    </comment>
  </commentList>
</comments>
</file>

<file path=xl/sharedStrings.xml><?xml version="1.0" encoding="utf-8"?>
<sst xmlns="http://schemas.openxmlformats.org/spreadsheetml/2006/main" count="173" uniqueCount="47">
  <si>
    <t>H</t>
  </si>
  <si>
    <t>O</t>
  </si>
  <si>
    <t>C</t>
  </si>
  <si>
    <t>SUM</t>
  </si>
  <si>
    <t>Total</t>
  </si>
  <si>
    <t>Chemical Composition</t>
  </si>
  <si>
    <t>Density (g/cm3)</t>
  </si>
  <si>
    <t>%</t>
  </si>
  <si>
    <t>Total Density (g/cm3)</t>
  </si>
  <si>
    <t>I</t>
  </si>
  <si>
    <t>Io</t>
  </si>
  <si>
    <t>MAC</t>
  </si>
  <si>
    <t>LAC</t>
  </si>
  <si>
    <t>PbO</t>
  </si>
  <si>
    <t>Lead Oxide</t>
  </si>
  <si>
    <t>Pb</t>
  </si>
  <si>
    <t>XCOM</t>
  </si>
  <si>
    <t>Energy (MeV)</t>
  </si>
  <si>
    <t>RPD%</t>
  </si>
  <si>
    <t>Al</t>
  </si>
  <si>
    <t>H2C(SiCH3CH3O)SiCH3CH3CH2</t>
  </si>
  <si>
    <t>Si</t>
  </si>
  <si>
    <t>Material</t>
  </si>
  <si>
    <t>polydimethyl siloxane (PDMS)</t>
  </si>
  <si>
    <t>Density</t>
  </si>
  <si>
    <t>Mass %</t>
  </si>
  <si>
    <t>Total sampleVolume (cm3)</t>
  </si>
  <si>
    <t>Bulk Volume (cm3)</t>
  </si>
  <si>
    <t>Nano Particle Volume (cm3)</t>
  </si>
  <si>
    <t>NO. nanoparticle in Bulk</t>
  </si>
  <si>
    <t>Lattice Volume</t>
  </si>
  <si>
    <t xml:space="preserve">Polymer Volume in Lattice </t>
  </si>
  <si>
    <t>Edge Length of lattice (cm)</t>
  </si>
  <si>
    <t>PDMS</t>
  </si>
  <si>
    <t>Cu</t>
  </si>
  <si>
    <r>
      <rPr>
        <b/>
        <sz val="11"/>
        <color theme="1"/>
        <rFont val="Calibri"/>
        <family val="2"/>
        <scheme val="minor"/>
      </rPr>
      <t>E =</t>
    </r>
    <r>
      <rPr>
        <sz val="11"/>
        <color theme="1"/>
        <rFont val="Calibri"/>
        <family val="2"/>
        <scheme val="minor"/>
      </rPr>
      <t xml:space="preserve"> 0.2-2 MeV
</t>
    </r>
    <r>
      <rPr>
        <b/>
        <sz val="11"/>
        <color theme="1"/>
        <rFont val="Calibri"/>
        <family val="2"/>
        <scheme val="minor"/>
      </rPr>
      <t>Source to  sample distance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=</t>
    </r>
    <r>
      <rPr>
        <sz val="11"/>
        <color theme="1"/>
        <rFont val="Calibri"/>
        <family val="2"/>
        <scheme val="minor"/>
      </rPr>
      <t xml:space="preserve"> 8 cm
</t>
    </r>
    <r>
      <rPr>
        <b/>
        <sz val="11"/>
        <color theme="1"/>
        <rFont val="Calibri"/>
        <family val="2"/>
        <scheme val="minor"/>
      </rPr>
      <t>Sample DIM.</t>
    </r>
    <r>
      <rPr>
        <sz val="11"/>
        <color theme="1"/>
        <rFont val="Calibri"/>
        <family val="2"/>
        <scheme val="minor"/>
      </rPr>
      <t xml:space="preserve"> = 1 *5 *5 cm (slab)
</t>
    </r>
    <r>
      <rPr>
        <b/>
        <sz val="11"/>
        <color theme="1"/>
        <rFont val="Calibri"/>
        <family val="2"/>
        <scheme val="minor"/>
      </rPr>
      <t>Materials:</t>
    </r>
    <r>
      <rPr>
        <sz val="11"/>
        <color theme="1"/>
        <rFont val="Calibri"/>
        <family val="2"/>
        <scheme val="minor"/>
      </rPr>
      <t xml:space="preserve"> Pb, Al, Cu.
</t>
    </r>
    <r>
      <rPr>
        <b/>
        <sz val="11"/>
        <color theme="1"/>
        <rFont val="Calibri"/>
        <family val="2"/>
        <scheme val="minor"/>
      </rPr>
      <t>Purpose:</t>
    </r>
    <r>
      <rPr>
        <sz val="11"/>
        <color theme="1"/>
        <rFont val="Calibri"/>
        <family val="2"/>
        <scheme val="minor"/>
      </rPr>
      <t xml:space="preserve"> To compare the MAC results obtained by MCNP and XCOM in order to validate the code.</t>
    </r>
  </si>
  <si>
    <t>1 PDMS / 0 PbO</t>
  </si>
  <si>
    <t>0.95 PDMS / 0.05 PbO</t>
  </si>
  <si>
    <t>0.9 PDMS / 0.1 PbO</t>
  </si>
  <si>
    <t>0.85 PDMS / 0.15 PbO</t>
  </si>
  <si>
    <t>0.8 PDMS / 0.2 PbO</t>
  </si>
  <si>
    <r>
      <rPr>
        <b/>
        <sz val="11"/>
        <color theme="1"/>
        <rFont val="Calibri"/>
        <family val="2"/>
        <scheme val="minor"/>
      </rPr>
      <t>E =</t>
    </r>
    <r>
      <rPr>
        <sz val="11"/>
        <color theme="1"/>
        <rFont val="Calibri"/>
        <family val="2"/>
        <scheme val="minor"/>
      </rPr>
      <t xml:space="preserve"> 0.2-2 MeV
</t>
    </r>
    <r>
      <rPr>
        <b/>
        <sz val="11"/>
        <color theme="1"/>
        <rFont val="Calibri"/>
        <family val="2"/>
        <scheme val="minor"/>
      </rPr>
      <t>Source to  sample distance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=</t>
    </r>
    <r>
      <rPr>
        <sz val="11"/>
        <color theme="1"/>
        <rFont val="Calibri"/>
        <family val="2"/>
        <scheme val="minor"/>
      </rPr>
      <t xml:space="preserve"> 8 cm
</t>
    </r>
    <r>
      <rPr>
        <b/>
        <sz val="11"/>
        <color theme="1"/>
        <rFont val="Calibri"/>
        <family val="2"/>
        <scheme val="minor"/>
      </rPr>
      <t>Sample DIM.</t>
    </r>
    <r>
      <rPr>
        <sz val="11"/>
        <color theme="1"/>
        <rFont val="Calibri"/>
        <family val="2"/>
        <scheme val="minor"/>
      </rPr>
      <t xml:space="preserve"> = 1 *5 *5 cm (slab)
</t>
    </r>
    <r>
      <rPr>
        <b/>
        <sz val="11"/>
        <color theme="1"/>
        <rFont val="Calibri"/>
        <family val="2"/>
        <scheme val="minor"/>
      </rPr>
      <t>Materials:</t>
    </r>
    <r>
      <rPr>
        <sz val="11"/>
        <color theme="1"/>
        <rFont val="Calibri"/>
        <family val="2"/>
        <scheme val="minor"/>
      </rPr>
      <t xml:space="preserve">  PDMS (base), (0, 0.05, 0.1, 0.15, 0.2)PbO (filler).
</t>
    </r>
    <r>
      <rPr>
        <b/>
        <sz val="11"/>
        <color theme="1"/>
        <rFont val="Calibri"/>
        <family val="2"/>
        <scheme val="minor"/>
      </rPr>
      <t>Purpose:</t>
    </r>
    <r>
      <rPr>
        <sz val="11"/>
        <color theme="1"/>
        <rFont val="Calibri"/>
        <family val="2"/>
        <scheme val="minor"/>
      </rPr>
      <t xml:space="preserve">  To test the extent to which the material improves against gamma-rays when utilizing a graded percentage of filler particles.</t>
    </r>
  </si>
  <si>
    <t>MAC/MCNP</t>
  </si>
  <si>
    <t>MAC/XCOM</t>
  </si>
  <si>
    <t>0.90 PDMS / 0.10 PbO</t>
  </si>
  <si>
    <t>mean free path</t>
  </si>
  <si>
    <t>HVL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</si>
</sst>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n">
        <color theme="0" tint="-0.14999847407452621"/>
      </left>
      <right style="thin">
        <color theme="0" tint="-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 tint="0.34998626667073579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 tint="0.34998626667073579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/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6" borderId="0" xfId="0" applyFill="1" applyAlignment="1">
      <alignment wrapText="1"/>
    </xf>
    <xf numFmtId="0" fontId="1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0" fillId="9" borderId="0" xfId="0" applyFill="1"/>
    <xf numFmtId="0" fontId="3" fillId="2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/>
    <xf numFmtId="0" fontId="5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165" fontId="0" fillId="0" borderId="0" xfId="0" applyNumberFormat="1"/>
    <xf numFmtId="0" fontId="3" fillId="10" borderId="3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17" xfId="0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center" vertical="center"/>
    </xf>
    <xf numFmtId="0" fontId="3" fillId="10" borderId="19" xfId="0" applyFont="1" applyFill="1" applyBorder="1" applyAlignment="1">
      <alignment horizontal="center" vertical="center"/>
    </xf>
    <xf numFmtId="0" fontId="3" fillId="10" borderId="20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3" fillId="10" borderId="16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3" fillId="10" borderId="21" xfId="0" applyFont="1" applyFill="1" applyBorder="1" applyAlignment="1">
      <alignment horizontal="center" vertical="center"/>
    </xf>
    <xf numFmtId="0" fontId="5" fillId="9" borderId="22" xfId="0" applyFont="1" applyFill="1" applyBorder="1" applyAlignment="1">
      <alignment horizontal="center" vertical="center"/>
    </xf>
    <xf numFmtId="0" fontId="5" fillId="9" borderId="23" xfId="0" applyFont="1" applyFill="1" applyBorder="1" applyAlignment="1">
      <alignment horizontal="center" vertical="center"/>
    </xf>
    <xf numFmtId="0" fontId="3" fillId="10" borderId="22" xfId="0" applyFont="1" applyFill="1" applyBorder="1" applyAlignment="1">
      <alignment horizontal="center" vertical="center"/>
    </xf>
    <xf numFmtId="0" fontId="5" fillId="10" borderId="24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horizontal="center" vertical="center"/>
    </xf>
    <xf numFmtId="0" fontId="0" fillId="12" borderId="0" xfId="0" applyFill="1"/>
    <xf numFmtId="0" fontId="8" fillId="12" borderId="0" xfId="0" applyFont="1" applyFill="1"/>
    <xf numFmtId="164" fontId="5" fillId="0" borderId="0" xfId="0" applyNumberFormat="1" applyFont="1" applyAlignment="1">
      <alignment horizontal="center" vertical="center"/>
    </xf>
    <xf numFmtId="0" fontId="5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8" fillId="12" borderId="0" xfId="0" applyFont="1" applyFill="1" applyAlignment="1">
      <alignment horizontal="center"/>
    </xf>
    <xf numFmtId="0" fontId="5" fillId="9" borderId="11" xfId="0" applyFont="1" applyFill="1" applyBorder="1" applyAlignment="1">
      <alignment horizontal="center" vertical="center"/>
    </xf>
    <xf numFmtId="0" fontId="5" fillId="9" borderId="12" xfId="0" applyFont="1" applyFill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71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PDMS / 0 PbO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Results!$B$5:$B$12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</c:numCache>
            </c:numRef>
          </c:xVal>
          <c:yVal>
            <c:numRef>
              <c:f>Results!$F$5:$F$12</c:f>
              <c:numCache>
                <c:formatCode>0.00</c:formatCode>
                <c:ptCount val="8"/>
                <c:pt idx="0">
                  <c:v>0.13418254649717515</c:v>
                </c:pt>
                <c:pt idx="1">
                  <c:v>0.11792362586212649</c:v>
                </c:pt>
                <c:pt idx="2">
                  <c:v>0.10583690902663895</c:v>
                </c:pt>
                <c:pt idx="3">
                  <c:v>9.6430811154075091E-2</c:v>
                </c:pt>
                <c:pt idx="4">
                  <c:v>8.9716216905860555E-2</c:v>
                </c:pt>
                <c:pt idx="5">
                  <c:v>7.8930283827897282E-2</c:v>
                </c:pt>
                <c:pt idx="6">
                  <c:v>6.9987945846121419E-2</c:v>
                </c:pt>
                <c:pt idx="7">
                  <c:v>4.8529893071652154E-2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61-4EEA-B9BF-90D87BAC1B2B}"/>
            </c:ext>
          </c:extLst>
        </c:ser>
        <c:ser>
          <c:idx val="1"/>
          <c:order val="1"/>
          <c:tx>
            <c:v>0.95 PDMS / 0.05 PbO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Results!$B$15:$B$22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</c:numCache>
            </c:numRef>
          </c:xVal>
          <c:yVal>
            <c:numRef>
              <c:f>Results!$F$15:$F$22</c:f>
              <c:numCache>
                <c:formatCode>0.00</c:formatCode>
                <c:ptCount val="8"/>
                <c:pt idx="0">
                  <c:v>0.17456175154356199</c:v>
                </c:pt>
                <c:pt idx="1">
                  <c:v>0.13068145771296349</c:v>
                </c:pt>
                <c:pt idx="2">
                  <c:v>0.11117139957670577</c:v>
                </c:pt>
                <c:pt idx="3">
                  <c:v>9.926970950358234E-2</c:v>
                </c:pt>
                <c:pt idx="4">
                  <c:v>9.0864687603466304E-2</c:v>
                </c:pt>
                <c:pt idx="5">
                  <c:v>7.9634111501508481E-2</c:v>
                </c:pt>
                <c:pt idx="6">
                  <c:v>7.0012129200922271E-2</c:v>
                </c:pt>
                <c:pt idx="7">
                  <c:v>4.8576237701549195E-2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61-4EEA-B9BF-90D87BAC1B2B}"/>
            </c:ext>
          </c:extLst>
        </c:ser>
        <c:ser>
          <c:idx val="2"/>
          <c:order val="2"/>
          <c:tx>
            <c:v>0.95 PDMS / 0.05 PbO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Results!$B$25:$B$32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</c:numCache>
            </c:numRef>
          </c:xVal>
          <c:yVal>
            <c:numRef>
              <c:f>Results!$F$25:$F$32</c:f>
              <c:numCache>
                <c:formatCode>0.00</c:formatCode>
                <c:ptCount val="8"/>
                <c:pt idx="0">
                  <c:v>0.21420736296287798</c:v>
                </c:pt>
                <c:pt idx="1">
                  <c:v>0.1434569786789455</c:v>
                </c:pt>
                <c:pt idx="2">
                  <c:v>0.11712888137041333</c:v>
                </c:pt>
                <c:pt idx="3">
                  <c:v>0.10177789695014139</c:v>
                </c:pt>
                <c:pt idx="4">
                  <c:v>9.2468577433464996E-2</c:v>
                </c:pt>
                <c:pt idx="5">
                  <c:v>7.9308826805644467E-2</c:v>
                </c:pt>
                <c:pt idx="6">
                  <c:v>6.9968309165847925E-2</c:v>
                </c:pt>
                <c:pt idx="7">
                  <c:v>4.821635420808467E-2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61-4EEA-B9BF-90D87BAC1B2B}"/>
            </c:ext>
          </c:extLst>
        </c:ser>
        <c:ser>
          <c:idx val="3"/>
          <c:order val="3"/>
          <c:tx>
            <c:v>0.85 PDMS / 0.15 PbO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Results!$B$35:$B$42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</c:numCache>
            </c:numRef>
          </c:xVal>
          <c:yVal>
            <c:numRef>
              <c:f>Results!$F$35:$F$42</c:f>
              <c:numCache>
                <c:formatCode>0.00</c:formatCode>
                <c:ptCount val="8"/>
                <c:pt idx="0">
                  <c:v>0.25212393800798866</c:v>
                </c:pt>
                <c:pt idx="1">
                  <c:v>0.1572643971090506</c:v>
                </c:pt>
                <c:pt idx="2">
                  <c:v>0.12213516819360021</c:v>
                </c:pt>
                <c:pt idx="3">
                  <c:v>0.10407217005024361</c:v>
                </c:pt>
                <c:pt idx="4">
                  <c:v>9.3431262260521675E-2</c:v>
                </c:pt>
                <c:pt idx="5">
                  <c:v>7.9379837142556975E-2</c:v>
                </c:pt>
                <c:pt idx="6">
                  <c:v>6.9767459271043997E-2</c:v>
                </c:pt>
                <c:pt idx="7">
                  <c:v>4.8231281995869242E-2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D61-4EEA-B9BF-90D87BAC1B2B}"/>
            </c:ext>
          </c:extLst>
        </c:ser>
        <c:ser>
          <c:idx val="4"/>
          <c:order val="4"/>
          <c:tx>
            <c:v>0.8 PDMS / 0.2 PbO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Results!$B$45:$B$52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</c:numCache>
            </c:numRef>
          </c:xVal>
          <c:yVal>
            <c:numRef>
              <c:f>Results!$F$45:$F$52</c:f>
              <c:numCache>
                <c:formatCode>0.00</c:formatCode>
                <c:ptCount val="8"/>
                <c:pt idx="0">
                  <c:v>0.29134877537176712</c:v>
                </c:pt>
                <c:pt idx="1">
                  <c:v>0.16953608514136198</c:v>
                </c:pt>
                <c:pt idx="2">
                  <c:v>0.12784167395181273</c:v>
                </c:pt>
                <c:pt idx="3">
                  <c:v>0.10768607647393813</c:v>
                </c:pt>
                <c:pt idx="4">
                  <c:v>9.4270626951425338E-2</c:v>
                </c:pt>
                <c:pt idx="5">
                  <c:v>7.982940409585719E-2</c:v>
                </c:pt>
                <c:pt idx="6">
                  <c:v>6.9756144107065224E-2</c:v>
                </c:pt>
                <c:pt idx="7">
                  <c:v>4.8469182800892123E-2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D61-4EEA-B9BF-90D87BAC1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782639"/>
        <c:axId val="1767784079"/>
      </c:scatterChart>
      <c:valAx>
        <c:axId val="1767782639"/>
        <c:scaling>
          <c:orientation val="minMax"/>
          <c:max val="2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784079"/>
        <c:crosses val="autoZero"/>
        <c:crossBetween val="midCat"/>
        <c:majorUnit val="0.2"/>
      </c:valAx>
      <c:valAx>
        <c:axId val="1767784079"/>
        <c:scaling>
          <c:orientation val="minMax"/>
          <c:max val="0.30000000000000004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MAC/MCNP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782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141778083108743"/>
          <c:y val="0.14465809420881212"/>
          <c:w val="0.19842561961633989"/>
          <c:h val="0.31512825602682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3781425</xdr:colOff>
      <xdr:row>53</xdr:row>
      <xdr:rowOff>95249</xdr:rowOff>
    </xdr:from>
    <xdr:to>
      <xdr:col>10</xdr:col>
      <xdr:colOff>457200</xdr:colOff>
      <xdr:row>71</xdr:row>
      <xdr:rowOff>66674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6F5DAAC-9362-031E-84A6-4C21656A8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A70CD-B7B9-40F2-8566-01D3E66F50BA}">
  <sheetPr>
    <tabColor rgb="FF0070C0"/>
  </sheetPr>
  <dimension ref="A1:O34"/>
  <sheetViews>
    <sheetView workbookViewId="0">
      <selection activeCell="O17" sqref="O17:O18"/>
    </sheetView>
  </sheetViews>
  <sheetFormatPr defaultRowHeight="15" x14ac:dyDescent="0.25"/>
  <cols>
    <col min="6" max="6" width="12" bestFit="1" customWidth="1"/>
    <col min="11" max="12" width="29.28515625" bestFit="1" customWidth="1"/>
    <col min="13" max="13" width="15.5703125" bestFit="1" customWidth="1"/>
    <col min="14" max="14" width="6.42578125" customWidth="1"/>
    <col min="15" max="15" width="21" bestFit="1" customWidth="1"/>
  </cols>
  <sheetData>
    <row r="1" spans="1:15" s="40" customFormat="1" ht="18.75" x14ac:dyDescent="0.3">
      <c r="A1" s="44" t="s">
        <v>36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</row>
    <row r="2" spans="1:15" ht="22.15" customHeight="1" x14ac:dyDescent="0.25">
      <c r="A2" s="7" t="s">
        <v>0</v>
      </c>
      <c r="B2" s="7" t="s">
        <v>1</v>
      </c>
      <c r="C2" s="7" t="s">
        <v>2</v>
      </c>
      <c r="D2" s="7" t="s">
        <v>21</v>
      </c>
      <c r="E2" s="7" t="s">
        <v>15</v>
      </c>
      <c r="F2" s="8" t="s">
        <v>3</v>
      </c>
      <c r="K2" s="15" t="s">
        <v>22</v>
      </c>
      <c r="L2" s="14" t="s">
        <v>5</v>
      </c>
      <c r="M2" s="14" t="s">
        <v>6</v>
      </c>
      <c r="N2" s="14" t="s">
        <v>7</v>
      </c>
      <c r="O2" s="14" t="s">
        <v>8</v>
      </c>
    </row>
    <row r="3" spans="1:15" ht="15.75" x14ac:dyDescent="0.25">
      <c r="A3" s="9">
        <f>16*1.007/(16*1.007+1*15.999+6*12.0116+2*28.084)</f>
        <v>0.10048107685380477</v>
      </c>
      <c r="B3" s="9">
        <f>1*15.999/(16*1.007+1*15.999+6*12.0116+2*28.084)</f>
        <v>9.9776362250746181E-2</v>
      </c>
      <c r="C3" s="9">
        <f>6*12.0116/(16*1.007+1*15.999+6*12.0116+2*28.084)</f>
        <v>0.44945574828841656</v>
      </c>
      <c r="D3" s="9">
        <f>2*28.084/(16*1.007+1*15.999+6*12.0116+2*28.084)</f>
        <v>0.35028681260703243</v>
      </c>
      <c r="E3" s="9">
        <f>0/(16*1.007+1*15.999+6*12.0116+2*28.084)</f>
        <v>0</v>
      </c>
      <c r="F3" s="10">
        <f>SUM(A3:E3)</f>
        <v>1</v>
      </c>
      <c r="K3" s="15" t="s">
        <v>23</v>
      </c>
      <c r="L3" s="12" t="s">
        <v>20</v>
      </c>
      <c r="M3" s="13">
        <v>0.96499999999999997</v>
      </c>
      <c r="N3" s="13">
        <v>1</v>
      </c>
      <c r="O3" s="42">
        <f>1/((N3/M3)+(N4/M4))</f>
        <v>0.96499999999999986</v>
      </c>
    </row>
    <row r="4" spans="1:15" ht="15.75" x14ac:dyDescent="0.25">
      <c r="A4" s="9">
        <f>0/(1*15.999+1*207.2)</f>
        <v>0</v>
      </c>
      <c r="B4" s="9">
        <f>1*15.999/(1*15.999+1*207.2)</f>
        <v>7.168042867575572E-2</v>
      </c>
      <c r="C4" s="9">
        <f>0/(1*15.999+1*207.2)</f>
        <v>0</v>
      </c>
      <c r="D4" s="9">
        <f>0/(1*15.999+1*207.2)</f>
        <v>0</v>
      </c>
      <c r="E4" s="9">
        <f>1*207.2/(1*15.999+1*207.2)</f>
        <v>0.92831957132424425</v>
      </c>
      <c r="F4" s="10">
        <f>SUM(A4:E4)</f>
        <v>1</v>
      </c>
      <c r="K4" s="15" t="s">
        <v>14</v>
      </c>
      <c r="L4" s="9" t="s">
        <v>13</v>
      </c>
      <c r="M4" s="13">
        <v>9.5299999999999994</v>
      </c>
      <c r="N4" s="9">
        <f>1-N3</f>
        <v>0</v>
      </c>
      <c r="O4" s="42"/>
    </row>
    <row r="5" spans="1:15" ht="15.75" x14ac:dyDescent="0.25">
      <c r="A5" s="43" t="s">
        <v>4</v>
      </c>
      <c r="B5" s="43"/>
      <c r="C5" s="43"/>
      <c r="D5" s="43"/>
      <c r="E5" s="43"/>
      <c r="F5" s="43"/>
    </row>
    <row r="6" spans="1:15" ht="15.75" x14ac:dyDescent="0.25">
      <c r="A6" s="11">
        <f>A3*N3+A4*N4</f>
        <v>0.10048107685380477</v>
      </c>
      <c r="B6" s="11">
        <f>B3*N3+B4*N4</f>
        <v>9.9776362250746181E-2</v>
      </c>
      <c r="C6" s="11">
        <f>C3*N3+C4*N4</f>
        <v>0.44945574828841656</v>
      </c>
      <c r="D6" s="11">
        <f>D3*N3+D4*N4</f>
        <v>0.35028681260703243</v>
      </c>
      <c r="E6" s="11">
        <f>E3*N3+E4*N4</f>
        <v>0</v>
      </c>
      <c r="F6" s="10">
        <f>SUM(A6:E6)</f>
        <v>1</v>
      </c>
    </row>
    <row r="7" spans="1:15" ht="15.75" x14ac:dyDescent="0.25">
      <c r="A7" s="11"/>
      <c r="B7" s="11"/>
      <c r="C7" s="11"/>
      <c r="D7" s="11"/>
      <c r="E7" s="11"/>
      <c r="F7" s="10"/>
    </row>
    <row r="8" spans="1:15" s="41" customFormat="1" ht="18.75" x14ac:dyDescent="0.3">
      <c r="A8" s="44" t="s">
        <v>37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5.75" x14ac:dyDescent="0.25">
      <c r="A9" s="7" t="s">
        <v>0</v>
      </c>
      <c r="B9" s="7" t="s">
        <v>1</v>
      </c>
      <c r="C9" s="7" t="s">
        <v>2</v>
      </c>
      <c r="D9" s="7" t="s">
        <v>21</v>
      </c>
      <c r="E9" s="7" t="s">
        <v>15</v>
      </c>
      <c r="F9" s="8" t="s">
        <v>3</v>
      </c>
      <c r="K9" s="15" t="s">
        <v>22</v>
      </c>
      <c r="L9" s="14" t="s">
        <v>5</v>
      </c>
      <c r="M9" s="14" t="s">
        <v>6</v>
      </c>
      <c r="N9" s="14" t="s">
        <v>7</v>
      </c>
      <c r="O9" s="14" t="s">
        <v>8</v>
      </c>
    </row>
    <row r="10" spans="1:15" ht="15.75" x14ac:dyDescent="0.25">
      <c r="A10" s="9">
        <f>16*1.007/(16*1.007+1*15.999+6*12.0116+2*28.084)</f>
        <v>0.10048107685380477</v>
      </c>
      <c r="B10" s="9">
        <f>1*15.999/(16*1.007+1*15.999+6*12.0116+2*28.084)</f>
        <v>9.9776362250746181E-2</v>
      </c>
      <c r="C10" s="9">
        <f>6*12.0116/(16*1.007+1*15.999+6*12.0116+2*28.084)</f>
        <v>0.44945574828841656</v>
      </c>
      <c r="D10" s="9">
        <f>2*28.084/(16*1.007+1*15.999+6*12.0116+2*28.084)</f>
        <v>0.35028681260703243</v>
      </c>
      <c r="E10" s="9">
        <f>0/(16*1.007+1*15.999+6*12.0116+2*28.084)</f>
        <v>0</v>
      </c>
      <c r="F10" s="10">
        <f>SUM(A10:E10)</f>
        <v>1</v>
      </c>
      <c r="K10" s="15" t="s">
        <v>23</v>
      </c>
      <c r="L10" s="12" t="s">
        <v>20</v>
      </c>
      <c r="M10" s="13">
        <v>0.96499999999999997</v>
      </c>
      <c r="N10" s="13">
        <v>0.95</v>
      </c>
      <c r="O10" s="42">
        <f>1/((N10/M10)+(N11/M11))</f>
        <v>1.010404592523416</v>
      </c>
    </row>
    <row r="11" spans="1:15" ht="15.75" x14ac:dyDescent="0.25">
      <c r="A11" s="9">
        <f>0/(1*15.999+1*207.2)</f>
        <v>0</v>
      </c>
      <c r="B11" s="9">
        <f>1*15.999/(1*15.999+1*207.2)</f>
        <v>7.168042867575572E-2</v>
      </c>
      <c r="C11" s="9">
        <f>0/(1*15.999+1*207.2)</f>
        <v>0</v>
      </c>
      <c r="D11" s="9">
        <f>0/(1*15.999+1*207.2)</f>
        <v>0</v>
      </c>
      <c r="E11" s="9">
        <f>1*207.2/(1*15.999+1*207.2)</f>
        <v>0.92831957132424425</v>
      </c>
      <c r="F11" s="10">
        <f>SUM(A11:E11)</f>
        <v>1</v>
      </c>
      <c r="K11" s="15" t="s">
        <v>14</v>
      </c>
      <c r="L11" s="9" t="s">
        <v>13</v>
      </c>
      <c r="M11" s="13">
        <v>9.5299999999999994</v>
      </c>
      <c r="N11" s="9">
        <f>1-N10</f>
        <v>5.0000000000000044E-2</v>
      </c>
      <c r="O11" s="42"/>
    </row>
    <row r="12" spans="1:15" ht="15.75" x14ac:dyDescent="0.25">
      <c r="A12" s="43" t="s">
        <v>4</v>
      </c>
      <c r="B12" s="43"/>
      <c r="C12" s="43"/>
      <c r="D12" s="43"/>
      <c r="E12" s="43"/>
      <c r="F12" s="43"/>
    </row>
    <row r="13" spans="1:15" ht="15.75" x14ac:dyDescent="0.25">
      <c r="A13" s="11">
        <f>A10*N10+A11*N11</f>
        <v>9.5457023011114528E-2</v>
      </c>
      <c r="B13" s="11">
        <f>B10*N10+B11*N11</f>
        <v>9.8371565571996653E-2</v>
      </c>
      <c r="C13" s="11">
        <f>C10*N10+C11*N11</f>
        <v>0.42698296087399573</v>
      </c>
      <c r="D13" s="11">
        <f>D10*N10+D11*N11</f>
        <v>0.33277247197668081</v>
      </c>
      <c r="E13" s="11">
        <f>E10*N10+E11*N11</f>
        <v>4.6415978566212254E-2</v>
      </c>
      <c r="F13" s="10">
        <f>SUM(A13:E13)</f>
        <v>1</v>
      </c>
    </row>
    <row r="14" spans="1:15" ht="15.75" x14ac:dyDescent="0.25">
      <c r="A14" s="11"/>
      <c r="B14" s="11"/>
      <c r="C14" s="11"/>
      <c r="D14" s="11"/>
      <c r="E14" s="11"/>
      <c r="F14" s="10"/>
    </row>
    <row r="15" spans="1:15" s="41" customFormat="1" ht="18.75" x14ac:dyDescent="0.3">
      <c r="A15" s="44" t="s">
        <v>38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</row>
    <row r="16" spans="1:15" ht="15.75" x14ac:dyDescent="0.25">
      <c r="A16" s="7" t="s">
        <v>0</v>
      </c>
      <c r="B16" s="7" t="s">
        <v>1</v>
      </c>
      <c r="C16" s="7" t="s">
        <v>2</v>
      </c>
      <c r="D16" s="7" t="s">
        <v>21</v>
      </c>
      <c r="E16" s="7" t="s">
        <v>15</v>
      </c>
      <c r="F16" s="8" t="s">
        <v>3</v>
      </c>
      <c r="K16" s="15" t="s">
        <v>22</v>
      </c>
      <c r="L16" s="14" t="s">
        <v>5</v>
      </c>
      <c r="M16" s="14" t="s">
        <v>6</v>
      </c>
      <c r="N16" s="14" t="s">
        <v>7</v>
      </c>
      <c r="O16" s="14" t="s">
        <v>8</v>
      </c>
    </row>
    <row r="17" spans="1:15" ht="15.75" x14ac:dyDescent="0.25">
      <c r="A17" s="9">
        <f>16*1.007/(16*1.007+1*15.999+6*12.0116+2*28.084)</f>
        <v>0.10048107685380477</v>
      </c>
      <c r="B17" s="9">
        <f>1*15.999/(16*1.007+1*15.999+6*12.0116+2*28.084)</f>
        <v>9.9776362250746181E-2</v>
      </c>
      <c r="C17" s="9">
        <f>6*12.0116/(16*1.007+1*15.999+6*12.0116+2*28.084)</f>
        <v>0.44945574828841656</v>
      </c>
      <c r="D17" s="9">
        <f>2*28.084/(16*1.007+1*15.999+6*12.0116+2*28.084)</f>
        <v>0.35028681260703243</v>
      </c>
      <c r="E17" s="9">
        <f>0/(16*1.007+1*15.999+6*12.0116+2*28.084)</f>
        <v>0</v>
      </c>
      <c r="F17" s="10">
        <f>SUM(A17:E17)</f>
        <v>1</v>
      </c>
      <c r="K17" s="15" t="s">
        <v>23</v>
      </c>
      <c r="L17" s="12" t="s">
        <v>20</v>
      </c>
      <c r="M17" s="13">
        <v>0.96499999999999997</v>
      </c>
      <c r="N17" s="13">
        <v>0.9</v>
      </c>
      <c r="O17" s="42">
        <f>1/((N17/M17)+(N18/M18))</f>
        <v>1.0602928460252492</v>
      </c>
    </row>
    <row r="18" spans="1:15" ht="15.75" x14ac:dyDescent="0.25">
      <c r="A18" s="9">
        <f>0/(1*15.999+1*207.2)</f>
        <v>0</v>
      </c>
      <c r="B18" s="9">
        <f>1*15.999/(1*15.999+1*207.2)</f>
        <v>7.168042867575572E-2</v>
      </c>
      <c r="C18" s="9">
        <f>0/(1*15.999+1*207.2)</f>
        <v>0</v>
      </c>
      <c r="D18" s="9">
        <f>0/(1*15.999+1*207.2)</f>
        <v>0</v>
      </c>
      <c r="E18" s="9">
        <f>1*207.2/(1*15.999+1*207.2)</f>
        <v>0.92831957132424425</v>
      </c>
      <c r="F18" s="10">
        <f>SUM(A18:E18)</f>
        <v>1</v>
      </c>
      <c r="K18" s="15" t="s">
        <v>14</v>
      </c>
      <c r="L18" s="9" t="s">
        <v>13</v>
      </c>
      <c r="M18" s="13">
        <v>9.5299999999999994</v>
      </c>
      <c r="N18" s="9">
        <f>1-N17</f>
        <v>9.9999999999999978E-2</v>
      </c>
      <c r="O18" s="42"/>
    </row>
    <row r="19" spans="1:15" ht="15.75" x14ac:dyDescent="0.25">
      <c r="A19" s="43" t="s">
        <v>4</v>
      </c>
      <c r="B19" s="43"/>
      <c r="C19" s="43"/>
      <c r="D19" s="43"/>
      <c r="E19" s="43"/>
      <c r="F19" s="43"/>
    </row>
    <row r="20" spans="1:15" ht="15.75" x14ac:dyDescent="0.25">
      <c r="A20" s="11">
        <f>A17*N17+A18*N18</f>
        <v>9.043296916842429E-2</v>
      </c>
      <c r="B20" s="11">
        <f>B17*N17+B18*N18</f>
        <v>9.6966768893247138E-2</v>
      </c>
      <c r="C20" s="11">
        <f>C17*N17+C18*N18</f>
        <v>0.40451017345957491</v>
      </c>
      <c r="D20" s="11">
        <f>D17*N17+D18*N18</f>
        <v>0.31525813134632918</v>
      </c>
      <c r="E20" s="11">
        <f>E17*N17+E18*N18</f>
        <v>9.2831957132424411E-2</v>
      </c>
      <c r="F20" s="10">
        <f>SUM(A20:E20)</f>
        <v>0.99999999999999989</v>
      </c>
    </row>
    <row r="21" spans="1:15" ht="15.75" x14ac:dyDescent="0.25">
      <c r="A21" s="11"/>
      <c r="B21" s="11"/>
      <c r="C21" s="11"/>
      <c r="D21" s="11"/>
      <c r="E21" s="11"/>
      <c r="F21" s="10"/>
    </row>
    <row r="22" spans="1:15" s="41" customFormat="1" ht="18.75" x14ac:dyDescent="0.3">
      <c r="A22" s="44" t="s">
        <v>39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</row>
    <row r="23" spans="1:15" ht="15.75" x14ac:dyDescent="0.25">
      <c r="A23" s="7" t="s">
        <v>0</v>
      </c>
      <c r="B23" s="7" t="s">
        <v>1</v>
      </c>
      <c r="C23" s="7" t="s">
        <v>2</v>
      </c>
      <c r="D23" s="7" t="s">
        <v>21</v>
      </c>
      <c r="E23" s="7" t="s">
        <v>15</v>
      </c>
      <c r="F23" s="8" t="s">
        <v>3</v>
      </c>
      <c r="K23" s="15" t="s">
        <v>22</v>
      </c>
      <c r="L23" s="14" t="s">
        <v>5</v>
      </c>
      <c r="M23" s="14" t="s">
        <v>6</v>
      </c>
      <c r="N23" s="14" t="s">
        <v>7</v>
      </c>
      <c r="O23" s="14" t="s">
        <v>8</v>
      </c>
    </row>
    <row r="24" spans="1:15" ht="15.75" x14ac:dyDescent="0.25">
      <c r="A24" s="9">
        <f>16*1.007/(16*1.007+1*15.999+6*12.0116+2*28.084)</f>
        <v>0.10048107685380477</v>
      </c>
      <c r="B24" s="9">
        <f>1*15.999/(16*1.007+1*15.999+6*12.0116+2*28.084)</f>
        <v>9.9776362250746181E-2</v>
      </c>
      <c r="C24" s="9">
        <f>6*12.0116/(16*1.007+1*15.999+6*12.0116+2*28.084)</f>
        <v>0.44945574828841656</v>
      </c>
      <c r="D24" s="9">
        <f>2*28.084/(16*1.007+1*15.999+6*12.0116+2*28.084)</f>
        <v>0.35028681260703243</v>
      </c>
      <c r="E24" s="9">
        <f>0/(16*1.007+1*15.999+6*12.0116+2*28.084)</f>
        <v>0</v>
      </c>
      <c r="F24" s="10">
        <f>SUM(A24:E24)</f>
        <v>1</v>
      </c>
      <c r="K24" s="15" t="s">
        <v>23</v>
      </c>
      <c r="L24" s="12" t="s">
        <v>20</v>
      </c>
      <c r="M24" s="13">
        <v>0.96499999999999997</v>
      </c>
      <c r="N24" s="13">
        <v>0.85</v>
      </c>
      <c r="O24" s="42">
        <f>1/((N24/M24)+(N25/M25))</f>
        <v>1.1153633910433278</v>
      </c>
    </row>
    <row r="25" spans="1:15" ht="15.75" x14ac:dyDescent="0.25">
      <c r="A25" s="9">
        <f>0/(1*15.999+1*207.2)</f>
        <v>0</v>
      </c>
      <c r="B25" s="9">
        <f>1*15.999/(1*15.999+1*207.2)</f>
        <v>7.168042867575572E-2</v>
      </c>
      <c r="C25" s="9">
        <f>0/(1*15.999+1*207.2)</f>
        <v>0</v>
      </c>
      <c r="D25" s="9">
        <f>0/(1*15.999+1*207.2)</f>
        <v>0</v>
      </c>
      <c r="E25" s="9">
        <f>1*207.2/(1*15.999+1*207.2)</f>
        <v>0.92831957132424425</v>
      </c>
      <c r="F25" s="10">
        <f>SUM(A25:E25)</f>
        <v>1</v>
      </c>
      <c r="K25" s="15" t="s">
        <v>14</v>
      </c>
      <c r="L25" s="9" t="s">
        <v>13</v>
      </c>
      <c r="M25" s="13">
        <v>9.5299999999999994</v>
      </c>
      <c r="N25" s="9">
        <f>1-N24</f>
        <v>0.15000000000000002</v>
      </c>
      <c r="O25" s="42"/>
    </row>
    <row r="26" spans="1:15" ht="15.75" x14ac:dyDescent="0.25">
      <c r="A26" s="43" t="s">
        <v>4</v>
      </c>
      <c r="B26" s="43"/>
      <c r="C26" s="43"/>
      <c r="D26" s="43"/>
      <c r="E26" s="43"/>
      <c r="F26" s="43"/>
    </row>
    <row r="27" spans="1:15" ht="15.75" x14ac:dyDescent="0.25">
      <c r="A27" s="11">
        <f>A24*N24+A25*N25</f>
        <v>8.5408915325734053E-2</v>
      </c>
      <c r="B27" s="11">
        <f>B24*N24+B25*N25</f>
        <v>9.5561972214497609E-2</v>
      </c>
      <c r="C27" s="11">
        <f>C24*N24+C25*N25</f>
        <v>0.38203738604515408</v>
      </c>
      <c r="D27" s="11">
        <f>D24*N24+D25*N25</f>
        <v>0.29774379071597756</v>
      </c>
      <c r="E27" s="11">
        <f>E24*N24+E25*N25</f>
        <v>0.13924793569863667</v>
      </c>
      <c r="F27" s="10">
        <f>SUM(A27:E27)</f>
        <v>1</v>
      </c>
    </row>
    <row r="29" spans="1:15" s="41" customFormat="1" ht="18.75" x14ac:dyDescent="0.3">
      <c r="A29" s="44" t="s">
        <v>40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</row>
    <row r="30" spans="1:15" ht="15.75" x14ac:dyDescent="0.25">
      <c r="A30" s="7" t="s">
        <v>0</v>
      </c>
      <c r="B30" s="7" t="s">
        <v>1</v>
      </c>
      <c r="C30" s="7" t="s">
        <v>2</v>
      </c>
      <c r="D30" s="7" t="s">
        <v>21</v>
      </c>
      <c r="E30" s="7" t="s">
        <v>15</v>
      </c>
      <c r="F30" s="8" t="s">
        <v>3</v>
      </c>
      <c r="K30" s="15" t="s">
        <v>22</v>
      </c>
      <c r="L30" s="14" t="s">
        <v>5</v>
      </c>
      <c r="M30" s="14" t="s">
        <v>6</v>
      </c>
      <c r="N30" s="14" t="s">
        <v>7</v>
      </c>
      <c r="O30" s="14" t="s">
        <v>8</v>
      </c>
    </row>
    <row r="31" spans="1:15" ht="15.75" x14ac:dyDescent="0.25">
      <c r="A31" s="9">
        <f>16*1.007/(16*1.007+1*15.999+6*12.0116+2*28.084)</f>
        <v>0.10048107685380477</v>
      </c>
      <c r="B31" s="9">
        <f>1*15.999/(16*1.007+1*15.999+6*12.0116+2*28.084)</f>
        <v>9.9776362250746181E-2</v>
      </c>
      <c r="C31" s="9">
        <f>6*12.0116/(16*1.007+1*15.999+6*12.0116+2*28.084)</f>
        <v>0.44945574828841656</v>
      </c>
      <c r="D31" s="9">
        <f>2*28.084/(16*1.007+1*15.999+6*12.0116+2*28.084)</f>
        <v>0.35028681260703243</v>
      </c>
      <c r="E31" s="9">
        <f>0/(16*1.007+1*15.999+6*12.0116+2*28.084)</f>
        <v>0</v>
      </c>
      <c r="F31" s="10">
        <f>SUM(A31:E31)</f>
        <v>1</v>
      </c>
      <c r="K31" s="15" t="s">
        <v>23</v>
      </c>
      <c r="L31" s="12" t="s">
        <v>20</v>
      </c>
      <c r="M31" s="13">
        <v>0.96499999999999997</v>
      </c>
      <c r="N31" s="13">
        <v>0.8</v>
      </c>
      <c r="O31" s="42">
        <f>1/((N31/M31)+(N32/M32))</f>
        <v>1.1764679544582319</v>
      </c>
    </row>
    <row r="32" spans="1:15" ht="15.75" x14ac:dyDescent="0.25">
      <c r="A32" s="9">
        <f>0/(1*15.999+1*207.2)</f>
        <v>0</v>
      </c>
      <c r="B32" s="9">
        <f>1*15.999/(1*15.999+1*207.2)</f>
        <v>7.168042867575572E-2</v>
      </c>
      <c r="C32" s="9">
        <f>0/(1*15.999+1*207.2)</f>
        <v>0</v>
      </c>
      <c r="D32" s="9">
        <f>0/(1*15.999+1*207.2)</f>
        <v>0</v>
      </c>
      <c r="E32" s="9">
        <f>1*207.2/(1*15.999+1*207.2)</f>
        <v>0.92831957132424425</v>
      </c>
      <c r="F32" s="10">
        <f>SUM(A32:E32)</f>
        <v>1</v>
      </c>
      <c r="K32" s="15" t="s">
        <v>14</v>
      </c>
      <c r="L32" s="9" t="s">
        <v>13</v>
      </c>
      <c r="M32" s="13">
        <v>9.5299999999999994</v>
      </c>
      <c r="N32" s="9">
        <f>1-N31</f>
        <v>0.19999999999999996</v>
      </c>
      <c r="O32" s="42"/>
    </row>
    <row r="33" spans="1:6" ht="15.75" x14ac:dyDescent="0.25">
      <c r="A33" s="43" t="s">
        <v>4</v>
      </c>
      <c r="B33" s="43"/>
      <c r="C33" s="43"/>
      <c r="D33" s="43"/>
      <c r="E33" s="43"/>
      <c r="F33" s="43"/>
    </row>
    <row r="34" spans="1:6" ht="15.75" x14ac:dyDescent="0.25">
      <c r="A34" s="11">
        <f>A31*N31+A32*N32</f>
        <v>8.0384861483043815E-2</v>
      </c>
      <c r="B34" s="11">
        <f>B31*N31+B32*N32</f>
        <v>9.4157175535748094E-2</v>
      </c>
      <c r="C34" s="11">
        <f>C31*N31+C32*N32</f>
        <v>0.35956459863073326</v>
      </c>
      <c r="D34" s="11">
        <f>D31*N31+D32*N32</f>
        <v>0.28022945008562594</v>
      </c>
      <c r="E34" s="11">
        <f>E31*N31+E32*N32</f>
        <v>0.18566391426484882</v>
      </c>
      <c r="F34" s="10">
        <f>SUM(A34:E34)</f>
        <v>1</v>
      </c>
    </row>
  </sheetData>
  <mergeCells count="15">
    <mergeCell ref="A19:F19"/>
    <mergeCell ref="A1:O1"/>
    <mergeCell ref="A8:O8"/>
    <mergeCell ref="A15:O15"/>
    <mergeCell ref="A22:O22"/>
    <mergeCell ref="A5:F5"/>
    <mergeCell ref="O3:O4"/>
    <mergeCell ref="O10:O11"/>
    <mergeCell ref="A12:F12"/>
    <mergeCell ref="O17:O18"/>
    <mergeCell ref="O24:O25"/>
    <mergeCell ref="A26:F26"/>
    <mergeCell ref="A29:O29"/>
    <mergeCell ref="O31:O32"/>
    <mergeCell ref="A33:F33"/>
  </mergeCells>
  <pageMargins left="0.7" right="0.7" top="0.75" bottom="0.75" header="0.3" footer="0.3"/>
  <ignoredErrors>
    <ignoredError sqref="B4 B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E46F7-3754-40A8-A80E-7EC1F2876DD3}">
  <sheetPr>
    <tabColor rgb="FF00B050"/>
  </sheetPr>
  <dimension ref="A1:H32"/>
  <sheetViews>
    <sheetView topLeftCell="A13" workbookViewId="0">
      <selection activeCell="G25" sqref="G25:G32"/>
    </sheetView>
  </sheetViews>
  <sheetFormatPr defaultRowHeight="15" x14ac:dyDescent="0.25"/>
  <cols>
    <col min="1" max="1" width="59" customWidth="1"/>
    <col min="2" max="2" width="13.140625" bestFit="1" customWidth="1"/>
    <col min="6" max="6" width="12" bestFit="1" customWidth="1"/>
    <col min="7" max="7" width="11.7109375" bestFit="1" customWidth="1"/>
    <col min="9" max="9" width="12.5703125" bestFit="1" customWidth="1"/>
    <col min="14" max="14" width="12.5703125" bestFit="1" customWidth="1"/>
    <col min="22" max="22" width="12.5703125" bestFit="1" customWidth="1"/>
  </cols>
  <sheetData>
    <row r="1" spans="1:8" ht="90" x14ac:dyDescent="0.25">
      <c r="A1" s="3" t="s">
        <v>35</v>
      </c>
    </row>
    <row r="3" spans="1:8" s="6" customFormat="1" x14ac:dyDescent="0.25"/>
    <row r="4" spans="1:8" ht="18.75" x14ac:dyDescent="0.3">
      <c r="A4" s="5" t="s">
        <v>15</v>
      </c>
      <c r="B4" s="4" t="s">
        <v>17</v>
      </c>
      <c r="C4" s="4" t="s">
        <v>10</v>
      </c>
      <c r="D4" s="4" t="s">
        <v>9</v>
      </c>
      <c r="E4" s="4" t="s">
        <v>12</v>
      </c>
      <c r="F4" s="4" t="s">
        <v>42</v>
      </c>
      <c r="G4" s="4" t="s">
        <v>43</v>
      </c>
      <c r="H4" s="4" t="s">
        <v>18</v>
      </c>
    </row>
    <row r="5" spans="1:8" x14ac:dyDescent="0.25">
      <c r="A5" s="2"/>
      <c r="B5">
        <v>0.2</v>
      </c>
      <c r="C5">
        <f>149926</f>
        <v>149926</v>
      </c>
      <c r="D5">
        <f>1.91844</f>
        <v>1.9184399999999999</v>
      </c>
      <c r="E5">
        <f>(-LN(D5/C5))/1</f>
        <v>11.26638476223347</v>
      </c>
      <c r="F5" s="51">
        <f>E5/11.35</f>
        <v>0.99263301869898413</v>
      </c>
      <c r="G5" s="51">
        <f>0.9986</f>
        <v>0.99860000000000004</v>
      </c>
      <c r="H5" s="50">
        <f>ABS(G5-F5)*100/AVERAGE(F5:G5)</f>
        <v>0.59932526680524567</v>
      </c>
    </row>
    <row r="6" spans="1:8" x14ac:dyDescent="0.25">
      <c r="B6">
        <v>0.3</v>
      </c>
      <c r="C6">
        <f>145881</f>
        <v>145881</v>
      </c>
      <c r="D6">
        <f>1656.07</f>
        <v>1656.07</v>
      </c>
      <c r="E6">
        <f>(-LN(D6/C6))/1</f>
        <v>4.4783438952651622</v>
      </c>
      <c r="F6" s="51">
        <f>E6/11.35</f>
        <v>0.39456774407622575</v>
      </c>
      <c r="G6" s="51">
        <f>0.4032</f>
        <v>0.4032</v>
      </c>
      <c r="H6" s="50">
        <f>ABS(G6-F6)*100/AVERAGE(F6:G6)</f>
        <v>2.1641025192789582</v>
      </c>
    </row>
    <row r="7" spans="1:8" x14ac:dyDescent="0.25">
      <c r="B7">
        <v>0.4</v>
      </c>
      <c r="C7">
        <f>144649</f>
        <v>144649</v>
      </c>
      <c r="D7">
        <f>11020.3</f>
        <v>11020.3</v>
      </c>
      <c r="E7">
        <f t="shared" ref="E7:E12" si="0">(-LN(D7/C7))/1</f>
        <v>2.5745710915746822</v>
      </c>
      <c r="F7" s="51">
        <f t="shared" ref="F7:F12" si="1">E7/11.35</f>
        <v>0.226834457407461</v>
      </c>
      <c r="G7" s="51">
        <f>0.2323</f>
        <v>0.23230000000000001</v>
      </c>
      <c r="H7" s="50">
        <f t="shared" ref="H7:H12" si="2">ABS(G7-F7)*100/AVERAGE(F7:G7)</f>
        <v>2.3808026186492843</v>
      </c>
    </row>
    <row r="8" spans="1:8" x14ac:dyDescent="0.25">
      <c r="B8">
        <v>0.5</v>
      </c>
      <c r="C8">
        <f>144130</f>
        <v>144130</v>
      </c>
      <c r="D8">
        <f>24268.3</f>
        <v>24268.3</v>
      </c>
      <c r="E8">
        <f t="shared" si="0"/>
        <v>1.7815446981332341</v>
      </c>
      <c r="F8" s="51">
        <f t="shared" si="1"/>
        <v>0.15696429058442593</v>
      </c>
      <c r="G8" s="51">
        <f>0.1613</f>
        <v>0.1613</v>
      </c>
      <c r="H8" s="50">
        <f t="shared" si="2"/>
        <v>2.7245968484949681</v>
      </c>
    </row>
    <row r="9" spans="1:8" x14ac:dyDescent="0.25">
      <c r="B9">
        <v>0.6</v>
      </c>
      <c r="C9">
        <f>143885</f>
        <v>143885</v>
      </c>
      <c r="D9">
        <f>36387.6</f>
        <v>36387.599999999999</v>
      </c>
      <c r="E9">
        <f t="shared" si="0"/>
        <v>1.3747863121406938</v>
      </c>
      <c r="F9" s="51">
        <f t="shared" si="1"/>
        <v>0.12112654732517127</v>
      </c>
      <c r="G9" s="51">
        <f>0.1248</f>
        <v>0.12479999999999999</v>
      </c>
      <c r="H9" s="50">
        <f t="shared" si="2"/>
        <v>2.9874389038378859</v>
      </c>
    </row>
    <row r="10" spans="1:8" x14ac:dyDescent="0.25">
      <c r="B10">
        <v>0.8</v>
      </c>
      <c r="C10">
        <f>143593</f>
        <v>143593</v>
      </c>
      <c r="D10">
        <f>53980.8</f>
        <v>53980.800000000003</v>
      </c>
      <c r="E10">
        <f t="shared" si="0"/>
        <v>0.97835448112401258</v>
      </c>
      <c r="F10" s="51">
        <f t="shared" si="1"/>
        <v>8.6198632698150895E-2</v>
      </c>
      <c r="G10" s="51">
        <f>0.0887</f>
        <v>8.8700000000000001E-2</v>
      </c>
      <c r="H10" s="50">
        <f t="shared" si="2"/>
        <v>2.8603623290367222</v>
      </c>
    </row>
    <row r="11" spans="1:8" x14ac:dyDescent="0.25">
      <c r="B11">
        <v>1</v>
      </c>
      <c r="C11">
        <f>143489</f>
        <v>143489</v>
      </c>
      <c r="D11">
        <f>65475</f>
        <v>65475</v>
      </c>
      <c r="E11">
        <f t="shared" si="0"/>
        <v>0.78458998681548664</v>
      </c>
      <c r="F11" s="51">
        <f t="shared" si="1"/>
        <v>6.9126871085064906E-2</v>
      </c>
      <c r="G11" s="51">
        <f>0.07102</f>
        <v>7.102E-2</v>
      </c>
      <c r="H11" s="50">
        <f t="shared" si="2"/>
        <v>2.701635648770242</v>
      </c>
    </row>
    <row r="12" spans="1:8" x14ac:dyDescent="0.25">
      <c r="B12">
        <v>2</v>
      </c>
      <c r="C12">
        <f>145328</f>
        <v>145328</v>
      </c>
      <c r="D12">
        <f>87255</f>
        <v>87255</v>
      </c>
      <c r="E12">
        <f t="shared" si="0"/>
        <v>0.51015839072902325</v>
      </c>
      <c r="F12" s="51">
        <f t="shared" si="1"/>
        <v>4.4947875835156234E-2</v>
      </c>
      <c r="G12" s="51">
        <f>0.04607</f>
        <v>4.607E-2</v>
      </c>
      <c r="H12" s="50">
        <f t="shared" si="2"/>
        <v>2.4657225947044967</v>
      </c>
    </row>
    <row r="13" spans="1:8" s="6" customFormat="1" x14ac:dyDescent="0.25"/>
    <row r="14" spans="1:8" ht="18.75" x14ac:dyDescent="0.3">
      <c r="A14" s="5" t="s">
        <v>19</v>
      </c>
      <c r="B14" s="4" t="s">
        <v>17</v>
      </c>
      <c r="C14" s="4" t="s">
        <v>10</v>
      </c>
      <c r="D14" s="4" t="s">
        <v>9</v>
      </c>
      <c r="E14" s="4" t="s">
        <v>12</v>
      </c>
      <c r="F14" s="4" t="s">
        <v>11</v>
      </c>
      <c r="G14" s="4" t="s">
        <v>16</v>
      </c>
      <c r="H14" s="4" t="s">
        <v>18</v>
      </c>
    </row>
    <row r="15" spans="1:8" x14ac:dyDescent="0.25">
      <c r="A15" s="2"/>
      <c r="B15">
        <v>0.2</v>
      </c>
      <c r="C15">
        <f>149926</f>
        <v>149926</v>
      </c>
      <c r="D15">
        <f>108086</f>
        <v>108086</v>
      </c>
      <c r="E15">
        <f>(-LN(D15/C15))/1</f>
        <v>0.3272146324891696</v>
      </c>
      <c r="F15" s="51">
        <f>E15/2.7</f>
        <v>0.12119060462561836</v>
      </c>
      <c r="G15" s="51">
        <f>0.1223</f>
        <v>0.12230000000000001</v>
      </c>
      <c r="H15" s="50">
        <f>ABS(G15-F15)*100/AVERAGE(F15:G15)</f>
        <v>0.91124285972956764</v>
      </c>
    </row>
    <row r="16" spans="1:8" x14ac:dyDescent="0.25">
      <c r="B16">
        <v>0.3</v>
      </c>
      <c r="C16">
        <f>145881</f>
        <v>145881</v>
      </c>
      <c r="D16">
        <f>110372</f>
        <v>110372</v>
      </c>
      <c r="E16">
        <f>(-LN(D16/C16))/1</f>
        <v>0.27893474237946858</v>
      </c>
      <c r="F16" s="51">
        <f>E16/2.7</f>
        <v>0.10330916384424761</v>
      </c>
      <c r="G16" s="51">
        <f>0.1042</f>
        <v>0.1042</v>
      </c>
      <c r="H16" s="50">
        <f>ABS(G16-F16)*100/AVERAGE(F16:G16)</f>
        <v>0.85859934014387307</v>
      </c>
    </row>
    <row r="17" spans="1:8" x14ac:dyDescent="0.25">
      <c r="B17">
        <v>0.4</v>
      </c>
      <c r="C17">
        <f>144649</f>
        <v>144649</v>
      </c>
      <c r="D17">
        <f>112574</f>
        <v>112574</v>
      </c>
      <c r="E17">
        <f t="shared" ref="E17:E22" si="3">(-LN(D17/C17))/1</f>
        <v>0.25069933497812463</v>
      </c>
      <c r="F17" s="51">
        <f t="shared" ref="F17:F22" si="4">E17/2.7</f>
        <v>9.2851605547453558E-2</v>
      </c>
      <c r="G17" s="51">
        <f>0.09276</f>
        <v>9.2759999999999995E-2</v>
      </c>
      <c r="H17" s="50">
        <f t="shared" ref="H17:H22" si="5">ABS(G17-F17)*100/AVERAGE(F17:G17)</f>
        <v>9.8706702292000043E-2</v>
      </c>
    </row>
    <row r="18" spans="1:8" x14ac:dyDescent="0.25">
      <c r="B18">
        <v>0.5</v>
      </c>
      <c r="C18">
        <f>144130</f>
        <v>144130</v>
      </c>
      <c r="D18">
        <f>114649</f>
        <v>114649</v>
      </c>
      <c r="E18">
        <f t="shared" si="3"/>
        <v>0.22884038302713045</v>
      </c>
      <c r="F18" s="51">
        <f t="shared" si="4"/>
        <v>8.4755697417455714E-2</v>
      </c>
      <c r="G18" s="51">
        <f>0.08445</f>
        <v>8.4449999999999997E-2</v>
      </c>
      <c r="H18" s="50">
        <f t="shared" si="5"/>
        <v>0.36133229805083367</v>
      </c>
    </row>
    <row r="19" spans="1:8" x14ac:dyDescent="0.25">
      <c r="B19">
        <v>0.6</v>
      </c>
      <c r="C19">
        <f>143885</f>
        <v>143885</v>
      </c>
      <c r="D19">
        <f>116503</f>
        <v>116503</v>
      </c>
      <c r="E19">
        <f t="shared" si="3"/>
        <v>0.21109734565799157</v>
      </c>
      <c r="F19" s="51">
        <f t="shared" si="4"/>
        <v>7.8184202095552421E-2</v>
      </c>
      <c r="G19" s="51">
        <f>0.07802</f>
        <v>7.8020000000000006E-2</v>
      </c>
      <c r="H19" s="50">
        <f t="shared" si="5"/>
        <v>0.21024030512568484</v>
      </c>
    </row>
    <row r="20" spans="1:8" x14ac:dyDescent="0.25">
      <c r="B20">
        <v>0.8</v>
      </c>
      <c r="C20">
        <f>143593</f>
        <v>143593</v>
      </c>
      <c r="D20">
        <f>119412</f>
        <v>119412</v>
      </c>
      <c r="E20">
        <f t="shared" si="3"/>
        <v>0.18440321048684241</v>
      </c>
      <c r="F20" s="51">
        <f t="shared" si="4"/>
        <v>6.8297485365497179E-2</v>
      </c>
      <c r="G20" s="51">
        <f>0.06841</f>
        <v>6.8409999999999999E-2</v>
      </c>
      <c r="H20" s="50">
        <f t="shared" si="5"/>
        <v>0.16460639913316163</v>
      </c>
    </row>
    <row r="21" spans="1:8" x14ac:dyDescent="0.25">
      <c r="B21">
        <v>1</v>
      </c>
      <c r="C21">
        <f>143489</f>
        <v>143489</v>
      </c>
      <c r="D21">
        <f>121645</f>
        <v>121645</v>
      </c>
      <c r="E21">
        <f t="shared" si="3"/>
        <v>0.16515141034517758</v>
      </c>
      <c r="F21" s="51">
        <f t="shared" si="4"/>
        <v>6.1167189016732432E-2</v>
      </c>
      <c r="G21" s="51">
        <f>0.06146</f>
        <v>6.1460000000000001E-2</v>
      </c>
      <c r="H21" s="50">
        <f t="shared" si="5"/>
        <v>0.47756290528296313</v>
      </c>
    </row>
    <row r="22" spans="1:8" x14ac:dyDescent="0.25">
      <c r="B22">
        <v>2</v>
      </c>
      <c r="C22">
        <f>145328</f>
        <v>145328</v>
      </c>
      <c r="D22">
        <f>129436</f>
        <v>129436</v>
      </c>
      <c r="E22">
        <f t="shared" si="3"/>
        <v>0.11580670627574204</v>
      </c>
      <c r="F22" s="51">
        <f t="shared" si="4"/>
        <v>4.2891372694719272E-2</v>
      </c>
      <c r="G22" s="51">
        <f>0.04324</f>
        <v>4.3240000000000001E-2</v>
      </c>
      <c r="H22" s="50">
        <f t="shared" si="5"/>
        <v>0.80952455388442413</v>
      </c>
    </row>
    <row r="23" spans="1:8" s="6" customFormat="1" x14ac:dyDescent="0.25"/>
    <row r="24" spans="1:8" ht="18.75" x14ac:dyDescent="0.3">
      <c r="A24" s="5" t="s">
        <v>34</v>
      </c>
      <c r="B24" s="4" t="s">
        <v>17</v>
      </c>
      <c r="C24" s="4" t="s">
        <v>10</v>
      </c>
      <c r="D24" s="4" t="s">
        <v>9</v>
      </c>
      <c r="E24" s="4" t="s">
        <v>12</v>
      </c>
      <c r="F24" s="4" t="s">
        <v>11</v>
      </c>
      <c r="G24" s="4" t="s">
        <v>16</v>
      </c>
      <c r="H24" s="4" t="s">
        <v>18</v>
      </c>
    </row>
    <row r="25" spans="1:8" x14ac:dyDescent="0.25">
      <c r="B25">
        <v>0.2</v>
      </c>
      <c r="C25">
        <f>149926</f>
        <v>149926</v>
      </c>
      <c r="D25">
        <f>38592</f>
        <v>38592</v>
      </c>
      <c r="E25">
        <f t="shared" ref="E25:E32" si="6">(-LN(D25/C25))/1</f>
        <v>1.3570968379292765</v>
      </c>
      <c r="F25" s="51">
        <f t="shared" ref="F25:F32" si="7">E25/8.83</f>
        <v>0.15369160112449337</v>
      </c>
      <c r="G25" s="51">
        <f>0.1559</f>
        <v>0.15590000000000001</v>
      </c>
      <c r="H25" s="50">
        <f>ABS(G25-F25)*100/AVERAGE(F25:G25)</f>
        <v>1.4266529631200142</v>
      </c>
    </row>
    <row r="26" spans="1:8" x14ac:dyDescent="0.25">
      <c r="B26">
        <v>0.3</v>
      </c>
      <c r="C26">
        <f>145881</f>
        <v>145881</v>
      </c>
      <c r="D26">
        <f>55254</f>
        <v>55254</v>
      </c>
      <c r="E26">
        <f t="shared" si="6"/>
        <v>0.97085048489897274</v>
      </c>
      <c r="F26" s="51">
        <f t="shared" si="7"/>
        <v>0.10994909228753938</v>
      </c>
      <c r="G26" s="51">
        <f>0.1119</f>
        <v>0.1119</v>
      </c>
      <c r="H26" s="50">
        <f t="shared" ref="H26:H32" si="8">ABS(G26-F26)*100/AVERAGE(F26:G26)</f>
        <v>1.7587700651324205</v>
      </c>
    </row>
    <row r="27" spans="1:8" x14ac:dyDescent="0.25">
      <c r="B27">
        <v>0.4</v>
      </c>
      <c r="C27">
        <f>144649</f>
        <v>144649</v>
      </c>
      <c r="D27">
        <f>63636.6</f>
        <v>63636.6</v>
      </c>
      <c r="E27">
        <f t="shared" si="6"/>
        <v>0.82112134163554473</v>
      </c>
      <c r="F27" s="51">
        <f t="shared" si="7"/>
        <v>9.2992224420786487E-2</v>
      </c>
      <c r="G27" s="51">
        <f>0.09413</f>
        <v>9.4130000000000005E-2</v>
      </c>
      <c r="H27" s="50">
        <f t="shared" si="8"/>
        <v>1.2160774410793378</v>
      </c>
    </row>
    <row r="28" spans="1:8" x14ac:dyDescent="0.25">
      <c r="B28">
        <v>0.5</v>
      </c>
      <c r="C28">
        <f>144130</f>
        <v>144130</v>
      </c>
      <c r="D28">
        <f>69566.7</f>
        <v>69566.7</v>
      </c>
      <c r="E28">
        <f t="shared" si="6"/>
        <v>0.72842966552339661</v>
      </c>
      <c r="F28" s="51">
        <f t="shared" si="7"/>
        <v>8.2494865857689309E-2</v>
      </c>
      <c r="G28" s="51">
        <f>0.08363</f>
        <v>8.3629999999999996E-2</v>
      </c>
      <c r="H28" s="50">
        <f t="shared" si="8"/>
        <v>1.3666035321685055</v>
      </c>
    </row>
    <row r="29" spans="1:8" x14ac:dyDescent="0.25">
      <c r="B29">
        <v>0.6</v>
      </c>
      <c r="C29">
        <f>143885</f>
        <v>143885</v>
      </c>
      <c r="D29">
        <f>74112.5</f>
        <v>74112.5</v>
      </c>
      <c r="E29">
        <f t="shared" si="6"/>
        <v>0.66343016037166891</v>
      </c>
      <c r="F29" s="51">
        <f t="shared" si="7"/>
        <v>7.513365349622525E-2</v>
      </c>
      <c r="G29" s="51">
        <f>0.07625</f>
        <v>7.6249999999999998E-2</v>
      </c>
      <c r="H29" s="50">
        <f t="shared" si="8"/>
        <v>1.4748573944314067</v>
      </c>
    </row>
    <row r="30" spans="1:8" x14ac:dyDescent="0.25">
      <c r="B30">
        <v>0.8</v>
      </c>
      <c r="C30">
        <f>143593</f>
        <v>143593</v>
      </c>
      <c r="D30">
        <f>80825.1</f>
        <v>80825.100000000006</v>
      </c>
      <c r="E30">
        <f t="shared" si="6"/>
        <v>0.57469534805618361</v>
      </c>
      <c r="F30" s="51">
        <f t="shared" si="7"/>
        <v>6.5084410878389995E-2</v>
      </c>
      <c r="G30" s="51">
        <f>0.06606</f>
        <v>6.6059999999999994E-2</v>
      </c>
      <c r="H30" s="50">
        <f t="shared" si="8"/>
        <v>1.4878089200685205</v>
      </c>
    </row>
    <row r="31" spans="1:8" x14ac:dyDescent="0.25">
      <c r="B31">
        <v>1</v>
      </c>
      <c r="C31">
        <f>143489</f>
        <v>143489</v>
      </c>
      <c r="D31">
        <f>85657.5</f>
        <v>85657.5</v>
      </c>
      <c r="E31">
        <f t="shared" si="6"/>
        <v>0.51590159059852758</v>
      </c>
      <c r="F31" s="51">
        <f t="shared" si="7"/>
        <v>5.8426001200286251E-2</v>
      </c>
      <c r="G31" s="51">
        <f>0.05901</f>
        <v>5.901E-2</v>
      </c>
      <c r="H31" s="50">
        <f t="shared" si="8"/>
        <v>0.99458222988663103</v>
      </c>
    </row>
    <row r="32" spans="1:8" x14ac:dyDescent="0.25">
      <c r="B32">
        <v>2</v>
      </c>
      <c r="C32">
        <f>145328</f>
        <v>145328</v>
      </c>
      <c r="D32">
        <f>100803</f>
        <v>100803</v>
      </c>
      <c r="E32">
        <f t="shared" si="6"/>
        <v>0.36582513966070435</v>
      </c>
      <c r="F32" s="51">
        <f t="shared" si="7"/>
        <v>4.1429800641076368E-2</v>
      </c>
      <c r="G32" s="51">
        <f>0.04205</f>
        <v>4.2049999999999997E-2</v>
      </c>
      <c r="H32" s="50">
        <f t="shared" si="8"/>
        <v>1.4858668903395984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1A2AA-083A-487A-9D20-CAC7D68CF8AD}">
  <sheetPr>
    <tabColor rgb="FF00B050"/>
  </sheetPr>
  <dimension ref="A1:J52"/>
  <sheetViews>
    <sheetView tabSelected="1" topLeftCell="A13" zoomScaleNormal="100" workbookViewId="0">
      <selection activeCell="F20" sqref="F20"/>
    </sheetView>
  </sheetViews>
  <sheetFormatPr defaultRowHeight="15" x14ac:dyDescent="0.25"/>
  <cols>
    <col min="1" max="1" width="59" customWidth="1"/>
    <col min="2" max="2" width="13.140625" bestFit="1" customWidth="1"/>
    <col min="7" max="7" width="16.7109375" customWidth="1"/>
    <col min="8" max="8" width="9.140625" customWidth="1"/>
    <col min="9" max="9" width="14.7109375" bestFit="1" customWidth="1"/>
    <col min="10" max="10" width="12.7109375" customWidth="1"/>
    <col min="11" max="11" width="12.85546875" customWidth="1"/>
    <col min="14" max="14" width="12.5703125" bestFit="1" customWidth="1"/>
    <col min="22" max="22" width="12.5703125" bestFit="1" customWidth="1"/>
  </cols>
  <sheetData>
    <row r="1" spans="1:10" ht="105" x14ac:dyDescent="0.25">
      <c r="A1" s="3" t="s">
        <v>41</v>
      </c>
    </row>
    <row r="3" spans="1:10" s="6" customFormat="1" x14ac:dyDescent="0.25"/>
    <row r="4" spans="1:10" ht="18.75" x14ac:dyDescent="0.3">
      <c r="A4" s="5" t="s">
        <v>36</v>
      </c>
      <c r="B4" s="4" t="s">
        <v>17</v>
      </c>
      <c r="C4" s="4" t="s">
        <v>10</v>
      </c>
      <c r="D4" s="4" t="s">
        <v>9</v>
      </c>
      <c r="E4" s="4" t="s">
        <v>12</v>
      </c>
      <c r="F4" s="4" t="s">
        <v>11</v>
      </c>
      <c r="G4" s="4" t="s">
        <v>16</v>
      </c>
      <c r="H4" s="4" t="s">
        <v>18</v>
      </c>
      <c r="I4" s="4" t="s">
        <v>45</v>
      </c>
      <c r="J4" s="4" t="s">
        <v>46</v>
      </c>
    </row>
    <row r="5" spans="1:10" x14ac:dyDescent="0.25">
      <c r="A5" s="2"/>
      <c r="B5">
        <v>0.2</v>
      </c>
      <c r="C5">
        <f>149926</f>
        <v>149926</v>
      </c>
      <c r="D5" s="1">
        <f>131717</f>
        <v>131717</v>
      </c>
      <c r="E5" s="52">
        <f>(-LN(D5/C5))/1</f>
        <v>0.12948615736977401</v>
      </c>
      <c r="F5" s="52">
        <f>E5/0.965</f>
        <v>0.13418254649717515</v>
      </c>
      <c r="G5" s="52">
        <f>0.1367</f>
        <v>0.13669999999999999</v>
      </c>
      <c r="H5" s="52">
        <f>ABS(G5-F5)*100/AVERAGE(F5:G5)</f>
        <v>1.8587048411781621</v>
      </c>
      <c r="I5" s="52">
        <f>(1/E5)</f>
        <v>7.7228332380294287</v>
      </c>
      <c r="J5" s="52">
        <f>(LN(2)/E5)</f>
        <v>5.3530600848747314</v>
      </c>
    </row>
    <row r="6" spans="1:10" x14ac:dyDescent="0.25">
      <c r="B6">
        <v>0.3</v>
      </c>
      <c r="C6">
        <f>145881</f>
        <v>145881</v>
      </c>
      <c r="D6" s="1">
        <f>130190</f>
        <v>130190</v>
      </c>
      <c r="E6" s="52">
        <f>(-LN(D6/C6))/1</f>
        <v>0.11379629895695205</v>
      </c>
      <c r="F6" s="52">
        <f>E6/0.965</f>
        <v>0.11792362586212649</v>
      </c>
      <c r="G6" s="52">
        <f>0.1177</f>
        <v>0.1177</v>
      </c>
      <c r="H6" s="52">
        <f>ABS(G6-F6)*100/AVERAGE(F6:G6)</f>
        <v>0.18981616237188328</v>
      </c>
      <c r="I6" s="52">
        <f t="shared" ref="I6:I12" si="0">(1/E6)</f>
        <v>8.7876320158557135</v>
      </c>
      <c r="J6" s="52">
        <f t="shared" ref="J6:J12" si="1">(LN(2)/E6)</f>
        <v>6.0911223555886966</v>
      </c>
    </row>
    <row r="7" spans="1:10" x14ac:dyDescent="0.25">
      <c r="B7">
        <v>0.4</v>
      </c>
      <c r="C7">
        <f>144649</f>
        <v>144649</v>
      </c>
      <c r="D7" s="1">
        <f>130605</f>
        <v>130605</v>
      </c>
      <c r="E7" s="52">
        <f t="shared" ref="E7:E12" si="2">(-LN(D7/C7))/1</f>
        <v>0.10213261721070659</v>
      </c>
      <c r="F7" s="52">
        <f t="shared" ref="F7:F12" si="3">E7/0.965</f>
        <v>0.10583690902663895</v>
      </c>
      <c r="G7" s="52">
        <f>0.1052</f>
        <v>0.1052</v>
      </c>
      <c r="H7" s="52">
        <f t="shared" ref="H7:H12" si="4">ABS(G7-F7)*100/AVERAGE(F7:G7)</f>
        <v>0.60359965427521467</v>
      </c>
      <c r="I7" s="52">
        <f t="shared" si="0"/>
        <v>9.7911913677579765</v>
      </c>
      <c r="J7" s="52">
        <f t="shared" si="1"/>
        <v>6.7867366908843154</v>
      </c>
    </row>
    <row r="8" spans="1:10" x14ac:dyDescent="0.25">
      <c r="B8">
        <v>0.5</v>
      </c>
      <c r="C8">
        <f>144130</f>
        <v>144130</v>
      </c>
      <c r="D8" s="1">
        <f>131323</f>
        <v>131323</v>
      </c>
      <c r="E8" s="52">
        <f t="shared" si="2"/>
        <v>9.3055732763682467E-2</v>
      </c>
      <c r="F8" s="52">
        <f t="shared" si="3"/>
        <v>9.6430811154075091E-2</v>
      </c>
      <c r="G8" s="52">
        <f>0.0959</f>
        <v>9.5899999999999999E-2</v>
      </c>
      <c r="H8" s="52">
        <f t="shared" si="4"/>
        <v>0.55197724263728332</v>
      </c>
      <c r="I8" s="52">
        <f t="shared" si="0"/>
        <v>10.746248192355079</v>
      </c>
      <c r="J8" s="52">
        <f t="shared" si="1"/>
        <v>7.4487316361283318</v>
      </c>
    </row>
    <row r="9" spans="1:10" x14ac:dyDescent="0.25">
      <c r="B9">
        <v>0.6</v>
      </c>
      <c r="C9">
        <f>143885</f>
        <v>143885</v>
      </c>
      <c r="D9" s="1">
        <f>131952</f>
        <v>131952</v>
      </c>
      <c r="E9" s="52">
        <f t="shared" si="2"/>
        <v>8.6576149314155429E-2</v>
      </c>
      <c r="F9" s="52">
        <f t="shared" si="3"/>
        <v>8.9716216905860555E-2</v>
      </c>
      <c r="G9" s="52">
        <f>0.08864</f>
        <v>8.8639999999999997E-2</v>
      </c>
      <c r="H9" s="52">
        <f t="shared" si="4"/>
        <v>1.2068173731545377</v>
      </c>
      <c r="I9" s="52">
        <f t="shared" si="0"/>
        <v>11.550525265005028</v>
      </c>
      <c r="J9" s="52">
        <f t="shared" si="1"/>
        <v>8.0062140214246504</v>
      </c>
    </row>
    <row r="10" spans="1:10" x14ac:dyDescent="0.25">
      <c r="B10">
        <v>0.8</v>
      </c>
      <c r="C10">
        <f>143593</f>
        <v>143593</v>
      </c>
      <c r="D10" s="1">
        <f>133062</f>
        <v>133062</v>
      </c>
      <c r="E10" s="52">
        <f t="shared" si="2"/>
        <v>7.6167723893920875E-2</v>
      </c>
      <c r="F10" s="52">
        <f t="shared" si="3"/>
        <v>7.8930283827897282E-2</v>
      </c>
      <c r="G10" s="52">
        <f>0.0778</f>
        <v>7.7799999999999994E-2</v>
      </c>
      <c r="H10" s="52">
        <f t="shared" si="4"/>
        <v>1.4423298424424889</v>
      </c>
      <c r="I10" s="52">
        <f t="shared" si="0"/>
        <v>13.128920609373917</v>
      </c>
      <c r="J10" s="52">
        <f t="shared" si="1"/>
        <v>9.1002743041828911</v>
      </c>
    </row>
    <row r="11" spans="1:10" x14ac:dyDescent="0.25">
      <c r="B11">
        <v>1</v>
      </c>
      <c r="C11">
        <f>143489</f>
        <v>143489</v>
      </c>
      <c r="D11" s="1">
        <f>134118</f>
        <v>134118</v>
      </c>
      <c r="E11" s="52">
        <f t="shared" si="2"/>
        <v>6.7538367741507163E-2</v>
      </c>
      <c r="F11" s="52">
        <f t="shared" si="3"/>
        <v>6.9987945846121419E-2</v>
      </c>
      <c r="G11" s="52">
        <f>0.06993</f>
        <v>6.9930000000000006E-2</v>
      </c>
      <c r="H11" s="52">
        <f t="shared" si="4"/>
        <v>8.2828325946323222E-2</v>
      </c>
      <c r="I11" s="52">
        <f t="shared" si="0"/>
        <v>14.806398695143892</v>
      </c>
      <c r="J11" s="52">
        <f t="shared" si="1"/>
        <v>10.263013509785441</v>
      </c>
    </row>
    <row r="12" spans="1:10" x14ac:dyDescent="0.25">
      <c r="B12">
        <v>2</v>
      </c>
      <c r="C12">
        <f>145328</f>
        <v>145328</v>
      </c>
      <c r="D12" s="1">
        <f>138679</f>
        <v>138679</v>
      </c>
      <c r="E12" s="52">
        <f t="shared" si="2"/>
        <v>4.6831346814144324E-2</v>
      </c>
      <c r="F12" s="52">
        <f t="shared" si="3"/>
        <v>4.8529893071652154E-2</v>
      </c>
      <c r="G12" s="52">
        <f>0.04893</f>
        <v>4.8930000000000001E-2</v>
      </c>
      <c r="H12" s="52">
        <f t="shared" si="4"/>
        <v>0.82106991037572796</v>
      </c>
      <c r="I12" s="52">
        <f t="shared" si="0"/>
        <v>21.353218902044755</v>
      </c>
      <c r="J12" s="52">
        <f t="shared" si="1"/>
        <v>14.800923477831653</v>
      </c>
    </row>
    <row r="13" spans="1:10" s="6" customFormat="1" x14ac:dyDescent="0.25"/>
    <row r="14" spans="1:10" ht="18.75" x14ac:dyDescent="0.3">
      <c r="A14" s="5" t="s">
        <v>37</v>
      </c>
      <c r="B14" s="4" t="s">
        <v>17</v>
      </c>
      <c r="C14" s="4" t="s">
        <v>10</v>
      </c>
      <c r="D14" s="4" t="s">
        <v>9</v>
      </c>
      <c r="E14" s="4" t="s">
        <v>12</v>
      </c>
      <c r="F14" s="4" t="s">
        <v>11</v>
      </c>
      <c r="G14" s="4" t="s">
        <v>16</v>
      </c>
      <c r="H14" s="4" t="s">
        <v>18</v>
      </c>
      <c r="I14" s="4" t="s">
        <v>45</v>
      </c>
      <c r="J14" s="4" t="s">
        <v>46</v>
      </c>
    </row>
    <row r="15" spans="1:10" x14ac:dyDescent="0.25">
      <c r="A15" s="2"/>
      <c r="B15">
        <v>0.2</v>
      </c>
      <c r="C15">
        <f>149926</f>
        <v>149926</v>
      </c>
      <c r="D15" s="1">
        <f>125692</f>
        <v>125692</v>
      </c>
      <c r="E15" s="52">
        <f>(-LN(D15/C15))/1</f>
        <v>0.1763073690589976</v>
      </c>
      <c r="F15" s="52">
        <f>E15/1.01</f>
        <v>0.17456175154356199</v>
      </c>
      <c r="G15" s="52">
        <f>0.1767</f>
        <v>0.1767</v>
      </c>
      <c r="H15" s="1">
        <f>ABS(G15-F15)*100/AVERAGE(F15:G15)</f>
        <v>1.2174672858868503</v>
      </c>
      <c r="I15" s="52">
        <f>(1/E15)</f>
        <v>5.6719126678441372</v>
      </c>
      <c r="J15" s="52">
        <f>(LN(2)/E15)</f>
        <v>3.9314702740984013</v>
      </c>
    </row>
    <row r="16" spans="1:10" x14ac:dyDescent="0.25">
      <c r="B16">
        <v>0.3</v>
      </c>
      <c r="C16">
        <f>145881</f>
        <v>145881</v>
      </c>
      <c r="D16" s="1">
        <f>127843</f>
        <v>127843</v>
      </c>
      <c r="E16" s="52">
        <f t="shared" ref="E16:E22" si="5">(-LN(D16/C16))/1</f>
        <v>0.13198827229009313</v>
      </c>
      <c r="F16" s="52">
        <f t="shared" ref="F16:F22" si="6">E16/1.01</f>
        <v>0.13068145771296349</v>
      </c>
      <c r="G16" s="52">
        <f>0.1309</f>
        <v>0.13089999999999999</v>
      </c>
      <c r="H16" s="1">
        <f t="shared" ref="H16:H22" si="7">ABS(G16-F16)*100/AVERAGE(F16:G16)</f>
        <v>0.16709310281182319</v>
      </c>
      <c r="I16" s="52">
        <f t="shared" ref="I16:I22" si="8">(1/E16)</f>
        <v>7.576430713496495</v>
      </c>
      <c r="J16" s="52">
        <f t="shared" ref="J16:J22" si="9">(LN(2)/E16)</f>
        <v>5.2515815877678707</v>
      </c>
    </row>
    <row r="17" spans="1:10" x14ac:dyDescent="0.25">
      <c r="B17">
        <v>0.4</v>
      </c>
      <c r="C17">
        <f>144649</f>
        <v>144649</v>
      </c>
      <c r="D17" s="1">
        <f>129286</f>
        <v>129286</v>
      </c>
      <c r="E17" s="52">
        <f t="shared" si="5"/>
        <v>0.11228311357247282</v>
      </c>
      <c r="F17" s="52">
        <f t="shared" si="6"/>
        <v>0.11117139957670577</v>
      </c>
      <c r="G17" s="52">
        <f>0.111</f>
        <v>0.111</v>
      </c>
      <c r="H17" s="1">
        <f t="shared" si="7"/>
        <v>0.15429490657423037</v>
      </c>
      <c r="I17" s="52">
        <f t="shared" si="8"/>
        <v>8.9060586955896337</v>
      </c>
      <c r="J17" s="52">
        <f t="shared" si="9"/>
        <v>6.1732094747493385</v>
      </c>
    </row>
    <row r="18" spans="1:10" x14ac:dyDescent="0.25">
      <c r="B18">
        <v>0.5</v>
      </c>
      <c r="C18">
        <f>144130</f>
        <v>144130</v>
      </c>
      <c r="D18" s="1">
        <f>130380</f>
        <v>130380</v>
      </c>
      <c r="E18" s="52">
        <f t="shared" si="5"/>
        <v>0.10026240659861817</v>
      </c>
      <c r="F18" s="52">
        <f t="shared" si="6"/>
        <v>9.926970950358234E-2</v>
      </c>
      <c r="G18" s="52">
        <f>0.09891</f>
        <v>9.8909999999999998E-2</v>
      </c>
      <c r="H18" s="1">
        <f t="shared" si="7"/>
        <v>0.36301345327770806</v>
      </c>
      <c r="I18" s="52">
        <f t="shared" si="8"/>
        <v>9.9738280171481755</v>
      </c>
      <c r="J18" s="52">
        <f t="shared" si="9"/>
        <v>6.9133307694760475</v>
      </c>
    </row>
    <row r="19" spans="1:10" x14ac:dyDescent="0.25">
      <c r="B19">
        <v>0.6</v>
      </c>
      <c r="C19">
        <f>143885</f>
        <v>143885</v>
      </c>
      <c r="D19" s="1">
        <f>131268</f>
        <v>131268</v>
      </c>
      <c r="E19" s="52">
        <f t="shared" si="5"/>
        <v>9.1773334479500965E-2</v>
      </c>
      <c r="F19" s="52">
        <f t="shared" si="6"/>
        <v>9.0864687603466304E-2</v>
      </c>
      <c r="G19" s="52">
        <f>0.09029</f>
        <v>9.0289999999999995E-2</v>
      </c>
      <c r="H19" s="1">
        <f t="shared" si="7"/>
        <v>0.63447168943732324</v>
      </c>
      <c r="I19" s="52">
        <f t="shared" si="8"/>
        <v>10.896411312409771</v>
      </c>
      <c r="J19" s="52">
        <f t="shared" si="9"/>
        <v>7.5528167794183263</v>
      </c>
    </row>
    <row r="20" spans="1:10" x14ac:dyDescent="0.25">
      <c r="B20">
        <v>0.8</v>
      </c>
      <c r="C20">
        <f>143593</f>
        <v>143593</v>
      </c>
      <c r="D20" s="1">
        <f>132496</f>
        <v>132496</v>
      </c>
      <c r="E20" s="52">
        <f t="shared" si="5"/>
        <v>8.0430452616523568E-2</v>
      </c>
      <c r="F20" s="52">
        <f t="shared" si="6"/>
        <v>7.9634111501508481E-2</v>
      </c>
      <c r="G20" s="52">
        <f>0.07828</f>
        <v>7.8280000000000002E-2</v>
      </c>
      <c r="H20" s="1">
        <f t="shared" si="7"/>
        <v>1.7149974611300569</v>
      </c>
      <c r="I20" s="52">
        <f t="shared" si="8"/>
        <v>12.433101735331535</v>
      </c>
      <c r="J20" s="52">
        <f t="shared" si="9"/>
        <v>8.6179694134600169</v>
      </c>
    </row>
    <row r="21" spans="1:10" x14ac:dyDescent="0.25">
      <c r="B21">
        <v>1</v>
      </c>
      <c r="C21">
        <f>143489</f>
        <v>143489</v>
      </c>
      <c r="D21" s="1">
        <f>133693</f>
        <v>133693</v>
      </c>
      <c r="E21" s="52">
        <f t="shared" si="5"/>
        <v>7.0712250492931492E-2</v>
      </c>
      <c r="F21" s="52">
        <f t="shared" si="6"/>
        <v>7.0012129200922271E-2</v>
      </c>
      <c r="G21" s="52">
        <f>0.06996</f>
        <v>6.9959999999999994E-2</v>
      </c>
      <c r="H21" s="1">
        <f t="shared" si="7"/>
        <v>7.4485115315275657E-2</v>
      </c>
      <c r="I21" s="52">
        <f t="shared" si="8"/>
        <v>14.141821155868339</v>
      </c>
      <c r="J21" s="52">
        <f t="shared" si="9"/>
        <v>9.8023634621731262</v>
      </c>
    </row>
    <row r="22" spans="1:10" x14ac:dyDescent="0.25">
      <c r="B22">
        <v>2</v>
      </c>
      <c r="C22">
        <f>145328</f>
        <v>145328</v>
      </c>
      <c r="D22" s="1">
        <f>138370</f>
        <v>138370</v>
      </c>
      <c r="E22" s="52">
        <f t="shared" si="5"/>
        <v>4.9062000078564684E-2</v>
      </c>
      <c r="F22" s="52">
        <f t="shared" si="6"/>
        <v>4.8576237701549195E-2</v>
      </c>
      <c r="G22" s="52">
        <f>0.04878</f>
        <v>4.8779999999999997E-2</v>
      </c>
      <c r="H22" s="1">
        <f t="shared" si="7"/>
        <v>0.41859115196182151</v>
      </c>
      <c r="I22" s="52">
        <f t="shared" si="8"/>
        <v>20.382373290910792</v>
      </c>
      <c r="J22" s="52">
        <f t="shared" si="9"/>
        <v>14.127984579715148</v>
      </c>
    </row>
    <row r="23" spans="1:10" s="6" customFormat="1" x14ac:dyDescent="0.25"/>
    <row r="24" spans="1:10" ht="18.75" x14ac:dyDescent="0.3">
      <c r="A24" s="5" t="s">
        <v>44</v>
      </c>
      <c r="B24" s="4" t="s">
        <v>17</v>
      </c>
      <c r="C24" s="4" t="s">
        <v>10</v>
      </c>
      <c r="D24" s="4" t="s">
        <v>9</v>
      </c>
      <c r="E24" s="4" t="s">
        <v>12</v>
      </c>
      <c r="F24" s="4" t="s">
        <v>11</v>
      </c>
      <c r="G24" s="4" t="s">
        <v>16</v>
      </c>
      <c r="H24" s="4" t="s">
        <v>18</v>
      </c>
      <c r="I24" s="4" t="s">
        <v>45</v>
      </c>
      <c r="J24" s="4" t="s">
        <v>46</v>
      </c>
    </row>
    <row r="25" spans="1:10" x14ac:dyDescent="0.25">
      <c r="B25">
        <v>0.2</v>
      </c>
      <c r="C25">
        <f>149926</f>
        <v>149926</v>
      </c>
      <c r="D25">
        <f>119472</f>
        <v>119472</v>
      </c>
      <c r="E25" s="52">
        <f>(-LN(D25/C25))/1</f>
        <v>0.22705980474065068</v>
      </c>
      <c r="F25" s="52">
        <f>E25/1.06</f>
        <v>0.21420736296287798</v>
      </c>
      <c r="G25" s="52">
        <f>0.2166</f>
        <v>0.21659999999999999</v>
      </c>
      <c r="H25" s="1">
        <f>ABS(G25-F25)*100/AVERAGE(F25:G25)</f>
        <v>1.1107688692535986</v>
      </c>
      <c r="I25" s="52">
        <f>(1/E25)</f>
        <v>4.4041260457446754</v>
      </c>
      <c r="J25" s="52">
        <f>(LN(2)/E25)</f>
        <v>3.0527075514385422</v>
      </c>
    </row>
    <row r="26" spans="1:10" x14ac:dyDescent="0.25">
      <c r="B26">
        <v>0.3</v>
      </c>
      <c r="C26">
        <f>145881</f>
        <v>145881</v>
      </c>
      <c r="D26">
        <f>125302</f>
        <v>125302</v>
      </c>
      <c r="E26" s="52">
        <f t="shared" ref="E26:E32" si="10">(-LN(D26/C26))/1</f>
        <v>0.15206439739968222</v>
      </c>
      <c r="F26" s="52">
        <f t="shared" ref="F26:F32" si="11">E26/1.06</f>
        <v>0.1434569786789455</v>
      </c>
      <c r="G26" s="52">
        <f>0.1442</f>
        <v>0.14419999999999999</v>
      </c>
      <c r="H26" s="1">
        <f t="shared" ref="H26:H32" si="12">ABS(G26-F26)*100/AVERAGE(F26:G26)</f>
        <v>0.51660232577481568</v>
      </c>
      <c r="I26" s="52">
        <f t="shared" ref="I26:I32" si="13">(1/E26)</f>
        <v>6.5761612652278183</v>
      </c>
      <c r="J26" s="52">
        <f t="shared" ref="J26:J32" si="14">(LN(2)/E26)</f>
        <v>4.558247639900185</v>
      </c>
    </row>
    <row r="27" spans="1:10" x14ac:dyDescent="0.25">
      <c r="B27">
        <v>0.4</v>
      </c>
      <c r="C27">
        <f>144649</f>
        <v>144649</v>
      </c>
      <c r="D27">
        <f>127760</f>
        <v>127760</v>
      </c>
      <c r="E27" s="52">
        <f t="shared" si="10"/>
        <v>0.12415661425263813</v>
      </c>
      <c r="F27" s="52">
        <f t="shared" si="11"/>
        <v>0.11712888137041333</v>
      </c>
      <c r="G27" s="52">
        <f>0.1169</f>
        <v>0.1169</v>
      </c>
      <c r="H27" s="1">
        <f t="shared" si="12"/>
        <v>0.19560096093529517</v>
      </c>
      <c r="I27" s="52">
        <f t="shared" si="13"/>
        <v>8.0543433470661956</v>
      </c>
      <c r="J27" s="52">
        <f t="shared" si="14"/>
        <v>5.5828453822806869</v>
      </c>
    </row>
    <row r="28" spans="1:10" x14ac:dyDescent="0.25">
      <c r="B28">
        <v>0.5</v>
      </c>
      <c r="C28">
        <f>144130</f>
        <v>144130</v>
      </c>
      <c r="D28">
        <f>129390</f>
        <v>129390</v>
      </c>
      <c r="E28" s="52">
        <f t="shared" si="10"/>
        <v>0.10788457076714987</v>
      </c>
      <c r="F28" s="52">
        <f t="shared" si="11"/>
        <v>0.10177789695014139</v>
      </c>
      <c r="G28" s="52">
        <f>0.1019</f>
        <v>0.1019</v>
      </c>
      <c r="H28" s="1">
        <f t="shared" si="12"/>
        <v>0.11989818403172675</v>
      </c>
      <c r="I28" s="52">
        <f>(1/E28)</f>
        <v>9.2691660437554741</v>
      </c>
      <c r="J28" s="52">
        <f t="shared" si="14"/>
        <v>6.4248963093710891</v>
      </c>
    </row>
    <row r="29" spans="1:10" x14ac:dyDescent="0.25">
      <c r="B29">
        <v>0.6</v>
      </c>
      <c r="C29">
        <f>143885</f>
        <v>143885</v>
      </c>
      <c r="D29">
        <f>130451</f>
        <v>130451</v>
      </c>
      <c r="E29" s="52">
        <f t="shared" si="10"/>
        <v>9.8016692079472903E-2</v>
      </c>
      <c r="F29" s="52">
        <f t="shared" si="11"/>
        <v>9.2468577433464996E-2</v>
      </c>
      <c r="G29" s="52">
        <f>0.09193</f>
        <v>9.1929999999999998E-2</v>
      </c>
      <c r="H29" s="1">
        <f t="shared" si="12"/>
        <v>0.58414488979377166</v>
      </c>
      <c r="I29" s="52">
        <f t="shared" si="13"/>
        <v>10.202343894539821</v>
      </c>
      <c r="J29" s="52">
        <f t="shared" si="14"/>
        <v>7.0717259056032491</v>
      </c>
    </row>
    <row r="30" spans="1:10" x14ac:dyDescent="0.25">
      <c r="B30">
        <v>0.8</v>
      </c>
      <c r="C30">
        <f>143593</f>
        <v>143593</v>
      </c>
      <c r="D30">
        <f>132015</f>
        <v>132015</v>
      </c>
      <c r="E30" s="52">
        <f t="shared" si="10"/>
        <v>8.4067356413983135E-2</v>
      </c>
      <c r="F30" s="52">
        <f t="shared" si="11"/>
        <v>7.9308826805644467E-2</v>
      </c>
      <c r="G30" s="52">
        <f>0.07876</f>
        <v>7.8759999999999997E-2</v>
      </c>
      <c r="H30" s="1">
        <f t="shared" si="12"/>
        <v>0.69441497951937992</v>
      </c>
      <c r="I30" s="52">
        <f t="shared" si="13"/>
        <v>11.895223576147417</v>
      </c>
      <c r="J30" s="52">
        <f t="shared" si="14"/>
        <v>8.2451406839367714</v>
      </c>
    </row>
    <row r="31" spans="1:10" x14ac:dyDescent="0.25">
      <c r="B31">
        <v>1</v>
      </c>
      <c r="C31">
        <f>143489</f>
        <v>143489</v>
      </c>
      <c r="D31">
        <f>133232</f>
        <v>133232</v>
      </c>
      <c r="E31" s="52">
        <f t="shared" si="10"/>
        <v>7.4166407715798799E-2</v>
      </c>
      <c r="F31" s="52">
        <f t="shared" si="11"/>
        <v>6.9968309165847925E-2</v>
      </c>
      <c r="G31" s="52">
        <f>0.06998</f>
        <v>6.9980000000000001E-2</v>
      </c>
      <c r="H31" s="1">
        <f t="shared" si="12"/>
        <v>1.6707360341483075E-2</v>
      </c>
      <c r="I31" s="52">
        <f t="shared" si="13"/>
        <v>13.483193143612128</v>
      </c>
      <c r="J31" s="52">
        <f t="shared" si="14"/>
        <v>9.3458373124399312</v>
      </c>
    </row>
    <row r="32" spans="1:10" x14ac:dyDescent="0.25">
      <c r="B32">
        <v>2</v>
      </c>
      <c r="C32">
        <f>145328</f>
        <v>145328</v>
      </c>
      <c r="D32">
        <f>138087</f>
        <v>138087</v>
      </c>
      <c r="E32" s="52">
        <f t="shared" si="10"/>
        <v>5.1109335460569755E-2</v>
      </c>
      <c r="F32" s="52">
        <f t="shared" si="11"/>
        <v>4.821635420808467E-2</v>
      </c>
      <c r="G32" s="52">
        <f>0.04863</f>
        <v>4.863E-2</v>
      </c>
      <c r="H32" s="1">
        <f t="shared" si="12"/>
        <v>0.85423100393963669</v>
      </c>
      <c r="I32" s="52">
        <f t="shared" si="13"/>
        <v>19.565897129918429</v>
      </c>
      <c r="J32" s="52">
        <f t="shared" si="14"/>
        <v>13.562046430728886</v>
      </c>
    </row>
    <row r="33" spans="1:10" s="6" customFormat="1" x14ac:dyDescent="0.25"/>
    <row r="34" spans="1:10" ht="18.75" x14ac:dyDescent="0.3">
      <c r="A34" s="5" t="s">
        <v>39</v>
      </c>
      <c r="B34" s="4" t="s">
        <v>17</v>
      </c>
      <c r="C34" s="4" t="s">
        <v>10</v>
      </c>
      <c r="D34" s="4" t="s">
        <v>9</v>
      </c>
      <c r="E34" s="4" t="s">
        <v>12</v>
      </c>
      <c r="F34" s="4" t="s">
        <v>11</v>
      </c>
      <c r="G34" s="4" t="s">
        <v>16</v>
      </c>
      <c r="H34" s="4" t="s">
        <v>18</v>
      </c>
      <c r="I34" s="4" t="s">
        <v>45</v>
      </c>
      <c r="J34" s="4" t="s">
        <v>46</v>
      </c>
    </row>
    <row r="35" spans="1:10" x14ac:dyDescent="0.25">
      <c r="B35">
        <v>0.2</v>
      </c>
      <c r="C35">
        <f>149926</f>
        <v>149926</v>
      </c>
      <c r="D35">
        <f>113185</f>
        <v>113185</v>
      </c>
      <c r="E35" s="52">
        <f>(-LN(D35/C35))/1</f>
        <v>0.28111819087890738</v>
      </c>
      <c r="F35" s="52">
        <f>E35/1.115</f>
        <v>0.25212393800798866</v>
      </c>
      <c r="G35" s="52">
        <f>0.2566</f>
        <v>0.25659999999999999</v>
      </c>
      <c r="H35" s="1">
        <f>ABS(G35-F35)*100/AVERAGE(F35:G35)</f>
        <v>1.7597213960633591</v>
      </c>
      <c r="I35" s="52">
        <f>(1/E35)</f>
        <v>3.5572226645082297</v>
      </c>
      <c r="J35" s="52">
        <f>(LN(2)/E35)</f>
        <v>2.4656788605278157</v>
      </c>
    </row>
    <row r="36" spans="1:10" x14ac:dyDescent="0.25">
      <c r="B36">
        <v>0.3</v>
      </c>
      <c r="C36">
        <f>145881</f>
        <v>145881</v>
      </c>
      <c r="D36">
        <f>122418</f>
        <v>122418</v>
      </c>
      <c r="E36" s="52">
        <f>(-LN(D36/C36))/1</f>
        <v>0.17534980277659143</v>
      </c>
      <c r="F36" s="52">
        <f>E36/1.115</f>
        <v>0.1572643971090506</v>
      </c>
      <c r="G36" s="52">
        <f>0.1574</f>
        <v>0.15740000000000001</v>
      </c>
      <c r="H36" s="1">
        <f t="shared" ref="H36:H42" si="15">ABS(G36-F36)*100/AVERAGE(F36:G36)</f>
        <v>8.6188899789902365E-2</v>
      </c>
      <c r="I36" s="52">
        <f t="shared" ref="I36:I42" si="16">(1/E36)</f>
        <v>5.7028863686494917</v>
      </c>
      <c r="J36" s="52">
        <f t="shared" ref="J36:J42" si="17">(LN(2)/E36)</f>
        <v>3.9529396074831396</v>
      </c>
    </row>
    <row r="37" spans="1:10" x14ac:dyDescent="0.25">
      <c r="B37">
        <v>0.4</v>
      </c>
      <c r="C37">
        <f>144649</f>
        <v>144649</v>
      </c>
      <c r="D37">
        <f>126233</f>
        <v>126233</v>
      </c>
      <c r="E37" s="52">
        <f>(-LN(D37/C37))/1</f>
        <v>0.13618071253586422</v>
      </c>
      <c r="F37" s="52">
        <f>E37/1.115</f>
        <v>0.12213516819360021</v>
      </c>
      <c r="G37" s="52">
        <f>0.1228</f>
        <v>0.12280000000000001</v>
      </c>
      <c r="H37" s="1">
        <f t="shared" si="15"/>
        <v>0.54286349428948177</v>
      </c>
      <c r="I37" s="52">
        <f t="shared" si="16"/>
        <v>7.3431837840960217</v>
      </c>
      <c r="J37" s="52">
        <f t="shared" si="17"/>
        <v>5.0899071362796677</v>
      </c>
    </row>
    <row r="38" spans="1:10" x14ac:dyDescent="0.25">
      <c r="B38">
        <v>0.5</v>
      </c>
      <c r="C38">
        <f>144130</f>
        <v>144130</v>
      </c>
      <c r="D38">
        <f>128339</f>
        <v>128339</v>
      </c>
      <c r="E38" s="52">
        <f t="shared" ref="E38:E42" si="18">(-LN(D38/C38))/1</f>
        <v>0.11604046960602162</v>
      </c>
      <c r="F38" s="52">
        <f t="shared" ref="F38:F42" si="19">E38/1.115</f>
        <v>0.10407217005024361</v>
      </c>
      <c r="G38" s="52">
        <f>0.1049</f>
        <v>0.10489999999999999</v>
      </c>
      <c r="H38" s="1">
        <f t="shared" si="15"/>
        <v>0.79228726921613535</v>
      </c>
      <c r="I38" s="52">
        <f t="shared" si="16"/>
        <v>8.617683153085995</v>
      </c>
      <c r="J38" s="52">
        <f t="shared" si="17"/>
        <v>5.9733227805204976</v>
      </c>
    </row>
    <row r="39" spans="1:10" x14ac:dyDescent="0.25">
      <c r="B39">
        <v>0.6</v>
      </c>
      <c r="C39">
        <f>143885</f>
        <v>143885</v>
      </c>
      <c r="D39">
        <f xml:space="preserve"> 129650</f>
        <v>129650</v>
      </c>
      <c r="E39" s="52">
        <f t="shared" si="18"/>
        <v>0.10417585742048167</v>
      </c>
      <c r="F39" s="52">
        <f t="shared" si="19"/>
        <v>9.3431262260521675E-2</v>
      </c>
      <c r="G39" s="52">
        <f>0.09358</f>
        <v>9.3579999999999997E-2</v>
      </c>
      <c r="H39" s="1">
        <f t="shared" si="15"/>
        <v>0.15906821619236838</v>
      </c>
      <c r="I39" s="52">
        <f t="shared" si="16"/>
        <v>9.5991530548554262</v>
      </c>
      <c r="J39" s="52">
        <f t="shared" si="17"/>
        <v>6.6536258757364246</v>
      </c>
    </row>
    <row r="40" spans="1:10" x14ac:dyDescent="0.25">
      <c r="B40">
        <v>0.8</v>
      </c>
      <c r="C40">
        <f>143593</f>
        <v>143593</v>
      </c>
      <c r="D40">
        <f>131430</f>
        <v>131430</v>
      </c>
      <c r="E40" s="52">
        <f t="shared" si="18"/>
        <v>8.8508518413951021E-2</v>
      </c>
      <c r="F40" s="52">
        <f t="shared" si="19"/>
        <v>7.9379837142556975E-2</v>
      </c>
      <c r="G40" s="52">
        <f>0.07924</f>
        <v>7.9240000000000005E-2</v>
      </c>
      <c r="H40" s="1">
        <f t="shared" si="15"/>
        <v>0.17631734476097546</v>
      </c>
      <c r="I40" s="52">
        <f t="shared" si="16"/>
        <v>11.298347525410351</v>
      </c>
      <c r="J40" s="52">
        <f t="shared" si="17"/>
        <v>7.8314177322246197</v>
      </c>
    </row>
    <row r="41" spans="1:10" x14ac:dyDescent="0.25">
      <c r="B41">
        <v>1</v>
      </c>
      <c r="C41">
        <f>143489</f>
        <v>143489</v>
      </c>
      <c r="D41">
        <f>132750</f>
        <v>132750</v>
      </c>
      <c r="E41" s="52">
        <f t="shared" si="18"/>
        <v>7.7790717087214051E-2</v>
      </c>
      <c r="F41" s="52">
        <f t="shared" si="19"/>
        <v>6.9767459271043997E-2</v>
      </c>
      <c r="G41" s="52">
        <f>0.07001</f>
        <v>7.0010000000000003E-2</v>
      </c>
      <c r="H41" s="1">
        <f t="shared" si="15"/>
        <v>0.34703839978331941</v>
      </c>
      <c r="I41" s="52">
        <f t="shared" si="16"/>
        <v>12.85500426585428</v>
      </c>
      <c r="J41" s="52">
        <f t="shared" si="17"/>
        <v>8.9104099629629623</v>
      </c>
    </row>
    <row r="42" spans="1:10" x14ac:dyDescent="0.25">
      <c r="B42">
        <v>2</v>
      </c>
      <c r="C42">
        <f>145328</f>
        <v>145328</v>
      </c>
      <c r="D42">
        <f>137719</f>
        <v>137719</v>
      </c>
      <c r="E42" s="52">
        <f t="shared" si="18"/>
        <v>5.3777879425394207E-2</v>
      </c>
      <c r="F42" s="52">
        <f t="shared" si="19"/>
        <v>4.8231281995869242E-2</v>
      </c>
      <c r="G42" s="52">
        <f>0.04848</f>
        <v>4.8480000000000002E-2</v>
      </c>
      <c r="H42" s="1">
        <f t="shared" si="15"/>
        <v>0.51435158132095382</v>
      </c>
      <c r="I42" s="52">
        <f t="shared" si="16"/>
        <v>18.595006175118808</v>
      </c>
      <c r="J42" s="52">
        <f t="shared" si="17"/>
        <v>12.889076102778374</v>
      </c>
    </row>
    <row r="43" spans="1:10" s="6" customFormat="1" x14ac:dyDescent="0.25"/>
    <row r="44" spans="1:10" ht="18.75" x14ac:dyDescent="0.3">
      <c r="A44" s="5" t="s">
        <v>40</v>
      </c>
      <c r="B44" s="4" t="s">
        <v>17</v>
      </c>
      <c r="C44" s="4" t="s">
        <v>10</v>
      </c>
      <c r="D44" s="4" t="s">
        <v>9</v>
      </c>
      <c r="E44" s="4" t="s">
        <v>12</v>
      </c>
      <c r="F44" s="4" t="s">
        <v>11</v>
      </c>
      <c r="G44" s="4" t="s">
        <v>16</v>
      </c>
      <c r="H44" s="4" t="s">
        <v>18</v>
      </c>
      <c r="I44" s="4" t="s">
        <v>45</v>
      </c>
      <c r="J44" s="4" t="s">
        <v>46</v>
      </c>
    </row>
    <row r="45" spans="1:10" x14ac:dyDescent="0.25">
      <c r="B45">
        <v>0.2</v>
      </c>
      <c r="C45">
        <f>149926</f>
        <v>149926</v>
      </c>
      <c r="D45">
        <f>106433</f>
        <v>106433</v>
      </c>
      <c r="E45" s="52">
        <f>(-LN(D45/C45))/1</f>
        <v>0.34262615983719813</v>
      </c>
      <c r="F45" s="52">
        <f>E45/1.176</f>
        <v>0.29134877537176712</v>
      </c>
      <c r="G45" s="52">
        <f>0.2965</f>
        <v>0.29649999999999999</v>
      </c>
      <c r="H45" s="52">
        <f>ABS(G45-F45)*100/AVERAGE(F45:G45)</f>
        <v>1.7525679542243253</v>
      </c>
      <c r="I45" s="52">
        <f>(1/E45)</f>
        <v>2.9186329510716837</v>
      </c>
      <c r="J45" s="52">
        <f>(LN(2)/E45)</f>
        <v>2.0230422011246905</v>
      </c>
    </row>
    <row r="46" spans="1:10" x14ac:dyDescent="0.25">
      <c r="B46">
        <v>0.3</v>
      </c>
      <c r="C46">
        <f>145881</f>
        <v>145881</v>
      </c>
      <c r="D46">
        <f>119512</f>
        <v>119512</v>
      </c>
      <c r="E46" s="52">
        <f t="shared" ref="E46:E52" si="20">(-LN(D46/C46))/1</f>
        <v>0.19937443612624167</v>
      </c>
      <c r="F46" s="52">
        <f t="shared" ref="F46:F52" si="21">E46/1.176</f>
        <v>0.16953608514136198</v>
      </c>
      <c r="G46" s="52">
        <f>0.1706</f>
        <v>0.1706</v>
      </c>
      <c r="H46" s="52">
        <f t="shared" ref="H46:H52" si="22">ABS(G46-F46)*100/AVERAGE(F46:G46)</f>
        <v>0.62558188037935081</v>
      </c>
      <c r="I46" s="52">
        <f t="shared" ref="I46:I52" si="23">(1/E46)</f>
        <v>5.0156881665952957</v>
      </c>
      <c r="J46" s="52">
        <f t="shared" ref="J46:J52" si="24">(LN(2)/E46)</f>
        <v>3.4766101112434105</v>
      </c>
    </row>
    <row r="47" spans="1:10" x14ac:dyDescent="0.25">
      <c r="B47">
        <v>0.4</v>
      </c>
      <c r="C47">
        <f>144649</f>
        <v>144649</v>
      </c>
      <c r="D47">
        <f>124458</f>
        <v>124458</v>
      </c>
      <c r="E47" s="52">
        <f t="shared" si="20"/>
        <v>0.15034180856733176</v>
      </c>
      <c r="F47" s="52">
        <f t="shared" si="21"/>
        <v>0.12784167395181273</v>
      </c>
      <c r="G47" s="52">
        <f>0.1286</f>
        <v>0.12859999999999999</v>
      </c>
      <c r="H47" s="52">
        <f t="shared" si="22"/>
        <v>0.59142185160572491</v>
      </c>
      <c r="I47" s="52">
        <f t="shared" si="23"/>
        <v>6.6515097132953684</v>
      </c>
      <c r="J47" s="52">
        <f t="shared" si="24"/>
        <v>4.6104752042377743</v>
      </c>
    </row>
    <row r="48" spans="1:10" x14ac:dyDescent="0.25">
      <c r="B48">
        <v>0.5</v>
      </c>
      <c r="C48">
        <f>144130</f>
        <v>144130</v>
      </c>
      <c r="D48">
        <f>126986</f>
        <v>126986</v>
      </c>
      <c r="E48" s="52">
        <f t="shared" si="20"/>
        <v>0.12663882593335124</v>
      </c>
      <c r="F48" s="52">
        <f t="shared" si="21"/>
        <v>0.10768607647393813</v>
      </c>
      <c r="G48" s="52">
        <f>0.1079</f>
        <v>0.1079</v>
      </c>
      <c r="H48" s="52">
        <f t="shared" si="22"/>
        <v>0.1984576458375561</v>
      </c>
      <c r="I48" s="52">
        <f t="shared" si="23"/>
        <v>7.8964724493441691</v>
      </c>
      <c r="J48" s="52">
        <f t="shared" si="24"/>
        <v>5.4734176146321962</v>
      </c>
    </row>
    <row r="49" spans="2:10" x14ac:dyDescent="0.25">
      <c r="B49">
        <v>0.6</v>
      </c>
      <c r="C49">
        <f>143885</f>
        <v>143885</v>
      </c>
      <c r="D49">
        <f>128786</f>
        <v>128786</v>
      </c>
      <c r="E49" s="52">
        <f t="shared" si="20"/>
        <v>0.11086225729487618</v>
      </c>
      <c r="F49" s="52">
        <f t="shared" si="21"/>
        <v>9.4270626951425338E-2</v>
      </c>
      <c r="G49" s="52">
        <f>0.09523</f>
        <v>9.5229999999999995E-2</v>
      </c>
      <c r="H49" s="52">
        <f t="shared" si="22"/>
        <v>1.0125275720808815</v>
      </c>
      <c r="I49" s="52">
        <f t="shared" si="23"/>
        <v>9.0202024061277868</v>
      </c>
      <c r="J49" s="52">
        <f t="shared" si="24"/>
        <v>6.2523278658875103</v>
      </c>
    </row>
    <row r="50" spans="2:10" x14ac:dyDescent="0.25">
      <c r="B50">
        <v>0.8</v>
      </c>
      <c r="C50">
        <f>143593</f>
        <v>143593</v>
      </c>
      <c r="D50">
        <f>130726</f>
        <v>130726</v>
      </c>
      <c r="E50" s="52">
        <f t="shared" si="20"/>
        <v>9.3879379216728051E-2</v>
      </c>
      <c r="F50" s="52">
        <f t="shared" si="21"/>
        <v>7.982940409585719E-2</v>
      </c>
      <c r="G50" s="52">
        <f>0.07973</f>
        <v>7.9729999999999995E-2</v>
      </c>
      <c r="H50" s="52">
        <f t="shared" si="22"/>
        <v>0.12459822900501231</v>
      </c>
      <c r="I50" s="52">
        <f t="shared" si="23"/>
        <v>10.651966473824034</v>
      </c>
      <c r="J50" s="52">
        <f t="shared" si="24"/>
        <v>7.383380528750191</v>
      </c>
    </row>
    <row r="51" spans="2:10" x14ac:dyDescent="0.25">
      <c r="B51">
        <v>1</v>
      </c>
      <c r="C51">
        <f>143489</f>
        <v>143489</v>
      </c>
      <c r="D51">
        <f xml:space="preserve"> 132188</f>
        <v>132188</v>
      </c>
      <c r="E51" s="52">
        <f t="shared" si="20"/>
        <v>8.2033225469908697E-2</v>
      </c>
      <c r="F51" s="52">
        <f t="shared" si="21"/>
        <v>6.9756144107065224E-2</v>
      </c>
      <c r="G51" s="52">
        <f>0.07004</f>
        <v>7.0040000000000005E-2</v>
      </c>
      <c r="H51" s="52">
        <f t="shared" si="22"/>
        <v>0.40609974580899083</v>
      </c>
      <c r="I51" s="52">
        <f t="shared" si="23"/>
        <v>12.190182627486937</v>
      </c>
      <c r="J51" s="52">
        <f t="shared" si="24"/>
        <v>8.449590718753397</v>
      </c>
    </row>
    <row r="52" spans="2:10" x14ac:dyDescent="0.25">
      <c r="B52">
        <v>2</v>
      </c>
      <c r="C52">
        <f>145328</f>
        <v>145328</v>
      </c>
      <c r="D52">
        <f>137276</f>
        <v>137276</v>
      </c>
      <c r="E52" s="52">
        <f t="shared" si="20"/>
        <v>5.6999758973849131E-2</v>
      </c>
      <c r="F52" s="52">
        <f t="shared" si="21"/>
        <v>4.8469182800892123E-2</v>
      </c>
      <c r="G52" s="52">
        <f>0.04833</f>
        <v>4.8329999999999998E-2</v>
      </c>
      <c r="H52" s="52">
        <f t="shared" si="22"/>
        <v>0.28757019814601636</v>
      </c>
      <c r="I52" s="52">
        <f t="shared" si="23"/>
        <v>17.543933834155144</v>
      </c>
      <c r="J52" s="52">
        <f t="shared" si="24"/>
        <v>12.160528273074869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D7AAF-046B-4875-AFE3-380B166D98B2}">
  <sheetPr>
    <tabColor rgb="FF0070C0"/>
  </sheetPr>
  <dimension ref="A2:J5"/>
  <sheetViews>
    <sheetView zoomScale="91" zoomScaleNormal="90" workbookViewId="0">
      <selection activeCell="D9" sqref="D9"/>
    </sheetView>
  </sheetViews>
  <sheetFormatPr defaultRowHeight="15" x14ac:dyDescent="0.25"/>
  <cols>
    <col min="1" max="1" width="8.5703125" bestFit="1" customWidth="1"/>
    <col min="2" max="2" width="18.5703125" bestFit="1" customWidth="1"/>
    <col min="3" max="3" width="12" customWidth="1"/>
    <col min="4" max="4" width="26.28515625" bestFit="1" customWidth="1"/>
    <col min="5" max="5" width="18.85546875" bestFit="1" customWidth="1"/>
    <col min="6" max="6" width="26.42578125" bestFit="1" customWidth="1"/>
    <col min="7" max="7" width="23" bestFit="1" customWidth="1"/>
    <col min="8" max="8" width="15.85546875" bestFit="1" customWidth="1"/>
    <col min="9" max="9" width="25.28515625" bestFit="1" customWidth="1"/>
    <col min="10" max="10" width="25.140625" bestFit="1" customWidth="1"/>
  </cols>
  <sheetData>
    <row r="2" spans="1:10" ht="15.75" x14ac:dyDescent="0.25">
      <c r="A2" s="17" t="s">
        <v>22</v>
      </c>
      <c r="B2" s="18" t="s">
        <v>24</v>
      </c>
      <c r="C2" s="34" t="s">
        <v>25</v>
      </c>
      <c r="D2" s="19" t="s">
        <v>26</v>
      </c>
      <c r="E2" s="20" t="s">
        <v>27</v>
      </c>
      <c r="F2" s="37" t="s">
        <v>28</v>
      </c>
      <c r="G2" s="20" t="s">
        <v>29</v>
      </c>
      <c r="H2" s="21" t="s">
        <v>30</v>
      </c>
      <c r="I2" s="19" t="s">
        <v>31</v>
      </c>
      <c r="J2" s="22" t="s">
        <v>32</v>
      </c>
    </row>
    <row r="3" spans="1:10" ht="15.75" x14ac:dyDescent="0.25">
      <c r="A3" s="23" t="s">
        <v>33</v>
      </c>
      <c r="B3" s="35">
        <v>0.96499999999999997</v>
      </c>
      <c r="C3" s="24">
        <v>0.8</v>
      </c>
      <c r="D3" s="46">
        <v>25</v>
      </c>
      <c r="E3" s="38"/>
      <c r="F3" s="25"/>
      <c r="G3" s="26"/>
      <c r="H3" s="48">
        <f>D3/G4</f>
        <v>8.2840261270480541E-6</v>
      </c>
      <c r="I3" s="27">
        <f>H3-F4</f>
        <v>8.2758448961793303E-6</v>
      </c>
      <c r="J3" s="28">
        <f>I3^(1/3)</f>
        <v>2.0227278194480971E-2</v>
      </c>
    </row>
    <row r="4" spans="1:10" ht="15.75" x14ac:dyDescent="0.25">
      <c r="A4" s="29" t="s">
        <v>13</v>
      </c>
      <c r="B4" s="36">
        <v>9.5299999999999994</v>
      </c>
      <c r="C4" s="30">
        <v>0.2</v>
      </c>
      <c r="D4" s="47"/>
      <c r="E4" s="39">
        <f>(C4/B4)/((C3/B3)+(C4/B4))</f>
        <v>2.4689778687476016E-2</v>
      </c>
      <c r="F4" s="24">
        <f>(4/3)*PI()*(0.0025/2)^3</f>
        <v>8.1812308687234207E-9</v>
      </c>
      <c r="G4" s="31">
        <f>E4/F4</f>
        <v>3017856.2472627726</v>
      </c>
      <c r="H4" s="49"/>
      <c r="I4" s="32"/>
      <c r="J4" s="33"/>
    </row>
    <row r="5" spans="1:10" x14ac:dyDescent="0.25">
      <c r="J5" s="16"/>
    </row>
  </sheetData>
  <mergeCells count="2">
    <mergeCell ref="D3:D4"/>
    <mergeCell ref="H3:H4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Material Composition </vt:lpstr>
      <vt:lpstr>Validation </vt:lpstr>
      <vt:lpstr>Results</vt:lpstr>
      <vt:lpstr>Lattice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Ayman Abu Ghazal</dc:creator>
  <cp:lastModifiedBy>Ayman Abu Ghazal</cp:lastModifiedBy>
  <dcterms:created xsi:type="dcterms:W3CDTF">2024-10-07T07:07:48Z</dcterms:created>
  <dcterms:modified xsi:type="dcterms:W3CDTF">2025-01-17T09:18:50Z</dcterms:modified>
</cp:coreProperties>
</file>