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2"/>
  <workbookPr/>
  <mc:AlternateContent xmlns:mc="http://schemas.openxmlformats.org/markup-compatibility/2006">
    <mc:Choice Requires="x15">
      <x15ac:absPath xmlns:x15ac="http://schemas.microsoft.com/office/spreadsheetml/2010/11/ac" url="https://d.docs.live.net/130fda80f0432a83/Files/000_Archive/TravelMarketViz/"/>
    </mc:Choice>
  </mc:AlternateContent>
  <xr:revisionPtr revIDLastSave="77" documentId="13_ncr:1_{28790F12-0E00-C340-847B-789AEE4F6160}" xr6:coauthVersionLast="47" xr6:coauthVersionMax="47" xr10:uidLastSave="{217519CA-97B6-534A-9287-45BFAA93EDC5}"/>
  <bookViews>
    <workbookView xWindow="1000" yWindow="760" windowWidth="29240" windowHeight="18880" xr2:uid="{00000000-000D-0000-FFFF-FFFF00000000}"/>
  </bookViews>
  <sheets>
    <sheet name="TTM (bounded)" sheetId="1" r:id="rId1"/>
    <sheet name="TTM" sheetId="2" r:id="rId2"/>
    <sheet name="Timeline" sheetId="3" r:id="rId3"/>
    <sheet name="Revenue" sheetId="4" r:id="rId4"/>
    <sheet name="Revenue Growth YoY" sheetId="5" r:id="rId5"/>
    <sheet name="EBITDA_MARGIN" sheetId="6" r:id="rId6"/>
    <sheet name="Quarterly Revenue&amp;EBITDA" sheetId="7" r:id="rId7"/>
    <sheet name="Raw Annual Revenue" sheetId="8" r:id="rId8"/>
    <sheet name="Raw Annual EBITDA" sheetId="9" r:id="rId9"/>
    <sheet name="Copy of Annual" sheetId="10" r:id="rId10"/>
    <sheet name="Formatted Data" sheetId="11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3" i="7" l="1"/>
  <c r="O25" i="1"/>
  <c r="T90" i="10"/>
  <c r="S90" i="10"/>
  <c r="O90" i="10"/>
  <c r="K90" i="10"/>
  <c r="J90" i="10"/>
  <c r="H90" i="10"/>
  <c r="T89" i="10"/>
  <c r="S89" i="10"/>
  <c r="R89" i="10"/>
  <c r="O89" i="10"/>
  <c r="L89" i="10"/>
  <c r="K89" i="10"/>
  <c r="J89" i="10"/>
  <c r="I89" i="10"/>
  <c r="H89" i="10"/>
  <c r="G89" i="10"/>
  <c r="F89" i="10"/>
  <c r="E89" i="10"/>
  <c r="D89" i="10"/>
  <c r="C89" i="10"/>
  <c r="B89" i="10"/>
  <c r="T88" i="10"/>
  <c r="S88" i="10"/>
  <c r="R88" i="10"/>
  <c r="O88" i="10"/>
  <c r="L88" i="10"/>
  <c r="K88" i="10"/>
  <c r="J88" i="10"/>
  <c r="I88" i="10"/>
  <c r="H88" i="10"/>
  <c r="G88" i="10"/>
  <c r="F88" i="10"/>
  <c r="E88" i="10"/>
  <c r="D88" i="10"/>
  <c r="C88" i="10"/>
  <c r="B88" i="10"/>
  <c r="T87" i="10"/>
  <c r="S87" i="10"/>
  <c r="R87" i="10"/>
  <c r="O87" i="10"/>
  <c r="L87" i="10"/>
  <c r="K87" i="10"/>
  <c r="J87" i="10"/>
  <c r="I87" i="10"/>
  <c r="H87" i="10"/>
  <c r="G87" i="10"/>
  <c r="F87" i="10"/>
  <c r="E87" i="10"/>
  <c r="D87" i="10"/>
  <c r="C87" i="10"/>
  <c r="B87" i="10"/>
  <c r="T86" i="10"/>
  <c r="S86" i="10"/>
  <c r="R86" i="10"/>
  <c r="O86" i="10"/>
  <c r="L86" i="10"/>
  <c r="K86" i="10"/>
  <c r="J86" i="10"/>
  <c r="I86" i="10"/>
  <c r="H86" i="10"/>
  <c r="G86" i="10"/>
  <c r="F86" i="10"/>
  <c r="E86" i="10"/>
  <c r="D86" i="10"/>
  <c r="C86" i="10"/>
  <c r="B86" i="10"/>
  <c r="T85" i="10"/>
  <c r="S85" i="10"/>
  <c r="R85" i="10"/>
  <c r="O85" i="10"/>
  <c r="L85" i="10"/>
  <c r="K85" i="10"/>
  <c r="J85" i="10"/>
  <c r="I85" i="10"/>
  <c r="H85" i="10"/>
  <c r="G85" i="10"/>
  <c r="F85" i="10"/>
  <c r="E85" i="10"/>
  <c r="D85" i="10"/>
  <c r="C85" i="10"/>
  <c r="B85" i="10"/>
  <c r="T84" i="10"/>
  <c r="S84" i="10"/>
  <c r="R84" i="10"/>
  <c r="O84" i="10"/>
  <c r="L84" i="10"/>
  <c r="J84" i="10"/>
  <c r="I84" i="10"/>
  <c r="H84" i="10"/>
  <c r="G84" i="10"/>
  <c r="F84" i="10"/>
  <c r="E84" i="10"/>
  <c r="D84" i="10"/>
  <c r="C84" i="10"/>
  <c r="B84" i="10"/>
  <c r="T83" i="10"/>
  <c r="S83" i="10"/>
  <c r="R83" i="10"/>
  <c r="O83" i="10"/>
  <c r="L83" i="10"/>
  <c r="J83" i="10"/>
  <c r="I83" i="10"/>
  <c r="H83" i="10"/>
  <c r="G83" i="10"/>
  <c r="F83" i="10"/>
  <c r="E83" i="10"/>
  <c r="D83" i="10"/>
  <c r="C83" i="10"/>
  <c r="B83" i="10"/>
  <c r="R82" i="10"/>
  <c r="O82" i="10"/>
  <c r="L82" i="10"/>
  <c r="J82" i="10"/>
  <c r="I82" i="10"/>
  <c r="H82" i="10"/>
  <c r="G82" i="10"/>
  <c r="F82" i="10"/>
  <c r="E82" i="10"/>
  <c r="D82" i="10"/>
  <c r="C82" i="10"/>
  <c r="B82" i="10"/>
  <c r="R81" i="10"/>
  <c r="O81" i="10"/>
  <c r="J81" i="10"/>
  <c r="I81" i="10"/>
  <c r="H81" i="10"/>
  <c r="G81" i="10"/>
  <c r="F81" i="10"/>
  <c r="E81" i="10"/>
  <c r="D81" i="10"/>
  <c r="C81" i="10"/>
  <c r="B81" i="10"/>
  <c r="R80" i="10"/>
  <c r="O80" i="10"/>
  <c r="J80" i="10"/>
  <c r="H80" i="10"/>
  <c r="G80" i="10"/>
  <c r="F80" i="10"/>
  <c r="E80" i="10"/>
  <c r="D80" i="10"/>
  <c r="C80" i="10"/>
  <c r="R79" i="10"/>
  <c r="O79" i="10"/>
  <c r="J79" i="10"/>
  <c r="H79" i="10"/>
  <c r="F79" i="10"/>
  <c r="E79" i="10"/>
  <c r="D79" i="10"/>
  <c r="C79" i="10"/>
  <c r="R78" i="10"/>
  <c r="O78" i="10"/>
  <c r="J78" i="10"/>
  <c r="H78" i="10"/>
  <c r="F78" i="10"/>
  <c r="E78" i="10"/>
  <c r="D78" i="10"/>
  <c r="C78" i="10"/>
  <c r="O77" i="10"/>
  <c r="J77" i="10"/>
  <c r="F77" i="10"/>
  <c r="E77" i="10"/>
  <c r="D77" i="10"/>
  <c r="C77" i="10"/>
  <c r="O76" i="10"/>
  <c r="J76" i="10"/>
  <c r="F76" i="10"/>
  <c r="E76" i="10"/>
  <c r="D76" i="10"/>
  <c r="C76" i="10"/>
  <c r="O75" i="10"/>
  <c r="J75" i="10"/>
  <c r="F75" i="10"/>
  <c r="E75" i="10"/>
  <c r="D75" i="10"/>
  <c r="C75" i="10"/>
  <c r="O74" i="10"/>
  <c r="E74" i="10"/>
  <c r="D74" i="10"/>
  <c r="C74" i="10"/>
  <c r="O73" i="10"/>
  <c r="E73" i="10"/>
  <c r="D73" i="10"/>
  <c r="C73" i="10"/>
  <c r="O72" i="10"/>
  <c r="E72" i="10"/>
  <c r="D72" i="10"/>
  <c r="C72" i="10"/>
  <c r="O71" i="10"/>
  <c r="E71" i="10"/>
  <c r="D71" i="10"/>
  <c r="C71" i="10"/>
  <c r="O70" i="10"/>
  <c r="E70" i="10"/>
  <c r="D70" i="10"/>
  <c r="C70" i="10"/>
  <c r="O69" i="10"/>
  <c r="E69" i="10"/>
  <c r="D69" i="10"/>
  <c r="C69" i="10"/>
  <c r="O68" i="10"/>
  <c r="E68" i="10"/>
  <c r="D68" i="10"/>
  <c r="C68" i="10"/>
  <c r="O67" i="10"/>
  <c r="E67" i="10"/>
  <c r="D67" i="10"/>
  <c r="C67" i="10"/>
  <c r="E66" i="10"/>
  <c r="D66" i="10"/>
  <c r="C66" i="10"/>
  <c r="D65" i="10"/>
  <c r="C65" i="10"/>
  <c r="D64" i="10"/>
  <c r="C64" i="10"/>
  <c r="D63" i="10"/>
  <c r="R29" i="9"/>
  <c r="R28" i="9"/>
  <c r="R27" i="9"/>
  <c r="O8" i="8"/>
  <c r="P233" i="7"/>
  <c r="T228" i="7"/>
  <c r="S228" i="7"/>
  <c r="R228" i="7"/>
  <c r="P228" i="7"/>
  <c r="N228" i="7"/>
  <c r="M228" i="7"/>
  <c r="L228" i="7"/>
  <c r="K228" i="7"/>
  <c r="J228" i="7"/>
  <c r="I228" i="7"/>
  <c r="H228" i="7"/>
  <c r="G228" i="7"/>
  <c r="F228" i="7"/>
  <c r="E228" i="7"/>
  <c r="D228" i="7"/>
  <c r="C228" i="7"/>
  <c r="B228" i="7"/>
  <c r="W227" i="7"/>
  <c r="T227" i="7"/>
  <c r="S227" i="7"/>
  <c r="R227" i="7"/>
  <c r="P227" i="7"/>
  <c r="O227" i="7"/>
  <c r="N227" i="7"/>
  <c r="M227" i="7"/>
  <c r="L227" i="7"/>
  <c r="K227" i="7"/>
  <c r="J227" i="7"/>
  <c r="I227" i="7"/>
  <c r="H227" i="7"/>
  <c r="G227" i="7"/>
  <c r="F227" i="7"/>
  <c r="E227" i="7"/>
  <c r="D227" i="7"/>
  <c r="C227" i="7"/>
  <c r="B227" i="7"/>
  <c r="W226" i="7"/>
  <c r="T226" i="7"/>
  <c r="S226" i="7"/>
  <c r="R226" i="7"/>
  <c r="P226" i="7"/>
  <c r="O226" i="7"/>
  <c r="N226" i="7"/>
  <c r="M226" i="7"/>
  <c r="L226" i="7"/>
  <c r="K226" i="7"/>
  <c r="J226" i="7"/>
  <c r="I226" i="7"/>
  <c r="H226" i="7"/>
  <c r="G226" i="7"/>
  <c r="F226" i="7"/>
  <c r="E226" i="7"/>
  <c r="D226" i="7"/>
  <c r="C226" i="7"/>
  <c r="B226" i="7"/>
  <c r="AB225" i="7"/>
  <c r="Z225" i="7"/>
  <c r="Y225" i="7"/>
  <c r="X225" i="7"/>
  <c r="W225" i="7"/>
  <c r="T225" i="7"/>
  <c r="S225" i="7"/>
  <c r="R225" i="7"/>
  <c r="P225" i="7"/>
  <c r="O225" i="7"/>
  <c r="N225" i="7"/>
  <c r="M225" i="7"/>
  <c r="L225" i="7"/>
  <c r="K225" i="7"/>
  <c r="J225" i="7"/>
  <c r="I225" i="7"/>
  <c r="H225" i="7"/>
  <c r="G225" i="7"/>
  <c r="F225" i="7"/>
  <c r="E225" i="7"/>
  <c r="D225" i="7"/>
  <c r="C225" i="7"/>
  <c r="B225" i="7"/>
  <c r="AB224" i="7"/>
  <c r="Z224" i="7"/>
  <c r="Y224" i="7"/>
  <c r="Y109" i="6" s="1"/>
  <c r="X224" i="7"/>
  <c r="W224" i="7"/>
  <c r="T224" i="7"/>
  <c r="S224" i="7"/>
  <c r="R224" i="7"/>
  <c r="P224" i="7"/>
  <c r="O224" i="7"/>
  <c r="N224" i="7"/>
  <c r="M224" i="7"/>
  <c r="L224" i="7"/>
  <c r="K224" i="7"/>
  <c r="J224" i="7"/>
  <c r="I224" i="7"/>
  <c r="H224" i="7"/>
  <c r="G224" i="7"/>
  <c r="F224" i="7"/>
  <c r="E224" i="7"/>
  <c r="D224" i="7"/>
  <c r="C224" i="7"/>
  <c r="B224" i="7"/>
  <c r="AB223" i="7"/>
  <c r="Z223" i="7"/>
  <c r="Y223" i="7"/>
  <c r="X223" i="7"/>
  <c r="X108" i="6" s="1"/>
  <c r="W223" i="7"/>
  <c r="T223" i="7"/>
  <c r="S223" i="7"/>
  <c r="R223" i="7"/>
  <c r="P223" i="7"/>
  <c r="O223" i="7"/>
  <c r="N223" i="7"/>
  <c r="M223" i="7"/>
  <c r="L223" i="7"/>
  <c r="K223" i="7"/>
  <c r="J223" i="7"/>
  <c r="I223" i="7"/>
  <c r="H223" i="7"/>
  <c r="G223" i="7"/>
  <c r="F223" i="7"/>
  <c r="E223" i="7"/>
  <c r="D223" i="7"/>
  <c r="C223" i="7"/>
  <c r="B223" i="7"/>
  <c r="AB222" i="7"/>
  <c r="Z222" i="7"/>
  <c r="Y222" i="7"/>
  <c r="X222" i="7"/>
  <c r="W222" i="7"/>
  <c r="W107" i="6" s="1"/>
  <c r="T222" i="7"/>
  <c r="S222" i="7"/>
  <c r="R222" i="7"/>
  <c r="P222" i="7"/>
  <c r="O222" i="7"/>
  <c r="N222" i="7"/>
  <c r="M222" i="7"/>
  <c r="L222" i="7"/>
  <c r="K222" i="7"/>
  <c r="J222" i="7"/>
  <c r="I222" i="7"/>
  <c r="H222" i="7"/>
  <c r="G222" i="7"/>
  <c r="F222" i="7"/>
  <c r="E222" i="7"/>
  <c r="D222" i="7"/>
  <c r="C222" i="7"/>
  <c r="B222" i="7"/>
  <c r="AB221" i="7"/>
  <c r="AA221" i="7"/>
  <c r="Z221" i="7"/>
  <c r="Y221" i="7"/>
  <c r="X221" i="7"/>
  <c r="W221" i="7"/>
  <c r="W106" i="6" s="1"/>
  <c r="T221" i="7"/>
  <c r="S221" i="7"/>
  <c r="R221" i="7"/>
  <c r="P221" i="7"/>
  <c r="O221" i="7"/>
  <c r="N221" i="7"/>
  <c r="M221" i="7"/>
  <c r="L221" i="7"/>
  <c r="K221" i="7"/>
  <c r="J221" i="7"/>
  <c r="I221" i="7"/>
  <c r="H221" i="7"/>
  <c r="G221" i="7"/>
  <c r="F221" i="7"/>
  <c r="E221" i="7"/>
  <c r="D221" i="7"/>
  <c r="C221" i="7"/>
  <c r="B221" i="7"/>
  <c r="AB220" i="7"/>
  <c r="AA220" i="7"/>
  <c r="Z220" i="7"/>
  <c r="Y220" i="7"/>
  <c r="X220" i="7"/>
  <c r="W220" i="7"/>
  <c r="W105" i="6" s="1"/>
  <c r="T220" i="7"/>
  <c r="S220" i="7"/>
  <c r="R220" i="7"/>
  <c r="P220" i="7"/>
  <c r="O220" i="7"/>
  <c r="N220" i="7"/>
  <c r="M220" i="7"/>
  <c r="L220" i="7"/>
  <c r="K220" i="7"/>
  <c r="J220" i="7"/>
  <c r="I220" i="7"/>
  <c r="H220" i="7"/>
  <c r="G220" i="7"/>
  <c r="F220" i="7"/>
  <c r="E220" i="7"/>
  <c r="D220" i="7"/>
  <c r="C220" i="7"/>
  <c r="B220" i="7"/>
  <c r="AB219" i="7"/>
  <c r="AA219" i="7"/>
  <c r="Z219" i="7"/>
  <c r="Y219" i="7"/>
  <c r="X219" i="7"/>
  <c r="W219" i="7"/>
  <c r="W104" i="6" s="1"/>
  <c r="T219" i="7"/>
  <c r="S219" i="7"/>
  <c r="R219" i="7"/>
  <c r="P219" i="7"/>
  <c r="O219" i="7"/>
  <c r="N219" i="7"/>
  <c r="M219" i="7"/>
  <c r="L219" i="7"/>
  <c r="K219" i="7"/>
  <c r="J219" i="7"/>
  <c r="I219" i="7"/>
  <c r="H219" i="7"/>
  <c r="G219" i="7"/>
  <c r="F219" i="7"/>
  <c r="E219" i="7"/>
  <c r="D219" i="7"/>
  <c r="C219" i="7"/>
  <c r="B219" i="7"/>
  <c r="AB218" i="7"/>
  <c r="AA218" i="7"/>
  <c r="Z218" i="7"/>
  <c r="Y218" i="7"/>
  <c r="X218" i="7"/>
  <c r="W218" i="7"/>
  <c r="W103" i="6" s="1"/>
  <c r="T218" i="7"/>
  <c r="S218" i="7"/>
  <c r="R218" i="7"/>
  <c r="P218" i="7"/>
  <c r="O218" i="7"/>
  <c r="N218" i="7"/>
  <c r="M218" i="7"/>
  <c r="L218" i="7"/>
  <c r="K218" i="7"/>
  <c r="J218" i="7"/>
  <c r="I218" i="7"/>
  <c r="H218" i="7"/>
  <c r="G218" i="7"/>
  <c r="F218" i="7"/>
  <c r="E218" i="7"/>
  <c r="D218" i="7"/>
  <c r="C218" i="7"/>
  <c r="B218" i="7"/>
  <c r="AB217" i="7"/>
  <c r="AA217" i="7"/>
  <c r="Z217" i="7"/>
  <c r="Y217" i="7"/>
  <c r="X217" i="7"/>
  <c r="W217" i="7"/>
  <c r="W102" i="6" s="1"/>
  <c r="T217" i="7"/>
  <c r="S217" i="7"/>
  <c r="R217" i="7"/>
  <c r="P217" i="7"/>
  <c r="O217" i="7"/>
  <c r="N217" i="7"/>
  <c r="L217" i="7"/>
  <c r="K217" i="7"/>
  <c r="J217" i="7"/>
  <c r="I217" i="7"/>
  <c r="H217" i="7"/>
  <c r="G217" i="7"/>
  <c r="F217" i="7"/>
  <c r="E217" i="7"/>
  <c r="D217" i="7"/>
  <c r="C217" i="7"/>
  <c r="B217" i="7"/>
  <c r="AB216" i="7"/>
  <c r="AA216" i="7"/>
  <c r="Z216" i="7"/>
  <c r="Y216" i="7"/>
  <c r="X216" i="7"/>
  <c r="W216" i="7"/>
  <c r="T216" i="7"/>
  <c r="S216" i="7"/>
  <c r="R216" i="7"/>
  <c r="P216" i="7"/>
  <c r="O216" i="7"/>
  <c r="N216" i="7"/>
  <c r="L216" i="7"/>
  <c r="K216" i="7"/>
  <c r="J216" i="7"/>
  <c r="I216" i="7"/>
  <c r="H216" i="7"/>
  <c r="G216" i="7"/>
  <c r="F216" i="7"/>
  <c r="E216" i="7"/>
  <c r="D216" i="7"/>
  <c r="C216" i="7"/>
  <c r="B216" i="7"/>
  <c r="AB215" i="7"/>
  <c r="AA215" i="7"/>
  <c r="Z215" i="7"/>
  <c r="Y215" i="7"/>
  <c r="X215" i="7"/>
  <c r="W215" i="7"/>
  <c r="T215" i="7"/>
  <c r="S215" i="7"/>
  <c r="S100" i="6" s="1"/>
  <c r="R215" i="7"/>
  <c r="P215" i="7"/>
  <c r="O215" i="7"/>
  <c r="N215" i="7"/>
  <c r="L215" i="7"/>
  <c r="K215" i="7"/>
  <c r="J215" i="7"/>
  <c r="I215" i="7"/>
  <c r="H215" i="7"/>
  <c r="G215" i="7"/>
  <c r="F215" i="7"/>
  <c r="E215" i="7"/>
  <c r="D215" i="7"/>
  <c r="C215" i="7"/>
  <c r="B215" i="7"/>
  <c r="AB214" i="7"/>
  <c r="AB99" i="6" s="1"/>
  <c r="AA214" i="7"/>
  <c r="Z214" i="7"/>
  <c r="Y214" i="7"/>
  <c r="X214" i="7"/>
  <c r="W214" i="7"/>
  <c r="T214" i="7"/>
  <c r="S214" i="7"/>
  <c r="R214" i="7"/>
  <c r="R99" i="6" s="1"/>
  <c r="P214" i="7"/>
  <c r="O214" i="7"/>
  <c r="N214" i="7"/>
  <c r="L214" i="7"/>
  <c r="J214" i="7"/>
  <c r="I214" i="7"/>
  <c r="H214" i="7"/>
  <c r="G214" i="7"/>
  <c r="F214" i="7"/>
  <c r="E214" i="7"/>
  <c r="D214" i="7"/>
  <c r="C214" i="7"/>
  <c r="B214" i="7"/>
  <c r="AB213" i="7"/>
  <c r="AA213" i="7"/>
  <c r="Z213" i="7"/>
  <c r="Y213" i="7"/>
  <c r="X213" i="7"/>
  <c r="W213" i="7"/>
  <c r="T213" i="7"/>
  <c r="S213" i="7"/>
  <c r="R213" i="7"/>
  <c r="P213" i="7"/>
  <c r="O213" i="7"/>
  <c r="N213" i="7"/>
  <c r="L213" i="7"/>
  <c r="J213" i="7"/>
  <c r="I213" i="7"/>
  <c r="H213" i="7"/>
  <c r="G213" i="7"/>
  <c r="F213" i="7"/>
  <c r="E213" i="7"/>
  <c r="D213" i="7"/>
  <c r="C213" i="7"/>
  <c r="B213" i="7"/>
  <c r="AB212" i="7"/>
  <c r="AA212" i="7"/>
  <c r="Z212" i="7"/>
  <c r="Y212" i="7"/>
  <c r="X212" i="7"/>
  <c r="X97" i="6" s="1"/>
  <c r="W212" i="7"/>
  <c r="T212" i="7"/>
  <c r="S212" i="7"/>
  <c r="R212" i="7"/>
  <c r="P212" i="7"/>
  <c r="O212" i="7"/>
  <c r="N212" i="7"/>
  <c r="L212" i="7"/>
  <c r="J212" i="7"/>
  <c r="I212" i="7"/>
  <c r="H212" i="7"/>
  <c r="G212" i="7"/>
  <c r="F212" i="7"/>
  <c r="E212" i="7"/>
  <c r="D212" i="7"/>
  <c r="C212" i="7"/>
  <c r="B212" i="7"/>
  <c r="AB211" i="7"/>
  <c r="AA211" i="7"/>
  <c r="Z211" i="7"/>
  <c r="Z96" i="6" s="1"/>
  <c r="Y211" i="7"/>
  <c r="X211" i="7"/>
  <c r="W211" i="7"/>
  <c r="T211" i="7"/>
  <c r="S211" i="7"/>
  <c r="R211" i="7"/>
  <c r="P211" i="7"/>
  <c r="O211" i="7"/>
  <c r="N211" i="7"/>
  <c r="L211" i="7"/>
  <c r="J211" i="7"/>
  <c r="I211" i="7"/>
  <c r="H211" i="7"/>
  <c r="G211" i="7"/>
  <c r="F211" i="7"/>
  <c r="E211" i="7"/>
  <c r="D211" i="7"/>
  <c r="C211" i="7"/>
  <c r="B211" i="7"/>
  <c r="AB210" i="7"/>
  <c r="AB95" i="6" s="1"/>
  <c r="AA210" i="7"/>
  <c r="Z210" i="7"/>
  <c r="Y210" i="7"/>
  <c r="X210" i="7"/>
  <c r="W210" i="7"/>
  <c r="T210" i="7"/>
  <c r="S210" i="7"/>
  <c r="R210" i="7"/>
  <c r="R95" i="6" s="1"/>
  <c r="P210" i="7"/>
  <c r="O210" i="7"/>
  <c r="N210" i="7"/>
  <c r="L210" i="7"/>
  <c r="J210" i="7"/>
  <c r="I210" i="7"/>
  <c r="H210" i="7"/>
  <c r="G210" i="7"/>
  <c r="F210" i="7"/>
  <c r="E210" i="7"/>
  <c r="D210" i="7"/>
  <c r="C210" i="7"/>
  <c r="B210" i="7"/>
  <c r="AB209" i="7"/>
  <c r="AA209" i="7"/>
  <c r="Z209" i="7"/>
  <c r="Z94" i="6" s="1"/>
  <c r="Y209" i="7"/>
  <c r="X209" i="7"/>
  <c r="W209" i="7"/>
  <c r="T209" i="7"/>
  <c r="S209" i="7"/>
  <c r="R209" i="7"/>
  <c r="P209" i="7"/>
  <c r="O209" i="7"/>
  <c r="N209" i="7"/>
  <c r="L209" i="7"/>
  <c r="J209" i="7"/>
  <c r="I209" i="7"/>
  <c r="H209" i="7"/>
  <c r="G209" i="7"/>
  <c r="F209" i="7"/>
  <c r="E209" i="7"/>
  <c r="D209" i="7"/>
  <c r="C209" i="7"/>
  <c r="B209" i="7"/>
  <c r="AB208" i="7"/>
  <c r="AA208" i="7"/>
  <c r="Z208" i="7"/>
  <c r="Y208" i="7"/>
  <c r="X208" i="7"/>
  <c r="X93" i="6" s="1"/>
  <c r="W208" i="7"/>
  <c r="T208" i="7"/>
  <c r="S208" i="7"/>
  <c r="R208" i="7"/>
  <c r="P208" i="7"/>
  <c r="O208" i="7"/>
  <c r="N208" i="7"/>
  <c r="L208" i="7"/>
  <c r="J208" i="7"/>
  <c r="I208" i="7"/>
  <c r="H208" i="7"/>
  <c r="G208" i="7"/>
  <c r="F208" i="7"/>
  <c r="E208" i="7"/>
  <c r="D208" i="7"/>
  <c r="C208" i="7"/>
  <c r="B208" i="7"/>
  <c r="AB207" i="7"/>
  <c r="AA207" i="7"/>
  <c r="Z207" i="7"/>
  <c r="Z92" i="6" s="1"/>
  <c r="Y207" i="7"/>
  <c r="X207" i="7"/>
  <c r="W207" i="7"/>
  <c r="T207" i="7"/>
  <c r="S207" i="7"/>
  <c r="R207" i="7"/>
  <c r="P207" i="7"/>
  <c r="O207" i="7"/>
  <c r="N207" i="7"/>
  <c r="L207" i="7"/>
  <c r="J207" i="7"/>
  <c r="I207" i="7"/>
  <c r="H207" i="7"/>
  <c r="G207" i="7"/>
  <c r="F207" i="7"/>
  <c r="E207" i="7"/>
  <c r="D207" i="7"/>
  <c r="C207" i="7"/>
  <c r="B207" i="7"/>
  <c r="AB206" i="7"/>
  <c r="AB91" i="6" s="1"/>
  <c r="AA206" i="7"/>
  <c r="Z206" i="7"/>
  <c r="Y206" i="7"/>
  <c r="X206" i="7"/>
  <c r="W206" i="7"/>
  <c r="T206" i="7"/>
  <c r="S206" i="7"/>
  <c r="R206" i="7"/>
  <c r="R91" i="6" s="1"/>
  <c r="P206" i="7"/>
  <c r="O206" i="7"/>
  <c r="N206" i="7"/>
  <c r="L206" i="7"/>
  <c r="J206" i="7"/>
  <c r="I206" i="7"/>
  <c r="H206" i="7"/>
  <c r="G206" i="7"/>
  <c r="F206" i="7"/>
  <c r="E206" i="7"/>
  <c r="D206" i="7"/>
  <c r="C206" i="7"/>
  <c r="B206" i="7"/>
  <c r="AB205" i="7"/>
  <c r="AA205" i="7"/>
  <c r="Z205" i="7"/>
  <c r="Z90" i="6" s="1"/>
  <c r="Y205" i="7"/>
  <c r="X205" i="7"/>
  <c r="W205" i="7"/>
  <c r="T205" i="7"/>
  <c r="S205" i="7"/>
  <c r="R205" i="7"/>
  <c r="P205" i="7"/>
  <c r="O205" i="7"/>
  <c r="N205" i="7"/>
  <c r="L205" i="7"/>
  <c r="J205" i="7"/>
  <c r="I205" i="7"/>
  <c r="H205" i="7"/>
  <c r="G205" i="7"/>
  <c r="F205" i="7"/>
  <c r="E205" i="7"/>
  <c r="D205" i="7"/>
  <c r="C205" i="7"/>
  <c r="B205" i="7"/>
  <c r="AB204" i="7"/>
  <c r="AB89" i="6" s="1"/>
  <c r="AA204" i="7"/>
  <c r="Z204" i="7"/>
  <c r="Y204" i="7"/>
  <c r="X204" i="7"/>
  <c r="X89" i="6" s="1"/>
  <c r="W204" i="7"/>
  <c r="T204" i="7"/>
  <c r="S204" i="7"/>
  <c r="R204" i="7"/>
  <c r="O204" i="7"/>
  <c r="N204" i="7"/>
  <c r="L204" i="7"/>
  <c r="J204" i="7"/>
  <c r="I204" i="7"/>
  <c r="H204" i="7"/>
  <c r="G204" i="7"/>
  <c r="F204" i="7"/>
  <c r="E204" i="7"/>
  <c r="D204" i="7"/>
  <c r="C204" i="7"/>
  <c r="B204" i="7"/>
  <c r="AB203" i="7"/>
  <c r="AA203" i="7"/>
  <c r="Z203" i="7"/>
  <c r="Y203" i="7"/>
  <c r="X203" i="7"/>
  <c r="W203" i="7"/>
  <c r="T203" i="7"/>
  <c r="S203" i="7"/>
  <c r="R203" i="7"/>
  <c r="O203" i="7"/>
  <c r="N203" i="7"/>
  <c r="L203" i="7"/>
  <c r="J203" i="7"/>
  <c r="I203" i="7"/>
  <c r="H203" i="7"/>
  <c r="G203" i="7"/>
  <c r="F203" i="7"/>
  <c r="E203" i="7"/>
  <c r="D203" i="7"/>
  <c r="C203" i="7"/>
  <c r="B203" i="7"/>
  <c r="AB202" i="7"/>
  <c r="AA202" i="7"/>
  <c r="Z202" i="7"/>
  <c r="Z87" i="6" s="1"/>
  <c r="Y202" i="7"/>
  <c r="X202" i="7"/>
  <c r="W202" i="7"/>
  <c r="T202" i="7"/>
  <c r="S202" i="7"/>
  <c r="R202" i="7"/>
  <c r="O202" i="7"/>
  <c r="N202" i="7"/>
  <c r="L202" i="7"/>
  <c r="J202" i="7"/>
  <c r="I202" i="7"/>
  <c r="H202" i="7"/>
  <c r="G202" i="7"/>
  <c r="F202" i="7"/>
  <c r="E202" i="7"/>
  <c r="D202" i="7"/>
  <c r="C202" i="7"/>
  <c r="B202" i="7"/>
  <c r="AB201" i="7"/>
  <c r="AA201" i="7"/>
  <c r="AA86" i="6" s="1"/>
  <c r="Z201" i="7"/>
  <c r="Y201" i="7"/>
  <c r="X201" i="7"/>
  <c r="W201" i="7"/>
  <c r="W86" i="6" s="1"/>
  <c r="S201" i="7"/>
  <c r="R201" i="7"/>
  <c r="O201" i="7"/>
  <c r="N201" i="7"/>
  <c r="L201" i="7"/>
  <c r="J201" i="7"/>
  <c r="I201" i="7"/>
  <c r="H201" i="7"/>
  <c r="G201" i="7"/>
  <c r="F201" i="7"/>
  <c r="E201" i="7"/>
  <c r="D201" i="7"/>
  <c r="C201" i="7"/>
  <c r="B201" i="7"/>
  <c r="AB200" i="7"/>
  <c r="AA200" i="7"/>
  <c r="AA85" i="6" s="1"/>
  <c r="Z200" i="7"/>
  <c r="Y200" i="7"/>
  <c r="X200" i="7"/>
  <c r="W200" i="7"/>
  <c r="W85" i="6" s="1"/>
  <c r="S200" i="7"/>
  <c r="R200" i="7"/>
  <c r="O200" i="7"/>
  <c r="N200" i="7"/>
  <c r="L200" i="7"/>
  <c r="J200" i="7"/>
  <c r="I200" i="7"/>
  <c r="H200" i="7"/>
  <c r="G200" i="7"/>
  <c r="F200" i="7"/>
  <c r="E200" i="7"/>
  <c r="D200" i="7"/>
  <c r="C200" i="7"/>
  <c r="B200" i="7"/>
  <c r="AB199" i="7"/>
  <c r="AA199" i="7"/>
  <c r="AA84" i="6" s="1"/>
  <c r="Z199" i="7"/>
  <c r="Y199" i="7"/>
  <c r="X199" i="7"/>
  <c r="W199" i="7"/>
  <c r="W84" i="6" s="1"/>
  <c r="S199" i="7"/>
  <c r="R199" i="7"/>
  <c r="O199" i="7"/>
  <c r="N199" i="7"/>
  <c r="L199" i="7"/>
  <c r="J199" i="7"/>
  <c r="I199" i="7"/>
  <c r="H199" i="7"/>
  <c r="G199" i="7"/>
  <c r="F199" i="7"/>
  <c r="E199" i="7"/>
  <c r="D199" i="7"/>
  <c r="C199" i="7"/>
  <c r="B199" i="7"/>
  <c r="AB198" i="7"/>
  <c r="AA198" i="7"/>
  <c r="AA83" i="6" s="1"/>
  <c r="Z198" i="7"/>
  <c r="Y198" i="7"/>
  <c r="X198" i="7"/>
  <c r="W198" i="7"/>
  <c r="W83" i="6" s="1"/>
  <c r="S198" i="7"/>
  <c r="R198" i="7"/>
  <c r="O198" i="7"/>
  <c r="N198" i="7"/>
  <c r="L198" i="7"/>
  <c r="J198" i="7"/>
  <c r="I198" i="7"/>
  <c r="H198" i="7"/>
  <c r="H83" i="6" s="1"/>
  <c r="G198" i="7"/>
  <c r="F198" i="7"/>
  <c r="E198" i="7"/>
  <c r="D198" i="7"/>
  <c r="C198" i="7"/>
  <c r="B198" i="7"/>
  <c r="AB197" i="7"/>
  <c r="Z197" i="7"/>
  <c r="Z82" i="6" s="1"/>
  <c r="Y197" i="7"/>
  <c r="X197" i="7"/>
  <c r="W197" i="7"/>
  <c r="S197" i="7"/>
  <c r="S82" i="6" s="1"/>
  <c r="R197" i="7"/>
  <c r="O197" i="7"/>
  <c r="N197" i="7"/>
  <c r="L197" i="7"/>
  <c r="J197" i="7"/>
  <c r="I197" i="7"/>
  <c r="H197" i="7"/>
  <c r="G197" i="7"/>
  <c r="F197" i="7"/>
  <c r="E197" i="7"/>
  <c r="D197" i="7"/>
  <c r="C197" i="7"/>
  <c r="B197" i="7"/>
  <c r="AB196" i="7"/>
  <c r="Z196" i="7"/>
  <c r="Y196" i="7"/>
  <c r="Y81" i="6" s="1"/>
  <c r="X196" i="7"/>
  <c r="W196" i="7"/>
  <c r="S196" i="7"/>
  <c r="R196" i="7"/>
  <c r="R81" i="6" s="1"/>
  <c r="O196" i="7"/>
  <c r="N196" i="7"/>
  <c r="L196" i="7"/>
  <c r="J196" i="7"/>
  <c r="I196" i="7"/>
  <c r="H196" i="7"/>
  <c r="G196" i="7"/>
  <c r="F196" i="7"/>
  <c r="E196" i="7"/>
  <c r="D196" i="7"/>
  <c r="C196" i="7"/>
  <c r="B196" i="7"/>
  <c r="B81" i="6" s="1"/>
  <c r="AB195" i="7"/>
  <c r="Z195" i="7"/>
  <c r="Y195" i="7"/>
  <c r="X195" i="7"/>
  <c r="X80" i="6" s="1"/>
  <c r="W195" i="7"/>
  <c r="S195" i="7"/>
  <c r="R195" i="7"/>
  <c r="O195" i="7"/>
  <c r="O80" i="6" s="1"/>
  <c r="N195" i="7"/>
  <c r="L195" i="7"/>
  <c r="J195" i="7"/>
  <c r="I195" i="7"/>
  <c r="H195" i="7"/>
  <c r="G195" i="7"/>
  <c r="F195" i="7"/>
  <c r="E195" i="7"/>
  <c r="D195" i="7"/>
  <c r="C195" i="7"/>
  <c r="B195" i="7"/>
  <c r="AB194" i="7"/>
  <c r="AB79" i="6" s="1"/>
  <c r="Z194" i="7"/>
  <c r="Y194" i="7"/>
  <c r="X194" i="7"/>
  <c r="W194" i="7"/>
  <c r="W79" i="6" s="1"/>
  <c r="R194" i="7"/>
  <c r="O194" i="7"/>
  <c r="N194" i="7"/>
  <c r="L194" i="7"/>
  <c r="J194" i="7"/>
  <c r="I194" i="7"/>
  <c r="H194" i="7"/>
  <c r="G194" i="7"/>
  <c r="F194" i="7"/>
  <c r="E194" i="7"/>
  <c r="D194" i="7"/>
  <c r="C194" i="7"/>
  <c r="B194" i="7"/>
  <c r="AB193" i="7"/>
  <c r="Z193" i="7"/>
  <c r="Y193" i="7"/>
  <c r="Y78" i="6" s="1"/>
  <c r="X193" i="7"/>
  <c r="W193" i="7"/>
  <c r="R193" i="7"/>
  <c r="O193" i="7"/>
  <c r="L193" i="7"/>
  <c r="J193" i="7"/>
  <c r="I193" i="7"/>
  <c r="H193" i="7"/>
  <c r="H78" i="6" s="1"/>
  <c r="G193" i="7"/>
  <c r="F193" i="7"/>
  <c r="E193" i="7"/>
  <c r="D193" i="7"/>
  <c r="D78" i="6" s="1"/>
  <c r="C193" i="7"/>
  <c r="B193" i="7"/>
  <c r="AB192" i="7"/>
  <c r="Z192" i="7"/>
  <c r="Y192" i="7"/>
  <c r="X192" i="7"/>
  <c r="W192" i="7"/>
  <c r="R192" i="7"/>
  <c r="O192" i="7"/>
  <c r="L192" i="7"/>
  <c r="J192" i="7"/>
  <c r="I192" i="7"/>
  <c r="H192" i="7"/>
  <c r="G192" i="7"/>
  <c r="F192" i="7"/>
  <c r="E192" i="7"/>
  <c r="D192" i="7"/>
  <c r="C192" i="7"/>
  <c r="B192" i="7"/>
  <c r="AB191" i="7"/>
  <c r="Z191" i="7"/>
  <c r="Y191" i="7"/>
  <c r="X191" i="7"/>
  <c r="W191" i="7"/>
  <c r="W76" i="6" s="1"/>
  <c r="R191" i="7"/>
  <c r="O191" i="7"/>
  <c r="L191" i="7"/>
  <c r="J191" i="7"/>
  <c r="J76" i="6" s="1"/>
  <c r="I191" i="7"/>
  <c r="H191" i="7"/>
  <c r="G191" i="7"/>
  <c r="F191" i="7"/>
  <c r="F76" i="6" s="1"/>
  <c r="E191" i="7"/>
  <c r="D191" i="7"/>
  <c r="C191" i="7"/>
  <c r="B191" i="7"/>
  <c r="B76" i="6" s="1"/>
  <c r="AB190" i="7"/>
  <c r="Z190" i="7"/>
  <c r="Y190" i="7"/>
  <c r="X190" i="7"/>
  <c r="X75" i="6" s="1"/>
  <c r="W190" i="7"/>
  <c r="R190" i="7"/>
  <c r="O190" i="7"/>
  <c r="L190" i="7"/>
  <c r="J190" i="7"/>
  <c r="I190" i="7"/>
  <c r="G190" i="7"/>
  <c r="F190" i="7"/>
  <c r="F75" i="6" s="1"/>
  <c r="E190" i="7"/>
  <c r="D190" i="7"/>
  <c r="C190" i="7"/>
  <c r="B190" i="7"/>
  <c r="B75" i="6" s="1"/>
  <c r="Z189" i="7"/>
  <c r="X189" i="7"/>
  <c r="W189" i="7"/>
  <c r="U189" i="7"/>
  <c r="U74" i="6" s="1"/>
  <c r="R189" i="7"/>
  <c r="O189" i="7"/>
  <c r="L189" i="7"/>
  <c r="J189" i="7"/>
  <c r="G189" i="7"/>
  <c r="F189" i="7"/>
  <c r="E189" i="7"/>
  <c r="D189" i="7"/>
  <c r="C189" i="7"/>
  <c r="Z188" i="7"/>
  <c r="X188" i="7"/>
  <c r="W188" i="7"/>
  <c r="U188" i="7"/>
  <c r="R188" i="7"/>
  <c r="O188" i="7"/>
  <c r="L188" i="7"/>
  <c r="J188" i="7"/>
  <c r="G188" i="7"/>
  <c r="F188" i="7"/>
  <c r="E188" i="7"/>
  <c r="E73" i="6" s="1"/>
  <c r="D188" i="7"/>
  <c r="C188" i="7"/>
  <c r="Z187" i="7"/>
  <c r="X187" i="7"/>
  <c r="X72" i="6" s="1"/>
  <c r="W187" i="7"/>
  <c r="U187" i="7"/>
  <c r="R187" i="7"/>
  <c r="O187" i="7"/>
  <c r="O72" i="6" s="1"/>
  <c r="L187" i="7"/>
  <c r="J187" i="7"/>
  <c r="G187" i="7"/>
  <c r="F187" i="7"/>
  <c r="F72" i="6" s="1"/>
  <c r="E187" i="7"/>
  <c r="D187" i="7"/>
  <c r="C187" i="7"/>
  <c r="Z186" i="7"/>
  <c r="Z71" i="6" s="1"/>
  <c r="X186" i="7"/>
  <c r="W186" i="7"/>
  <c r="U186" i="7"/>
  <c r="R186" i="7"/>
  <c r="R71" i="6" s="1"/>
  <c r="O186" i="7"/>
  <c r="L186" i="7"/>
  <c r="J186" i="7"/>
  <c r="H186" i="7"/>
  <c r="H71" i="6" s="1"/>
  <c r="G186" i="7"/>
  <c r="F186" i="7"/>
  <c r="E186" i="7"/>
  <c r="D186" i="7"/>
  <c r="D71" i="6" s="1"/>
  <c r="C186" i="7"/>
  <c r="W185" i="7"/>
  <c r="U185" i="7"/>
  <c r="R185" i="7"/>
  <c r="R70" i="6" s="1"/>
  <c r="O185" i="7"/>
  <c r="L185" i="7"/>
  <c r="J185" i="7"/>
  <c r="H185" i="7"/>
  <c r="H70" i="6" s="1"/>
  <c r="F185" i="7"/>
  <c r="E185" i="7"/>
  <c r="D185" i="7"/>
  <c r="C185" i="7"/>
  <c r="C70" i="6" s="1"/>
  <c r="W184" i="7"/>
  <c r="U184" i="7"/>
  <c r="R184" i="7"/>
  <c r="O184" i="7"/>
  <c r="L184" i="7"/>
  <c r="J184" i="7"/>
  <c r="H184" i="7"/>
  <c r="F184" i="7"/>
  <c r="E184" i="7"/>
  <c r="D184" i="7"/>
  <c r="C184" i="7"/>
  <c r="W183" i="7"/>
  <c r="W68" i="6" s="1"/>
  <c r="W184" i="2" s="1"/>
  <c r="U183" i="7"/>
  <c r="R183" i="7"/>
  <c r="O183" i="7"/>
  <c r="L183" i="7"/>
  <c r="J183" i="7"/>
  <c r="H183" i="7"/>
  <c r="F183" i="7"/>
  <c r="E183" i="7"/>
  <c r="D183" i="7"/>
  <c r="C183" i="7"/>
  <c r="W182" i="7"/>
  <c r="U182" i="7"/>
  <c r="U67" i="6" s="1"/>
  <c r="R182" i="7"/>
  <c r="O182" i="7"/>
  <c r="L182" i="7"/>
  <c r="J182" i="7"/>
  <c r="J67" i="6" s="1"/>
  <c r="H182" i="7"/>
  <c r="F182" i="7"/>
  <c r="E182" i="7"/>
  <c r="D182" i="7"/>
  <c r="D67" i="6" s="1"/>
  <c r="C182" i="7"/>
  <c r="W181" i="7"/>
  <c r="U181" i="7"/>
  <c r="R181" i="7"/>
  <c r="R66" i="6" s="1"/>
  <c r="O181" i="7"/>
  <c r="L181" i="7"/>
  <c r="J181" i="7"/>
  <c r="H181" i="7"/>
  <c r="F181" i="7"/>
  <c r="E181" i="7"/>
  <c r="D181" i="7"/>
  <c r="C181" i="7"/>
  <c r="C66" i="6" s="1"/>
  <c r="W180" i="7"/>
  <c r="U180" i="7"/>
  <c r="R180" i="7"/>
  <c r="O180" i="7"/>
  <c r="O65" i="6" s="1"/>
  <c r="L180" i="7"/>
  <c r="J180" i="7"/>
  <c r="H180" i="7"/>
  <c r="F180" i="7"/>
  <c r="F65" i="6" s="1"/>
  <c r="E180" i="7"/>
  <c r="D180" i="7"/>
  <c r="C180" i="7"/>
  <c r="W179" i="7"/>
  <c r="W64" i="6" s="1"/>
  <c r="U179" i="7"/>
  <c r="R179" i="7"/>
  <c r="O179" i="7"/>
  <c r="L179" i="7"/>
  <c r="J179" i="7"/>
  <c r="H179" i="7"/>
  <c r="F179" i="7"/>
  <c r="E179" i="7"/>
  <c r="E64" i="6" s="1"/>
  <c r="D179" i="7"/>
  <c r="C179" i="7"/>
  <c r="W178" i="7"/>
  <c r="U178" i="7"/>
  <c r="U63" i="6" s="1"/>
  <c r="R178" i="7"/>
  <c r="O178" i="7"/>
  <c r="L178" i="7"/>
  <c r="J178" i="7"/>
  <c r="J63" i="6" s="1"/>
  <c r="H178" i="7"/>
  <c r="F178" i="7"/>
  <c r="E178" i="7"/>
  <c r="D178" i="7"/>
  <c r="D63" i="6" s="1"/>
  <c r="C178" i="7"/>
  <c r="W177" i="7"/>
  <c r="U177" i="7"/>
  <c r="O177" i="7"/>
  <c r="L177" i="7"/>
  <c r="J177" i="7"/>
  <c r="H177" i="7"/>
  <c r="F177" i="7"/>
  <c r="F62" i="6" s="1"/>
  <c r="E177" i="7"/>
  <c r="D177" i="7"/>
  <c r="C177" i="7"/>
  <c r="W176" i="7"/>
  <c r="W61" i="6" s="1"/>
  <c r="U176" i="7"/>
  <c r="O176" i="7"/>
  <c r="L176" i="7"/>
  <c r="J176" i="7"/>
  <c r="J61" i="6" s="1"/>
  <c r="H176" i="7"/>
  <c r="F176" i="7"/>
  <c r="E176" i="7"/>
  <c r="D176" i="7"/>
  <c r="D61" i="6" s="1"/>
  <c r="C176" i="7"/>
  <c r="W175" i="7"/>
  <c r="U175" i="7"/>
  <c r="O175" i="7"/>
  <c r="O60" i="6" s="1"/>
  <c r="L175" i="7"/>
  <c r="J175" i="7"/>
  <c r="H175" i="7"/>
  <c r="F175" i="7"/>
  <c r="F60" i="6" s="1"/>
  <c r="E175" i="7"/>
  <c r="D175" i="7"/>
  <c r="C175" i="7"/>
  <c r="W174" i="7"/>
  <c r="W59" i="6" s="1"/>
  <c r="U174" i="7"/>
  <c r="O174" i="7"/>
  <c r="L174" i="7"/>
  <c r="J174" i="7"/>
  <c r="J59" i="6" s="1"/>
  <c r="F174" i="7"/>
  <c r="E174" i="7"/>
  <c r="D174" i="7"/>
  <c r="C174" i="7"/>
  <c r="C59" i="6" s="1"/>
  <c r="W173" i="7"/>
  <c r="U173" i="7"/>
  <c r="O173" i="7"/>
  <c r="L173" i="7"/>
  <c r="J173" i="7"/>
  <c r="F173" i="7"/>
  <c r="E173" i="7"/>
  <c r="D173" i="7"/>
  <c r="D58" i="6" s="1"/>
  <c r="C173" i="7"/>
  <c r="W172" i="7"/>
  <c r="U172" i="7"/>
  <c r="O172" i="7"/>
  <c r="O57" i="6" s="1"/>
  <c r="L172" i="7"/>
  <c r="J172" i="7"/>
  <c r="F172" i="7"/>
  <c r="E172" i="7"/>
  <c r="E57" i="6" s="1"/>
  <c r="E171" i="2" s="1"/>
  <c r="D172" i="7"/>
  <c r="C172" i="7"/>
  <c r="W171" i="7"/>
  <c r="U171" i="7"/>
  <c r="U56" i="6" s="1"/>
  <c r="O171" i="7"/>
  <c r="L171" i="7"/>
  <c r="J171" i="7"/>
  <c r="F171" i="7"/>
  <c r="F56" i="6" s="1"/>
  <c r="E171" i="7"/>
  <c r="D171" i="7"/>
  <c r="C171" i="7"/>
  <c r="W170" i="7"/>
  <c r="U170" i="7"/>
  <c r="O170" i="7"/>
  <c r="L170" i="7"/>
  <c r="J170" i="7"/>
  <c r="J55" i="6" s="1"/>
  <c r="F170" i="7"/>
  <c r="E170" i="7"/>
  <c r="D170" i="7"/>
  <c r="C170" i="7"/>
  <c r="C55" i="6" s="1"/>
  <c r="W169" i="7"/>
  <c r="U169" i="7"/>
  <c r="O169" i="7"/>
  <c r="L169" i="7"/>
  <c r="J169" i="7"/>
  <c r="F169" i="7"/>
  <c r="E169" i="7"/>
  <c r="D169" i="7"/>
  <c r="D54" i="6" s="1"/>
  <c r="C169" i="7"/>
  <c r="W168" i="7"/>
  <c r="U168" i="7"/>
  <c r="O168" i="7"/>
  <c r="O53" i="6" s="1"/>
  <c r="L168" i="7"/>
  <c r="J168" i="7"/>
  <c r="F168" i="7"/>
  <c r="E168" i="7"/>
  <c r="E53" i="6" s="1"/>
  <c r="D168" i="7"/>
  <c r="C168" i="7"/>
  <c r="W167" i="7"/>
  <c r="U167" i="7"/>
  <c r="U52" i="6" s="1"/>
  <c r="O167" i="7"/>
  <c r="L167" i="7"/>
  <c r="J167" i="7"/>
  <c r="F167" i="7"/>
  <c r="F52" i="6" s="1"/>
  <c r="E167" i="7"/>
  <c r="D167" i="7"/>
  <c r="C167" i="7"/>
  <c r="W166" i="7"/>
  <c r="W51" i="6" s="1"/>
  <c r="U166" i="7"/>
  <c r="O166" i="7"/>
  <c r="L166" i="7"/>
  <c r="J166" i="7"/>
  <c r="J51" i="6" s="1"/>
  <c r="F166" i="7"/>
  <c r="E166" i="7"/>
  <c r="D166" i="7"/>
  <c r="C166" i="7"/>
  <c r="C51" i="6" s="1"/>
  <c r="W165" i="7"/>
  <c r="U165" i="7"/>
  <c r="O165" i="7"/>
  <c r="J165" i="7"/>
  <c r="E165" i="7"/>
  <c r="D165" i="7"/>
  <c r="C165" i="7"/>
  <c r="W164" i="7"/>
  <c r="W49" i="6" s="1"/>
  <c r="U164" i="7"/>
  <c r="O164" i="7"/>
  <c r="J164" i="7"/>
  <c r="E164" i="7"/>
  <c r="D164" i="7"/>
  <c r="C164" i="7"/>
  <c r="W163" i="7"/>
  <c r="U163" i="7"/>
  <c r="U48" i="6" s="1"/>
  <c r="O163" i="7"/>
  <c r="J163" i="7"/>
  <c r="E163" i="7"/>
  <c r="D163" i="7"/>
  <c r="D48" i="6" s="1"/>
  <c r="C163" i="7"/>
  <c r="W162" i="7"/>
  <c r="U162" i="7"/>
  <c r="O162" i="7"/>
  <c r="O47" i="6" s="1"/>
  <c r="E162" i="7"/>
  <c r="D162" i="7"/>
  <c r="C162" i="7"/>
  <c r="W161" i="7"/>
  <c r="W46" i="6" s="1"/>
  <c r="U161" i="7"/>
  <c r="O161" i="7"/>
  <c r="E161" i="7"/>
  <c r="D161" i="7"/>
  <c r="D46" i="6" s="1"/>
  <c r="C161" i="7"/>
  <c r="W160" i="7"/>
  <c r="U160" i="7"/>
  <c r="O160" i="7"/>
  <c r="E160" i="7"/>
  <c r="D160" i="7"/>
  <c r="C160" i="7"/>
  <c r="W159" i="7"/>
  <c r="W44" i="6" s="1"/>
  <c r="U159" i="7"/>
  <c r="O159" i="7"/>
  <c r="E159" i="7"/>
  <c r="D159" i="7"/>
  <c r="D44" i="6" s="1"/>
  <c r="C159" i="7"/>
  <c r="W158" i="7"/>
  <c r="O158" i="7"/>
  <c r="E158" i="7"/>
  <c r="E43" i="6" s="1"/>
  <c r="D158" i="7"/>
  <c r="C158" i="7"/>
  <c r="W157" i="7"/>
  <c r="O157" i="7"/>
  <c r="O42" i="6" s="1"/>
  <c r="E157" i="7"/>
  <c r="D157" i="7"/>
  <c r="C157" i="7"/>
  <c r="W156" i="7"/>
  <c r="W41" i="6" s="1"/>
  <c r="O156" i="7"/>
  <c r="E156" i="7"/>
  <c r="D156" i="7"/>
  <c r="C156" i="7"/>
  <c r="C41" i="6" s="1"/>
  <c r="W155" i="7"/>
  <c r="O155" i="7"/>
  <c r="E155" i="7"/>
  <c r="D155" i="7"/>
  <c r="D40" i="6" s="1"/>
  <c r="C155" i="7"/>
  <c r="W154" i="7"/>
  <c r="O154" i="7"/>
  <c r="E154" i="7"/>
  <c r="D154" i="7"/>
  <c r="C154" i="7"/>
  <c r="W153" i="7"/>
  <c r="O153" i="7"/>
  <c r="O38" i="6" s="1"/>
  <c r="E153" i="7"/>
  <c r="D153" i="7"/>
  <c r="C153" i="7"/>
  <c r="W152" i="7"/>
  <c r="O152" i="7"/>
  <c r="E152" i="7"/>
  <c r="D152" i="7"/>
  <c r="C152" i="7"/>
  <c r="C37" i="6" s="1"/>
  <c r="W151" i="7"/>
  <c r="O151" i="7"/>
  <c r="E151" i="7"/>
  <c r="D151" i="7"/>
  <c r="D36" i="6" s="1"/>
  <c r="C151" i="7"/>
  <c r="W150" i="7"/>
  <c r="O150" i="7"/>
  <c r="E150" i="7"/>
  <c r="E35" i="6" s="1"/>
  <c r="D150" i="7"/>
  <c r="C150" i="7"/>
  <c r="W149" i="7"/>
  <c r="O149" i="7"/>
  <c r="O34" i="6" s="1"/>
  <c r="E149" i="7"/>
  <c r="D149" i="7"/>
  <c r="C149" i="7"/>
  <c r="W148" i="7"/>
  <c r="W33" i="6" s="1"/>
  <c r="U148" i="7"/>
  <c r="O148" i="7"/>
  <c r="E148" i="7"/>
  <c r="D148" i="7"/>
  <c r="C148" i="7"/>
  <c r="W147" i="7"/>
  <c r="U147" i="7"/>
  <c r="O147" i="7"/>
  <c r="O32" i="6" s="1"/>
  <c r="E147" i="7"/>
  <c r="D147" i="7"/>
  <c r="C147" i="7"/>
  <c r="W146" i="7"/>
  <c r="W31" i="6" s="1"/>
  <c r="U146" i="7"/>
  <c r="O146" i="7"/>
  <c r="E146" i="7"/>
  <c r="D146" i="7"/>
  <c r="D31" i="6" s="1"/>
  <c r="C146" i="7"/>
  <c r="W145" i="7"/>
  <c r="U145" i="7"/>
  <c r="R145" i="7"/>
  <c r="R30" i="6" s="1"/>
  <c r="O145" i="7"/>
  <c r="E145" i="7"/>
  <c r="D145" i="7"/>
  <c r="C145" i="7"/>
  <c r="C30" i="6" s="1"/>
  <c r="W144" i="7"/>
  <c r="U144" i="7"/>
  <c r="R144" i="7"/>
  <c r="O144" i="7"/>
  <c r="O29" i="6" s="1"/>
  <c r="E144" i="7"/>
  <c r="D144" i="7"/>
  <c r="C144" i="7"/>
  <c r="W143" i="7"/>
  <c r="W28" i="6" s="1"/>
  <c r="U143" i="7"/>
  <c r="R143" i="7"/>
  <c r="O143" i="7"/>
  <c r="E143" i="7"/>
  <c r="D143" i="7"/>
  <c r="C143" i="7"/>
  <c r="W142" i="7"/>
  <c r="U142" i="7"/>
  <c r="U27" i="6" s="1"/>
  <c r="R142" i="7"/>
  <c r="O142" i="7"/>
  <c r="E142" i="7"/>
  <c r="D142" i="7"/>
  <c r="C142" i="7"/>
  <c r="W141" i="7"/>
  <c r="U141" i="7"/>
  <c r="R141" i="7"/>
  <c r="R26" i="6" s="1"/>
  <c r="O141" i="7"/>
  <c r="E141" i="7"/>
  <c r="D141" i="7"/>
  <c r="C141" i="7"/>
  <c r="C26" i="6" s="1"/>
  <c r="W140" i="7"/>
  <c r="U140" i="7"/>
  <c r="R140" i="7"/>
  <c r="O140" i="7"/>
  <c r="O25" i="6" s="1"/>
  <c r="E140" i="7"/>
  <c r="D140" i="7"/>
  <c r="C140" i="7"/>
  <c r="W139" i="7"/>
  <c r="W24" i="6" s="1"/>
  <c r="U139" i="7"/>
  <c r="R139" i="7"/>
  <c r="O139" i="7"/>
  <c r="E139" i="7"/>
  <c r="D139" i="7"/>
  <c r="C139" i="7"/>
  <c r="W138" i="7"/>
  <c r="U138" i="7"/>
  <c r="U23" i="6" s="1"/>
  <c r="R138" i="7"/>
  <c r="O138" i="7"/>
  <c r="E138" i="7"/>
  <c r="D138" i="7"/>
  <c r="C138" i="7"/>
  <c r="W137" i="7"/>
  <c r="V137" i="7"/>
  <c r="U137" i="7"/>
  <c r="U22" i="6" s="1"/>
  <c r="R137" i="7"/>
  <c r="O137" i="7"/>
  <c r="E137" i="7"/>
  <c r="D137" i="7"/>
  <c r="D22" i="6" s="1"/>
  <c r="C137" i="7"/>
  <c r="W136" i="7"/>
  <c r="V136" i="7"/>
  <c r="U136" i="7"/>
  <c r="U21" i="6" s="1"/>
  <c r="R136" i="7"/>
  <c r="O136" i="7"/>
  <c r="E136" i="7"/>
  <c r="D136" i="7"/>
  <c r="D21" i="6" s="1"/>
  <c r="C136" i="7"/>
  <c r="W135" i="7"/>
  <c r="V135" i="7"/>
  <c r="U135" i="7"/>
  <c r="U20" i="6" s="1"/>
  <c r="R135" i="7"/>
  <c r="O135" i="7"/>
  <c r="E135" i="7"/>
  <c r="D135" i="7"/>
  <c r="D20" i="6" s="1"/>
  <c r="C135" i="7"/>
  <c r="W134" i="7"/>
  <c r="V134" i="7"/>
  <c r="U134" i="7"/>
  <c r="U19" i="6" s="1"/>
  <c r="R134" i="7"/>
  <c r="O134" i="7"/>
  <c r="E134" i="7"/>
  <c r="D134" i="7"/>
  <c r="D19" i="6" s="1"/>
  <c r="C134" i="7"/>
  <c r="W133" i="7"/>
  <c r="V133" i="7"/>
  <c r="R133" i="7"/>
  <c r="E133" i="7"/>
  <c r="D133" i="7"/>
  <c r="C133" i="7"/>
  <c r="W132" i="7"/>
  <c r="W17" i="6" s="1"/>
  <c r="V132" i="7"/>
  <c r="R132" i="7"/>
  <c r="E132" i="7"/>
  <c r="D132" i="7"/>
  <c r="D17" i="6" s="1"/>
  <c r="C132" i="7"/>
  <c r="W131" i="7"/>
  <c r="V131" i="7"/>
  <c r="R131" i="7"/>
  <c r="R16" i="6" s="1"/>
  <c r="E131" i="7"/>
  <c r="D131" i="7"/>
  <c r="C131" i="7"/>
  <c r="W130" i="7"/>
  <c r="W15" i="6" s="1"/>
  <c r="V130" i="7"/>
  <c r="R130" i="7"/>
  <c r="E130" i="7"/>
  <c r="D130" i="7"/>
  <c r="D15" i="6" s="1"/>
  <c r="C130" i="7"/>
  <c r="W129" i="7"/>
  <c r="V129" i="7"/>
  <c r="R129" i="7"/>
  <c r="D129" i="7"/>
  <c r="C129" i="7"/>
  <c r="W128" i="7"/>
  <c r="V128" i="7"/>
  <c r="V13" i="6" s="1"/>
  <c r="R128" i="7"/>
  <c r="D128" i="7"/>
  <c r="C128" i="7"/>
  <c r="W127" i="7"/>
  <c r="W12" i="6" s="1"/>
  <c r="V127" i="7"/>
  <c r="R127" i="7"/>
  <c r="D127" i="7"/>
  <c r="C127" i="7"/>
  <c r="C12" i="6" s="1"/>
  <c r="W126" i="7"/>
  <c r="V126" i="7"/>
  <c r="R126" i="7"/>
  <c r="D126" i="7"/>
  <c r="D11" i="6" s="1"/>
  <c r="C126" i="7"/>
  <c r="W125" i="7"/>
  <c r="V125" i="7"/>
  <c r="D125" i="7"/>
  <c r="D10" i="6" s="1"/>
  <c r="C125" i="7"/>
  <c r="W124" i="7"/>
  <c r="V124" i="7"/>
  <c r="D124" i="7"/>
  <c r="C124" i="7"/>
  <c r="W123" i="7"/>
  <c r="V123" i="7"/>
  <c r="D123" i="7"/>
  <c r="D8" i="6" s="1"/>
  <c r="C123" i="7"/>
  <c r="W122" i="7"/>
  <c r="V122" i="7"/>
  <c r="D122" i="7"/>
  <c r="C122" i="7"/>
  <c r="W121" i="7"/>
  <c r="V121" i="7"/>
  <c r="D121" i="7"/>
  <c r="D6" i="6" s="1"/>
  <c r="W120" i="7"/>
  <c r="V120" i="7"/>
  <c r="D120" i="7"/>
  <c r="W119" i="7"/>
  <c r="W4" i="6" s="1"/>
  <c r="V119" i="7"/>
  <c r="D119" i="7"/>
  <c r="W118" i="7"/>
  <c r="V118" i="7"/>
  <c r="V3" i="6" s="1"/>
  <c r="D118" i="7"/>
  <c r="K116" i="7"/>
  <c r="T113" i="7"/>
  <c r="S113" i="7"/>
  <c r="R113" i="7"/>
  <c r="P113" i="7"/>
  <c r="N113" i="7"/>
  <c r="M113" i="7"/>
  <c r="L113" i="7"/>
  <c r="K113" i="7"/>
  <c r="K113" i="5" s="1"/>
  <c r="J113" i="7"/>
  <c r="I113" i="7"/>
  <c r="H113" i="7"/>
  <c r="G113" i="7"/>
  <c r="F113" i="7"/>
  <c r="E113" i="7"/>
  <c r="D113" i="7"/>
  <c r="C113" i="7"/>
  <c r="W112" i="7"/>
  <c r="W112" i="6" s="1"/>
  <c r="T112" i="7"/>
  <c r="S112" i="7"/>
  <c r="R112" i="7"/>
  <c r="P112" i="7"/>
  <c r="O112" i="7"/>
  <c r="N112" i="7"/>
  <c r="M112" i="7"/>
  <c r="L112" i="7"/>
  <c r="K112" i="7"/>
  <c r="K112" i="5" s="1"/>
  <c r="J112" i="7"/>
  <c r="I112" i="7"/>
  <c r="H112" i="7"/>
  <c r="G112" i="7"/>
  <c r="F112" i="7"/>
  <c r="E112" i="7"/>
  <c r="D112" i="7"/>
  <c r="C112" i="7"/>
  <c r="B112" i="7"/>
  <c r="W111" i="7"/>
  <c r="T111" i="7"/>
  <c r="S111" i="7"/>
  <c r="R111" i="7"/>
  <c r="P111" i="7"/>
  <c r="O111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B110" i="7"/>
  <c r="Z110" i="7"/>
  <c r="Y110" i="7"/>
  <c r="X110" i="7"/>
  <c r="W110" i="7"/>
  <c r="T110" i="7"/>
  <c r="S110" i="7"/>
  <c r="R110" i="7"/>
  <c r="R110" i="5" s="1"/>
  <c r="P110" i="7"/>
  <c r="O110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B109" i="7"/>
  <c r="Z109" i="7"/>
  <c r="Y109" i="7"/>
  <c r="X109" i="7"/>
  <c r="X109" i="6" s="1"/>
  <c r="W109" i="7"/>
  <c r="T109" i="7"/>
  <c r="S109" i="7"/>
  <c r="R109" i="7"/>
  <c r="P109" i="7"/>
  <c r="O109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B108" i="7"/>
  <c r="Z108" i="7"/>
  <c r="Y108" i="7"/>
  <c r="X108" i="7"/>
  <c r="W108" i="7"/>
  <c r="W108" i="6" s="1"/>
  <c r="T108" i="7"/>
  <c r="S108" i="7"/>
  <c r="R108" i="7"/>
  <c r="R112" i="5" s="1"/>
  <c r="P108" i="7"/>
  <c r="O108" i="7"/>
  <c r="N108" i="7"/>
  <c r="M108" i="7"/>
  <c r="M112" i="5" s="1"/>
  <c r="L108" i="7"/>
  <c r="K108" i="7"/>
  <c r="J108" i="7"/>
  <c r="I108" i="7"/>
  <c r="H108" i="7"/>
  <c r="G108" i="7"/>
  <c r="G112" i="5" s="1"/>
  <c r="F108" i="7"/>
  <c r="E108" i="7"/>
  <c r="D108" i="7"/>
  <c r="C108" i="7"/>
  <c r="B108" i="7"/>
  <c r="B112" i="5" s="1"/>
  <c r="AB107" i="7"/>
  <c r="Z107" i="7"/>
  <c r="Y107" i="7"/>
  <c r="X107" i="7"/>
  <c r="W107" i="7"/>
  <c r="T107" i="7"/>
  <c r="S107" i="7"/>
  <c r="R107" i="7"/>
  <c r="P107" i="7"/>
  <c r="O107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B106" i="7"/>
  <c r="AA106" i="7"/>
  <c r="Z106" i="7"/>
  <c r="Z110" i="5" s="1"/>
  <c r="Y106" i="7"/>
  <c r="X106" i="7"/>
  <c r="W106" i="7"/>
  <c r="T106" i="7"/>
  <c r="S106" i="7"/>
  <c r="S106" i="5" s="1"/>
  <c r="R106" i="7"/>
  <c r="P106" i="7"/>
  <c r="O106" i="7"/>
  <c r="N106" i="7"/>
  <c r="M106" i="7"/>
  <c r="L106" i="7"/>
  <c r="K106" i="7"/>
  <c r="K110" i="5" s="1"/>
  <c r="J106" i="7"/>
  <c r="I106" i="7"/>
  <c r="H106" i="7"/>
  <c r="G106" i="7"/>
  <c r="F106" i="7"/>
  <c r="E106" i="7"/>
  <c r="D106" i="7"/>
  <c r="C106" i="7"/>
  <c r="B106" i="7"/>
  <c r="AB105" i="7"/>
  <c r="AA105" i="7"/>
  <c r="Z105" i="7"/>
  <c r="Z105" i="5" s="1"/>
  <c r="Y105" i="7"/>
  <c r="X105" i="7"/>
  <c r="W105" i="7"/>
  <c r="T105" i="7"/>
  <c r="S105" i="7"/>
  <c r="R105" i="7"/>
  <c r="P105" i="7"/>
  <c r="O105" i="7"/>
  <c r="N105" i="7"/>
  <c r="M105" i="7"/>
  <c r="L105" i="7"/>
  <c r="K105" i="7"/>
  <c r="K109" i="5" s="1"/>
  <c r="J105" i="7"/>
  <c r="I105" i="7"/>
  <c r="H105" i="7"/>
  <c r="G105" i="7"/>
  <c r="F105" i="7"/>
  <c r="E105" i="7"/>
  <c r="D105" i="7"/>
  <c r="C105" i="7"/>
  <c r="B105" i="7"/>
  <c r="AB104" i="7"/>
  <c r="AA104" i="7"/>
  <c r="Z104" i="7"/>
  <c r="Z104" i="5" s="1"/>
  <c r="Y104" i="7"/>
  <c r="X104" i="7"/>
  <c r="W104" i="7"/>
  <c r="T104" i="7"/>
  <c r="S104" i="7"/>
  <c r="S104" i="5" s="1"/>
  <c r="R104" i="7"/>
  <c r="P104" i="7"/>
  <c r="O104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B103" i="7"/>
  <c r="AA103" i="7"/>
  <c r="Z103" i="7"/>
  <c r="Y103" i="7"/>
  <c r="X103" i="7"/>
  <c r="W103" i="7"/>
  <c r="T103" i="7"/>
  <c r="S103" i="7"/>
  <c r="R103" i="7"/>
  <c r="P103" i="7"/>
  <c r="O103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B102" i="7"/>
  <c r="AA102" i="7"/>
  <c r="Z102" i="7"/>
  <c r="Z102" i="6" s="1"/>
  <c r="Y102" i="7"/>
  <c r="X102" i="7"/>
  <c r="W102" i="7"/>
  <c r="T102" i="7"/>
  <c r="S102" i="7"/>
  <c r="R102" i="7"/>
  <c r="P102" i="7"/>
  <c r="O102" i="7"/>
  <c r="N102" i="7"/>
  <c r="M102" i="7"/>
  <c r="L102" i="7"/>
  <c r="L106" i="5" s="1"/>
  <c r="K102" i="7"/>
  <c r="K102" i="5" s="1"/>
  <c r="J102" i="7"/>
  <c r="I102" i="7"/>
  <c r="H102" i="7"/>
  <c r="G102" i="7"/>
  <c r="F102" i="7"/>
  <c r="E102" i="7"/>
  <c r="D102" i="7"/>
  <c r="C102" i="7"/>
  <c r="B102" i="7"/>
  <c r="AB101" i="7"/>
  <c r="AA101" i="7"/>
  <c r="Z101" i="7"/>
  <c r="Y101" i="7"/>
  <c r="X101" i="7"/>
  <c r="W101" i="7"/>
  <c r="T101" i="7"/>
  <c r="S101" i="7"/>
  <c r="R101" i="7"/>
  <c r="P101" i="7"/>
  <c r="P101" i="5" s="1"/>
  <c r="O101" i="7"/>
  <c r="N101" i="7"/>
  <c r="M101" i="7"/>
  <c r="L101" i="7"/>
  <c r="K101" i="7"/>
  <c r="J101" i="7"/>
  <c r="I101" i="7"/>
  <c r="I101" i="6" s="1"/>
  <c r="H101" i="7"/>
  <c r="G101" i="7"/>
  <c r="G101" i="6" s="1"/>
  <c r="F101" i="7"/>
  <c r="F101" i="6" s="1"/>
  <c r="E101" i="7"/>
  <c r="E101" i="6" s="1"/>
  <c r="D101" i="7"/>
  <c r="C101" i="7"/>
  <c r="B101" i="7"/>
  <c r="AB100" i="7"/>
  <c r="AA100" i="7"/>
  <c r="Z100" i="7"/>
  <c r="Y100" i="7"/>
  <c r="X100" i="7"/>
  <c r="W100" i="7"/>
  <c r="T100" i="7"/>
  <c r="T100" i="6" s="1"/>
  <c r="S100" i="7"/>
  <c r="R100" i="7"/>
  <c r="P100" i="7"/>
  <c r="P100" i="5" s="1"/>
  <c r="O100" i="7"/>
  <c r="O100" i="6" s="1"/>
  <c r="N100" i="7"/>
  <c r="N100" i="6" s="1"/>
  <c r="M100" i="7"/>
  <c r="L100" i="7"/>
  <c r="K100" i="7"/>
  <c r="J100" i="7"/>
  <c r="I100" i="7"/>
  <c r="H100" i="7"/>
  <c r="G100" i="7"/>
  <c r="F100" i="7"/>
  <c r="E100" i="7"/>
  <c r="D100" i="7"/>
  <c r="C100" i="7"/>
  <c r="B100" i="7"/>
  <c r="AB99" i="7"/>
  <c r="AA99" i="7"/>
  <c r="Z99" i="7"/>
  <c r="Y99" i="7"/>
  <c r="X99" i="7"/>
  <c r="W99" i="7"/>
  <c r="T99" i="7"/>
  <c r="S99" i="7"/>
  <c r="R99" i="7"/>
  <c r="P99" i="7"/>
  <c r="P103" i="5" s="1"/>
  <c r="O99" i="7"/>
  <c r="N99" i="7"/>
  <c r="M99" i="7"/>
  <c r="L99" i="7"/>
  <c r="K99" i="7"/>
  <c r="K99" i="5" s="1"/>
  <c r="J99" i="7"/>
  <c r="I99" i="7"/>
  <c r="H99" i="7"/>
  <c r="G99" i="7"/>
  <c r="F99" i="7"/>
  <c r="F103" i="5" s="1"/>
  <c r="E99" i="7"/>
  <c r="D99" i="7"/>
  <c r="C99" i="7"/>
  <c r="B99" i="7"/>
  <c r="AB98" i="7"/>
  <c r="AA98" i="7"/>
  <c r="Z98" i="7"/>
  <c r="Z98" i="5" s="1"/>
  <c r="Y98" i="7"/>
  <c r="X98" i="7"/>
  <c r="W98" i="7"/>
  <c r="T98" i="7"/>
  <c r="S98" i="7"/>
  <c r="R98" i="7"/>
  <c r="O98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B97" i="7"/>
  <c r="AA97" i="7"/>
  <c r="Z97" i="7"/>
  <c r="Y97" i="7"/>
  <c r="X97" i="7"/>
  <c r="W97" i="7"/>
  <c r="T97" i="7"/>
  <c r="S97" i="7"/>
  <c r="S97" i="6" s="1"/>
  <c r="R97" i="7"/>
  <c r="O97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B96" i="7"/>
  <c r="AA96" i="7"/>
  <c r="Z96" i="7"/>
  <c r="Y96" i="7"/>
  <c r="X96" i="7"/>
  <c r="W96" i="7"/>
  <c r="T96" i="7"/>
  <c r="S96" i="7"/>
  <c r="R96" i="7"/>
  <c r="O96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B95" i="7"/>
  <c r="AA95" i="7"/>
  <c r="AA95" i="6" s="1"/>
  <c r="Z95" i="7"/>
  <c r="Y95" i="7"/>
  <c r="X95" i="7"/>
  <c r="W95" i="7"/>
  <c r="T95" i="7"/>
  <c r="S95" i="7"/>
  <c r="R95" i="7"/>
  <c r="O95" i="7"/>
  <c r="N95" i="7"/>
  <c r="M95" i="7"/>
  <c r="L95" i="7"/>
  <c r="J95" i="7"/>
  <c r="I95" i="7"/>
  <c r="H95" i="7"/>
  <c r="G95" i="7"/>
  <c r="F95" i="7"/>
  <c r="E95" i="7"/>
  <c r="D95" i="7"/>
  <c r="C95" i="7"/>
  <c r="B95" i="7"/>
  <c r="AB94" i="7"/>
  <c r="AA94" i="7"/>
  <c r="Z94" i="7"/>
  <c r="Y94" i="7"/>
  <c r="Y94" i="6" s="1"/>
  <c r="X94" i="7"/>
  <c r="W94" i="7"/>
  <c r="T94" i="7"/>
  <c r="T94" i="5" s="1"/>
  <c r="S94" i="7"/>
  <c r="R94" i="7"/>
  <c r="O94" i="7"/>
  <c r="N94" i="7"/>
  <c r="M94" i="7"/>
  <c r="L94" i="7"/>
  <c r="J94" i="7"/>
  <c r="I94" i="7"/>
  <c r="H94" i="7"/>
  <c r="G94" i="7"/>
  <c r="F94" i="7"/>
  <c r="E94" i="7"/>
  <c r="D94" i="7"/>
  <c r="C94" i="7"/>
  <c r="B94" i="7"/>
  <c r="AB93" i="7"/>
  <c r="AA93" i="7"/>
  <c r="Z93" i="7"/>
  <c r="Y93" i="7"/>
  <c r="X93" i="7"/>
  <c r="W93" i="7"/>
  <c r="W93" i="6" s="1"/>
  <c r="T93" i="7"/>
  <c r="T93" i="5" s="1"/>
  <c r="S93" i="7"/>
  <c r="R93" i="7"/>
  <c r="O93" i="7"/>
  <c r="N93" i="7"/>
  <c r="M93" i="7"/>
  <c r="M93" i="5" s="1"/>
  <c r="L93" i="7"/>
  <c r="J93" i="7"/>
  <c r="I93" i="7"/>
  <c r="H93" i="7"/>
  <c r="G93" i="7"/>
  <c r="F93" i="7"/>
  <c r="E93" i="7"/>
  <c r="D93" i="7"/>
  <c r="C93" i="7"/>
  <c r="B93" i="7"/>
  <c r="AB92" i="7"/>
  <c r="AA92" i="7"/>
  <c r="Z92" i="7"/>
  <c r="Y92" i="7"/>
  <c r="Y92" i="5" s="1"/>
  <c r="X92" i="7"/>
  <c r="W92" i="7"/>
  <c r="T92" i="7"/>
  <c r="T92" i="5" s="1"/>
  <c r="S92" i="7"/>
  <c r="S92" i="6" s="1"/>
  <c r="R92" i="7"/>
  <c r="O92" i="7"/>
  <c r="O92" i="5" s="1"/>
  <c r="N92" i="7"/>
  <c r="M92" i="7"/>
  <c r="L92" i="7"/>
  <c r="J92" i="7"/>
  <c r="I92" i="7"/>
  <c r="H92" i="7"/>
  <c r="G92" i="7"/>
  <c r="F92" i="7"/>
  <c r="E92" i="7"/>
  <c r="D92" i="7"/>
  <c r="C92" i="7"/>
  <c r="B92" i="7"/>
  <c r="B92" i="6" s="1"/>
  <c r="AB91" i="7"/>
  <c r="AA91" i="7"/>
  <c r="Z91" i="7"/>
  <c r="Y91" i="7"/>
  <c r="X91" i="7"/>
  <c r="W91" i="7"/>
  <c r="W91" i="6" s="1"/>
  <c r="T91" i="7"/>
  <c r="T91" i="5" s="1"/>
  <c r="T91" i="2" s="1"/>
  <c r="T91" i="1" s="1"/>
  <c r="S91" i="7"/>
  <c r="R91" i="7"/>
  <c r="O91" i="7"/>
  <c r="N91" i="7"/>
  <c r="M91" i="7"/>
  <c r="M91" i="5" s="1"/>
  <c r="M91" i="2" s="1"/>
  <c r="M91" i="1" s="1"/>
  <c r="L91" i="7"/>
  <c r="J91" i="7"/>
  <c r="I91" i="7"/>
  <c r="H91" i="7"/>
  <c r="H95" i="5" s="1"/>
  <c r="G91" i="7"/>
  <c r="F91" i="7"/>
  <c r="E91" i="7"/>
  <c r="D91" i="7"/>
  <c r="C91" i="7"/>
  <c r="C95" i="5" s="1"/>
  <c r="B91" i="7"/>
  <c r="B91" i="6" s="1"/>
  <c r="AB90" i="7"/>
  <c r="AA90" i="7"/>
  <c r="Z90" i="7"/>
  <c r="Y90" i="7"/>
  <c r="Y90" i="5" s="1"/>
  <c r="X90" i="7"/>
  <c r="W90" i="7"/>
  <c r="S90" i="7"/>
  <c r="R90" i="7"/>
  <c r="O90" i="7"/>
  <c r="O90" i="5" s="1"/>
  <c r="N90" i="7"/>
  <c r="L90" i="7"/>
  <c r="J90" i="7"/>
  <c r="I90" i="7"/>
  <c r="H90" i="7"/>
  <c r="G90" i="7"/>
  <c r="F90" i="7"/>
  <c r="E90" i="7"/>
  <c r="D90" i="7"/>
  <c r="C90" i="7"/>
  <c r="B90" i="7"/>
  <c r="AB89" i="7"/>
  <c r="AA89" i="7"/>
  <c r="Z89" i="7"/>
  <c r="Y89" i="7"/>
  <c r="Y93" i="5" s="1"/>
  <c r="X89" i="7"/>
  <c r="W89" i="7"/>
  <c r="S89" i="7"/>
  <c r="R89" i="7"/>
  <c r="O89" i="7"/>
  <c r="N89" i="7"/>
  <c r="L89" i="7"/>
  <c r="J89" i="7"/>
  <c r="I89" i="7"/>
  <c r="H89" i="7"/>
  <c r="G89" i="7"/>
  <c r="F89" i="7"/>
  <c r="E89" i="7"/>
  <c r="D89" i="7"/>
  <c r="C89" i="7"/>
  <c r="B89" i="7"/>
  <c r="AB88" i="7"/>
  <c r="AA88" i="7"/>
  <c r="Z88" i="7"/>
  <c r="Y88" i="7"/>
  <c r="X88" i="7"/>
  <c r="W88" i="7"/>
  <c r="S88" i="7"/>
  <c r="R88" i="7"/>
  <c r="R88" i="5" s="1"/>
  <c r="O88" i="7"/>
  <c r="N88" i="7"/>
  <c r="L88" i="7"/>
  <c r="J88" i="7"/>
  <c r="I88" i="7"/>
  <c r="H88" i="7"/>
  <c r="G88" i="7"/>
  <c r="F88" i="7"/>
  <c r="E88" i="7"/>
  <c r="D88" i="7"/>
  <c r="C88" i="7"/>
  <c r="B88" i="7"/>
  <c r="B88" i="6" s="1"/>
  <c r="AB87" i="7"/>
  <c r="AA87" i="7"/>
  <c r="Z87" i="7"/>
  <c r="Y87" i="7"/>
  <c r="Y91" i="5" s="1"/>
  <c r="X87" i="7"/>
  <c r="W87" i="7"/>
  <c r="S87" i="7"/>
  <c r="R87" i="7"/>
  <c r="R87" i="5" s="1"/>
  <c r="O87" i="7"/>
  <c r="N87" i="7"/>
  <c r="L87" i="7"/>
  <c r="L91" i="5" s="1"/>
  <c r="J87" i="7"/>
  <c r="I87" i="7"/>
  <c r="H87" i="7"/>
  <c r="H87" i="5" s="1"/>
  <c r="G87" i="7"/>
  <c r="F87" i="7"/>
  <c r="E87" i="7"/>
  <c r="D87" i="7"/>
  <c r="C87" i="7"/>
  <c r="C91" i="5" s="1"/>
  <c r="B87" i="7"/>
  <c r="AB86" i="7"/>
  <c r="AA86" i="7"/>
  <c r="Z86" i="7"/>
  <c r="Y86" i="7"/>
  <c r="Y86" i="6" s="1"/>
  <c r="X86" i="7"/>
  <c r="W86" i="7"/>
  <c r="S86" i="7"/>
  <c r="R86" i="7"/>
  <c r="R86" i="5" s="1"/>
  <c r="O86" i="7"/>
  <c r="N86" i="7"/>
  <c r="L86" i="7"/>
  <c r="J86" i="7"/>
  <c r="I86" i="7"/>
  <c r="H86" i="7"/>
  <c r="H86" i="5" s="1"/>
  <c r="G86" i="7"/>
  <c r="F86" i="7"/>
  <c r="E86" i="7"/>
  <c r="D86" i="7"/>
  <c r="C86" i="7"/>
  <c r="B86" i="7"/>
  <c r="B86" i="6" s="1"/>
  <c r="AB85" i="7"/>
  <c r="AA85" i="7"/>
  <c r="Z85" i="7"/>
  <c r="Y85" i="7"/>
  <c r="X85" i="7"/>
  <c r="W85" i="7"/>
  <c r="S85" i="7"/>
  <c r="R85" i="7"/>
  <c r="R85" i="6" s="1"/>
  <c r="O85" i="7"/>
  <c r="N85" i="7"/>
  <c r="L85" i="7"/>
  <c r="L89" i="5" s="1"/>
  <c r="J85" i="7"/>
  <c r="I85" i="7"/>
  <c r="H85" i="7"/>
  <c r="G85" i="7"/>
  <c r="F85" i="7"/>
  <c r="E85" i="7"/>
  <c r="D85" i="7"/>
  <c r="C85" i="7"/>
  <c r="B85" i="7"/>
  <c r="B85" i="6" s="1"/>
  <c r="AB84" i="7"/>
  <c r="AA84" i="7"/>
  <c r="Z84" i="7"/>
  <c r="Y84" i="7"/>
  <c r="Y84" i="6" s="1"/>
  <c r="X84" i="7"/>
  <c r="W84" i="7"/>
  <c r="S84" i="7"/>
  <c r="R84" i="7"/>
  <c r="R84" i="6" s="1"/>
  <c r="O84" i="7"/>
  <c r="N84" i="7"/>
  <c r="L84" i="7"/>
  <c r="J84" i="7"/>
  <c r="I84" i="7"/>
  <c r="H84" i="7"/>
  <c r="H84" i="5" s="1"/>
  <c r="H84" i="2" s="1"/>
  <c r="H84" i="1" s="1"/>
  <c r="G84" i="7"/>
  <c r="F84" i="7"/>
  <c r="E84" i="7"/>
  <c r="E84" i="6" s="1"/>
  <c r="D84" i="7"/>
  <c r="C84" i="7"/>
  <c r="C88" i="5" s="1"/>
  <c r="B84" i="7"/>
  <c r="B84" i="6" s="1"/>
  <c r="AB83" i="7"/>
  <c r="AA83" i="7"/>
  <c r="Z83" i="7"/>
  <c r="Y83" i="7"/>
  <c r="Y83" i="6" s="1"/>
  <c r="X83" i="7"/>
  <c r="W83" i="7"/>
  <c r="S83" i="7"/>
  <c r="R83" i="7"/>
  <c r="R83" i="6" s="1"/>
  <c r="O83" i="7"/>
  <c r="N83" i="7"/>
  <c r="L83" i="7"/>
  <c r="L87" i="5" s="1"/>
  <c r="J83" i="7"/>
  <c r="I83" i="7"/>
  <c r="H83" i="7"/>
  <c r="G83" i="7"/>
  <c r="F83" i="7"/>
  <c r="E83" i="7"/>
  <c r="D83" i="7"/>
  <c r="C83" i="7"/>
  <c r="B83" i="7"/>
  <c r="B83" i="6" s="1"/>
  <c r="AB82" i="7"/>
  <c r="Z82" i="7"/>
  <c r="Y82" i="7"/>
  <c r="X82" i="7"/>
  <c r="W82" i="7"/>
  <c r="S82" i="7"/>
  <c r="R82" i="7"/>
  <c r="O82" i="7"/>
  <c r="O82" i="6" s="1"/>
  <c r="N82" i="7"/>
  <c r="N82" i="6" s="1"/>
  <c r="L82" i="7"/>
  <c r="J82" i="7"/>
  <c r="J82" i="5" s="1"/>
  <c r="I82" i="7"/>
  <c r="H82" i="7"/>
  <c r="G82" i="7"/>
  <c r="F82" i="7"/>
  <c r="F82" i="5" s="1"/>
  <c r="E82" i="7"/>
  <c r="D82" i="7"/>
  <c r="D82" i="6" s="1"/>
  <c r="C82" i="7"/>
  <c r="C82" i="5" s="1"/>
  <c r="B82" i="7"/>
  <c r="AB81" i="7"/>
  <c r="AB81" i="6" s="1"/>
  <c r="Z81" i="7"/>
  <c r="Y81" i="7"/>
  <c r="X81" i="7"/>
  <c r="W81" i="7"/>
  <c r="W81" i="6" s="1"/>
  <c r="S81" i="7"/>
  <c r="R81" i="7"/>
  <c r="O81" i="7"/>
  <c r="N81" i="7"/>
  <c r="L81" i="7"/>
  <c r="L81" i="5" s="1"/>
  <c r="J81" i="7"/>
  <c r="J81" i="5" s="1"/>
  <c r="I81" i="7"/>
  <c r="H81" i="7"/>
  <c r="H81" i="5" s="1"/>
  <c r="G81" i="7"/>
  <c r="G81" i="6" s="1"/>
  <c r="F81" i="7"/>
  <c r="F81" i="5" s="1"/>
  <c r="E81" i="7"/>
  <c r="D81" i="7"/>
  <c r="C81" i="7"/>
  <c r="B81" i="7"/>
  <c r="AB80" i="7"/>
  <c r="Z80" i="7"/>
  <c r="Y80" i="7"/>
  <c r="X80" i="7"/>
  <c r="W80" i="7"/>
  <c r="S80" i="7"/>
  <c r="R80" i="7"/>
  <c r="O80" i="7"/>
  <c r="N80" i="7"/>
  <c r="N80" i="5" s="1"/>
  <c r="L80" i="7"/>
  <c r="J80" i="7"/>
  <c r="J80" i="6" s="1"/>
  <c r="I80" i="7"/>
  <c r="H80" i="7"/>
  <c r="G80" i="7"/>
  <c r="F80" i="7"/>
  <c r="E80" i="7"/>
  <c r="D80" i="7"/>
  <c r="D80" i="5" s="1"/>
  <c r="C80" i="7"/>
  <c r="B80" i="7"/>
  <c r="AB79" i="7"/>
  <c r="Z79" i="7"/>
  <c r="Y79" i="7"/>
  <c r="X79" i="7"/>
  <c r="W79" i="7"/>
  <c r="R79" i="7"/>
  <c r="O79" i="7"/>
  <c r="O83" i="5" s="1"/>
  <c r="N79" i="7"/>
  <c r="N79" i="5" s="1"/>
  <c r="L79" i="7"/>
  <c r="J79" i="7"/>
  <c r="I79" i="7"/>
  <c r="I79" i="5" s="1"/>
  <c r="H79" i="7"/>
  <c r="G79" i="7"/>
  <c r="G79" i="5" s="1"/>
  <c r="G79" i="2" s="1"/>
  <c r="G79" i="1" s="1"/>
  <c r="F79" i="7"/>
  <c r="F79" i="5" s="1"/>
  <c r="E79" i="7"/>
  <c r="D79" i="7"/>
  <c r="D79" i="6" s="1"/>
  <c r="D193" i="2" s="1"/>
  <c r="D193" i="1" s="1"/>
  <c r="C79" i="7"/>
  <c r="C79" i="5" s="1"/>
  <c r="C79" i="2" s="1"/>
  <c r="C79" i="1" s="1"/>
  <c r="B79" i="7"/>
  <c r="Z78" i="7"/>
  <c r="Z78" i="6" s="1"/>
  <c r="Y78" i="7"/>
  <c r="X78" i="7"/>
  <c r="W78" i="7"/>
  <c r="R78" i="7"/>
  <c r="O78" i="7"/>
  <c r="L78" i="7"/>
  <c r="J78" i="7"/>
  <c r="I78" i="7"/>
  <c r="H78" i="7"/>
  <c r="G78" i="7"/>
  <c r="F78" i="7"/>
  <c r="E78" i="7"/>
  <c r="D78" i="7"/>
  <c r="C78" i="7"/>
  <c r="B78" i="7"/>
  <c r="Z77" i="7"/>
  <c r="Y77" i="7"/>
  <c r="X77" i="7"/>
  <c r="W77" i="7"/>
  <c r="R77" i="7"/>
  <c r="O77" i="7"/>
  <c r="L77" i="7"/>
  <c r="J77" i="7"/>
  <c r="I77" i="7"/>
  <c r="H77" i="7"/>
  <c r="G77" i="7"/>
  <c r="F77" i="7"/>
  <c r="E77" i="7"/>
  <c r="D77" i="7"/>
  <c r="C77" i="7"/>
  <c r="B77" i="7"/>
  <c r="Z76" i="7"/>
  <c r="Z76" i="6" s="1"/>
  <c r="Y76" i="7"/>
  <c r="X76" i="7"/>
  <c r="W76" i="7"/>
  <c r="R76" i="7"/>
  <c r="O76" i="7"/>
  <c r="L76" i="7"/>
  <c r="J76" i="7"/>
  <c r="I76" i="7"/>
  <c r="H76" i="7"/>
  <c r="G76" i="7"/>
  <c r="F76" i="7"/>
  <c r="E76" i="7"/>
  <c r="D76" i="7"/>
  <c r="C76" i="7"/>
  <c r="B76" i="7"/>
  <c r="Z75" i="7"/>
  <c r="Z75" i="6" s="1"/>
  <c r="Y75" i="7"/>
  <c r="X75" i="7"/>
  <c r="W75" i="7"/>
  <c r="R75" i="7"/>
  <c r="R75" i="5" s="1"/>
  <c r="O75" i="7"/>
  <c r="L75" i="7"/>
  <c r="J75" i="7"/>
  <c r="I75" i="7"/>
  <c r="I75" i="6" s="1"/>
  <c r="H75" i="7"/>
  <c r="G75" i="7"/>
  <c r="F75" i="7"/>
  <c r="E75" i="7"/>
  <c r="E75" i="6" s="1"/>
  <c r="D75" i="7"/>
  <c r="C75" i="7"/>
  <c r="B75" i="7"/>
  <c r="Z74" i="7"/>
  <c r="X74" i="7"/>
  <c r="W74" i="7"/>
  <c r="U74" i="7"/>
  <c r="R74" i="7"/>
  <c r="R74" i="6" s="1"/>
  <c r="O74" i="7"/>
  <c r="L74" i="7"/>
  <c r="J74" i="7"/>
  <c r="H74" i="7"/>
  <c r="H78" i="5" s="1"/>
  <c r="G74" i="7"/>
  <c r="F74" i="7"/>
  <c r="E74" i="7"/>
  <c r="D74" i="7"/>
  <c r="C74" i="7"/>
  <c r="Z73" i="7"/>
  <c r="X73" i="7"/>
  <c r="W73" i="7"/>
  <c r="U73" i="7"/>
  <c r="R73" i="7"/>
  <c r="O73" i="7"/>
  <c r="L73" i="7"/>
  <c r="J73" i="7"/>
  <c r="H73" i="7"/>
  <c r="G73" i="7"/>
  <c r="F73" i="7"/>
  <c r="E73" i="7"/>
  <c r="D73" i="7"/>
  <c r="C73" i="7"/>
  <c r="Z72" i="7"/>
  <c r="Z72" i="5" s="1"/>
  <c r="X72" i="7"/>
  <c r="W72" i="7"/>
  <c r="U72" i="7"/>
  <c r="R72" i="7"/>
  <c r="R72" i="6" s="1"/>
  <c r="O72" i="7"/>
  <c r="L72" i="7"/>
  <c r="J72" i="7"/>
  <c r="H72" i="7"/>
  <c r="H72" i="6" s="1"/>
  <c r="G72" i="7"/>
  <c r="F72" i="7"/>
  <c r="E72" i="7"/>
  <c r="D72" i="7"/>
  <c r="D72" i="6" s="1"/>
  <c r="C72" i="7"/>
  <c r="Z71" i="7"/>
  <c r="X71" i="7"/>
  <c r="W71" i="7"/>
  <c r="U71" i="7"/>
  <c r="R71" i="7"/>
  <c r="O71" i="7"/>
  <c r="L71" i="7"/>
  <c r="J71" i="7"/>
  <c r="H71" i="7"/>
  <c r="G71" i="7"/>
  <c r="F71" i="7"/>
  <c r="E71" i="7"/>
  <c r="D71" i="7"/>
  <c r="C71" i="7"/>
  <c r="X70" i="7"/>
  <c r="W70" i="7"/>
  <c r="U70" i="7"/>
  <c r="R70" i="7"/>
  <c r="O70" i="7"/>
  <c r="L70" i="7"/>
  <c r="J70" i="7"/>
  <c r="H70" i="7"/>
  <c r="F70" i="7"/>
  <c r="F70" i="6" s="1"/>
  <c r="E70" i="7"/>
  <c r="D70" i="7"/>
  <c r="C70" i="7"/>
  <c r="X69" i="7"/>
  <c r="X69" i="5" s="1"/>
  <c r="W69" i="7"/>
  <c r="U69" i="7"/>
  <c r="R69" i="7"/>
  <c r="O69" i="7"/>
  <c r="O73" i="5" s="1"/>
  <c r="L69" i="7"/>
  <c r="J69" i="7"/>
  <c r="H69" i="7"/>
  <c r="F69" i="7"/>
  <c r="F69" i="5" s="1"/>
  <c r="E69" i="7"/>
  <c r="D69" i="7"/>
  <c r="C69" i="7"/>
  <c r="X68" i="7"/>
  <c r="X72" i="5" s="1"/>
  <c r="W68" i="7"/>
  <c r="U68" i="7"/>
  <c r="R68" i="7"/>
  <c r="O68" i="7"/>
  <c r="O68" i="5" s="1"/>
  <c r="L68" i="7"/>
  <c r="J68" i="7"/>
  <c r="H68" i="7"/>
  <c r="F68" i="7"/>
  <c r="E68" i="7"/>
  <c r="D68" i="7"/>
  <c r="C68" i="7"/>
  <c r="X67" i="7"/>
  <c r="X71" i="5" s="1"/>
  <c r="W67" i="7"/>
  <c r="U67" i="7"/>
  <c r="R67" i="7"/>
  <c r="O67" i="7"/>
  <c r="O67" i="5" s="1"/>
  <c r="L67" i="7"/>
  <c r="J67" i="7"/>
  <c r="H67" i="7"/>
  <c r="F67" i="7"/>
  <c r="E67" i="7"/>
  <c r="D67" i="7"/>
  <c r="C67" i="7"/>
  <c r="W66" i="7"/>
  <c r="W70" i="5" s="1"/>
  <c r="U66" i="7"/>
  <c r="R66" i="7"/>
  <c r="O66" i="7"/>
  <c r="L66" i="7"/>
  <c r="L70" i="5" s="1"/>
  <c r="J66" i="7"/>
  <c r="H66" i="7"/>
  <c r="F66" i="7"/>
  <c r="E66" i="7"/>
  <c r="D66" i="7"/>
  <c r="C66" i="7"/>
  <c r="W65" i="7"/>
  <c r="U65" i="7"/>
  <c r="U65" i="5" s="1"/>
  <c r="R65" i="7"/>
  <c r="O65" i="7"/>
  <c r="L65" i="7"/>
  <c r="J65" i="7"/>
  <c r="H65" i="7"/>
  <c r="F65" i="7"/>
  <c r="E65" i="7"/>
  <c r="D65" i="7"/>
  <c r="D65" i="5" s="1"/>
  <c r="C65" i="7"/>
  <c r="W64" i="7"/>
  <c r="U64" i="7"/>
  <c r="R64" i="7"/>
  <c r="O64" i="7"/>
  <c r="L64" i="7"/>
  <c r="J64" i="7"/>
  <c r="H64" i="7"/>
  <c r="H64" i="5" s="1"/>
  <c r="F64" i="7"/>
  <c r="E64" i="7"/>
  <c r="D64" i="7"/>
  <c r="C64" i="7"/>
  <c r="W63" i="7"/>
  <c r="U63" i="7"/>
  <c r="R63" i="7"/>
  <c r="O63" i="7"/>
  <c r="L63" i="7"/>
  <c r="J63" i="7"/>
  <c r="H63" i="7"/>
  <c r="F63" i="7"/>
  <c r="F63" i="6" s="1"/>
  <c r="E63" i="7"/>
  <c r="D63" i="7"/>
  <c r="C63" i="7"/>
  <c r="W62" i="7"/>
  <c r="W62" i="6" s="1"/>
  <c r="U62" i="7"/>
  <c r="O62" i="7"/>
  <c r="L62" i="7"/>
  <c r="J62" i="7"/>
  <c r="H62" i="7"/>
  <c r="F62" i="7"/>
  <c r="E62" i="7"/>
  <c r="D62" i="7"/>
  <c r="D66" i="5" s="1"/>
  <c r="C62" i="7"/>
  <c r="W61" i="7"/>
  <c r="U61" i="7"/>
  <c r="O61" i="7"/>
  <c r="L61" i="7"/>
  <c r="J61" i="7"/>
  <c r="H61" i="7"/>
  <c r="F61" i="7"/>
  <c r="F61" i="6" s="1"/>
  <c r="E61" i="7"/>
  <c r="D61" i="7"/>
  <c r="C61" i="7"/>
  <c r="W60" i="7"/>
  <c r="U60" i="7"/>
  <c r="O60" i="7"/>
  <c r="L60" i="7"/>
  <c r="J60" i="7"/>
  <c r="H60" i="7"/>
  <c r="F60" i="7"/>
  <c r="E60" i="7"/>
  <c r="D60" i="7"/>
  <c r="D60" i="6" s="1"/>
  <c r="C60" i="7"/>
  <c r="W59" i="7"/>
  <c r="U59" i="7"/>
  <c r="O59" i="7"/>
  <c r="L59" i="7"/>
  <c r="J59" i="7"/>
  <c r="F59" i="7"/>
  <c r="E59" i="7"/>
  <c r="E59" i="6" s="1"/>
  <c r="D59" i="7"/>
  <c r="C59" i="7"/>
  <c r="W58" i="7"/>
  <c r="U58" i="7"/>
  <c r="U62" i="5" s="1"/>
  <c r="O58" i="7"/>
  <c r="L58" i="7"/>
  <c r="J58" i="7"/>
  <c r="F58" i="7"/>
  <c r="F58" i="6" s="1"/>
  <c r="E58" i="7"/>
  <c r="D58" i="7"/>
  <c r="C58" i="7"/>
  <c r="W57" i="7"/>
  <c r="U57" i="7"/>
  <c r="O57" i="7"/>
  <c r="L57" i="7"/>
  <c r="J57" i="7"/>
  <c r="J57" i="5" s="1"/>
  <c r="F57" i="7"/>
  <c r="E57" i="7"/>
  <c r="D57" i="7"/>
  <c r="C57" i="7"/>
  <c r="C61" i="5" s="1"/>
  <c r="W56" i="7"/>
  <c r="U56" i="7"/>
  <c r="O56" i="7"/>
  <c r="L56" i="7"/>
  <c r="L60" i="5" s="1"/>
  <c r="J56" i="7"/>
  <c r="F56" i="7"/>
  <c r="E56" i="7"/>
  <c r="D56" i="7"/>
  <c r="D60" i="5" s="1"/>
  <c r="C56" i="7"/>
  <c r="W55" i="7"/>
  <c r="U55" i="7"/>
  <c r="O55" i="7"/>
  <c r="L55" i="7"/>
  <c r="J55" i="7"/>
  <c r="F55" i="7"/>
  <c r="E55" i="7"/>
  <c r="E55" i="6" s="1"/>
  <c r="D55" i="7"/>
  <c r="C55" i="7"/>
  <c r="W54" i="7"/>
  <c r="U54" i="7"/>
  <c r="U54" i="5" s="1"/>
  <c r="O54" i="7"/>
  <c r="L54" i="7"/>
  <c r="J54" i="7"/>
  <c r="F54" i="7"/>
  <c r="F54" i="6" s="1"/>
  <c r="E54" i="7"/>
  <c r="D54" i="7"/>
  <c r="C54" i="7"/>
  <c r="W53" i="7"/>
  <c r="U53" i="7"/>
  <c r="O53" i="7"/>
  <c r="L53" i="7"/>
  <c r="J53" i="7"/>
  <c r="J53" i="6" s="1"/>
  <c r="F53" i="7"/>
  <c r="E53" i="7"/>
  <c r="D53" i="7"/>
  <c r="C53" i="7"/>
  <c r="W52" i="7"/>
  <c r="U52" i="7"/>
  <c r="O52" i="7"/>
  <c r="L52" i="7"/>
  <c r="L52" i="5" s="1"/>
  <c r="J52" i="7"/>
  <c r="F52" i="7"/>
  <c r="E52" i="7"/>
  <c r="D52" i="7"/>
  <c r="C52" i="7"/>
  <c r="W51" i="7"/>
  <c r="U51" i="7"/>
  <c r="O51" i="7"/>
  <c r="L51" i="7"/>
  <c r="J51" i="7"/>
  <c r="F51" i="7"/>
  <c r="E51" i="7"/>
  <c r="E51" i="6" s="1"/>
  <c r="D51" i="7"/>
  <c r="C51" i="7"/>
  <c r="W50" i="7"/>
  <c r="U50" i="7"/>
  <c r="U50" i="6" s="1"/>
  <c r="O50" i="7"/>
  <c r="J50" i="7"/>
  <c r="E50" i="7"/>
  <c r="D50" i="7"/>
  <c r="C50" i="7"/>
  <c r="W49" i="7"/>
  <c r="U49" i="7"/>
  <c r="O49" i="7"/>
  <c r="J49" i="7"/>
  <c r="E49" i="7"/>
  <c r="D49" i="7"/>
  <c r="C49" i="7"/>
  <c r="W48" i="7"/>
  <c r="U48" i="7"/>
  <c r="O48" i="7"/>
  <c r="J48" i="7"/>
  <c r="J48" i="6" s="1"/>
  <c r="E48" i="7"/>
  <c r="D48" i="7"/>
  <c r="C48" i="7"/>
  <c r="W47" i="7"/>
  <c r="U47" i="7"/>
  <c r="O47" i="7"/>
  <c r="E47" i="7"/>
  <c r="D47" i="7"/>
  <c r="C47" i="7"/>
  <c r="W46" i="7"/>
  <c r="U46" i="7"/>
  <c r="O46" i="7"/>
  <c r="O46" i="6" s="1"/>
  <c r="E46" i="7"/>
  <c r="D46" i="7"/>
  <c r="C46" i="7"/>
  <c r="W45" i="7"/>
  <c r="U45" i="7"/>
  <c r="O45" i="7"/>
  <c r="E45" i="7"/>
  <c r="D45" i="7"/>
  <c r="C45" i="7"/>
  <c r="W44" i="7"/>
  <c r="U44" i="7"/>
  <c r="O44" i="7"/>
  <c r="E44" i="7"/>
  <c r="D44" i="7"/>
  <c r="C44" i="7"/>
  <c r="W43" i="7"/>
  <c r="O43" i="7"/>
  <c r="E43" i="7"/>
  <c r="D43" i="7"/>
  <c r="C43" i="7"/>
  <c r="C43" i="6" s="1"/>
  <c r="W42" i="7"/>
  <c r="O42" i="7"/>
  <c r="E42" i="7"/>
  <c r="D42" i="7"/>
  <c r="D42" i="6" s="1"/>
  <c r="C42" i="7"/>
  <c r="W41" i="7"/>
  <c r="O41" i="7"/>
  <c r="E41" i="7"/>
  <c r="E41" i="5" s="1"/>
  <c r="D41" i="7"/>
  <c r="C41" i="7"/>
  <c r="W40" i="7"/>
  <c r="O40" i="7"/>
  <c r="O40" i="6" s="1"/>
  <c r="E40" i="7"/>
  <c r="D40" i="7"/>
  <c r="C40" i="7"/>
  <c r="W39" i="7"/>
  <c r="O39" i="7"/>
  <c r="E39" i="7"/>
  <c r="D39" i="7"/>
  <c r="C39" i="7"/>
  <c r="W38" i="7"/>
  <c r="O38" i="7"/>
  <c r="E38" i="7"/>
  <c r="D38" i="7"/>
  <c r="C38" i="7"/>
  <c r="W37" i="7"/>
  <c r="O37" i="7"/>
  <c r="E37" i="7"/>
  <c r="E37" i="6" s="1"/>
  <c r="D37" i="7"/>
  <c r="C37" i="7"/>
  <c r="W36" i="7"/>
  <c r="O36" i="7"/>
  <c r="O36" i="5" s="1"/>
  <c r="E36" i="7"/>
  <c r="D36" i="7"/>
  <c r="C36" i="7"/>
  <c r="W35" i="7"/>
  <c r="W35" i="6" s="1"/>
  <c r="O35" i="7"/>
  <c r="E35" i="7"/>
  <c r="D35" i="7"/>
  <c r="C35" i="7"/>
  <c r="W34" i="7"/>
  <c r="O34" i="7"/>
  <c r="E34" i="7"/>
  <c r="D34" i="7"/>
  <c r="D34" i="5" s="1"/>
  <c r="C34" i="7"/>
  <c r="W33" i="7"/>
  <c r="U33" i="7"/>
  <c r="O33" i="7"/>
  <c r="E33" i="7"/>
  <c r="D33" i="7"/>
  <c r="C33" i="7"/>
  <c r="W32" i="7"/>
  <c r="U32" i="7"/>
  <c r="O32" i="7"/>
  <c r="E32" i="7"/>
  <c r="D32" i="7"/>
  <c r="D32" i="5" s="1"/>
  <c r="C32" i="7"/>
  <c r="W31" i="7"/>
  <c r="U31" i="7"/>
  <c r="O31" i="7"/>
  <c r="E31" i="7"/>
  <c r="D31" i="7"/>
  <c r="C31" i="7"/>
  <c r="W30" i="7"/>
  <c r="W30" i="6" s="1"/>
  <c r="U30" i="7"/>
  <c r="R30" i="7"/>
  <c r="O30" i="7"/>
  <c r="E30" i="7"/>
  <c r="E34" i="5" s="1"/>
  <c r="D30" i="7"/>
  <c r="C30" i="7"/>
  <c r="W29" i="7"/>
  <c r="U29" i="7"/>
  <c r="U29" i="5" s="1"/>
  <c r="R29" i="7"/>
  <c r="O29" i="7"/>
  <c r="E29" i="7"/>
  <c r="D29" i="7"/>
  <c r="C29" i="7"/>
  <c r="W28" i="7"/>
  <c r="U28" i="7"/>
  <c r="R28" i="7"/>
  <c r="O28" i="7"/>
  <c r="E28" i="7"/>
  <c r="D28" i="7"/>
  <c r="C28" i="7"/>
  <c r="W27" i="7"/>
  <c r="U27" i="7"/>
  <c r="R27" i="7"/>
  <c r="O27" i="7"/>
  <c r="E27" i="7"/>
  <c r="D27" i="7"/>
  <c r="C27" i="7"/>
  <c r="W26" i="7"/>
  <c r="U26" i="7"/>
  <c r="U26" i="6" s="1"/>
  <c r="R26" i="7"/>
  <c r="O26" i="7"/>
  <c r="E26" i="7"/>
  <c r="E26" i="6" s="1"/>
  <c r="D26" i="7"/>
  <c r="C26" i="7"/>
  <c r="W25" i="7"/>
  <c r="U25" i="7"/>
  <c r="R25" i="7"/>
  <c r="R25" i="6" s="1"/>
  <c r="O25" i="7"/>
  <c r="E25" i="7"/>
  <c r="D25" i="7"/>
  <c r="D25" i="6" s="1"/>
  <c r="C25" i="7"/>
  <c r="W24" i="7"/>
  <c r="U24" i="7"/>
  <c r="R24" i="7"/>
  <c r="O24" i="7"/>
  <c r="O24" i="6" s="1"/>
  <c r="E24" i="7"/>
  <c r="D24" i="7"/>
  <c r="C24" i="7"/>
  <c r="W23" i="7"/>
  <c r="U23" i="7"/>
  <c r="R23" i="7"/>
  <c r="O23" i="7"/>
  <c r="E23" i="7"/>
  <c r="E23" i="6" s="1"/>
  <c r="D23" i="7"/>
  <c r="C23" i="7"/>
  <c r="W22" i="7"/>
  <c r="V22" i="7"/>
  <c r="U22" i="7"/>
  <c r="R22" i="7"/>
  <c r="O22" i="7"/>
  <c r="E22" i="7"/>
  <c r="E22" i="6" s="1"/>
  <c r="D22" i="7"/>
  <c r="C22" i="7"/>
  <c r="W21" i="7"/>
  <c r="W21" i="6" s="1"/>
  <c r="V21" i="7"/>
  <c r="U21" i="7"/>
  <c r="R21" i="7"/>
  <c r="O21" i="7"/>
  <c r="E21" i="7"/>
  <c r="E21" i="6" s="1"/>
  <c r="D21" i="7"/>
  <c r="C21" i="7"/>
  <c r="W20" i="7"/>
  <c r="W24" i="5" s="1"/>
  <c r="V20" i="7"/>
  <c r="U20" i="7"/>
  <c r="R20" i="7"/>
  <c r="O20" i="7"/>
  <c r="E20" i="7"/>
  <c r="E20" i="6" s="1"/>
  <c r="D20" i="7"/>
  <c r="C20" i="7"/>
  <c r="W19" i="7"/>
  <c r="V19" i="7"/>
  <c r="U19" i="7"/>
  <c r="R19" i="7"/>
  <c r="O19" i="7"/>
  <c r="E19" i="7"/>
  <c r="E19" i="6" s="1"/>
  <c r="D19" i="7"/>
  <c r="C19" i="7"/>
  <c r="W18" i="7"/>
  <c r="V18" i="7"/>
  <c r="R18" i="7"/>
  <c r="E18" i="7"/>
  <c r="D18" i="7"/>
  <c r="D18" i="5" s="1"/>
  <c r="C18" i="7"/>
  <c r="C18" i="6" s="1"/>
  <c r="W17" i="7"/>
  <c r="V17" i="7"/>
  <c r="R17" i="7"/>
  <c r="R17" i="6" s="1"/>
  <c r="E17" i="7"/>
  <c r="D17" i="7"/>
  <c r="C17" i="7"/>
  <c r="W16" i="7"/>
  <c r="V16" i="7"/>
  <c r="V16" i="6" s="1"/>
  <c r="R16" i="7"/>
  <c r="E16" i="7"/>
  <c r="D16" i="7"/>
  <c r="D16" i="5" s="1"/>
  <c r="C16" i="7"/>
  <c r="W15" i="7"/>
  <c r="V15" i="7"/>
  <c r="R15" i="7"/>
  <c r="R19" i="5" s="1"/>
  <c r="E15" i="7"/>
  <c r="E15" i="6" s="1"/>
  <c r="D15" i="7"/>
  <c r="C15" i="7"/>
  <c r="W14" i="7"/>
  <c r="V14" i="7"/>
  <c r="R14" i="7"/>
  <c r="D14" i="7"/>
  <c r="C14" i="7"/>
  <c r="W13" i="7"/>
  <c r="W13" i="6" s="1"/>
  <c r="V13" i="7"/>
  <c r="R13" i="7"/>
  <c r="D13" i="7"/>
  <c r="D17" i="5" s="1"/>
  <c r="C13" i="7"/>
  <c r="W12" i="7"/>
  <c r="V12" i="7"/>
  <c r="V12" i="6" s="1"/>
  <c r="R12" i="7"/>
  <c r="D12" i="7"/>
  <c r="D12" i="6" s="1"/>
  <c r="C12" i="7"/>
  <c r="W11" i="7"/>
  <c r="V11" i="7"/>
  <c r="R11" i="7"/>
  <c r="D11" i="7"/>
  <c r="C11" i="7"/>
  <c r="C11" i="6" s="1"/>
  <c r="W10" i="7"/>
  <c r="V10" i="7"/>
  <c r="V10" i="6" s="1"/>
  <c r="D10" i="7"/>
  <c r="C10" i="7"/>
  <c r="W9" i="7"/>
  <c r="V9" i="7"/>
  <c r="D9" i="7"/>
  <c r="C9" i="7"/>
  <c r="C9" i="6" s="1"/>
  <c r="W8" i="7"/>
  <c r="V8" i="7"/>
  <c r="V8" i="6" s="1"/>
  <c r="D8" i="7"/>
  <c r="C8" i="7"/>
  <c r="W7" i="7"/>
  <c r="V7" i="7"/>
  <c r="D7" i="7"/>
  <c r="C7" i="7"/>
  <c r="C7" i="6" s="1"/>
  <c r="W6" i="7"/>
  <c r="W6" i="6" s="1"/>
  <c r="V6" i="7"/>
  <c r="V6" i="6" s="1"/>
  <c r="D6" i="7"/>
  <c r="W5" i="7"/>
  <c r="V5" i="7"/>
  <c r="V9" i="5" s="1"/>
  <c r="D5" i="7"/>
  <c r="W4" i="7"/>
  <c r="V4" i="7"/>
  <c r="V4" i="6" s="1"/>
  <c r="D4" i="7"/>
  <c r="W3" i="7"/>
  <c r="W3" i="6" s="1"/>
  <c r="V3" i="7"/>
  <c r="D3" i="7"/>
  <c r="W111" i="6"/>
  <c r="AB110" i="6"/>
  <c r="Z110" i="6"/>
  <c r="X110" i="6"/>
  <c r="W110" i="6"/>
  <c r="K110" i="6"/>
  <c r="AB109" i="6"/>
  <c r="Z109" i="6"/>
  <c r="W109" i="6"/>
  <c r="K109" i="6"/>
  <c r="Z108" i="6"/>
  <c r="Y108" i="6"/>
  <c r="K108" i="6"/>
  <c r="AB107" i="6"/>
  <c r="Y107" i="6"/>
  <c r="X107" i="6"/>
  <c r="AB106" i="6"/>
  <c r="AA106" i="6"/>
  <c r="Y106" i="6"/>
  <c r="X106" i="6"/>
  <c r="R106" i="6"/>
  <c r="AB105" i="6"/>
  <c r="AA105" i="6"/>
  <c r="Y105" i="6"/>
  <c r="X105" i="6"/>
  <c r="R105" i="6"/>
  <c r="AB104" i="6"/>
  <c r="AA104" i="6"/>
  <c r="Y104" i="6"/>
  <c r="X104" i="6"/>
  <c r="R104" i="6"/>
  <c r="AB103" i="6"/>
  <c r="AA103" i="6"/>
  <c r="Z103" i="6"/>
  <c r="Y103" i="6"/>
  <c r="X103" i="6"/>
  <c r="S103" i="6"/>
  <c r="R103" i="6"/>
  <c r="AB102" i="6"/>
  <c r="AA102" i="6"/>
  <c r="Y102" i="6"/>
  <c r="X102" i="6"/>
  <c r="S102" i="6"/>
  <c r="R102" i="6"/>
  <c r="AB101" i="6"/>
  <c r="AA101" i="6"/>
  <c r="Y101" i="6"/>
  <c r="X101" i="6"/>
  <c r="W101" i="6"/>
  <c r="S101" i="6"/>
  <c r="R101" i="6"/>
  <c r="AB100" i="6"/>
  <c r="AA100" i="6"/>
  <c r="Y100" i="6"/>
  <c r="X100" i="6"/>
  <c r="W100" i="6"/>
  <c r="R100" i="6"/>
  <c r="AA99" i="6"/>
  <c r="Y99" i="6"/>
  <c r="X99" i="6"/>
  <c r="W99" i="6"/>
  <c r="S99" i="6"/>
  <c r="AB98" i="6"/>
  <c r="AA98" i="6"/>
  <c r="Y98" i="6"/>
  <c r="X98" i="6"/>
  <c r="W98" i="6"/>
  <c r="S98" i="6"/>
  <c r="R98" i="6"/>
  <c r="AB97" i="6"/>
  <c r="AA97" i="6"/>
  <c r="Z97" i="6"/>
  <c r="W97" i="6"/>
  <c r="R97" i="6"/>
  <c r="AA96" i="6"/>
  <c r="Y96" i="6"/>
  <c r="W96" i="6"/>
  <c r="S96" i="6"/>
  <c r="Z95" i="6"/>
  <c r="Y95" i="6"/>
  <c r="X95" i="6"/>
  <c r="S95" i="6"/>
  <c r="AB94" i="6"/>
  <c r="AA94" i="6"/>
  <c r="X94" i="6"/>
  <c r="W94" i="6"/>
  <c r="R94" i="6"/>
  <c r="AB93" i="6"/>
  <c r="Z93" i="6"/>
  <c r="Y93" i="6"/>
  <c r="S93" i="6"/>
  <c r="R93" i="6"/>
  <c r="AB92" i="6"/>
  <c r="AA92" i="6"/>
  <c r="X92" i="6"/>
  <c r="W92" i="6"/>
  <c r="R92" i="6"/>
  <c r="Z91" i="6"/>
  <c r="Y91" i="6"/>
  <c r="X91" i="6"/>
  <c r="S91" i="6"/>
  <c r="AB90" i="6"/>
  <c r="AA90" i="6"/>
  <c r="X90" i="6"/>
  <c r="W90" i="6"/>
  <c r="S90" i="6"/>
  <c r="AA89" i="6"/>
  <c r="Z89" i="6"/>
  <c r="W89" i="6"/>
  <c r="S89" i="6"/>
  <c r="AB88" i="6"/>
  <c r="AA88" i="6"/>
  <c r="Z88" i="6"/>
  <c r="X88" i="6"/>
  <c r="W88" i="6"/>
  <c r="S88" i="6"/>
  <c r="O88" i="6"/>
  <c r="AB87" i="6"/>
  <c r="AA87" i="6"/>
  <c r="X87" i="6"/>
  <c r="W87" i="6"/>
  <c r="S87" i="6"/>
  <c r="O87" i="6"/>
  <c r="AB86" i="6"/>
  <c r="Z86" i="6"/>
  <c r="X86" i="6"/>
  <c r="S86" i="6"/>
  <c r="O86" i="6"/>
  <c r="AB85" i="6"/>
  <c r="Z85" i="6"/>
  <c r="X85" i="6"/>
  <c r="S85" i="6"/>
  <c r="O85" i="6"/>
  <c r="AB84" i="6"/>
  <c r="Z84" i="6"/>
  <c r="X84" i="6"/>
  <c r="S84" i="6"/>
  <c r="O84" i="6"/>
  <c r="AB83" i="6"/>
  <c r="Z83" i="6"/>
  <c r="X83" i="6"/>
  <c r="S83" i="6"/>
  <c r="O83" i="6"/>
  <c r="AB82" i="6"/>
  <c r="Y82" i="6"/>
  <c r="W82" i="6"/>
  <c r="R82" i="6"/>
  <c r="H82" i="6"/>
  <c r="B82" i="6"/>
  <c r="Z81" i="6"/>
  <c r="X81" i="6"/>
  <c r="S81" i="6"/>
  <c r="O81" i="6"/>
  <c r="AB80" i="6"/>
  <c r="Y80" i="6"/>
  <c r="W80" i="6"/>
  <c r="R80" i="6"/>
  <c r="H80" i="6"/>
  <c r="B80" i="6"/>
  <c r="Z79" i="6"/>
  <c r="X79" i="6"/>
  <c r="R79" i="6"/>
  <c r="H79" i="6"/>
  <c r="B79" i="6"/>
  <c r="X78" i="6"/>
  <c r="W78" i="6"/>
  <c r="O78" i="6"/>
  <c r="J78" i="6"/>
  <c r="G78" i="6"/>
  <c r="F78" i="6"/>
  <c r="C78" i="6"/>
  <c r="B78" i="6"/>
  <c r="Y77" i="6"/>
  <c r="X77" i="6"/>
  <c r="W77" i="6"/>
  <c r="O77" i="6"/>
  <c r="J77" i="6"/>
  <c r="H77" i="6"/>
  <c r="G77" i="6"/>
  <c r="F77" i="6"/>
  <c r="D77" i="6"/>
  <c r="C77" i="6"/>
  <c r="B77" i="6"/>
  <c r="Y76" i="6"/>
  <c r="X76" i="6"/>
  <c r="O76" i="6"/>
  <c r="I76" i="6"/>
  <c r="H76" i="6"/>
  <c r="G76" i="6"/>
  <c r="D76" i="6"/>
  <c r="C76" i="6"/>
  <c r="Y75" i="6"/>
  <c r="W75" i="6"/>
  <c r="O75" i="6"/>
  <c r="J75" i="6"/>
  <c r="H75" i="6"/>
  <c r="G75" i="6"/>
  <c r="D75" i="6"/>
  <c r="C75" i="6"/>
  <c r="X74" i="6"/>
  <c r="W74" i="6"/>
  <c r="O74" i="6"/>
  <c r="J74" i="6"/>
  <c r="G74" i="6"/>
  <c r="F74" i="6"/>
  <c r="E74" i="6"/>
  <c r="C74" i="6"/>
  <c r="Z73" i="6"/>
  <c r="X73" i="6"/>
  <c r="U73" i="6"/>
  <c r="R73" i="6"/>
  <c r="O73" i="6"/>
  <c r="J73" i="6"/>
  <c r="H73" i="6"/>
  <c r="G73" i="6"/>
  <c r="D73" i="6"/>
  <c r="C73" i="6"/>
  <c r="Z72" i="6"/>
  <c r="W72" i="6"/>
  <c r="U72" i="6"/>
  <c r="J72" i="6"/>
  <c r="G72" i="6"/>
  <c r="E72" i="6"/>
  <c r="C72" i="6"/>
  <c r="X71" i="6"/>
  <c r="U71" i="6"/>
  <c r="O71" i="6"/>
  <c r="J71" i="6"/>
  <c r="G71" i="6"/>
  <c r="E71" i="6"/>
  <c r="C71" i="6"/>
  <c r="W70" i="6"/>
  <c r="U70" i="6"/>
  <c r="J70" i="6"/>
  <c r="E70" i="6"/>
  <c r="D70" i="6"/>
  <c r="W69" i="6"/>
  <c r="U69" i="6"/>
  <c r="R69" i="6"/>
  <c r="J69" i="6"/>
  <c r="H69" i="6"/>
  <c r="E69" i="6"/>
  <c r="D69" i="6"/>
  <c r="C69" i="6"/>
  <c r="U68" i="6"/>
  <c r="R68" i="6"/>
  <c r="J68" i="6"/>
  <c r="H68" i="6"/>
  <c r="E68" i="6"/>
  <c r="D68" i="6"/>
  <c r="C68" i="6"/>
  <c r="W67" i="6"/>
  <c r="R67" i="6"/>
  <c r="H67" i="6"/>
  <c r="E67" i="6"/>
  <c r="C67" i="6"/>
  <c r="U66" i="6"/>
  <c r="O66" i="6"/>
  <c r="J66" i="6"/>
  <c r="H66" i="6"/>
  <c r="F66" i="6"/>
  <c r="D66" i="6"/>
  <c r="W65" i="6"/>
  <c r="R65" i="6"/>
  <c r="H65" i="6"/>
  <c r="E65" i="6"/>
  <c r="C65" i="6"/>
  <c r="U64" i="6"/>
  <c r="O64" i="6"/>
  <c r="J64" i="6"/>
  <c r="F64" i="6"/>
  <c r="D64" i="6"/>
  <c r="W63" i="6"/>
  <c r="R63" i="6"/>
  <c r="H63" i="6"/>
  <c r="E63" i="6"/>
  <c r="C63" i="6"/>
  <c r="U62" i="6"/>
  <c r="O62" i="6"/>
  <c r="H62" i="6"/>
  <c r="E62" i="6"/>
  <c r="C62" i="6"/>
  <c r="U61" i="6"/>
  <c r="H61" i="6"/>
  <c r="E61" i="6"/>
  <c r="C61" i="6"/>
  <c r="U60" i="6"/>
  <c r="H60" i="6"/>
  <c r="E60" i="6"/>
  <c r="C60" i="6"/>
  <c r="U59" i="6"/>
  <c r="F59" i="6"/>
  <c r="D59" i="6"/>
  <c r="W58" i="6"/>
  <c r="U58" i="6"/>
  <c r="O58" i="6"/>
  <c r="J58" i="6"/>
  <c r="E58" i="6"/>
  <c r="C58" i="6"/>
  <c r="U57" i="6"/>
  <c r="F57" i="6"/>
  <c r="D57" i="6"/>
  <c r="W56" i="6"/>
  <c r="O56" i="6"/>
  <c r="J56" i="6"/>
  <c r="E56" i="6"/>
  <c r="C56" i="6"/>
  <c r="W55" i="6"/>
  <c r="U55" i="6"/>
  <c r="F55" i="6"/>
  <c r="D55" i="6"/>
  <c r="W54" i="6"/>
  <c r="O54" i="6"/>
  <c r="J54" i="6"/>
  <c r="E54" i="6"/>
  <c r="C54" i="6"/>
  <c r="U53" i="6"/>
  <c r="F53" i="6"/>
  <c r="D53" i="6"/>
  <c r="W52" i="6"/>
  <c r="O52" i="6"/>
  <c r="J52" i="6"/>
  <c r="E52" i="6"/>
  <c r="C52" i="6"/>
  <c r="U51" i="6"/>
  <c r="F51" i="6"/>
  <c r="D51" i="6"/>
  <c r="W50" i="6"/>
  <c r="O50" i="6"/>
  <c r="J50" i="6"/>
  <c r="E50" i="6"/>
  <c r="C50" i="6"/>
  <c r="U49" i="6"/>
  <c r="J49" i="6"/>
  <c r="E49" i="6"/>
  <c r="D49" i="6"/>
  <c r="W48" i="6"/>
  <c r="O48" i="6"/>
  <c r="E48" i="6"/>
  <c r="C48" i="6"/>
  <c r="U47" i="6"/>
  <c r="E47" i="6"/>
  <c r="C47" i="6"/>
  <c r="U46" i="6"/>
  <c r="E46" i="6"/>
  <c r="C46" i="6"/>
  <c r="U45" i="6"/>
  <c r="O45" i="6"/>
  <c r="E45" i="6"/>
  <c r="C45" i="6"/>
  <c r="U44" i="6"/>
  <c r="E44" i="6"/>
  <c r="C44" i="6"/>
  <c r="O43" i="6"/>
  <c r="D43" i="6"/>
  <c r="W42" i="6"/>
  <c r="E42" i="6"/>
  <c r="C42" i="6"/>
  <c r="O41" i="6"/>
  <c r="E41" i="6"/>
  <c r="D41" i="6"/>
  <c r="W40" i="6"/>
  <c r="E40" i="6"/>
  <c r="C40" i="6"/>
  <c r="O39" i="6"/>
  <c r="E39" i="6"/>
  <c r="D39" i="6"/>
  <c r="W38" i="6"/>
  <c r="E38" i="6"/>
  <c r="C38" i="6"/>
  <c r="W37" i="6"/>
  <c r="O37" i="6"/>
  <c r="D37" i="6"/>
  <c r="W36" i="6"/>
  <c r="E36" i="6"/>
  <c r="C36" i="6"/>
  <c r="O35" i="6"/>
  <c r="D35" i="6"/>
  <c r="W34" i="6"/>
  <c r="E34" i="6"/>
  <c r="C34" i="6"/>
  <c r="U33" i="6"/>
  <c r="E33" i="6"/>
  <c r="D33" i="6"/>
  <c r="C33" i="6"/>
  <c r="U32" i="6"/>
  <c r="E32" i="6"/>
  <c r="C32" i="6"/>
  <c r="U31" i="6"/>
  <c r="E31" i="6"/>
  <c r="C31" i="6"/>
  <c r="U30" i="6"/>
  <c r="O30" i="6"/>
  <c r="D30" i="6"/>
  <c r="W29" i="6"/>
  <c r="R29" i="6"/>
  <c r="E29" i="6"/>
  <c r="C29" i="6"/>
  <c r="U28" i="6"/>
  <c r="O28" i="6"/>
  <c r="E28" i="6"/>
  <c r="D28" i="6"/>
  <c r="W27" i="6"/>
  <c r="R27" i="6"/>
  <c r="E27" i="6"/>
  <c r="D27" i="6"/>
  <c r="C27" i="6"/>
  <c r="O26" i="6"/>
  <c r="D26" i="6"/>
  <c r="W25" i="6"/>
  <c r="E25" i="6"/>
  <c r="C25" i="6"/>
  <c r="U24" i="6"/>
  <c r="E24" i="6"/>
  <c r="D24" i="6"/>
  <c r="W23" i="6"/>
  <c r="R23" i="6"/>
  <c r="D23" i="6"/>
  <c r="C23" i="6"/>
  <c r="V22" i="6"/>
  <c r="R22" i="6"/>
  <c r="C22" i="6"/>
  <c r="V21" i="6"/>
  <c r="R21" i="6"/>
  <c r="C21" i="6"/>
  <c r="V20" i="6"/>
  <c r="R20" i="6"/>
  <c r="C20" i="6"/>
  <c r="V19" i="6"/>
  <c r="R19" i="6"/>
  <c r="C19" i="6"/>
  <c r="V18" i="6"/>
  <c r="R18" i="6"/>
  <c r="E18" i="6"/>
  <c r="V17" i="6"/>
  <c r="E17" i="6"/>
  <c r="C17" i="6"/>
  <c r="E16" i="6"/>
  <c r="C16" i="6"/>
  <c r="V15" i="6"/>
  <c r="C15" i="6"/>
  <c r="V14" i="6"/>
  <c r="R14" i="6"/>
  <c r="D14" i="6"/>
  <c r="R13" i="6"/>
  <c r="D13" i="6"/>
  <c r="C13" i="6"/>
  <c r="W11" i="6"/>
  <c r="R11" i="6"/>
  <c r="C10" i="6"/>
  <c r="V9" i="6"/>
  <c r="D9" i="6"/>
  <c r="W8" i="6"/>
  <c r="C8" i="6"/>
  <c r="V7" i="6"/>
  <c r="D7" i="6"/>
  <c r="W5" i="6"/>
  <c r="D5" i="6"/>
  <c r="D3" i="6"/>
  <c r="Q112" i="5"/>
  <c r="W111" i="5"/>
  <c r="AB110" i="5"/>
  <c r="X110" i="5"/>
  <c r="W110" i="5"/>
  <c r="AB109" i="5"/>
  <c r="Y109" i="5"/>
  <c r="X109" i="5"/>
  <c r="W109" i="5"/>
  <c r="Y108" i="5"/>
  <c r="X108" i="5"/>
  <c r="W108" i="5"/>
  <c r="AB107" i="5"/>
  <c r="Y107" i="5"/>
  <c r="X107" i="5"/>
  <c r="W107" i="5"/>
  <c r="Q107" i="5"/>
  <c r="AB106" i="5"/>
  <c r="AA106" i="5"/>
  <c r="Y106" i="5"/>
  <c r="X106" i="5"/>
  <c r="W106" i="5"/>
  <c r="R106" i="5"/>
  <c r="Q106" i="5"/>
  <c r="AB105" i="5"/>
  <c r="AA105" i="5"/>
  <c r="Y105" i="5"/>
  <c r="X105" i="5"/>
  <c r="W105" i="5"/>
  <c r="R105" i="5"/>
  <c r="Q105" i="5"/>
  <c r="AB104" i="5"/>
  <c r="AA104" i="5"/>
  <c r="Y104" i="5"/>
  <c r="X104" i="5"/>
  <c r="W104" i="5"/>
  <c r="R104" i="5"/>
  <c r="Q104" i="5"/>
  <c r="AB103" i="5"/>
  <c r="AA103" i="5"/>
  <c r="Y103" i="5"/>
  <c r="X103" i="5"/>
  <c r="W103" i="5"/>
  <c r="S103" i="5"/>
  <c r="R103" i="5"/>
  <c r="Q103" i="5"/>
  <c r="AB102" i="5"/>
  <c r="AA102" i="5"/>
  <c r="Y102" i="5"/>
  <c r="X102" i="5"/>
  <c r="W102" i="5"/>
  <c r="S102" i="5"/>
  <c r="R102" i="5"/>
  <c r="Q102" i="5"/>
  <c r="AB101" i="5"/>
  <c r="AA101" i="5"/>
  <c r="X101" i="5"/>
  <c r="W101" i="5"/>
  <c r="R101" i="5"/>
  <c r="Q101" i="5"/>
  <c r="AA100" i="5"/>
  <c r="Y100" i="5"/>
  <c r="W100" i="5"/>
  <c r="S100" i="5"/>
  <c r="Q100" i="5"/>
  <c r="AB99" i="5"/>
  <c r="Y99" i="5"/>
  <c r="X99" i="5"/>
  <c r="S99" i="5"/>
  <c r="R99" i="5"/>
  <c r="Q99" i="5"/>
  <c r="AB98" i="5"/>
  <c r="AA98" i="5"/>
  <c r="X98" i="5"/>
  <c r="W98" i="5"/>
  <c r="R98" i="5"/>
  <c r="Q98" i="5"/>
  <c r="P98" i="5"/>
  <c r="K98" i="5"/>
  <c r="AB97" i="5"/>
  <c r="Z97" i="5"/>
  <c r="X97" i="5"/>
  <c r="S97" i="5"/>
  <c r="R97" i="5"/>
  <c r="Q97" i="5"/>
  <c r="P97" i="5"/>
  <c r="K97" i="5"/>
  <c r="AA96" i="5"/>
  <c r="Z96" i="5"/>
  <c r="W96" i="5"/>
  <c r="Q96" i="5"/>
  <c r="P96" i="5"/>
  <c r="K96" i="5"/>
  <c r="AB95" i="5"/>
  <c r="AA95" i="5"/>
  <c r="Z95" i="5"/>
  <c r="Y95" i="5"/>
  <c r="X95" i="5"/>
  <c r="S95" i="5"/>
  <c r="R95" i="5"/>
  <c r="Q95" i="5"/>
  <c r="P95" i="5"/>
  <c r="K95" i="5"/>
  <c r="AB94" i="5"/>
  <c r="AA94" i="5"/>
  <c r="Z94" i="5"/>
  <c r="X94" i="5"/>
  <c r="W94" i="5"/>
  <c r="Q94" i="5"/>
  <c r="P94" i="5"/>
  <c r="K94" i="5"/>
  <c r="AB93" i="5"/>
  <c r="Z93" i="5"/>
  <c r="X93" i="5"/>
  <c r="S93" i="5"/>
  <c r="R93" i="5"/>
  <c r="Q93" i="5"/>
  <c r="P93" i="5"/>
  <c r="K93" i="5"/>
  <c r="AB92" i="5"/>
  <c r="AA92" i="5"/>
  <c r="Z92" i="5"/>
  <c r="X92" i="5"/>
  <c r="W92" i="5"/>
  <c r="S92" i="5"/>
  <c r="Q92" i="5"/>
  <c r="P92" i="5"/>
  <c r="K92" i="5"/>
  <c r="AB91" i="5"/>
  <c r="Z91" i="5"/>
  <c r="X91" i="5"/>
  <c r="S91" i="5"/>
  <c r="Q91" i="5"/>
  <c r="P91" i="5"/>
  <c r="K91" i="5"/>
  <c r="AB90" i="5"/>
  <c r="AA90" i="5"/>
  <c r="Z90" i="5"/>
  <c r="X90" i="5"/>
  <c r="W90" i="5"/>
  <c r="T90" i="5"/>
  <c r="S90" i="5"/>
  <c r="Q90" i="5"/>
  <c r="P90" i="5"/>
  <c r="M90" i="5"/>
  <c r="K90" i="5"/>
  <c r="AB89" i="5"/>
  <c r="AA89" i="5"/>
  <c r="Z89" i="5"/>
  <c r="X89" i="5"/>
  <c r="W89" i="5"/>
  <c r="T89" i="5"/>
  <c r="S89" i="5"/>
  <c r="Q89" i="5"/>
  <c r="P89" i="5"/>
  <c r="M89" i="5"/>
  <c r="K89" i="5"/>
  <c r="AB88" i="5"/>
  <c r="AA88" i="5"/>
  <c r="Z88" i="5"/>
  <c r="Y88" i="5"/>
  <c r="X88" i="5"/>
  <c r="W88" i="5"/>
  <c r="T88" i="5"/>
  <c r="S88" i="5"/>
  <c r="Q88" i="5"/>
  <c r="P88" i="5"/>
  <c r="O88" i="5"/>
  <c r="M88" i="5"/>
  <c r="K88" i="5"/>
  <c r="B88" i="5"/>
  <c r="AB87" i="5"/>
  <c r="AA87" i="5"/>
  <c r="Z87" i="5"/>
  <c r="X87" i="5"/>
  <c r="W87" i="5"/>
  <c r="T87" i="5"/>
  <c r="S87" i="5"/>
  <c r="Q87" i="5"/>
  <c r="P87" i="5"/>
  <c r="O87" i="5"/>
  <c r="M87" i="5"/>
  <c r="K87" i="5"/>
  <c r="AB86" i="5"/>
  <c r="AA86" i="5"/>
  <c r="Z86" i="5"/>
  <c r="W86" i="5"/>
  <c r="T86" i="5"/>
  <c r="S86" i="5"/>
  <c r="Q86" i="5"/>
  <c r="P86" i="5"/>
  <c r="M86" i="5"/>
  <c r="K86" i="5"/>
  <c r="B86" i="5"/>
  <c r="AA85" i="5"/>
  <c r="Z85" i="5"/>
  <c r="X85" i="5"/>
  <c r="T85" i="5"/>
  <c r="S85" i="5"/>
  <c r="R85" i="5"/>
  <c r="Q85" i="5"/>
  <c r="P85" i="5"/>
  <c r="O85" i="5"/>
  <c r="M85" i="5"/>
  <c r="K85" i="5"/>
  <c r="AB84" i="5"/>
  <c r="AA84" i="5"/>
  <c r="Y84" i="5"/>
  <c r="X84" i="5"/>
  <c r="W84" i="5"/>
  <c r="T84" i="5"/>
  <c r="Q84" i="5"/>
  <c r="P84" i="5"/>
  <c r="O84" i="5"/>
  <c r="M84" i="5"/>
  <c r="K84" i="5"/>
  <c r="B84" i="5"/>
  <c r="AB83" i="5"/>
  <c r="AA83" i="5"/>
  <c r="Z83" i="5"/>
  <c r="X83" i="5"/>
  <c r="W83" i="5"/>
  <c r="T83" i="5"/>
  <c r="S83" i="5"/>
  <c r="Q83" i="5"/>
  <c r="P83" i="5"/>
  <c r="M83" i="5"/>
  <c r="K83" i="5"/>
  <c r="H83" i="5"/>
  <c r="AB82" i="5"/>
  <c r="AA82" i="5"/>
  <c r="Y82" i="5"/>
  <c r="W82" i="5"/>
  <c r="T82" i="5"/>
  <c r="S82" i="5"/>
  <c r="Q82" i="5"/>
  <c r="P82" i="5"/>
  <c r="O82" i="5"/>
  <c r="M82" i="5"/>
  <c r="K82" i="5"/>
  <c r="H82" i="5"/>
  <c r="B82" i="5"/>
  <c r="AA81" i="5"/>
  <c r="Z81" i="5"/>
  <c r="Y81" i="5"/>
  <c r="X81" i="5"/>
  <c r="T81" i="5"/>
  <c r="S81" i="5"/>
  <c r="Q81" i="5"/>
  <c r="P81" i="5"/>
  <c r="O81" i="5"/>
  <c r="M81" i="5"/>
  <c r="K81" i="5"/>
  <c r="B81" i="5"/>
  <c r="AB80" i="5"/>
  <c r="AA80" i="5"/>
  <c r="Z80" i="5"/>
  <c r="Y80" i="5"/>
  <c r="X80" i="5"/>
  <c r="W80" i="5"/>
  <c r="T80" i="5"/>
  <c r="Q80" i="5"/>
  <c r="P80" i="5"/>
  <c r="O80" i="5"/>
  <c r="M80" i="5"/>
  <c r="K80" i="5"/>
  <c r="H80" i="5"/>
  <c r="B80" i="5"/>
  <c r="AB79" i="5"/>
  <c r="AA79" i="5"/>
  <c r="Z79" i="5"/>
  <c r="X79" i="5"/>
  <c r="W79" i="5"/>
  <c r="T79" i="5"/>
  <c r="S79" i="5"/>
  <c r="Q79" i="5"/>
  <c r="P79" i="5"/>
  <c r="M79" i="5"/>
  <c r="K79" i="5"/>
  <c r="H79" i="5"/>
  <c r="B79" i="5"/>
  <c r="AB78" i="5"/>
  <c r="AA78" i="5"/>
  <c r="Y78" i="5"/>
  <c r="X78" i="5"/>
  <c r="W78" i="5"/>
  <c r="T78" i="5"/>
  <c r="S78" i="5"/>
  <c r="Q78" i="5"/>
  <c r="P78" i="5"/>
  <c r="O78" i="5"/>
  <c r="N78" i="5"/>
  <c r="M78" i="5"/>
  <c r="L78" i="5"/>
  <c r="K78" i="5"/>
  <c r="J78" i="5"/>
  <c r="G78" i="5"/>
  <c r="F78" i="5"/>
  <c r="C78" i="5"/>
  <c r="B78" i="5"/>
  <c r="AB77" i="5"/>
  <c r="AA77" i="5"/>
  <c r="Y77" i="5"/>
  <c r="X77" i="5"/>
  <c r="T77" i="5"/>
  <c r="S77" i="5"/>
  <c r="Q77" i="5"/>
  <c r="P77" i="5"/>
  <c r="O77" i="5"/>
  <c r="N77" i="5"/>
  <c r="M77" i="5"/>
  <c r="K77" i="5"/>
  <c r="J77" i="5"/>
  <c r="I77" i="5"/>
  <c r="H77" i="5"/>
  <c r="G77" i="5"/>
  <c r="D77" i="5"/>
  <c r="C77" i="5"/>
  <c r="B77" i="5"/>
  <c r="AB76" i="5"/>
  <c r="AA76" i="5"/>
  <c r="Y76" i="5"/>
  <c r="X76" i="5"/>
  <c r="W76" i="5"/>
  <c r="T76" i="5"/>
  <c r="S76" i="5"/>
  <c r="Q76" i="5"/>
  <c r="P76" i="5"/>
  <c r="O76" i="5"/>
  <c r="N76" i="5"/>
  <c r="M76" i="5"/>
  <c r="L76" i="5"/>
  <c r="K76" i="5"/>
  <c r="J76" i="5"/>
  <c r="G76" i="5"/>
  <c r="F76" i="5"/>
  <c r="C76" i="5"/>
  <c r="AB75" i="5"/>
  <c r="AA75" i="5"/>
  <c r="Y75" i="5"/>
  <c r="X75" i="5"/>
  <c r="T75" i="5"/>
  <c r="S75" i="5"/>
  <c r="Q75" i="5"/>
  <c r="P75" i="5"/>
  <c r="O75" i="5"/>
  <c r="N75" i="5"/>
  <c r="M75" i="5"/>
  <c r="K75" i="5"/>
  <c r="J75" i="5"/>
  <c r="H75" i="5"/>
  <c r="G75" i="5"/>
  <c r="D75" i="5"/>
  <c r="C75" i="5"/>
  <c r="AB74" i="5"/>
  <c r="AA74" i="5"/>
  <c r="Y74" i="5"/>
  <c r="W74" i="5"/>
  <c r="U74" i="5"/>
  <c r="T74" i="5"/>
  <c r="S74" i="5"/>
  <c r="Q74" i="5"/>
  <c r="P74" i="5"/>
  <c r="N74" i="5"/>
  <c r="M74" i="5"/>
  <c r="L74" i="5"/>
  <c r="K74" i="5"/>
  <c r="J74" i="5"/>
  <c r="I74" i="5"/>
  <c r="G74" i="5"/>
  <c r="F74" i="5"/>
  <c r="E74" i="5"/>
  <c r="C74" i="5"/>
  <c r="AB73" i="5"/>
  <c r="AA73" i="5"/>
  <c r="Z73" i="5"/>
  <c r="Y73" i="5"/>
  <c r="U73" i="5"/>
  <c r="T73" i="5"/>
  <c r="S73" i="5"/>
  <c r="R73" i="5"/>
  <c r="Q73" i="5"/>
  <c r="P73" i="5"/>
  <c r="N73" i="5"/>
  <c r="M73" i="5"/>
  <c r="K73" i="5"/>
  <c r="J73" i="5"/>
  <c r="I73" i="5"/>
  <c r="H73" i="5"/>
  <c r="G73" i="5"/>
  <c r="E73" i="5"/>
  <c r="D73" i="5"/>
  <c r="C73" i="5"/>
  <c r="AB72" i="5"/>
  <c r="AA72" i="5"/>
  <c r="Y72" i="5"/>
  <c r="W72" i="5"/>
  <c r="U72" i="5"/>
  <c r="T72" i="5"/>
  <c r="S72" i="5"/>
  <c r="Q72" i="5"/>
  <c r="P72" i="5"/>
  <c r="N72" i="5"/>
  <c r="M72" i="5"/>
  <c r="L72" i="5"/>
  <c r="K72" i="5"/>
  <c r="J72" i="5"/>
  <c r="I72" i="5"/>
  <c r="H72" i="5"/>
  <c r="G72" i="5"/>
  <c r="E72" i="5"/>
  <c r="C72" i="5"/>
  <c r="AB71" i="5"/>
  <c r="AA71" i="5"/>
  <c r="Z71" i="5"/>
  <c r="Y71" i="5"/>
  <c r="U71" i="5"/>
  <c r="T71" i="5"/>
  <c r="S71" i="5"/>
  <c r="R71" i="5"/>
  <c r="Q71" i="5"/>
  <c r="P71" i="5"/>
  <c r="N71" i="5"/>
  <c r="M71" i="5"/>
  <c r="K71" i="5"/>
  <c r="J71" i="5"/>
  <c r="I71" i="5"/>
  <c r="H71" i="5"/>
  <c r="G71" i="5"/>
  <c r="E71" i="5"/>
  <c r="D71" i="5"/>
  <c r="C71" i="5"/>
  <c r="AB70" i="5"/>
  <c r="AA70" i="5"/>
  <c r="Z70" i="5"/>
  <c r="Y70" i="5"/>
  <c r="U70" i="5"/>
  <c r="T70" i="5"/>
  <c r="S70" i="5"/>
  <c r="R70" i="5"/>
  <c r="Q70" i="5"/>
  <c r="P70" i="5"/>
  <c r="N70" i="5"/>
  <c r="M70" i="5"/>
  <c r="K70" i="5"/>
  <c r="J70" i="5"/>
  <c r="I70" i="5"/>
  <c r="H70" i="5"/>
  <c r="G70" i="5"/>
  <c r="D70" i="5"/>
  <c r="C70" i="5"/>
  <c r="AB69" i="5"/>
  <c r="AA69" i="5"/>
  <c r="Z69" i="5"/>
  <c r="Y69" i="5"/>
  <c r="W69" i="5"/>
  <c r="T69" i="5"/>
  <c r="S69" i="5"/>
  <c r="R69" i="5"/>
  <c r="Q69" i="5"/>
  <c r="P69" i="5"/>
  <c r="N69" i="5"/>
  <c r="M69" i="5"/>
  <c r="L69" i="5"/>
  <c r="K69" i="5"/>
  <c r="I69" i="5"/>
  <c r="H69" i="5"/>
  <c r="G69" i="5"/>
  <c r="E69" i="5"/>
  <c r="C69" i="5"/>
  <c r="AB68" i="5"/>
  <c r="AA68" i="5"/>
  <c r="Z68" i="5"/>
  <c r="Y68" i="5"/>
  <c r="X68" i="5"/>
  <c r="W68" i="5"/>
  <c r="U68" i="5"/>
  <c r="T68" i="5"/>
  <c r="S68" i="5"/>
  <c r="Q68" i="5"/>
  <c r="P68" i="5"/>
  <c r="N68" i="5"/>
  <c r="M68" i="5"/>
  <c r="L68" i="5"/>
  <c r="K68" i="5"/>
  <c r="J68" i="5"/>
  <c r="I68" i="5"/>
  <c r="G68" i="5"/>
  <c r="E68" i="5"/>
  <c r="D68" i="5"/>
  <c r="AB67" i="5"/>
  <c r="AA67" i="5"/>
  <c r="Z67" i="5"/>
  <c r="Y67" i="5"/>
  <c r="W67" i="5"/>
  <c r="U67" i="5"/>
  <c r="T67" i="5"/>
  <c r="S67" i="5"/>
  <c r="R67" i="5"/>
  <c r="Q67" i="5"/>
  <c r="P67" i="5"/>
  <c r="N67" i="5"/>
  <c r="M67" i="5"/>
  <c r="L67" i="5"/>
  <c r="K67" i="5"/>
  <c r="J67" i="5"/>
  <c r="I67" i="5"/>
  <c r="H67" i="5"/>
  <c r="G67" i="5"/>
  <c r="E67" i="5"/>
  <c r="D67" i="5"/>
  <c r="C67" i="5"/>
  <c r="AB66" i="5"/>
  <c r="AA66" i="5"/>
  <c r="Z66" i="5"/>
  <c r="Y66" i="5"/>
  <c r="X66" i="5"/>
  <c r="U66" i="5"/>
  <c r="T66" i="5"/>
  <c r="S66" i="5"/>
  <c r="R66" i="5"/>
  <c r="Q66" i="5"/>
  <c r="P66" i="5"/>
  <c r="O66" i="5"/>
  <c r="N66" i="5"/>
  <c r="M66" i="5"/>
  <c r="K66" i="5"/>
  <c r="I66" i="5"/>
  <c r="H66" i="5"/>
  <c r="G66" i="5"/>
  <c r="F66" i="5"/>
  <c r="C66" i="5"/>
  <c r="AB65" i="5"/>
  <c r="AA65" i="5"/>
  <c r="Z65" i="5"/>
  <c r="Y65" i="5"/>
  <c r="X65" i="5"/>
  <c r="W65" i="5"/>
  <c r="T65" i="5"/>
  <c r="S65" i="5"/>
  <c r="R65" i="5"/>
  <c r="Q65" i="5"/>
  <c r="P65" i="5"/>
  <c r="N65" i="5"/>
  <c r="M65" i="5"/>
  <c r="L65" i="5"/>
  <c r="K65" i="5"/>
  <c r="I65" i="5"/>
  <c r="H65" i="5"/>
  <c r="G65" i="5"/>
  <c r="E65" i="5"/>
  <c r="C65" i="5"/>
  <c r="AB64" i="5"/>
  <c r="AA64" i="5"/>
  <c r="Z64" i="5"/>
  <c r="Y64" i="5"/>
  <c r="X64" i="5"/>
  <c r="U64" i="5"/>
  <c r="T64" i="5"/>
  <c r="S64" i="5"/>
  <c r="Q64" i="5"/>
  <c r="P64" i="5"/>
  <c r="O64" i="5"/>
  <c r="N64" i="5"/>
  <c r="M64" i="5"/>
  <c r="L64" i="5"/>
  <c r="K64" i="5"/>
  <c r="I64" i="5"/>
  <c r="G64" i="5"/>
  <c r="F64" i="5"/>
  <c r="E64" i="5"/>
  <c r="AB63" i="5"/>
  <c r="AA63" i="5"/>
  <c r="Z63" i="5"/>
  <c r="Y63" i="5"/>
  <c r="X63" i="5"/>
  <c r="W63" i="5"/>
  <c r="U63" i="5"/>
  <c r="T63" i="5"/>
  <c r="S63" i="5"/>
  <c r="R63" i="5"/>
  <c r="Q63" i="5"/>
  <c r="P63" i="5"/>
  <c r="N63" i="5"/>
  <c r="M63" i="5"/>
  <c r="L63" i="5"/>
  <c r="K63" i="5"/>
  <c r="J63" i="5"/>
  <c r="I63" i="5"/>
  <c r="H63" i="5"/>
  <c r="G63" i="5"/>
  <c r="D63" i="5"/>
  <c r="C63" i="5"/>
  <c r="AB62" i="5"/>
  <c r="AA62" i="5"/>
  <c r="Z62" i="5"/>
  <c r="Y62" i="5"/>
  <c r="X62" i="5"/>
  <c r="T62" i="5"/>
  <c r="S62" i="5"/>
  <c r="R62" i="5"/>
  <c r="Q62" i="5"/>
  <c r="P62" i="5"/>
  <c r="O62" i="5"/>
  <c r="N62" i="5"/>
  <c r="M62" i="5"/>
  <c r="L62" i="5"/>
  <c r="K62" i="5"/>
  <c r="I62" i="5"/>
  <c r="H62" i="5"/>
  <c r="G62" i="5"/>
  <c r="E62" i="5"/>
  <c r="C62" i="5"/>
  <c r="AB61" i="5"/>
  <c r="AA61" i="5"/>
  <c r="Z61" i="5"/>
  <c r="Y61" i="5"/>
  <c r="X61" i="5"/>
  <c r="U61" i="5"/>
  <c r="T61" i="5"/>
  <c r="S61" i="5"/>
  <c r="R61" i="5"/>
  <c r="Q61" i="5"/>
  <c r="P61" i="5"/>
  <c r="O61" i="5"/>
  <c r="N61" i="5"/>
  <c r="M61" i="5"/>
  <c r="L61" i="5"/>
  <c r="K61" i="5"/>
  <c r="I61" i="5"/>
  <c r="H61" i="5"/>
  <c r="G61" i="5"/>
  <c r="E61" i="5"/>
  <c r="D61" i="5"/>
  <c r="AB60" i="5"/>
  <c r="AA60" i="5"/>
  <c r="Z60" i="5"/>
  <c r="Y60" i="5"/>
  <c r="X60" i="5"/>
  <c r="U60" i="5"/>
  <c r="T60" i="5"/>
  <c r="S60" i="5"/>
  <c r="R60" i="5"/>
  <c r="Q60" i="5"/>
  <c r="P60" i="5"/>
  <c r="O60" i="5"/>
  <c r="N60" i="5"/>
  <c r="M60" i="5"/>
  <c r="K60" i="5"/>
  <c r="I60" i="5"/>
  <c r="H60" i="5"/>
  <c r="G60" i="5"/>
  <c r="F60" i="5"/>
  <c r="E60" i="5"/>
  <c r="C60" i="5"/>
  <c r="AB59" i="5"/>
  <c r="AA59" i="5"/>
  <c r="Z59" i="5"/>
  <c r="Y59" i="5"/>
  <c r="X59" i="5"/>
  <c r="W59" i="5"/>
  <c r="U59" i="5"/>
  <c r="T59" i="5"/>
  <c r="S59" i="5"/>
  <c r="R59" i="5"/>
  <c r="Q59" i="5"/>
  <c r="P59" i="5"/>
  <c r="N59" i="5"/>
  <c r="M59" i="5"/>
  <c r="L59" i="5"/>
  <c r="K59" i="5"/>
  <c r="J59" i="5"/>
  <c r="I59" i="5"/>
  <c r="H59" i="5"/>
  <c r="G59" i="5"/>
  <c r="F59" i="5"/>
  <c r="D59" i="5"/>
  <c r="C59" i="5"/>
  <c r="W58" i="5"/>
  <c r="T58" i="5"/>
  <c r="S58" i="5"/>
  <c r="R58" i="5"/>
  <c r="Q58" i="5"/>
  <c r="P58" i="5"/>
  <c r="O58" i="5"/>
  <c r="N58" i="5"/>
  <c r="M58" i="5"/>
  <c r="L58" i="5"/>
  <c r="K58" i="5"/>
  <c r="J58" i="5"/>
  <c r="I58" i="5"/>
  <c r="H58" i="5"/>
  <c r="G58" i="5"/>
  <c r="E58" i="5"/>
  <c r="D58" i="5"/>
  <c r="C58" i="5"/>
  <c r="U57" i="5"/>
  <c r="T57" i="5"/>
  <c r="S57" i="5"/>
  <c r="R57" i="5"/>
  <c r="Q57" i="5"/>
  <c r="P57" i="5"/>
  <c r="O57" i="5"/>
  <c r="N57" i="5"/>
  <c r="M57" i="5"/>
  <c r="L57" i="5"/>
  <c r="K57" i="5"/>
  <c r="I57" i="5"/>
  <c r="H57" i="5"/>
  <c r="G57" i="5"/>
  <c r="F57" i="5"/>
  <c r="E57" i="5"/>
  <c r="D57" i="5"/>
  <c r="W56" i="5"/>
  <c r="U56" i="5"/>
  <c r="T56" i="5"/>
  <c r="S56" i="5"/>
  <c r="R56" i="5"/>
  <c r="Q56" i="5"/>
  <c r="P56" i="5"/>
  <c r="O56" i="5"/>
  <c r="N56" i="5"/>
  <c r="M56" i="5"/>
  <c r="K56" i="5"/>
  <c r="J56" i="5"/>
  <c r="I56" i="5"/>
  <c r="H56" i="5"/>
  <c r="G56" i="5"/>
  <c r="F56" i="5"/>
  <c r="E56" i="5"/>
  <c r="C56" i="5"/>
  <c r="W55" i="5"/>
  <c r="U55" i="5"/>
  <c r="T55" i="5"/>
  <c r="S55" i="5"/>
  <c r="R55" i="5"/>
  <c r="Q55" i="5"/>
  <c r="P55" i="5"/>
  <c r="N55" i="5"/>
  <c r="M55" i="5"/>
  <c r="L55" i="5"/>
  <c r="K55" i="5"/>
  <c r="J55" i="5"/>
  <c r="I55" i="5"/>
  <c r="H55" i="5"/>
  <c r="G55" i="5"/>
  <c r="F55" i="5"/>
  <c r="D55" i="5"/>
  <c r="C55" i="5"/>
  <c r="W54" i="5"/>
  <c r="T54" i="5"/>
  <c r="S54" i="5"/>
  <c r="R54" i="5"/>
  <c r="Q54" i="5"/>
  <c r="P54" i="5"/>
  <c r="O54" i="5"/>
  <c r="N54" i="5"/>
  <c r="M54" i="5"/>
  <c r="L54" i="5"/>
  <c r="K54" i="5"/>
  <c r="J54" i="5"/>
  <c r="I54" i="5"/>
  <c r="H54" i="5"/>
  <c r="G54" i="5"/>
  <c r="E54" i="5"/>
  <c r="C54" i="5"/>
  <c r="U53" i="5"/>
  <c r="T53" i="5"/>
  <c r="S53" i="5"/>
  <c r="R53" i="5"/>
  <c r="Q53" i="5"/>
  <c r="P53" i="5"/>
  <c r="N53" i="5"/>
  <c r="M53" i="5"/>
  <c r="L53" i="5"/>
  <c r="K53" i="5"/>
  <c r="I53" i="5"/>
  <c r="H53" i="5"/>
  <c r="G53" i="5"/>
  <c r="F53" i="5"/>
  <c r="E53" i="5"/>
  <c r="D53" i="5"/>
  <c r="W52" i="5"/>
  <c r="U52" i="5"/>
  <c r="T52" i="5"/>
  <c r="S52" i="5"/>
  <c r="R52" i="5"/>
  <c r="Q52" i="5"/>
  <c r="P52" i="5"/>
  <c r="O52" i="5"/>
  <c r="N52" i="5"/>
  <c r="M52" i="5"/>
  <c r="K52" i="5"/>
  <c r="I52" i="5"/>
  <c r="H52" i="5"/>
  <c r="G52" i="5"/>
  <c r="F52" i="5"/>
  <c r="E52" i="5"/>
  <c r="C52" i="5"/>
  <c r="U51" i="5"/>
  <c r="T51" i="5"/>
  <c r="S51" i="5"/>
  <c r="R51" i="5"/>
  <c r="Q51" i="5"/>
  <c r="P51" i="5"/>
  <c r="N51" i="5"/>
  <c r="M51" i="5"/>
  <c r="L51" i="5"/>
  <c r="K51" i="5"/>
  <c r="J51" i="5"/>
  <c r="I51" i="5"/>
  <c r="H51" i="5"/>
  <c r="G51" i="5"/>
  <c r="F51" i="5"/>
  <c r="C51" i="5"/>
  <c r="W50" i="5"/>
  <c r="U50" i="5"/>
  <c r="T50" i="5"/>
  <c r="S50" i="5"/>
  <c r="R50" i="5"/>
  <c r="Q50" i="5"/>
  <c r="P50" i="5"/>
  <c r="N50" i="5"/>
  <c r="M50" i="5"/>
  <c r="L50" i="5"/>
  <c r="K50" i="5"/>
  <c r="J50" i="5"/>
  <c r="I50" i="5"/>
  <c r="H50" i="5"/>
  <c r="G50" i="5"/>
  <c r="F50" i="5"/>
  <c r="E50" i="5"/>
  <c r="C50" i="5"/>
  <c r="U49" i="5"/>
  <c r="T49" i="5"/>
  <c r="S49" i="5"/>
  <c r="R49" i="5"/>
  <c r="Q49" i="5"/>
  <c r="P49" i="5"/>
  <c r="N49" i="5"/>
  <c r="M49" i="5"/>
  <c r="L49" i="5"/>
  <c r="K49" i="5"/>
  <c r="J49" i="5"/>
  <c r="I49" i="5"/>
  <c r="H49" i="5"/>
  <c r="G49" i="5"/>
  <c r="F49" i="5"/>
  <c r="E49" i="5"/>
  <c r="W48" i="5"/>
  <c r="U48" i="5"/>
  <c r="T48" i="5"/>
  <c r="S48" i="5"/>
  <c r="R48" i="5"/>
  <c r="Q48" i="5"/>
  <c r="P48" i="5"/>
  <c r="N48" i="5"/>
  <c r="M48" i="5"/>
  <c r="L48" i="5"/>
  <c r="K48" i="5"/>
  <c r="I48" i="5"/>
  <c r="H48" i="5"/>
  <c r="G48" i="5"/>
  <c r="F48" i="5"/>
  <c r="E48" i="5"/>
  <c r="D48" i="5"/>
  <c r="C48" i="5"/>
  <c r="U47" i="5"/>
  <c r="T47" i="5"/>
  <c r="S47" i="5"/>
  <c r="R47" i="5"/>
  <c r="Q47" i="5"/>
  <c r="P47" i="5"/>
  <c r="O47" i="5"/>
  <c r="N47" i="5"/>
  <c r="M47" i="5"/>
  <c r="L47" i="5"/>
  <c r="K47" i="5"/>
  <c r="J47" i="5"/>
  <c r="I47" i="5"/>
  <c r="H47" i="5"/>
  <c r="G47" i="5"/>
  <c r="F47" i="5"/>
  <c r="E47" i="5"/>
  <c r="W46" i="5"/>
  <c r="U46" i="5"/>
  <c r="T46" i="5"/>
  <c r="S46" i="5"/>
  <c r="R46" i="5"/>
  <c r="Q46" i="5"/>
  <c r="P46" i="5"/>
  <c r="N46" i="5"/>
  <c r="M46" i="5"/>
  <c r="L46" i="5"/>
  <c r="K46" i="5"/>
  <c r="J46" i="5"/>
  <c r="I46" i="5"/>
  <c r="H46" i="5"/>
  <c r="G46" i="5"/>
  <c r="F46" i="5"/>
  <c r="E46" i="5"/>
  <c r="C46" i="5"/>
  <c r="U45" i="5"/>
  <c r="T45" i="5"/>
  <c r="S45" i="5"/>
  <c r="R45" i="5"/>
  <c r="Q45" i="5"/>
  <c r="P45" i="5"/>
  <c r="O45" i="5"/>
  <c r="N45" i="5"/>
  <c r="M45" i="5"/>
  <c r="L45" i="5"/>
  <c r="K45" i="5"/>
  <c r="J45" i="5"/>
  <c r="I45" i="5"/>
  <c r="H45" i="5"/>
  <c r="G45" i="5"/>
  <c r="F45" i="5"/>
  <c r="C45" i="5"/>
  <c r="W44" i="5"/>
  <c r="U44" i="5"/>
  <c r="T44" i="5"/>
  <c r="S44" i="5"/>
  <c r="R44" i="5"/>
  <c r="Q44" i="5"/>
  <c r="P44" i="5"/>
  <c r="N44" i="5"/>
  <c r="M44" i="5"/>
  <c r="L44" i="5"/>
  <c r="K44" i="5"/>
  <c r="J44" i="5"/>
  <c r="I44" i="5"/>
  <c r="H44" i="5"/>
  <c r="G44" i="5"/>
  <c r="F44" i="5"/>
  <c r="E44" i="5"/>
  <c r="D44" i="5"/>
  <c r="C44" i="5"/>
  <c r="U43" i="5"/>
  <c r="T43" i="5"/>
  <c r="S43" i="5"/>
  <c r="R43" i="5"/>
  <c r="Q43" i="5"/>
  <c r="P43" i="5"/>
  <c r="O43" i="5"/>
  <c r="N43" i="5"/>
  <c r="M43" i="5"/>
  <c r="L43" i="5"/>
  <c r="K43" i="5"/>
  <c r="J43" i="5"/>
  <c r="I43" i="5"/>
  <c r="H43" i="5"/>
  <c r="G43" i="5"/>
  <c r="F43" i="5"/>
  <c r="E43" i="5"/>
  <c r="D43" i="5"/>
  <c r="W42" i="5"/>
  <c r="U42" i="5"/>
  <c r="T42" i="5"/>
  <c r="S42" i="5"/>
  <c r="R42" i="5"/>
  <c r="Q42" i="5"/>
  <c r="P42" i="5"/>
  <c r="O42" i="5"/>
  <c r="N42" i="5"/>
  <c r="M42" i="5"/>
  <c r="L42" i="5"/>
  <c r="K42" i="5"/>
  <c r="J42" i="5"/>
  <c r="I42" i="5"/>
  <c r="H42" i="5"/>
  <c r="G42" i="5"/>
  <c r="F42" i="5"/>
  <c r="E42" i="5"/>
  <c r="C42" i="5"/>
  <c r="W41" i="5"/>
  <c r="V41" i="5"/>
  <c r="U41" i="5"/>
  <c r="T41" i="5"/>
  <c r="S41" i="5"/>
  <c r="R41" i="5"/>
  <c r="Q41" i="5"/>
  <c r="P41" i="5"/>
  <c r="O41" i="5"/>
  <c r="N41" i="5"/>
  <c r="M41" i="5"/>
  <c r="L41" i="5"/>
  <c r="K41" i="5"/>
  <c r="J41" i="5"/>
  <c r="I41" i="5"/>
  <c r="H41" i="5"/>
  <c r="G41" i="5"/>
  <c r="F41" i="5"/>
  <c r="D41" i="5"/>
  <c r="C41" i="5"/>
  <c r="W40" i="5"/>
  <c r="V40" i="5"/>
  <c r="U40" i="5"/>
  <c r="T40" i="5"/>
  <c r="S40" i="5"/>
  <c r="R40" i="5"/>
  <c r="Q40" i="5"/>
  <c r="P40" i="5"/>
  <c r="N40" i="5"/>
  <c r="M40" i="5"/>
  <c r="L40" i="5"/>
  <c r="K40" i="5"/>
  <c r="J40" i="5"/>
  <c r="I40" i="5"/>
  <c r="H40" i="5"/>
  <c r="G40" i="5"/>
  <c r="F40" i="5"/>
  <c r="E40" i="5"/>
  <c r="D40" i="5"/>
  <c r="C40" i="5"/>
  <c r="V39" i="5"/>
  <c r="U39" i="5"/>
  <c r="T39" i="5"/>
  <c r="S39" i="5"/>
  <c r="R39" i="5"/>
  <c r="Q39" i="5"/>
  <c r="P39" i="5"/>
  <c r="O39" i="5"/>
  <c r="N39" i="5"/>
  <c r="M39" i="5"/>
  <c r="L39" i="5"/>
  <c r="K39" i="5"/>
  <c r="J39" i="5"/>
  <c r="I39" i="5"/>
  <c r="H39" i="5"/>
  <c r="G39" i="5"/>
  <c r="F39" i="5"/>
  <c r="E39" i="5"/>
  <c r="D39" i="5"/>
  <c r="W38" i="5"/>
  <c r="V38" i="5"/>
  <c r="U38" i="5"/>
  <c r="T38" i="5"/>
  <c r="S38" i="5"/>
  <c r="R38" i="5"/>
  <c r="Q38" i="5"/>
  <c r="P38" i="5"/>
  <c r="O38" i="5"/>
  <c r="N38" i="5"/>
  <c r="M38" i="5"/>
  <c r="L38" i="5"/>
  <c r="K38" i="5"/>
  <c r="J38" i="5"/>
  <c r="I38" i="5"/>
  <c r="H38" i="5"/>
  <c r="G38" i="5"/>
  <c r="F38" i="5"/>
  <c r="E38" i="5"/>
  <c r="C38" i="5"/>
  <c r="W37" i="5"/>
  <c r="V37" i="5"/>
  <c r="T37" i="5"/>
  <c r="S37" i="5"/>
  <c r="R37" i="5"/>
  <c r="Q37" i="5"/>
  <c r="P37" i="5"/>
  <c r="N37" i="5"/>
  <c r="M37" i="5"/>
  <c r="L37" i="5"/>
  <c r="K37" i="5"/>
  <c r="J37" i="5"/>
  <c r="I37" i="5"/>
  <c r="H37" i="5"/>
  <c r="G37" i="5"/>
  <c r="F37" i="5"/>
  <c r="E37" i="5"/>
  <c r="D37" i="5"/>
  <c r="C37" i="5"/>
  <c r="V36" i="5"/>
  <c r="T36" i="5"/>
  <c r="S36" i="5"/>
  <c r="R36" i="5"/>
  <c r="Q36" i="5"/>
  <c r="P36" i="5"/>
  <c r="N36" i="5"/>
  <c r="M36" i="5"/>
  <c r="L36" i="5"/>
  <c r="K36" i="5"/>
  <c r="J36" i="5"/>
  <c r="I36" i="5"/>
  <c r="H36" i="5"/>
  <c r="G36" i="5"/>
  <c r="F36" i="5"/>
  <c r="E36" i="5"/>
  <c r="C36" i="5"/>
  <c r="W35" i="5"/>
  <c r="V35" i="5"/>
  <c r="T35" i="5"/>
  <c r="S35" i="5"/>
  <c r="R35" i="5"/>
  <c r="Q35" i="5"/>
  <c r="P35" i="5"/>
  <c r="N35" i="5"/>
  <c r="M35" i="5"/>
  <c r="L35" i="5"/>
  <c r="K35" i="5"/>
  <c r="J35" i="5"/>
  <c r="I35" i="5"/>
  <c r="H35" i="5"/>
  <c r="G35" i="5"/>
  <c r="F35" i="5"/>
  <c r="E35" i="5"/>
  <c r="D35" i="5"/>
  <c r="V34" i="5"/>
  <c r="T34" i="5"/>
  <c r="S34" i="5"/>
  <c r="Q34" i="5"/>
  <c r="P34" i="5"/>
  <c r="O34" i="5"/>
  <c r="N34" i="5"/>
  <c r="M34" i="5"/>
  <c r="L34" i="5"/>
  <c r="K34" i="5"/>
  <c r="J34" i="5"/>
  <c r="I34" i="5"/>
  <c r="H34" i="5"/>
  <c r="G34" i="5"/>
  <c r="F34" i="5"/>
  <c r="C34" i="5"/>
  <c r="W33" i="5"/>
  <c r="V33" i="5"/>
  <c r="T33" i="5"/>
  <c r="S33" i="5"/>
  <c r="Q33" i="5"/>
  <c r="P33" i="5"/>
  <c r="N33" i="5"/>
  <c r="M33" i="5"/>
  <c r="L33" i="5"/>
  <c r="K33" i="5"/>
  <c r="J33" i="5"/>
  <c r="I33" i="5"/>
  <c r="H33" i="5"/>
  <c r="G33" i="5"/>
  <c r="F33" i="5"/>
  <c r="E33" i="5"/>
  <c r="D33" i="5"/>
  <c r="C33" i="5"/>
  <c r="V32" i="5"/>
  <c r="U32" i="5"/>
  <c r="T32" i="5"/>
  <c r="S32" i="5"/>
  <c r="Q32" i="5"/>
  <c r="P32" i="5"/>
  <c r="O32" i="5"/>
  <c r="N32" i="5"/>
  <c r="M32" i="5"/>
  <c r="L32" i="5"/>
  <c r="K32" i="5"/>
  <c r="J32" i="5"/>
  <c r="I32" i="5"/>
  <c r="H32" i="5"/>
  <c r="G32" i="5"/>
  <c r="F32" i="5"/>
  <c r="E32" i="5"/>
  <c r="W31" i="5"/>
  <c r="V31" i="5"/>
  <c r="U31" i="5"/>
  <c r="T31" i="5"/>
  <c r="S31" i="5"/>
  <c r="Q31" i="5"/>
  <c r="P31" i="5"/>
  <c r="N31" i="5"/>
  <c r="M31" i="5"/>
  <c r="L31" i="5"/>
  <c r="K31" i="5"/>
  <c r="J31" i="5"/>
  <c r="I31" i="5"/>
  <c r="H31" i="5"/>
  <c r="G31" i="5"/>
  <c r="F31" i="5"/>
  <c r="E31" i="5"/>
  <c r="D31" i="5"/>
  <c r="C31" i="5"/>
  <c r="V30" i="5"/>
  <c r="U30" i="5"/>
  <c r="T30" i="5"/>
  <c r="S30" i="5"/>
  <c r="R30" i="5"/>
  <c r="Q30" i="5"/>
  <c r="P30" i="5"/>
  <c r="O30" i="5"/>
  <c r="N30" i="5"/>
  <c r="M30" i="5"/>
  <c r="L30" i="5"/>
  <c r="K30" i="5"/>
  <c r="J30" i="5"/>
  <c r="I30" i="5"/>
  <c r="H30" i="5"/>
  <c r="G30" i="5"/>
  <c r="F30" i="5"/>
  <c r="E30" i="5"/>
  <c r="D30" i="5"/>
  <c r="C30" i="5"/>
  <c r="W29" i="5"/>
  <c r="V29" i="5"/>
  <c r="T29" i="5"/>
  <c r="S29" i="5"/>
  <c r="R29" i="5"/>
  <c r="Q29" i="5"/>
  <c r="P29" i="5"/>
  <c r="O29" i="5"/>
  <c r="N29" i="5"/>
  <c r="M29" i="5"/>
  <c r="L29" i="5"/>
  <c r="K29" i="5"/>
  <c r="J29" i="5"/>
  <c r="I29" i="5"/>
  <c r="H29" i="5"/>
  <c r="G29" i="5"/>
  <c r="F29" i="5"/>
  <c r="E29" i="5"/>
  <c r="C29" i="5"/>
  <c r="W28" i="5"/>
  <c r="V28" i="5"/>
  <c r="U28" i="5"/>
  <c r="T28" i="5"/>
  <c r="S28" i="5"/>
  <c r="Q28" i="5"/>
  <c r="P28" i="5"/>
  <c r="O28" i="5"/>
  <c r="N28" i="5"/>
  <c r="M28" i="5"/>
  <c r="L28" i="5"/>
  <c r="K28" i="5"/>
  <c r="J28" i="5"/>
  <c r="I28" i="5"/>
  <c r="H28" i="5"/>
  <c r="G28" i="5"/>
  <c r="F28" i="5"/>
  <c r="E28" i="5"/>
  <c r="D28" i="5"/>
  <c r="W27" i="5"/>
  <c r="V27" i="5"/>
  <c r="U27" i="5"/>
  <c r="T27" i="5"/>
  <c r="S27" i="5"/>
  <c r="R27" i="5"/>
  <c r="Q27" i="5"/>
  <c r="P27" i="5"/>
  <c r="N27" i="5"/>
  <c r="M27" i="5"/>
  <c r="L27" i="5"/>
  <c r="K27" i="5"/>
  <c r="J27" i="5"/>
  <c r="I27" i="5"/>
  <c r="H27" i="5"/>
  <c r="G27" i="5"/>
  <c r="F27" i="5"/>
  <c r="E27" i="5"/>
  <c r="D27" i="5"/>
  <c r="C27" i="5"/>
  <c r="U26" i="5"/>
  <c r="T26" i="5"/>
  <c r="S26" i="5"/>
  <c r="R26" i="5"/>
  <c r="Q26" i="5"/>
  <c r="P26" i="5"/>
  <c r="N26" i="5"/>
  <c r="M26" i="5"/>
  <c r="L26" i="5"/>
  <c r="K26" i="5"/>
  <c r="J26" i="5"/>
  <c r="I26" i="5"/>
  <c r="H26" i="5"/>
  <c r="G26" i="5"/>
  <c r="F26" i="5"/>
  <c r="D26" i="5"/>
  <c r="C26" i="5"/>
  <c r="T25" i="5"/>
  <c r="S25" i="5"/>
  <c r="R25" i="5"/>
  <c r="Q25" i="5"/>
  <c r="P25" i="5"/>
  <c r="N25" i="5"/>
  <c r="M25" i="5"/>
  <c r="L25" i="5"/>
  <c r="K25" i="5"/>
  <c r="J25" i="5"/>
  <c r="I25" i="5"/>
  <c r="H25" i="5"/>
  <c r="G25" i="5"/>
  <c r="F25" i="5"/>
  <c r="E25" i="5"/>
  <c r="C25" i="5"/>
  <c r="U24" i="5"/>
  <c r="T24" i="5"/>
  <c r="S24" i="5"/>
  <c r="Q24" i="5"/>
  <c r="P24" i="5"/>
  <c r="N24" i="5"/>
  <c r="M24" i="5"/>
  <c r="L24" i="5"/>
  <c r="K24" i="5"/>
  <c r="J24" i="5"/>
  <c r="I24" i="5"/>
  <c r="H24" i="5"/>
  <c r="G24" i="5"/>
  <c r="F24" i="5"/>
  <c r="E24" i="5"/>
  <c r="D24" i="5"/>
  <c r="U23" i="5"/>
  <c r="T23" i="5"/>
  <c r="S23" i="5"/>
  <c r="R23" i="5"/>
  <c r="Q23" i="5"/>
  <c r="P23" i="5"/>
  <c r="N23" i="5"/>
  <c r="M23" i="5"/>
  <c r="L23" i="5"/>
  <c r="K23" i="5"/>
  <c r="J23" i="5"/>
  <c r="I23" i="5"/>
  <c r="H23" i="5"/>
  <c r="G23" i="5"/>
  <c r="F23" i="5"/>
  <c r="E23" i="5"/>
  <c r="D23" i="5"/>
  <c r="C23" i="5"/>
  <c r="V22" i="5"/>
  <c r="U22" i="5"/>
  <c r="T22" i="5"/>
  <c r="S22" i="5"/>
  <c r="R22" i="5"/>
  <c r="Q22" i="5"/>
  <c r="P22" i="5"/>
  <c r="N22" i="5"/>
  <c r="M22" i="5"/>
  <c r="L22" i="5"/>
  <c r="K22" i="5"/>
  <c r="J22" i="5"/>
  <c r="I22" i="5"/>
  <c r="H22" i="5"/>
  <c r="G22" i="5"/>
  <c r="F22" i="5"/>
  <c r="E22" i="5"/>
  <c r="C22" i="5"/>
  <c r="V21" i="5"/>
  <c r="U21" i="5"/>
  <c r="T21" i="5"/>
  <c r="S21" i="5"/>
  <c r="Q21" i="5"/>
  <c r="P21" i="5"/>
  <c r="N21" i="5"/>
  <c r="M21" i="5"/>
  <c r="L21" i="5"/>
  <c r="K21" i="5"/>
  <c r="J21" i="5"/>
  <c r="I21" i="5"/>
  <c r="H21" i="5"/>
  <c r="G21" i="5"/>
  <c r="F21" i="5"/>
  <c r="E21" i="5"/>
  <c r="D21" i="5"/>
  <c r="C21" i="5"/>
  <c r="W20" i="5"/>
  <c r="V20" i="5"/>
  <c r="U20" i="5"/>
  <c r="T20" i="5"/>
  <c r="S20" i="5"/>
  <c r="R20" i="5"/>
  <c r="Q20" i="5"/>
  <c r="P20" i="5"/>
  <c r="O20" i="5"/>
  <c r="N20" i="5"/>
  <c r="M20" i="5"/>
  <c r="L20" i="5"/>
  <c r="K20" i="5"/>
  <c r="J20" i="5"/>
  <c r="I20" i="5"/>
  <c r="H20" i="5"/>
  <c r="G20" i="5"/>
  <c r="F20" i="5"/>
  <c r="E20" i="5"/>
  <c r="C20" i="5"/>
  <c r="V19" i="5"/>
  <c r="U19" i="5"/>
  <c r="T19" i="5"/>
  <c r="S19" i="5"/>
  <c r="Q19" i="5"/>
  <c r="P19" i="5"/>
  <c r="N19" i="5"/>
  <c r="M19" i="5"/>
  <c r="L19" i="5"/>
  <c r="K19" i="5"/>
  <c r="J19" i="5"/>
  <c r="I19" i="5"/>
  <c r="H19" i="5"/>
  <c r="G19" i="5"/>
  <c r="F19" i="5"/>
  <c r="E19" i="5"/>
  <c r="D19" i="5"/>
  <c r="C19" i="5"/>
  <c r="V18" i="5"/>
  <c r="U18" i="5"/>
  <c r="T18" i="5"/>
  <c r="S18" i="5"/>
  <c r="Q18" i="5"/>
  <c r="P18" i="5"/>
  <c r="O18" i="5"/>
  <c r="N18" i="5"/>
  <c r="M18" i="5"/>
  <c r="L18" i="5"/>
  <c r="K18" i="5"/>
  <c r="J18" i="5"/>
  <c r="I18" i="5"/>
  <c r="H18" i="5"/>
  <c r="G18" i="5"/>
  <c r="F18" i="5"/>
  <c r="E18" i="5"/>
  <c r="W17" i="5"/>
  <c r="V17" i="5"/>
  <c r="U17" i="5"/>
  <c r="T17" i="5"/>
  <c r="S17" i="5"/>
  <c r="Q17" i="5"/>
  <c r="P17" i="5"/>
  <c r="O17" i="5"/>
  <c r="N17" i="5"/>
  <c r="M17" i="5"/>
  <c r="L17" i="5"/>
  <c r="K17" i="5"/>
  <c r="J17" i="5"/>
  <c r="I17" i="5"/>
  <c r="H17" i="5"/>
  <c r="G17" i="5"/>
  <c r="F17" i="5"/>
  <c r="E17" i="5"/>
  <c r="C17" i="5"/>
  <c r="V16" i="5"/>
  <c r="U16" i="5"/>
  <c r="T16" i="5"/>
  <c r="S16" i="5"/>
  <c r="Q16" i="5"/>
  <c r="P16" i="5"/>
  <c r="O16" i="5"/>
  <c r="N16" i="5"/>
  <c r="M16" i="5"/>
  <c r="L16" i="5"/>
  <c r="K16" i="5"/>
  <c r="J16" i="5"/>
  <c r="I16" i="5"/>
  <c r="H16" i="5"/>
  <c r="G16" i="5"/>
  <c r="F16" i="5"/>
  <c r="E16" i="5"/>
  <c r="C16" i="5"/>
  <c r="W15" i="5"/>
  <c r="V15" i="5"/>
  <c r="U15" i="5"/>
  <c r="T15" i="5"/>
  <c r="S15" i="5"/>
  <c r="Q15" i="5"/>
  <c r="P15" i="5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V14" i="5"/>
  <c r="U14" i="5"/>
  <c r="T14" i="5"/>
  <c r="S14" i="5"/>
  <c r="Q14" i="5"/>
  <c r="P14" i="5"/>
  <c r="O14" i="5"/>
  <c r="N14" i="5"/>
  <c r="M14" i="5"/>
  <c r="L14" i="5"/>
  <c r="K14" i="5"/>
  <c r="J14" i="5"/>
  <c r="I14" i="5"/>
  <c r="H14" i="5"/>
  <c r="G14" i="5"/>
  <c r="F14" i="5"/>
  <c r="E14" i="5"/>
  <c r="D14" i="5"/>
  <c r="V13" i="5"/>
  <c r="U13" i="5"/>
  <c r="T13" i="5"/>
  <c r="S13" i="5"/>
  <c r="R13" i="5"/>
  <c r="Q13" i="5"/>
  <c r="P13" i="5"/>
  <c r="O13" i="5"/>
  <c r="N13" i="5"/>
  <c r="M13" i="5"/>
  <c r="L13" i="5"/>
  <c r="K13" i="5"/>
  <c r="J13" i="5"/>
  <c r="I13" i="5"/>
  <c r="H13" i="5"/>
  <c r="G13" i="5"/>
  <c r="F13" i="5"/>
  <c r="E13" i="5"/>
  <c r="V12" i="5"/>
  <c r="U12" i="5"/>
  <c r="T12" i="5"/>
  <c r="S12" i="5"/>
  <c r="Q12" i="5"/>
  <c r="P12" i="5"/>
  <c r="O12" i="5"/>
  <c r="N12" i="5"/>
  <c r="M12" i="5"/>
  <c r="L12" i="5"/>
  <c r="K12" i="5"/>
  <c r="J12" i="5"/>
  <c r="I12" i="5"/>
  <c r="H12" i="5"/>
  <c r="G12" i="5"/>
  <c r="F12" i="5"/>
  <c r="E12" i="5"/>
  <c r="D12" i="5"/>
  <c r="U11" i="5"/>
  <c r="T11" i="5"/>
  <c r="S11" i="5"/>
  <c r="R11" i="5"/>
  <c r="Q11" i="5"/>
  <c r="P11" i="5"/>
  <c r="O11" i="5"/>
  <c r="N11" i="5"/>
  <c r="M11" i="5"/>
  <c r="L11" i="5"/>
  <c r="K11" i="5"/>
  <c r="J11" i="5"/>
  <c r="I11" i="5"/>
  <c r="H11" i="5"/>
  <c r="G11" i="5"/>
  <c r="F11" i="5"/>
  <c r="E11" i="5"/>
  <c r="D11" i="5"/>
  <c r="V10" i="5"/>
  <c r="U10" i="5"/>
  <c r="T10" i="5"/>
  <c r="S10" i="5"/>
  <c r="R10" i="5"/>
  <c r="Q10" i="5"/>
  <c r="P10" i="5"/>
  <c r="O10" i="5"/>
  <c r="N10" i="5"/>
  <c r="M10" i="5"/>
  <c r="L10" i="5"/>
  <c r="K10" i="5"/>
  <c r="J10" i="5"/>
  <c r="I10" i="5"/>
  <c r="H10" i="5"/>
  <c r="G10" i="5"/>
  <c r="F10" i="5"/>
  <c r="E10" i="5"/>
  <c r="C10" i="5"/>
  <c r="U9" i="5"/>
  <c r="T9" i="5"/>
  <c r="S9" i="5"/>
  <c r="R9" i="5"/>
  <c r="Q9" i="5"/>
  <c r="P9" i="5"/>
  <c r="O9" i="5"/>
  <c r="N9" i="5"/>
  <c r="M9" i="5"/>
  <c r="L9" i="5"/>
  <c r="K9" i="5"/>
  <c r="J9" i="5"/>
  <c r="I9" i="5"/>
  <c r="H9" i="5"/>
  <c r="G9" i="5"/>
  <c r="F9" i="5"/>
  <c r="E9" i="5"/>
  <c r="C9" i="5"/>
  <c r="V8" i="5"/>
  <c r="U8" i="5"/>
  <c r="T8" i="5"/>
  <c r="S8" i="5"/>
  <c r="R8" i="5"/>
  <c r="Q8" i="5"/>
  <c r="P8" i="5"/>
  <c r="O8" i="5"/>
  <c r="N8" i="5"/>
  <c r="M8" i="5"/>
  <c r="L8" i="5"/>
  <c r="K8" i="5"/>
  <c r="J8" i="5"/>
  <c r="I8" i="5"/>
  <c r="H8" i="5"/>
  <c r="G8" i="5"/>
  <c r="F8" i="5"/>
  <c r="E8" i="5"/>
  <c r="C8" i="5"/>
  <c r="V7" i="5"/>
  <c r="U7" i="5"/>
  <c r="T7" i="5"/>
  <c r="S7" i="5"/>
  <c r="R7" i="5"/>
  <c r="Q7" i="5"/>
  <c r="P7" i="5"/>
  <c r="O7" i="5"/>
  <c r="N7" i="5"/>
  <c r="M7" i="5"/>
  <c r="L7" i="5"/>
  <c r="K7" i="5"/>
  <c r="J7" i="5"/>
  <c r="I7" i="5"/>
  <c r="H7" i="5"/>
  <c r="G7" i="5"/>
  <c r="F7" i="5"/>
  <c r="E7" i="5"/>
  <c r="C7" i="5"/>
  <c r="V6" i="5"/>
  <c r="U6" i="5"/>
  <c r="T6" i="5"/>
  <c r="S6" i="5"/>
  <c r="R6" i="5"/>
  <c r="Q6" i="5"/>
  <c r="P6" i="5"/>
  <c r="O6" i="5"/>
  <c r="N6" i="5"/>
  <c r="M6" i="5"/>
  <c r="L6" i="5"/>
  <c r="K6" i="5"/>
  <c r="J6" i="5"/>
  <c r="I6" i="5"/>
  <c r="H6" i="5"/>
  <c r="G6" i="5"/>
  <c r="F6" i="5"/>
  <c r="E6" i="5"/>
  <c r="D6" i="5"/>
  <c r="U5" i="5"/>
  <c r="T5" i="5"/>
  <c r="S5" i="5"/>
  <c r="R5" i="5"/>
  <c r="Q5" i="5"/>
  <c r="P5" i="5"/>
  <c r="O5" i="5"/>
  <c r="N5" i="5"/>
  <c r="M5" i="5"/>
  <c r="L5" i="5"/>
  <c r="K5" i="5"/>
  <c r="J5" i="5"/>
  <c r="I5" i="5"/>
  <c r="H5" i="5"/>
  <c r="G5" i="5"/>
  <c r="F5" i="5"/>
  <c r="E5" i="5"/>
  <c r="D5" i="5"/>
  <c r="V4" i="5"/>
  <c r="U4" i="5"/>
  <c r="T4" i="5"/>
  <c r="S4" i="5"/>
  <c r="R4" i="5"/>
  <c r="Q4" i="5"/>
  <c r="P4" i="5"/>
  <c r="O4" i="5"/>
  <c r="N4" i="5"/>
  <c r="M4" i="5"/>
  <c r="L4" i="5"/>
  <c r="K4" i="5"/>
  <c r="J4" i="5"/>
  <c r="I4" i="5"/>
  <c r="H4" i="5"/>
  <c r="G4" i="5"/>
  <c r="F4" i="5"/>
  <c r="E4" i="5"/>
  <c r="V3" i="5"/>
  <c r="U3" i="5"/>
  <c r="T3" i="5"/>
  <c r="S3" i="5"/>
  <c r="R3" i="5"/>
  <c r="Q3" i="5"/>
  <c r="P3" i="5"/>
  <c r="O3" i="5"/>
  <c r="N3" i="5"/>
  <c r="M3" i="5"/>
  <c r="L3" i="5"/>
  <c r="K3" i="5"/>
  <c r="J3" i="5"/>
  <c r="I3" i="5"/>
  <c r="H3" i="5"/>
  <c r="G3" i="5"/>
  <c r="F3" i="5"/>
  <c r="E3" i="5"/>
  <c r="D3" i="5"/>
  <c r="T2" i="5"/>
  <c r="S2" i="5"/>
  <c r="R2" i="5"/>
  <c r="Q2" i="5"/>
  <c r="P2" i="5"/>
  <c r="O2" i="5"/>
  <c r="N2" i="5"/>
  <c r="M2" i="5"/>
  <c r="L2" i="5"/>
  <c r="K2" i="5"/>
  <c r="J2" i="5"/>
  <c r="I2" i="5"/>
  <c r="H2" i="5"/>
  <c r="G2" i="5"/>
  <c r="F2" i="5"/>
  <c r="E2" i="5"/>
  <c r="L114" i="4"/>
  <c r="I114" i="4"/>
  <c r="H114" i="4"/>
  <c r="F114" i="4"/>
  <c r="B114" i="4"/>
  <c r="T113" i="4"/>
  <c r="S113" i="4"/>
  <c r="R113" i="4"/>
  <c r="P113" i="4"/>
  <c r="O113" i="4"/>
  <c r="N113" i="4"/>
  <c r="M113" i="4"/>
  <c r="L113" i="4"/>
  <c r="K113" i="4"/>
  <c r="J113" i="4"/>
  <c r="I113" i="4"/>
  <c r="H113" i="4"/>
  <c r="G113" i="4"/>
  <c r="F113" i="4"/>
  <c r="E113" i="4"/>
  <c r="D113" i="4"/>
  <c r="C113" i="4"/>
  <c r="B113" i="4"/>
  <c r="W112" i="4"/>
  <c r="T112" i="4"/>
  <c r="S112" i="4"/>
  <c r="R112" i="4"/>
  <c r="P112" i="4"/>
  <c r="O112" i="4"/>
  <c r="N112" i="4"/>
  <c r="M112" i="4"/>
  <c r="L112" i="4"/>
  <c r="K112" i="4"/>
  <c r="J112" i="4"/>
  <c r="I112" i="4"/>
  <c r="H112" i="4"/>
  <c r="G112" i="4"/>
  <c r="F112" i="4"/>
  <c r="E112" i="4"/>
  <c r="D112" i="4"/>
  <c r="C112" i="4"/>
  <c r="B112" i="4"/>
  <c r="W111" i="4"/>
  <c r="T111" i="4"/>
  <c r="S111" i="4"/>
  <c r="R111" i="4"/>
  <c r="P111" i="4"/>
  <c r="O111" i="4"/>
  <c r="N111" i="4"/>
  <c r="M111" i="4"/>
  <c r="L111" i="4"/>
  <c r="K111" i="4"/>
  <c r="J111" i="4"/>
  <c r="I111" i="4"/>
  <c r="H111" i="4"/>
  <c r="G111" i="4"/>
  <c r="F111" i="4"/>
  <c r="E111" i="4"/>
  <c r="D111" i="4"/>
  <c r="C111" i="4"/>
  <c r="B111" i="4"/>
  <c r="AB110" i="4"/>
  <c r="AA110" i="4"/>
  <c r="Z110" i="4"/>
  <c r="Y110" i="4"/>
  <c r="X110" i="4"/>
  <c r="W110" i="4"/>
  <c r="T110" i="4"/>
  <c r="S110" i="4"/>
  <c r="R110" i="4"/>
  <c r="P110" i="4"/>
  <c r="O110" i="4"/>
  <c r="N110" i="4"/>
  <c r="M110" i="4"/>
  <c r="L110" i="4"/>
  <c r="K110" i="4"/>
  <c r="J110" i="4"/>
  <c r="I110" i="4"/>
  <c r="H110" i="4"/>
  <c r="G110" i="4"/>
  <c r="F110" i="4"/>
  <c r="E110" i="4"/>
  <c r="D110" i="4"/>
  <c r="C110" i="4"/>
  <c r="B110" i="4"/>
  <c r="AB109" i="4"/>
  <c r="AA109" i="4"/>
  <c r="Z109" i="4"/>
  <c r="Y109" i="4"/>
  <c r="X109" i="4"/>
  <c r="W109" i="4"/>
  <c r="T109" i="4"/>
  <c r="S109" i="4"/>
  <c r="R109" i="4"/>
  <c r="P109" i="4"/>
  <c r="O109" i="4"/>
  <c r="N109" i="4"/>
  <c r="M109" i="4"/>
  <c r="L109" i="4"/>
  <c r="K109" i="4"/>
  <c r="J109" i="4"/>
  <c r="I109" i="4"/>
  <c r="H109" i="4"/>
  <c r="G109" i="4"/>
  <c r="F109" i="4"/>
  <c r="E109" i="4"/>
  <c r="D109" i="4"/>
  <c r="C109" i="4"/>
  <c r="B109" i="4"/>
  <c r="AB108" i="4"/>
  <c r="AA108" i="4"/>
  <c r="Z108" i="4"/>
  <c r="Y108" i="4"/>
  <c r="X108" i="4"/>
  <c r="W108" i="4"/>
  <c r="T108" i="4"/>
  <c r="S108" i="4"/>
  <c r="R108" i="4"/>
  <c r="P108" i="4"/>
  <c r="O108" i="4"/>
  <c r="N108" i="4"/>
  <c r="M108" i="4"/>
  <c r="L108" i="4"/>
  <c r="K108" i="4"/>
  <c r="J108" i="4"/>
  <c r="I108" i="4"/>
  <c r="H108" i="4"/>
  <c r="G108" i="4"/>
  <c r="F108" i="4"/>
  <c r="E108" i="4"/>
  <c r="D108" i="4"/>
  <c r="C108" i="4"/>
  <c r="B108" i="4"/>
  <c r="AB107" i="4"/>
  <c r="AA107" i="4"/>
  <c r="Z107" i="4"/>
  <c r="Y107" i="4"/>
  <c r="X107" i="4"/>
  <c r="W107" i="4"/>
  <c r="T107" i="4"/>
  <c r="S107" i="4"/>
  <c r="R107" i="4"/>
  <c r="P107" i="4"/>
  <c r="O107" i="4"/>
  <c r="N107" i="4"/>
  <c r="M107" i="4"/>
  <c r="L107" i="4"/>
  <c r="K107" i="4"/>
  <c r="J107" i="4"/>
  <c r="I107" i="4"/>
  <c r="H107" i="4"/>
  <c r="G107" i="4"/>
  <c r="F107" i="4"/>
  <c r="E107" i="4"/>
  <c r="D107" i="4"/>
  <c r="C107" i="4"/>
  <c r="B107" i="4"/>
  <c r="AB106" i="4"/>
  <c r="AA106" i="4"/>
  <c r="Z106" i="4"/>
  <c r="Y106" i="4"/>
  <c r="X106" i="4"/>
  <c r="W106" i="4"/>
  <c r="T106" i="4"/>
  <c r="S106" i="4"/>
  <c r="R106" i="4"/>
  <c r="P106" i="4"/>
  <c r="O106" i="4"/>
  <c r="N106" i="4"/>
  <c r="M106" i="4"/>
  <c r="L106" i="4"/>
  <c r="K106" i="4"/>
  <c r="J106" i="4"/>
  <c r="I106" i="4"/>
  <c r="H106" i="4"/>
  <c r="G106" i="4"/>
  <c r="F106" i="4"/>
  <c r="E106" i="4"/>
  <c r="D106" i="4"/>
  <c r="C106" i="4"/>
  <c r="B106" i="4"/>
  <c r="AB105" i="4"/>
  <c r="AA105" i="4"/>
  <c r="Z105" i="4"/>
  <c r="Y105" i="4"/>
  <c r="X105" i="4"/>
  <c r="W105" i="4"/>
  <c r="T105" i="4"/>
  <c r="S105" i="4"/>
  <c r="R105" i="4"/>
  <c r="P105" i="4"/>
  <c r="O105" i="4"/>
  <c r="N105" i="4"/>
  <c r="M105" i="4"/>
  <c r="L105" i="4"/>
  <c r="K105" i="4"/>
  <c r="J105" i="4"/>
  <c r="I105" i="4"/>
  <c r="H105" i="4"/>
  <c r="G105" i="4"/>
  <c r="F105" i="4"/>
  <c r="E105" i="4"/>
  <c r="D105" i="4"/>
  <c r="C105" i="4"/>
  <c r="B105" i="4"/>
  <c r="AB104" i="4"/>
  <c r="AA104" i="4"/>
  <c r="Z104" i="4"/>
  <c r="Y104" i="4"/>
  <c r="X104" i="4"/>
  <c r="W104" i="4"/>
  <c r="T104" i="4"/>
  <c r="S104" i="4"/>
  <c r="R104" i="4"/>
  <c r="P104" i="4"/>
  <c r="O104" i="4"/>
  <c r="N104" i="4"/>
  <c r="M104" i="4"/>
  <c r="L104" i="4"/>
  <c r="K104" i="4"/>
  <c r="J104" i="4"/>
  <c r="I104" i="4"/>
  <c r="H104" i="4"/>
  <c r="G104" i="4"/>
  <c r="F104" i="4"/>
  <c r="E104" i="4"/>
  <c r="D104" i="4"/>
  <c r="C104" i="4"/>
  <c r="B104" i="4"/>
  <c r="AB103" i="4"/>
  <c r="AA103" i="4"/>
  <c r="Z103" i="4"/>
  <c r="Y103" i="4"/>
  <c r="X103" i="4"/>
  <c r="W103" i="4"/>
  <c r="T103" i="4"/>
  <c r="S103" i="4"/>
  <c r="R103" i="4"/>
  <c r="P103" i="4"/>
  <c r="O103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B103" i="4"/>
  <c r="AB102" i="4"/>
  <c r="AA102" i="4"/>
  <c r="Z102" i="4"/>
  <c r="Y102" i="4"/>
  <c r="X102" i="4"/>
  <c r="W102" i="4"/>
  <c r="T102" i="4"/>
  <c r="S102" i="4"/>
  <c r="R102" i="4"/>
  <c r="P102" i="4"/>
  <c r="O102" i="4"/>
  <c r="N102" i="4"/>
  <c r="M102" i="4"/>
  <c r="L102" i="4"/>
  <c r="K102" i="4"/>
  <c r="J102" i="4"/>
  <c r="I102" i="4"/>
  <c r="H102" i="4"/>
  <c r="G102" i="4"/>
  <c r="F102" i="4"/>
  <c r="E102" i="4"/>
  <c r="D102" i="4"/>
  <c r="C102" i="4"/>
  <c r="B102" i="4"/>
  <c r="AB101" i="4"/>
  <c r="AA101" i="4"/>
  <c r="Z101" i="4"/>
  <c r="Y101" i="4"/>
  <c r="X101" i="4"/>
  <c r="W101" i="4"/>
  <c r="T101" i="4"/>
  <c r="S101" i="4"/>
  <c r="R101" i="4"/>
  <c r="P101" i="4"/>
  <c r="O101" i="4"/>
  <c r="N101" i="4"/>
  <c r="M101" i="4"/>
  <c r="L101" i="4"/>
  <c r="K101" i="4"/>
  <c r="J101" i="4"/>
  <c r="I101" i="4"/>
  <c r="H101" i="4"/>
  <c r="G101" i="4"/>
  <c r="F101" i="4"/>
  <c r="E101" i="4"/>
  <c r="D101" i="4"/>
  <c r="C101" i="4"/>
  <c r="B101" i="4"/>
  <c r="AB100" i="4"/>
  <c r="AA100" i="4"/>
  <c r="Z100" i="4"/>
  <c r="Y100" i="4"/>
  <c r="X100" i="4"/>
  <c r="W100" i="4"/>
  <c r="T100" i="4"/>
  <c r="S100" i="4"/>
  <c r="R100" i="4"/>
  <c r="P100" i="4"/>
  <c r="O100" i="4"/>
  <c r="N100" i="4"/>
  <c r="M100" i="4"/>
  <c r="L100" i="4"/>
  <c r="K100" i="4"/>
  <c r="J100" i="4"/>
  <c r="I100" i="4"/>
  <c r="H100" i="4"/>
  <c r="G100" i="4"/>
  <c r="F100" i="4"/>
  <c r="E100" i="4"/>
  <c r="D100" i="4"/>
  <c r="C100" i="4"/>
  <c r="B100" i="4"/>
  <c r="AB99" i="4"/>
  <c r="AA99" i="4"/>
  <c r="Z99" i="4"/>
  <c r="Y99" i="4"/>
  <c r="X99" i="4"/>
  <c r="W99" i="4"/>
  <c r="T99" i="4"/>
  <c r="S99" i="4"/>
  <c r="R99" i="4"/>
  <c r="P99" i="4"/>
  <c r="O99" i="4"/>
  <c r="N99" i="4"/>
  <c r="M99" i="4"/>
  <c r="L99" i="4"/>
  <c r="K99" i="4"/>
  <c r="J99" i="4"/>
  <c r="I99" i="4"/>
  <c r="H99" i="4"/>
  <c r="G99" i="4"/>
  <c r="F99" i="4"/>
  <c r="E99" i="4"/>
  <c r="D99" i="4"/>
  <c r="C99" i="4"/>
  <c r="B99" i="4"/>
  <c r="AB98" i="4"/>
  <c r="AA98" i="4"/>
  <c r="Z98" i="4"/>
  <c r="Y98" i="4"/>
  <c r="X98" i="4"/>
  <c r="W98" i="4"/>
  <c r="T98" i="4"/>
  <c r="S98" i="4"/>
  <c r="R98" i="4"/>
  <c r="O98" i="4"/>
  <c r="N98" i="4"/>
  <c r="M98" i="4"/>
  <c r="L98" i="4"/>
  <c r="K98" i="4"/>
  <c r="J98" i="4"/>
  <c r="I98" i="4"/>
  <c r="H98" i="4"/>
  <c r="G98" i="4"/>
  <c r="F98" i="4"/>
  <c r="E98" i="4"/>
  <c r="D98" i="4"/>
  <c r="C98" i="4"/>
  <c r="B98" i="4"/>
  <c r="AB97" i="4"/>
  <c r="AA97" i="4"/>
  <c r="Z97" i="4"/>
  <c r="Y97" i="4"/>
  <c r="X97" i="4"/>
  <c r="W97" i="4"/>
  <c r="T97" i="4"/>
  <c r="S97" i="4"/>
  <c r="R97" i="4"/>
  <c r="O97" i="4"/>
  <c r="N97" i="4"/>
  <c r="M97" i="4"/>
  <c r="L97" i="4"/>
  <c r="K97" i="4"/>
  <c r="J97" i="4"/>
  <c r="I97" i="4"/>
  <c r="H97" i="4"/>
  <c r="G97" i="4"/>
  <c r="F97" i="4"/>
  <c r="E97" i="4"/>
  <c r="D97" i="4"/>
  <c r="C97" i="4"/>
  <c r="B97" i="4"/>
  <c r="AB96" i="4"/>
  <c r="AA96" i="4"/>
  <c r="Z96" i="4"/>
  <c r="Y96" i="4"/>
  <c r="X96" i="4"/>
  <c r="W96" i="4"/>
  <c r="T96" i="4"/>
  <c r="S96" i="4"/>
  <c r="R96" i="4"/>
  <c r="O96" i="4"/>
  <c r="N96" i="4"/>
  <c r="M96" i="4"/>
  <c r="L96" i="4"/>
  <c r="K96" i="4"/>
  <c r="J96" i="4"/>
  <c r="I96" i="4"/>
  <c r="H96" i="4"/>
  <c r="G96" i="4"/>
  <c r="F96" i="4"/>
  <c r="E96" i="4"/>
  <c r="D96" i="4"/>
  <c r="C96" i="4"/>
  <c r="B96" i="4"/>
  <c r="AB95" i="4"/>
  <c r="AA95" i="4"/>
  <c r="Z95" i="4"/>
  <c r="Y95" i="4"/>
  <c r="X95" i="4"/>
  <c r="W95" i="4"/>
  <c r="T95" i="4"/>
  <c r="S95" i="4"/>
  <c r="R95" i="4"/>
  <c r="O95" i="4"/>
  <c r="N95" i="4"/>
  <c r="M95" i="4"/>
  <c r="L95" i="4"/>
  <c r="J95" i="4"/>
  <c r="I95" i="4"/>
  <c r="H95" i="4"/>
  <c r="G95" i="4"/>
  <c r="F95" i="4"/>
  <c r="E95" i="4"/>
  <c r="D95" i="4"/>
  <c r="C95" i="4"/>
  <c r="B95" i="4"/>
  <c r="AB94" i="4"/>
  <c r="AA94" i="4"/>
  <c r="Z94" i="4"/>
  <c r="Y94" i="4"/>
  <c r="X94" i="4"/>
  <c r="W94" i="4"/>
  <c r="T94" i="4"/>
  <c r="S94" i="4"/>
  <c r="R94" i="4"/>
  <c r="O94" i="4"/>
  <c r="N94" i="4"/>
  <c r="M94" i="4"/>
  <c r="L94" i="4"/>
  <c r="J94" i="4"/>
  <c r="I94" i="4"/>
  <c r="H94" i="4"/>
  <c r="G94" i="4"/>
  <c r="F94" i="4"/>
  <c r="E94" i="4"/>
  <c r="D94" i="4"/>
  <c r="C94" i="4"/>
  <c r="B94" i="4"/>
  <c r="AB93" i="4"/>
  <c r="AA93" i="4"/>
  <c r="Z93" i="4"/>
  <c r="Y93" i="4"/>
  <c r="X93" i="4"/>
  <c r="W93" i="4"/>
  <c r="T93" i="4"/>
  <c r="S93" i="4"/>
  <c r="R93" i="4"/>
  <c r="O93" i="4"/>
  <c r="N93" i="4"/>
  <c r="M93" i="4"/>
  <c r="L93" i="4"/>
  <c r="J93" i="4"/>
  <c r="I93" i="4"/>
  <c r="H93" i="4"/>
  <c r="G93" i="4"/>
  <c r="F93" i="4"/>
  <c r="E93" i="4"/>
  <c r="D93" i="4"/>
  <c r="C93" i="4"/>
  <c r="B93" i="4"/>
  <c r="AB92" i="4"/>
  <c r="AA92" i="4"/>
  <c r="Z92" i="4"/>
  <c r="Y92" i="4"/>
  <c r="X92" i="4"/>
  <c r="W92" i="4"/>
  <c r="T92" i="4"/>
  <c r="S92" i="4"/>
  <c r="R92" i="4"/>
  <c r="O92" i="4"/>
  <c r="N92" i="4"/>
  <c r="M92" i="4"/>
  <c r="L92" i="4"/>
  <c r="J92" i="4"/>
  <c r="I92" i="4"/>
  <c r="H92" i="4"/>
  <c r="G92" i="4"/>
  <c r="F92" i="4"/>
  <c r="E92" i="4"/>
  <c r="D92" i="4"/>
  <c r="C92" i="4"/>
  <c r="B92" i="4"/>
  <c r="AB91" i="4"/>
  <c r="AA91" i="4"/>
  <c r="Z91" i="4"/>
  <c r="Y91" i="4"/>
  <c r="X91" i="4"/>
  <c r="W91" i="4"/>
  <c r="T91" i="4"/>
  <c r="S91" i="4"/>
  <c r="R91" i="4"/>
  <c r="O91" i="4"/>
  <c r="N91" i="4"/>
  <c r="M91" i="4"/>
  <c r="L91" i="4"/>
  <c r="J91" i="4"/>
  <c r="I91" i="4"/>
  <c r="H91" i="4"/>
  <c r="G91" i="4"/>
  <c r="F91" i="4"/>
  <c r="E91" i="4"/>
  <c r="D91" i="4"/>
  <c r="C91" i="4"/>
  <c r="B91" i="4"/>
  <c r="AB90" i="4"/>
  <c r="AA90" i="4"/>
  <c r="Z90" i="4"/>
  <c r="Y90" i="4"/>
  <c r="X90" i="4"/>
  <c r="W90" i="4"/>
  <c r="S90" i="4"/>
  <c r="R90" i="4"/>
  <c r="O90" i="4"/>
  <c r="N90" i="4"/>
  <c r="L90" i="4"/>
  <c r="J90" i="4"/>
  <c r="I90" i="4"/>
  <c r="H90" i="4"/>
  <c r="G90" i="4"/>
  <c r="F90" i="4"/>
  <c r="E90" i="4"/>
  <c r="D90" i="4"/>
  <c r="C90" i="4"/>
  <c r="B90" i="4"/>
  <c r="AB89" i="4"/>
  <c r="AA89" i="4"/>
  <c r="Z89" i="4"/>
  <c r="Y89" i="4"/>
  <c r="X89" i="4"/>
  <c r="W89" i="4"/>
  <c r="S89" i="4"/>
  <c r="R89" i="4"/>
  <c r="O89" i="4"/>
  <c r="N89" i="4"/>
  <c r="L89" i="4"/>
  <c r="J89" i="4"/>
  <c r="I89" i="4"/>
  <c r="H89" i="4"/>
  <c r="G89" i="4"/>
  <c r="F89" i="4"/>
  <c r="E89" i="4"/>
  <c r="D89" i="4"/>
  <c r="C89" i="4"/>
  <c r="B89" i="4"/>
  <c r="AB88" i="4"/>
  <c r="AA88" i="4"/>
  <c r="Z88" i="4"/>
  <c r="Y88" i="4"/>
  <c r="X88" i="4"/>
  <c r="W88" i="4"/>
  <c r="S88" i="4"/>
  <c r="R88" i="4"/>
  <c r="O88" i="4"/>
  <c r="N88" i="4"/>
  <c r="L88" i="4"/>
  <c r="J88" i="4"/>
  <c r="I88" i="4"/>
  <c r="H88" i="4"/>
  <c r="G88" i="4"/>
  <c r="F88" i="4"/>
  <c r="E88" i="4"/>
  <c r="D88" i="4"/>
  <c r="C88" i="4"/>
  <c r="B88" i="4"/>
  <c r="AB87" i="4"/>
  <c r="AA87" i="4"/>
  <c r="Z87" i="4"/>
  <c r="Y87" i="4"/>
  <c r="X87" i="4"/>
  <c r="W87" i="4"/>
  <c r="S87" i="4"/>
  <c r="R87" i="4"/>
  <c r="O87" i="4"/>
  <c r="N87" i="4"/>
  <c r="L87" i="4"/>
  <c r="J87" i="4"/>
  <c r="I87" i="4"/>
  <c r="H87" i="4"/>
  <c r="G87" i="4"/>
  <c r="F87" i="4"/>
  <c r="E87" i="4"/>
  <c r="D87" i="4"/>
  <c r="C87" i="4"/>
  <c r="B87" i="4"/>
  <c r="AB86" i="4"/>
  <c r="AA86" i="4"/>
  <c r="Z86" i="4"/>
  <c r="Y86" i="4"/>
  <c r="X86" i="4"/>
  <c r="W86" i="4"/>
  <c r="S86" i="4"/>
  <c r="R86" i="4"/>
  <c r="O86" i="4"/>
  <c r="N86" i="4"/>
  <c r="L86" i="4"/>
  <c r="J86" i="4"/>
  <c r="I86" i="4"/>
  <c r="H86" i="4"/>
  <c r="G86" i="4"/>
  <c r="F86" i="4"/>
  <c r="E86" i="4"/>
  <c r="D86" i="4"/>
  <c r="C86" i="4"/>
  <c r="B86" i="4"/>
  <c r="AB85" i="4"/>
  <c r="AA85" i="4"/>
  <c r="Z85" i="4"/>
  <c r="Y85" i="4"/>
  <c r="X85" i="4"/>
  <c r="W85" i="4"/>
  <c r="S85" i="4"/>
  <c r="R85" i="4"/>
  <c r="O85" i="4"/>
  <c r="N85" i="4"/>
  <c r="L85" i="4"/>
  <c r="J85" i="4"/>
  <c r="I85" i="4"/>
  <c r="H85" i="4"/>
  <c r="G85" i="4"/>
  <c r="F85" i="4"/>
  <c r="E85" i="4"/>
  <c r="D85" i="4"/>
  <c r="C85" i="4"/>
  <c r="B85" i="4"/>
  <c r="AB84" i="4"/>
  <c r="AA84" i="4"/>
  <c r="Z84" i="4"/>
  <c r="Y84" i="4"/>
  <c r="X84" i="4"/>
  <c r="W84" i="4"/>
  <c r="S84" i="4"/>
  <c r="R84" i="4"/>
  <c r="O84" i="4"/>
  <c r="N84" i="4"/>
  <c r="L84" i="4"/>
  <c r="J84" i="4"/>
  <c r="I84" i="4"/>
  <c r="H84" i="4"/>
  <c r="G84" i="4"/>
  <c r="F84" i="4"/>
  <c r="E84" i="4"/>
  <c r="D84" i="4"/>
  <c r="C84" i="4"/>
  <c r="B84" i="4"/>
  <c r="AB83" i="4"/>
  <c r="AA83" i="4"/>
  <c r="Z83" i="4"/>
  <c r="Y83" i="4"/>
  <c r="X83" i="4"/>
  <c r="W83" i="4"/>
  <c r="S83" i="4"/>
  <c r="R83" i="4"/>
  <c r="O83" i="4"/>
  <c r="N83" i="4"/>
  <c r="L83" i="4"/>
  <c r="J83" i="4"/>
  <c r="I83" i="4"/>
  <c r="H83" i="4"/>
  <c r="G83" i="4"/>
  <c r="F83" i="4"/>
  <c r="E83" i="4"/>
  <c r="D83" i="4"/>
  <c r="C83" i="4"/>
  <c r="B83" i="4"/>
  <c r="AB82" i="4"/>
  <c r="Z82" i="4"/>
  <c r="Y82" i="4"/>
  <c r="X82" i="4"/>
  <c r="W82" i="4"/>
  <c r="S82" i="4"/>
  <c r="R82" i="4"/>
  <c r="O82" i="4"/>
  <c r="N82" i="4"/>
  <c r="L82" i="4"/>
  <c r="J82" i="4"/>
  <c r="I82" i="4"/>
  <c r="H82" i="4"/>
  <c r="G82" i="4"/>
  <c r="F82" i="4"/>
  <c r="E82" i="4"/>
  <c r="D82" i="4"/>
  <c r="C82" i="4"/>
  <c r="B82" i="4"/>
  <c r="AB81" i="4"/>
  <c r="Z81" i="4"/>
  <c r="Y81" i="4"/>
  <c r="X81" i="4"/>
  <c r="W81" i="4"/>
  <c r="S81" i="4"/>
  <c r="R81" i="4"/>
  <c r="O81" i="4"/>
  <c r="N81" i="4"/>
  <c r="L81" i="4"/>
  <c r="J81" i="4"/>
  <c r="I81" i="4"/>
  <c r="H81" i="4"/>
  <c r="G81" i="4"/>
  <c r="F81" i="4"/>
  <c r="E81" i="4"/>
  <c r="D81" i="4"/>
  <c r="C81" i="4"/>
  <c r="B81" i="4"/>
  <c r="AB80" i="4"/>
  <c r="Z80" i="4"/>
  <c r="Y80" i="4"/>
  <c r="X80" i="4"/>
  <c r="W80" i="4"/>
  <c r="S80" i="4"/>
  <c r="R80" i="4"/>
  <c r="O80" i="4"/>
  <c r="N80" i="4"/>
  <c r="L80" i="4"/>
  <c r="J80" i="4"/>
  <c r="I80" i="4"/>
  <c r="H80" i="4"/>
  <c r="G80" i="4"/>
  <c r="F80" i="4"/>
  <c r="E80" i="4"/>
  <c r="D80" i="4"/>
  <c r="C80" i="4"/>
  <c r="B80" i="4"/>
  <c r="AB79" i="4"/>
  <c r="Z79" i="4"/>
  <c r="Y79" i="4"/>
  <c r="X79" i="4"/>
  <c r="W79" i="4"/>
  <c r="R79" i="4"/>
  <c r="O79" i="4"/>
  <c r="N79" i="4"/>
  <c r="L79" i="4"/>
  <c r="J79" i="4"/>
  <c r="I79" i="4"/>
  <c r="H79" i="4"/>
  <c r="G79" i="4"/>
  <c r="F79" i="4"/>
  <c r="E79" i="4"/>
  <c r="D79" i="4"/>
  <c r="C79" i="4"/>
  <c r="B79" i="4"/>
  <c r="Z78" i="4"/>
  <c r="Y78" i="4"/>
  <c r="X78" i="4"/>
  <c r="W78" i="4"/>
  <c r="R78" i="4"/>
  <c r="O78" i="4"/>
  <c r="L78" i="4"/>
  <c r="J78" i="4"/>
  <c r="I78" i="4"/>
  <c r="H78" i="4"/>
  <c r="G78" i="4"/>
  <c r="F78" i="4"/>
  <c r="E78" i="4"/>
  <c r="D78" i="4"/>
  <c r="C78" i="4"/>
  <c r="B78" i="4"/>
  <c r="Z77" i="4"/>
  <c r="Y77" i="4"/>
  <c r="X77" i="4"/>
  <c r="W77" i="4"/>
  <c r="R77" i="4"/>
  <c r="O77" i="4"/>
  <c r="L77" i="4"/>
  <c r="J77" i="4"/>
  <c r="I77" i="4"/>
  <c r="H77" i="4"/>
  <c r="G77" i="4"/>
  <c r="F77" i="4"/>
  <c r="E77" i="4"/>
  <c r="D77" i="4"/>
  <c r="C77" i="4"/>
  <c r="B77" i="4"/>
  <c r="Z76" i="4"/>
  <c r="Y76" i="4"/>
  <c r="X76" i="4"/>
  <c r="W76" i="4"/>
  <c r="R76" i="4"/>
  <c r="O76" i="4"/>
  <c r="L76" i="4"/>
  <c r="J76" i="4"/>
  <c r="I76" i="4"/>
  <c r="H76" i="4"/>
  <c r="G76" i="4"/>
  <c r="F76" i="4"/>
  <c r="E76" i="4"/>
  <c r="D76" i="4"/>
  <c r="C76" i="4"/>
  <c r="B76" i="4"/>
  <c r="Z75" i="4"/>
  <c r="Y75" i="4"/>
  <c r="X75" i="4"/>
  <c r="W75" i="4"/>
  <c r="R75" i="4"/>
  <c r="O75" i="4"/>
  <c r="L75" i="4"/>
  <c r="J75" i="4"/>
  <c r="I75" i="4"/>
  <c r="H75" i="4"/>
  <c r="G75" i="4"/>
  <c r="F75" i="4"/>
  <c r="E75" i="4"/>
  <c r="D75" i="4"/>
  <c r="C75" i="4"/>
  <c r="B75" i="4"/>
  <c r="Z74" i="4"/>
  <c r="X74" i="4"/>
  <c r="W74" i="4"/>
  <c r="U74" i="4"/>
  <c r="R74" i="4"/>
  <c r="O74" i="4"/>
  <c r="L74" i="4"/>
  <c r="J74" i="4"/>
  <c r="H74" i="4"/>
  <c r="G74" i="4"/>
  <c r="F74" i="4"/>
  <c r="E74" i="4"/>
  <c r="D74" i="4"/>
  <c r="C74" i="4"/>
  <c r="Z73" i="4"/>
  <c r="X73" i="4"/>
  <c r="W73" i="4"/>
  <c r="U73" i="4"/>
  <c r="R73" i="4"/>
  <c r="O73" i="4"/>
  <c r="L73" i="4"/>
  <c r="J73" i="4"/>
  <c r="H73" i="4"/>
  <c r="G73" i="4"/>
  <c r="F73" i="4"/>
  <c r="E73" i="4"/>
  <c r="D73" i="4"/>
  <c r="C73" i="4"/>
  <c r="Z72" i="4"/>
  <c r="X72" i="4"/>
  <c r="W72" i="4"/>
  <c r="U72" i="4"/>
  <c r="R72" i="4"/>
  <c r="O72" i="4"/>
  <c r="L72" i="4"/>
  <c r="J72" i="4"/>
  <c r="H72" i="4"/>
  <c r="G72" i="4"/>
  <c r="F72" i="4"/>
  <c r="E72" i="4"/>
  <c r="D72" i="4"/>
  <c r="C72" i="4"/>
  <c r="Z71" i="4"/>
  <c r="X71" i="4"/>
  <c r="W71" i="4"/>
  <c r="U71" i="4"/>
  <c r="R71" i="4"/>
  <c r="O71" i="4"/>
  <c r="L71" i="4"/>
  <c r="J71" i="4"/>
  <c r="H71" i="4"/>
  <c r="G71" i="4"/>
  <c r="F71" i="4"/>
  <c r="E71" i="4"/>
  <c r="D71" i="4"/>
  <c r="C71" i="4"/>
  <c r="X70" i="4"/>
  <c r="W70" i="4"/>
  <c r="U70" i="4"/>
  <c r="R70" i="4"/>
  <c r="O70" i="4"/>
  <c r="L70" i="4"/>
  <c r="J70" i="4"/>
  <c r="H70" i="4"/>
  <c r="F70" i="4"/>
  <c r="E70" i="4"/>
  <c r="D70" i="4"/>
  <c r="C70" i="4"/>
  <c r="X69" i="4"/>
  <c r="W69" i="4"/>
  <c r="U69" i="4"/>
  <c r="R69" i="4"/>
  <c r="O69" i="4"/>
  <c r="L69" i="4"/>
  <c r="J69" i="4"/>
  <c r="H69" i="4"/>
  <c r="F69" i="4"/>
  <c r="E69" i="4"/>
  <c r="D69" i="4"/>
  <c r="C69" i="4"/>
  <c r="X68" i="4"/>
  <c r="W68" i="4"/>
  <c r="U68" i="4"/>
  <c r="R68" i="4"/>
  <c r="O68" i="4"/>
  <c r="L68" i="4"/>
  <c r="J68" i="4"/>
  <c r="H68" i="4"/>
  <c r="F68" i="4"/>
  <c r="E68" i="4"/>
  <c r="D68" i="4"/>
  <c r="C68" i="4"/>
  <c r="X67" i="4"/>
  <c r="W67" i="4"/>
  <c r="U67" i="4"/>
  <c r="R67" i="4"/>
  <c r="O67" i="4"/>
  <c r="L67" i="4"/>
  <c r="J67" i="4"/>
  <c r="H67" i="4"/>
  <c r="F67" i="4"/>
  <c r="E67" i="4"/>
  <c r="D67" i="4"/>
  <c r="C67" i="4"/>
  <c r="W66" i="4"/>
  <c r="U66" i="4"/>
  <c r="R66" i="4"/>
  <c r="O66" i="4"/>
  <c r="L66" i="4"/>
  <c r="J66" i="4"/>
  <c r="H66" i="4"/>
  <c r="F66" i="4"/>
  <c r="E66" i="4"/>
  <c r="D66" i="4"/>
  <c r="C66" i="4"/>
  <c r="W65" i="4"/>
  <c r="U65" i="4"/>
  <c r="R65" i="4"/>
  <c r="O65" i="4"/>
  <c r="L65" i="4"/>
  <c r="J65" i="4"/>
  <c r="H65" i="4"/>
  <c r="F65" i="4"/>
  <c r="E65" i="4"/>
  <c r="D65" i="4"/>
  <c r="C65" i="4"/>
  <c r="W64" i="4"/>
  <c r="U64" i="4"/>
  <c r="R64" i="4"/>
  <c r="O64" i="4"/>
  <c r="L64" i="4"/>
  <c r="J64" i="4"/>
  <c r="H64" i="4"/>
  <c r="F64" i="4"/>
  <c r="E64" i="4"/>
  <c r="D64" i="4"/>
  <c r="C64" i="4"/>
  <c r="W63" i="4"/>
  <c r="U63" i="4"/>
  <c r="R63" i="4"/>
  <c r="O63" i="4"/>
  <c r="L63" i="4"/>
  <c r="J63" i="4"/>
  <c r="H63" i="4"/>
  <c r="F63" i="4"/>
  <c r="E63" i="4"/>
  <c r="D63" i="4"/>
  <c r="C63" i="4"/>
  <c r="W62" i="4"/>
  <c r="U62" i="4"/>
  <c r="O62" i="4"/>
  <c r="L62" i="4"/>
  <c r="J62" i="4"/>
  <c r="H62" i="4"/>
  <c r="F62" i="4"/>
  <c r="E62" i="4"/>
  <c r="D62" i="4"/>
  <c r="C62" i="4"/>
  <c r="W61" i="4"/>
  <c r="U61" i="4"/>
  <c r="O61" i="4"/>
  <c r="L61" i="4"/>
  <c r="J61" i="4"/>
  <c r="H61" i="4"/>
  <c r="F61" i="4"/>
  <c r="E61" i="4"/>
  <c r="D61" i="4"/>
  <c r="C61" i="4"/>
  <c r="W60" i="4"/>
  <c r="U60" i="4"/>
  <c r="O60" i="4"/>
  <c r="L60" i="4"/>
  <c r="J60" i="4"/>
  <c r="H60" i="4"/>
  <c r="F60" i="4"/>
  <c r="E60" i="4"/>
  <c r="D60" i="4"/>
  <c r="C60" i="4"/>
  <c r="W59" i="4"/>
  <c r="U59" i="4"/>
  <c r="O59" i="4"/>
  <c r="L59" i="4"/>
  <c r="J59" i="4"/>
  <c r="F59" i="4"/>
  <c r="E59" i="4"/>
  <c r="D59" i="4"/>
  <c r="C59" i="4"/>
  <c r="W58" i="4"/>
  <c r="U58" i="4"/>
  <c r="O58" i="4"/>
  <c r="L58" i="4"/>
  <c r="J58" i="4"/>
  <c r="F58" i="4"/>
  <c r="E58" i="4"/>
  <c r="D58" i="4"/>
  <c r="C58" i="4"/>
  <c r="W57" i="4"/>
  <c r="U57" i="4"/>
  <c r="O57" i="4"/>
  <c r="L57" i="4"/>
  <c r="J57" i="4"/>
  <c r="F57" i="4"/>
  <c r="E57" i="4"/>
  <c r="D57" i="4"/>
  <c r="C57" i="4"/>
  <c r="W56" i="4"/>
  <c r="U56" i="4"/>
  <c r="O56" i="4"/>
  <c r="L56" i="4"/>
  <c r="J56" i="4"/>
  <c r="F56" i="4"/>
  <c r="E56" i="4"/>
  <c r="D56" i="4"/>
  <c r="C56" i="4"/>
  <c r="W55" i="4"/>
  <c r="U55" i="4"/>
  <c r="O55" i="4"/>
  <c r="L55" i="4"/>
  <c r="J55" i="4"/>
  <c r="F55" i="4"/>
  <c r="E55" i="4"/>
  <c r="D55" i="4"/>
  <c r="C55" i="4"/>
  <c r="W54" i="4"/>
  <c r="U54" i="4"/>
  <c r="O54" i="4"/>
  <c r="L54" i="4"/>
  <c r="J54" i="4"/>
  <c r="F54" i="4"/>
  <c r="E54" i="4"/>
  <c r="D54" i="4"/>
  <c r="C54" i="4"/>
  <c r="W53" i="4"/>
  <c r="U53" i="4"/>
  <c r="O53" i="4"/>
  <c r="L53" i="4"/>
  <c r="J53" i="4"/>
  <c r="F53" i="4"/>
  <c r="E53" i="4"/>
  <c r="D53" i="4"/>
  <c r="C53" i="4"/>
  <c r="W52" i="4"/>
  <c r="U52" i="4"/>
  <c r="O52" i="4"/>
  <c r="L52" i="4"/>
  <c r="J52" i="4"/>
  <c r="F52" i="4"/>
  <c r="E52" i="4"/>
  <c r="D52" i="4"/>
  <c r="C52" i="4"/>
  <c r="W51" i="4"/>
  <c r="U51" i="4"/>
  <c r="O51" i="4"/>
  <c r="L51" i="4"/>
  <c r="J51" i="4"/>
  <c r="F51" i="4"/>
  <c r="E51" i="4"/>
  <c r="D51" i="4"/>
  <c r="C51" i="4"/>
  <c r="W50" i="4"/>
  <c r="U50" i="4"/>
  <c r="O50" i="4"/>
  <c r="J50" i="4"/>
  <c r="E50" i="4"/>
  <c r="D50" i="4"/>
  <c r="C50" i="4"/>
  <c r="W49" i="4"/>
  <c r="U49" i="4"/>
  <c r="O49" i="4"/>
  <c r="J49" i="4"/>
  <c r="E49" i="4"/>
  <c r="D49" i="4"/>
  <c r="C49" i="4"/>
  <c r="W48" i="4"/>
  <c r="U48" i="4"/>
  <c r="O48" i="4"/>
  <c r="J48" i="4"/>
  <c r="E48" i="4"/>
  <c r="D48" i="4"/>
  <c r="C48" i="4"/>
  <c r="W47" i="4"/>
  <c r="U47" i="4"/>
  <c r="O47" i="4"/>
  <c r="E47" i="4"/>
  <c r="D47" i="4"/>
  <c r="C47" i="4"/>
  <c r="W46" i="4"/>
  <c r="U46" i="4"/>
  <c r="O46" i="4"/>
  <c r="E46" i="4"/>
  <c r="D46" i="4"/>
  <c r="C46" i="4"/>
  <c r="W45" i="4"/>
  <c r="U45" i="4"/>
  <c r="O45" i="4"/>
  <c r="E45" i="4"/>
  <c r="D45" i="4"/>
  <c r="C45" i="4"/>
  <c r="W44" i="4"/>
  <c r="U44" i="4"/>
  <c r="O44" i="4"/>
  <c r="E44" i="4"/>
  <c r="D44" i="4"/>
  <c r="C44" i="4"/>
  <c r="W43" i="4"/>
  <c r="O43" i="4"/>
  <c r="E43" i="4"/>
  <c r="D43" i="4"/>
  <c r="C43" i="4"/>
  <c r="W42" i="4"/>
  <c r="O42" i="4"/>
  <c r="E42" i="4"/>
  <c r="D42" i="4"/>
  <c r="C42" i="4"/>
  <c r="W41" i="4"/>
  <c r="O41" i="4"/>
  <c r="E41" i="4"/>
  <c r="D41" i="4"/>
  <c r="C41" i="4"/>
  <c r="W40" i="4"/>
  <c r="O40" i="4"/>
  <c r="E40" i="4"/>
  <c r="D40" i="4"/>
  <c r="C40" i="4"/>
  <c r="W39" i="4"/>
  <c r="O39" i="4"/>
  <c r="E39" i="4"/>
  <c r="D39" i="4"/>
  <c r="C39" i="4"/>
  <c r="W38" i="4"/>
  <c r="O38" i="4"/>
  <c r="E38" i="4"/>
  <c r="D38" i="4"/>
  <c r="C38" i="4"/>
  <c r="W37" i="4"/>
  <c r="O37" i="4"/>
  <c r="E37" i="4"/>
  <c r="D37" i="4"/>
  <c r="C37" i="4"/>
  <c r="W36" i="4"/>
  <c r="O36" i="4"/>
  <c r="E36" i="4"/>
  <c r="D36" i="4"/>
  <c r="C36" i="4"/>
  <c r="W35" i="4"/>
  <c r="O35" i="4"/>
  <c r="E35" i="4"/>
  <c r="D35" i="4"/>
  <c r="C35" i="4"/>
  <c r="W34" i="4"/>
  <c r="O34" i="4"/>
  <c r="E34" i="4"/>
  <c r="D34" i="4"/>
  <c r="C34" i="4"/>
  <c r="W33" i="4"/>
  <c r="U33" i="4"/>
  <c r="O33" i="4"/>
  <c r="E33" i="4"/>
  <c r="D33" i="4"/>
  <c r="C33" i="4"/>
  <c r="W32" i="4"/>
  <c r="U32" i="4"/>
  <c r="O32" i="4"/>
  <c r="E32" i="4"/>
  <c r="D32" i="4"/>
  <c r="C32" i="4"/>
  <c r="W31" i="4"/>
  <c r="U31" i="4"/>
  <c r="O31" i="4"/>
  <c r="E31" i="4"/>
  <c r="D31" i="4"/>
  <c r="C31" i="4"/>
  <c r="W30" i="4"/>
  <c r="U30" i="4"/>
  <c r="R30" i="4"/>
  <c r="O30" i="4"/>
  <c r="E30" i="4"/>
  <c r="D30" i="4"/>
  <c r="C30" i="4"/>
  <c r="W29" i="4"/>
  <c r="U29" i="4"/>
  <c r="R29" i="4"/>
  <c r="O29" i="4"/>
  <c r="E29" i="4"/>
  <c r="D29" i="4"/>
  <c r="C29" i="4"/>
  <c r="W28" i="4"/>
  <c r="U28" i="4"/>
  <c r="R28" i="4"/>
  <c r="O28" i="4"/>
  <c r="E28" i="4"/>
  <c r="D28" i="4"/>
  <c r="C28" i="4"/>
  <c r="W27" i="4"/>
  <c r="U27" i="4"/>
  <c r="R27" i="4"/>
  <c r="O27" i="4"/>
  <c r="E27" i="4"/>
  <c r="D27" i="4"/>
  <c r="C27" i="4"/>
  <c r="W26" i="4"/>
  <c r="U26" i="4"/>
  <c r="R26" i="4"/>
  <c r="O26" i="4"/>
  <c r="E26" i="4"/>
  <c r="D26" i="4"/>
  <c r="C26" i="4"/>
  <c r="W25" i="4"/>
  <c r="U25" i="4"/>
  <c r="R25" i="4"/>
  <c r="O25" i="4"/>
  <c r="E25" i="4"/>
  <c r="D25" i="4"/>
  <c r="C25" i="4"/>
  <c r="W24" i="4"/>
  <c r="U24" i="4"/>
  <c r="R24" i="4"/>
  <c r="O24" i="4"/>
  <c r="E24" i="4"/>
  <c r="D24" i="4"/>
  <c r="C24" i="4"/>
  <c r="W23" i="4"/>
  <c r="U23" i="4"/>
  <c r="R23" i="4"/>
  <c r="O23" i="4"/>
  <c r="E23" i="4"/>
  <c r="D23" i="4"/>
  <c r="C23" i="4"/>
  <c r="W22" i="4"/>
  <c r="V22" i="4"/>
  <c r="U22" i="4"/>
  <c r="R22" i="4"/>
  <c r="O22" i="4"/>
  <c r="E22" i="4"/>
  <c r="D22" i="4"/>
  <c r="C22" i="4"/>
  <c r="W21" i="4"/>
  <c r="V21" i="4"/>
  <c r="U21" i="4"/>
  <c r="R21" i="4"/>
  <c r="O21" i="4"/>
  <c r="E21" i="4"/>
  <c r="D21" i="4"/>
  <c r="C21" i="4"/>
  <c r="W20" i="4"/>
  <c r="V20" i="4"/>
  <c r="U20" i="4"/>
  <c r="R20" i="4"/>
  <c r="O20" i="4"/>
  <c r="E20" i="4"/>
  <c r="D20" i="4"/>
  <c r="C20" i="4"/>
  <c r="W19" i="4"/>
  <c r="V19" i="4"/>
  <c r="U19" i="4"/>
  <c r="R19" i="4"/>
  <c r="O19" i="4"/>
  <c r="E19" i="4"/>
  <c r="D19" i="4"/>
  <c r="C19" i="4"/>
  <c r="W18" i="4"/>
  <c r="V18" i="4"/>
  <c r="R18" i="4"/>
  <c r="E18" i="4"/>
  <c r="D18" i="4"/>
  <c r="C18" i="4"/>
  <c r="W17" i="4"/>
  <c r="V17" i="4"/>
  <c r="R17" i="4"/>
  <c r="E17" i="4"/>
  <c r="D17" i="4"/>
  <c r="C17" i="4"/>
  <c r="W16" i="4"/>
  <c r="V16" i="4"/>
  <c r="R16" i="4"/>
  <c r="E16" i="4"/>
  <c r="D16" i="4"/>
  <c r="C16" i="4"/>
  <c r="W15" i="4"/>
  <c r="V15" i="4"/>
  <c r="R15" i="4"/>
  <c r="E15" i="4"/>
  <c r="D15" i="4"/>
  <c r="C15" i="4"/>
  <c r="W14" i="4"/>
  <c r="V14" i="4"/>
  <c r="R14" i="4"/>
  <c r="D14" i="4"/>
  <c r="C14" i="4"/>
  <c r="W13" i="4"/>
  <c r="V13" i="4"/>
  <c r="R13" i="4"/>
  <c r="D13" i="4"/>
  <c r="C13" i="4"/>
  <c r="W12" i="4"/>
  <c r="V12" i="4"/>
  <c r="R12" i="4"/>
  <c r="D12" i="4"/>
  <c r="C12" i="4"/>
  <c r="W11" i="4"/>
  <c r="V11" i="4"/>
  <c r="R11" i="4"/>
  <c r="D11" i="4"/>
  <c r="C11" i="4"/>
  <c r="W10" i="4"/>
  <c r="V10" i="4"/>
  <c r="D10" i="4"/>
  <c r="C10" i="4"/>
  <c r="W9" i="4"/>
  <c r="V9" i="4"/>
  <c r="D9" i="4"/>
  <c r="C9" i="4"/>
  <c r="W8" i="4"/>
  <c r="V8" i="4"/>
  <c r="D8" i="4"/>
  <c r="C8" i="4"/>
  <c r="W7" i="4"/>
  <c r="V7" i="4"/>
  <c r="D7" i="4"/>
  <c r="C7" i="4"/>
  <c r="W6" i="4"/>
  <c r="V6" i="4"/>
  <c r="D6" i="4"/>
  <c r="W5" i="4"/>
  <c r="V5" i="4"/>
  <c r="D5" i="4"/>
  <c r="W4" i="4"/>
  <c r="V4" i="4"/>
  <c r="D4" i="4"/>
  <c r="W3" i="4"/>
  <c r="V3" i="4"/>
  <c r="D3" i="4"/>
  <c r="C77" i="3"/>
  <c r="C65" i="3"/>
  <c r="C64" i="3"/>
  <c r="C63" i="3"/>
  <c r="C62" i="3"/>
  <c r="C61" i="3"/>
  <c r="C60" i="3"/>
  <c r="C59" i="3"/>
  <c r="C58" i="3"/>
  <c r="D58" i="3" s="1"/>
  <c r="C57" i="3"/>
  <c r="C56" i="3"/>
  <c r="C55" i="3"/>
  <c r="C54" i="3"/>
  <c r="C53" i="3"/>
  <c r="C52" i="3"/>
  <c r="C51" i="3"/>
  <c r="C50" i="3"/>
  <c r="C49" i="3"/>
  <c r="C48" i="3"/>
  <c r="C47" i="3"/>
  <c r="C46" i="3"/>
  <c r="C45" i="3"/>
  <c r="C44" i="3"/>
  <c r="C43" i="3"/>
  <c r="C42" i="3"/>
  <c r="C41" i="3"/>
  <c r="C40" i="3"/>
  <c r="C39" i="3"/>
  <c r="C38" i="3"/>
  <c r="C37" i="3"/>
  <c r="C36" i="3"/>
  <c r="C35" i="3"/>
  <c r="D35" i="3" s="1"/>
  <c r="C34" i="3"/>
  <c r="C33" i="3"/>
  <c r="C32" i="3"/>
  <c r="C31" i="3"/>
  <c r="C30" i="3"/>
  <c r="C29" i="3"/>
  <c r="C28" i="3"/>
  <c r="C27" i="3"/>
  <c r="C26" i="3"/>
  <c r="D26" i="3" s="1"/>
  <c r="E25" i="3"/>
  <c r="C25" i="3"/>
  <c r="E24" i="3"/>
  <c r="C24" i="3"/>
  <c r="E23" i="3"/>
  <c r="C23" i="3"/>
  <c r="E22" i="3"/>
  <c r="C22" i="3"/>
  <c r="E21" i="3"/>
  <c r="C21" i="3"/>
  <c r="E20" i="3"/>
  <c r="C20" i="3"/>
  <c r="D20" i="3" s="1"/>
  <c r="E19" i="3"/>
  <c r="C19" i="3"/>
  <c r="E18" i="3"/>
  <c r="C18" i="3"/>
  <c r="E17" i="3"/>
  <c r="C17" i="3"/>
  <c r="E16" i="3"/>
  <c r="C16" i="3"/>
  <c r="E15" i="3"/>
  <c r="C15" i="3"/>
  <c r="D15" i="3" s="1"/>
  <c r="E14" i="3"/>
  <c r="D14" i="3"/>
  <c r="C14" i="3"/>
  <c r="E13" i="3"/>
  <c r="C13" i="3"/>
  <c r="E12" i="3"/>
  <c r="C12" i="3"/>
  <c r="D12" i="3" s="1"/>
  <c r="E11" i="3"/>
  <c r="C11" i="3"/>
  <c r="E10" i="3"/>
  <c r="C10" i="3"/>
  <c r="E9" i="3"/>
  <c r="C9" i="3"/>
  <c r="D9" i="3" s="1"/>
  <c r="E8" i="3"/>
  <c r="C8" i="3"/>
  <c r="D48" i="3" s="1"/>
  <c r="E7" i="3"/>
  <c r="C7" i="3"/>
  <c r="E6" i="3"/>
  <c r="C6" i="3"/>
  <c r="E5" i="3"/>
  <c r="C5" i="3"/>
  <c r="D13" i="3" s="1"/>
  <c r="E4" i="3"/>
  <c r="C4" i="3"/>
  <c r="D4" i="3" s="1"/>
  <c r="E3" i="3"/>
  <c r="D3" i="3"/>
  <c r="C3" i="3"/>
  <c r="E2" i="3"/>
  <c r="C2" i="3"/>
  <c r="W227" i="2"/>
  <c r="V227" i="2"/>
  <c r="U227" i="2"/>
  <c r="Q227" i="2"/>
  <c r="AB226" i="2"/>
  <c r="AA226" i="2"/>
  <c r="Z226" i="2"/>
  <c r="W226" i="2"/>
  <c r="V226" i="2"/>
  <c r="U226" i="2"/>
  <c r="Q226" i="2"/>
  <c r="AA225" i="2"/>
  <c r="Z225" i="2"/>
  <c r="W225" i="2"/>
  <c r="V225" i="2"/>
  <c r="U225" i="2"/>
  <c r="Q225" i="2"/>
  <c r="AA224" i="2"/>
  <c r="X224" i="2"/>
  <c r="W224" i="2"/>
  <c r="V224" i="2"/>
  <c r="U224" i="2"/>
  <c r="Q224" i="2"/>
  <c r="AA223" i="2"/>
  <c r="Y223" i="2"/>
  <c r="X223" i="2"/>
  <c r="W223" i="2"/>
  <c r="V223" i="2"/>
  <c r="U223" i="2"/>
  <c r="Q223" i="2"/>
  <c r="AA222" i="2"/>
  <c r="Y222" i="2"/>
  <c r="X222" i="2"/>
  <c r="W222" i="2"/>
  <c r="V222" i="2"/>
  <c r="U222" i="2"/>
  <c r="Q222" i="2"/>
  <c r="AB221" i="2"/>
  <c r="AA221" i="2"/>
  <c r="Y221" i="2"/>
  <c r="X221" i="2"/>
  <c r="W221" i="2"/>
  <c r="V221" i="2"/>
  <c r="U221" i="2"/>
  <c r="Q221" i="2"/>
  <c r="AB220" i="2"/>
  <c r="AA220" i="2"/>
  <c r="Y220" i="2"/>
  <c r="X220" i="2"/>
  <c r="W220" i="2"/>
  <c r="V220" i="2"/>
  <c r="U220" i="2"/>
  <c r="R220" i="2"/>
  <c r="Q220" i="2"/>
  <c r="AB219" i="2"/>
  <c r="AA219" i="2"/>
  <c r="Y219" i="2"/>
  <c r="X219" i="2"/>
  <c r="W219" i="2"/>
  <c r="V219" i="2"/>
  <c r="U219" i="2"/>
  <c r="R219" i="2"/>
  <c r="Q219" i="2"/>
  <c r="AB218" i="2"/>
  <c r="AA218" i="2"/>
  <c r="Y218" i="2"/>
  <c r="X218" i="2"/>
  <c r="W218" i="2"/>
  <c r="V218" i="2"/>
  <c r="U218" i="2"/>
  <c r="R218" i="2"/>
  <c r="Q218" i="2"/>
  <c r="AB217" i="2"/>
  <c r="AA217" i="2"/>
  <c r="Y217" i="2"/>
  <c r="X217" i="2"/>
  <c r="W217" i="2"/>
  <c r="V217" i="2"/>
  <c r="U217" i="2"/>
  <c r="S217" i="2"/>
  <c r="R217" i="2"/>
  <c r="Q217" i="2"/>
  <c r="AB216" i="2"/>
  <c r="AA216" i="2"/>
  <c r="Y216" i="2"/>
  <c r="X216" i="2"/>
  <c r="W216" i="2"/>
  <c r="V216" i="2"/>
  <c r="U216" i="2"/>
  <c r="S216" i="2"/>
  <c r="R216" i="2"/>
  <c r="Q216" i="2"/>
  <c r="M216" i="2"/>
  <c r="AB215" i="2"/>
  <c r="AA215" i="2"/>
  <c r="Y215" i="2"/>
  <c r="X215" i="2"/>
  <c r="W215" i="2"/>
  <c r="V215" i="2"/>
  <c r="U215" i="2"/>
  <c r="S215" i="2"/>
  <c r="R215" i="2"/>
  <c r="Q215" i="2"/>
  <c r="M215" i="2"/>
  <c r="AB214" i="2"/>
  <c r="AA214" i="2"/>
  <c r="X214" i="2"/>
  <c r="W214" i="2"/>
  <c r="V214" i="2"/>
  <c r="U214" i="2"/>
  <c r="S214" i="2"/>
  <c r="R214" i="2"/>
  <c r="Q214" i="2"/>
  <c r="M214" i="2"/>
  <c r="AA213" i="2"/>
  <c r="W213" i="2"/>
  <c r="V213" i="2"/>
  <c r="U213" i="2"/>
  <c r="S213" i="2"/>
  <c r="Q213" i="2"/>
  <c r="M213" i="2"/>
  <c r="K213" i="2"/>
  <c r="AA212" i="2"/>
  <c r="V212" i="2"/>
  <c r="U212" i="2"/>
  <c r="S212" i="2"/>
  <c r="Q212" i="2"/>
  <c r="P212" i="2"/>
  <c r="M212" i="2"/>
  <c r="K212" i="2"/>
  <c r="AA211" i="2"/>
  <c r="Z211" i="2"/>
  <c r="V211" i="2"/>
  <c r="U211" i="2"/>
  <c r="Q211" i="2"/>
  <c r="P211" i="2"/>
  <c r="M211" i="2"/>
  <c r="K211" i="2"/>
  <c r="Z210" i="2"/>
  <c r="Y210" i="2"/>
  <c r="V210" i="2"/>
  <c r="U210" i="2"/>
  <c r="Q210" i="2"/>
  <c r="P210" i="2"/>
  <c r="M210" i="2"/>
  <c r="K210" i="2"/>
  <c r="AB209" i="2"/>
  <c r="Z209" i="2"/>
  <c r="X209" i="2"/>
  <c r="V209" i="2"/>
  <c r="U209" i="2"/>
  <c r="R209" i="2"/>
  <c r="Q209" i="2"/>
  <c r="P209" i="2"/>
  <c r="M209" i="2"/>
  <c r="K209" i="2"/>
  <c r="AB208" i="2"/>
  <c r="Z208" i="2"/>
  <c r="X208" i="2"/>
  <c r="V208" i="2"/>
  <c r="U208" i="2"/>
  <c r="R208" i="2"/>
  <c r="Q208" i="2"/>
  <c r="P208" i="2"/>
  <c r="M208" i="2"/>
  <c r="K208" i="2"/>
  <c r="AB207" i="2"/>
  <c r="Z207" i="2"/>
  <c r="X207" i="2"/>
  <c r="V207" i="2"/>
  <c r="U207" i="2"/>
  <c r="S207" i="2"/>
  <c r="Q207" i="2"/>
  <c r="P207" i="2"/>
  <c r="M207" i="2"/>
  <c r="K207" i="2"/>
  <c r="AB206" i="2"/>
  <c r="Z206" i="2"/>
  <c r="X206" i="2"/>
  <c r="W206" i="2"/>
  <c r="V206" i="2"/>
  <c r="U206" i="2"/>
  <c r="S206" i="2"/>
  <c r="Q206" i="2"/>
  <c r="P206" i="2"/>
  <c r="M206" i="2"/>
  <c r="K206" i="2"/>
  <c r="AB205" i="2"/>
  <c r="Z205" i="2"/>
  <c r="X205" i="2"/>
  <c r="W205" i="2"/>
  <c r="V205" i="2"/>
  <c r="U205" i="2"/>
  <c r="S205" i="2"/>
  <c r="Q205" i="2"/>
  <c r="P205" i="2"/>
  <c r="M205" i="2"/>
  <c r="K205" i="2"/>
  <c r="AB204" i="2"/>
  <c r="AA204" i="2"/>
  <c r="Z204" i="2"/>
  <c r="X204" i="2"/>
  <c r="W204" i="2"/>
  <c r="V204" i="2"/>
  <c r="U204" i="2"/>
  <c r="T204" i="2"/>
  <c r="S204" i="2"/>
  <c r="Q204" i="2"/>
  <c r="P204" i="2"/>
  <c r="M204" i="2"/>
  <c r="AB203" i="2"/>
  <c r="AA203" i="2"/>
  <c r="Z203" i="2"/>
  <c r="X203" i="2"/>
  <c r="W203" i="2"/>
  <c r="V203" i="2"/>
  <c r="U203" i="2"/>
  <c r="T203" i="2"/>
  <c r="S203" i="2"/>
  <c r="Q203" i="2"/>
  <c r="P203" i="2"/>
  <c r="M203" i="2"/>
  <c r="AB202" i="2"/>
  <c r="AA202" i="2"/>
  <c r="Z202" i="2"/>
  <c r="X202" i="2"/>
  <c r="W202" i="2"/>
  <c r="V202" i="2"/>
  <c r="U202" i="2"/>
  <c r="T202" i="2"/>
  <c r="S202" i="2"/>
  <c r="Q202" i="2"/>
  <c r="P202" i="2"/>
  <c r="O202" i="2"/>
  <c r="M202" i="2"/>
  <c r="AB201" i="2"/>
  <c r="AA201" i="2"/>
  <c r="Z201" i="2"/>
  <c r="X201" i="2"/>
  <c r="W201" i="2"/>
  <c r="V201" i="2"/>
  <c r="U201" i="2"/>
  <c r="T201" i="2"/>
  <c r="S201" i="2"/>
  <c r="Q201" i="2"/>
  <c r="P201" i="2"/>
  <c r="O201" i="2"/>
  <c r="M201" i="2"/>
  <c r="K201" i="2"/>
  <c r="AB200" i="2"/>
  <c r="AA200" i="2"/>
  <c r="Z200" i="2"/>
  <c r="X200" i="2"/>
  <c r="W200" i="2"/>
  <c r="V200" i="2"/>
  <c r="U200" i="2"/>
  <c r="T200" i="2"/>
  <c r="S200" i="2"/>
  <c r="Q200" i="2"/>
  <c r="P200" i="2"/>
  <c r="O200" i="2"/>
  <c r="M200" i="2"/>
  <c r="B200" i="2"/>
  <c r="AB199" i="2"/>
  <c r="AA199" i="2"/>
  <c r="Z199" i="2"/>
  <c r="W199" i="2"/>
  <c r="V199" i="2"/>
  <c r="U199" i="2"/>
  <c r="T199" i="2"/>
  <c r="S199" i="2"/>
  <c r="R199" i="2"/>
  <c r="Q199" i="2"/>
  <c r="P199" i="2"/>
  <c r="O199" i="2"/>
  <c r="M199" i="2"/>
  <c r="AB198" i="2"/>
  <c r="AA198" i="2"/>
  <c r="Z198" i="2"/>
  <c r="Y198" i="2"/>
  <c r="W198" i="2"/>
  <c r="V198" i="2"/>
  <c r="U198" i="2"/>
  <c r="T198" i="2"/>
  <c r="S198" i="2"/>
  <c r="R198" i="2"/>
  <c r="Q198" i="2"/>
  <c r="P198" i="2"/>
  <c r="O198" i="2"/>
  <c r="M198" i="2"/>
  <c r="B198" i="2"/>
  <c r="AB197" i="2"/>
  <c r="AA197" i="2"/>
  <c r="Y197" i="2"/>
  <c r="V197" i="2"/>
  <c r="U197" i="2"/>
  <c r="T197" i="2"/>
  <c r="R197" i="2"/>
  <c r="Q197" i="2"/>
  <c r="P197" i="2"/>
  <c r="O197" i="2"/>
  <c r="M197" i="2"/>
  <c r="B197" i="2"/>
  <c r="AB196" i="2"/>
  <c r="AA196" i="2"/>
  <c r="V196" i="2"/>
  <c r="U196" i="2"/>
  <c r="T196" i="2"/>
  <c r="R196" i="2"/>
  <c r="Q196" i="2"/>
  <c r="P196" i="2"/>
  <c r="M196" i="2"/>
  <c r="B196" i="2"/>
  <c r="AB195" i="2"/>
  <c r="AA195" i="2"/>
  <c r="X195" i="2"/>
  <c r="W195" i="2"/>
  <c r="V195" i="2"/>
  <c r="U195" i="2"/>
  <c r="T195" i="2"/>
  <c r="Q195" i="2"/>
  <c r="P195" i="2"/>
  <c r="M195" i="2"/>
  <c r="B195" i="2"/>
  <c r="AB194" i="2"/>
  <c r="AA194" i="2"/>
  <c r="X194" i="2"/>
  <c r="W194" i="2"/>
  <c r="V194" i="2"/>
  <c r="U194" i="2"/>
  <c r="T194" i="2"/>
  <c r="Q194" i="2"/>
  <c r="P194" i="2"/>
  <c r="M194" i="2"/>
  <c r="H194" i="2"/>
  <c r="B194" i="2"/>
  <c r="AB193" i="2"/>
  <c r="AA193" i="2"/>
  <c r="X193" i="2"/>
  <c r="W193" i="2"/>
  <c r="V193" i="2"/>
  <c r="U193" i="2"/>
  <c r="T193" i="2"/>
  <c r="Q193" i="2"/>
  <c r="P193" i="2"/>
  <c r="M193" i="2"/>
  <c r="H193" i="2"/>
  <c r="B193" i="2"/>
  <c r="AB192" i="2"/>
  <c r="AA192" i="2"/>
  <c r="Y192" i="2"/>
  <c r="X192" i="2"/>
  <c r="W192" i="2"/>
  <c r="V192" i="2"/>
  <c r="U192" i="2"/>
  <c r="T192" i="2"/>
  <c r="S192" i="2"/>
  <c r="Q192" i="2"/>
  <c r="P192" i="2"/>
  <c r="O192" i="2"/>
  <c r="N192" i="2"/>
  <c r="M192" i="2"/>
  <c r="L192" i="2"/>
  <c r="J192" i="2"/>
  <c r="H192" i="2"/>
  <c r="G192" i="2"/>
  <c r="F192" i="2"/>
  <c r="D192" i="2"/>
  <c r="C192" i="2"/>
  <c r="B192" i="2"/>
  <c r="AB191" i="2"/>
  <c r="AA191" i="2"/>
  <c r="Y191" i="2"/>
  <c r="X191" i="2"/>
  <c r="W191" i="2"/>
  <c r="V191" i="2"/>
  <c r="U191" i="2"/>
  <c r="T191" i="2"/>
  <c r="S191" i="2"/>
  <c r="Q191" i="2"/>
  <c r="P191" i="2"/>
  <c r="O191" i="2"/>
  <c r="N191" i="2"/>
  <c r="M191" i="2"/>
  <c r="L191" i="2"/>
  <c r="J191" i="2"/>
  <c r="G191" i="2"/>
  <c r="F191" i="2"/>
  <c r="C191" i="2"/>
  <c r="AB190" i="2"/>
  <c r="AA190" i="2"/>
  <c r="Y190" i="2"/>
  <c r="X190" i="2"/>
  <c r="V190" i="2"/>
  <c r="U190" i="2"/>
  <c r="T190" i="2"/>
  <c r="S190" i="2"/>
  <c r="Q190" i="2"/>
  <c r="P190" i="2"/>
  <c r="O190" i="2"/>
  <c r="N190" i="2"/>
  <c r="M190" i="2"/>
  <c r="L190" i="2"/>
  <c r="J190" i="2"/>
  <c r="G190" i="2"/>
  <c r="C190" i="2"/>
  <c r="AB189" i="2"/>
  <c r="AA189" i="2"/>
  <c r="Y189" i="2"/>
  <c r="X189" i="2"/>
  <c r="V189" i="2"/>
  <c r="U189" i="2"/>
  <c r="T189" i="2"/>
  <c r="S189" i="2"/>
  <c r="Q189" i="2"/>
  <c r="P189" i="2"/>
  <c r="O189" i="2"/>
  <c r="N189" i="2"/>
  <c r="M189" i="2"/>
  <c r="L189" i="2"/>
  <c r="J189" i="2"/>
  <c r="G189" i="2"/>
  <c r="E189" i="2"/>
  <c r="C189" i="2"/>
  <c r="AB188" i="2"/>
  <c r="AA188" i="2"/>
  <c r="Y188" i="2"/>
  <c r="X188" i="2"/>
  <c r="V188" i="2"/>
  <c r="U188" i="2"/>
  <c r="T188" i="2"/>
  <c r="S188" i="2"/>
  <c r="R188" i="2"/>
  <c r="Q188" i="2"/>
  <c r="P188" i="2"/>
  <c r="O188" i="2"/>
  <c r="N188" i="2"/>
  <c r="M188" i="2"/>
  <c r="L188" i="2"/>
  <c r="J188" i="2"/>
  <c r="I188" i="2"/>
  <c r="G188" i="2"/>
  <c r="E188" i="2"/>
  <c r="C188" i="2"/>
  <c r="B188" i="2"/>
  <c r="AB187" i="2"/>
  <c r="AA187" i="2"/>
  <c r="Z187" i="2"/>
  <c r="Y187" i="2"/>
  <c r="X187" i="2"/>
  <c r="V187" i="2"/>
  <c r="U187" i="2"/>
  <c r="T187" i="2"/>
  <c r="S187" i="2"/>
  <c r="R187" i="2"/>
  <c r="Q187" i="2"/>
  <c r="P187" i="2"/>
  <c r="N187" i="2"/>
  <c r="M187" i="2"/>
  <c r="L187" i="2"/>
  <c r="J187" i="2"/>
  <c r="I187" i="2"/>
  <c r="H187" i="2"/>
  <c r="E187" i="2"/>
  <c r="D187" i="2"/>
  <c r="C187" i="2"/>
  <c r="B187" i="2"/>
  <c r="AB186" i="2"/>
  <c r="AA186" i="2"/>
  <c r="Z186" i="2"/>
  <c r="Y186" i="2"/>
  <c r="X186" i="2"/>
  <c r="V186" i="2"/>
  <c r="U186" i="2"/>
  <c r="T186" i="2"/>
  <c r="S186" i="2"/>
  <c r="R186" i="2"/>
  <c r="Q186" i="2"/>
  <c r="P186" i="2"/>
  <c r="N186" i="2"/>
  <c r="M186" i="2"/>
  <c r="L186" i="2"/>
  <c r="J186" i="2"/>
  <c r="I186" i="2"/>
  <c r="H186" i="2"/>
  <c r="E186" i="2"/>
  <c r="D186" i="2"/>
  <c r="C186" i="2"/>
  <c r="B186" i="2"/>
  <c r="AB185" i="2"/>
  <c r="AA185" i="2"/>
  <c r="Z185" i="2"/>
  <c r="Y185" i="2"/>
  <c r="X185" i="2"/>
  <c r="V185" i="2"/>
  <c r="U185" i="2"/>
  <c r="T185" i="2"/>
  <c r="S185" i="2"/>
  <c r="R185" i="2"/>
  <c r="Q185" i="2"/>
  <c r="P185" i="2"/>
  <c r="N185" i="2"/>
  <c r="M185" i="2"/>
  <c r="L185" i="2"/>
  <c r="J185" i="2"/>
  <c r="I185" i="2"/>
  <c r="H185" i="2"/>
  <c r="E185" i="2"/>
  <c r="D185" i="2"/>
  <c r="C185" i="2"/>
  <c r="B185" i="2"/>
  <c r="AB184" i="2"/>
  <c r="AA184" i="2"/>
  <c r="Z184" i="2"/>
  <c r="Y184" i="2"/>
  <c r="X184" i="2"/>
  <c r="V184" i="2"/>
  <c r="U184" i="2"/>
  <c r="T184" i="2"/>
  <c r="S184" i="2"/>
  <c r="R184" i="2"/>
  <c r="Q184" i="2"/>
  <c r="P184" i="2"/>
  <c r="N184" i="2"/>
  <c r="M184" i="2"/>
  <c r="L184" i="2"/>
  <c r="J184" i="2"/>
  <c r="I184" i="2"/>
  <c r="H184" i="2"/>
  <c r="G184" i="2"/>
  <c r="E184" i="2"/>
  <c r="D184" i="2"/>
  <c r="C184" i="2"/>
  <c r="B184" i="2"/>
  <c r="AB183" i="2"/>
  <c r="AA183" i="2"/>
  <c r="Z183" i="2"/>
  <c r="Y183" i="2"/>
  <c r="X183" i="2"/>
  <c r="V183" i="2"/>
  <c r="U183" i="2"/>
  <c r="T183" i="2"/>
  <c r="S183" i="2"/>
  <c r="R183" i="2"/>
  <c r="Q183" i="2"/>
  <c r="P183" i="2"/>
  <c r="N183" i="2"/>
  <c r="M183" i="2"/>
  <c r="L183" i="2"/>
  <c r="J183" i="2"/>
  <c r="I183" i="2"/>
  <c r="H183" i="2"/>
  <c r="G183" i="2"/>
  <c r="D183" i="2"/>
  <c r="C183" i="2"/>
  <c r="B183" i="2"/>
  <c r="AB182" i="2"/>
  <c r="AA182" i="2"/>
  <c r="Z182" i="2"/>
  <c r="Y182" i="2"/>
  <c r="X182" i="2"/>
  <c r="V182" i="2"/>
  <c r="T182" i="2"/>
  <c r="S182" i="2"/>
  <c r="R182" i="2"/>
  <c r="Q182" i="2"/>
  <c r="P182" i="2"/>
  <c r="N182" i="2"/>
  <c r="M182" i="2"/>
  <c r="L182" i="2"/>
  <c r="I182" i="2"/>
  <c r="H182" i="2"/>
  <c r="G182" i="2"/>
  <c r="C182" i="2"/>
  <c r="B182" i="2"/>
  <c r="AB181" i="2"/>
  <c r="AA181" i="2"/>
  <c r="Z181" i="2"/>
  <c r="Y181" i="2"/>
  <c r="X181" i="2"/>
  <c r="V181" i="2"/>
  <c r="T181" i="2"/>
  <c r="S181" i="2"/>
  <c r="Q181" i="2"/>
  <c r="P181" i="2"/>
  <c r="N181" i="2"/>
  <c r="M181" i="2"/>
  <c r="L181" i="2"/>
  <c r="I181" i="2"/>
  <c r="G181" i="2"/>
  <c r="B181" i="2"/>
  <c r="AB180" i="2"/>
  <c r="AA180" i="2"/>
  <c r="Z180" i="2"/>
  <c r="Y180" i="2"/>
  <c r="X180" i="2"/>
  <c r="V180" i="2"/>
  <c r="T180" i="2"/>
  <c r="S180" i="2"/>
  <c r="Q180" i="2"/>
  <c r="P180" i="2"/>
  <c r="N180" i="2"/>
  <c r="M180" i="2"/>
  <c r="L180" i="2"/>
  <c r="I180" i="2"/>
  <c r="G180" i="2"/>
  <c r="F180" i="2"/>
  <c r="B180" i="2"/>
  <c r="AB179" i="2"/>
  <c r="AA179" i="2"/>
  <c r="Z179" i="2"/>
  <c r="Y179" i="2"/>
  <c r="X179" i="2"/>
  <c r="W179" i="2"/>
  <c r="V179" i="2"/>
  <c r="T179" i="2"/>
  <c r="Q179" i="2"/>
  <c r="P179" i="2"/>
  <c r="N179" i="2"/>
  <c r="M179" i="2"/>
  <c r="L179" i="2"/>
  <c r="I179" i="2"/>
  <c r="G179" i="2"/>
  <c r="F179" i="2"/>
  <c r="E179" i="2"/>
  <c r="B179" i="2"/>
  <c r="AB178" i="2"/>
  <c r="AA178" i="2"/>
  <c r="Z178" i="2"/>
  <c r="Y178" i="2"/>
  <c r="X178" i="2"/>
  <c r="W178" i="2"/>
  <c r="V178" i="2"/>
  <c r="U178" i="2"/>
  <c r="T178" i="2"/>
  <c r="S178" i="2"/>
  <c r="Q178" i="2"/>
  <c r="P178" i="2"/>
  <c r="N178" i="2"/>
  <c r="M178" i="2"/>
  <c r="L178" i="2"/>
  <c r="I178" i="2"/>
  <c r="G178" i="2"/>
  <c r="F178" i="2"/>
  <c r="E178" i="2"/>
  <c r="B178" i="2"/>
  <c r="AB177" i="2"/>
  <c r="AA177" i="2"/>
  <c r="Z177" i="2"/>
  <c r="Y177" i="2"/>
  <c r="X177" i="2"/>
  <c r="V177" i="2"/>
  <c r="U177" i="2"/>
  <c r="T177" i="2"/>
  <c r="S177" i="2"/>
  <c r="Q177" i="2"/>
  <c r="P177" i="2"/>
  <c r="N177" i="2"/>
  <c r="M177" i="2"/>
  <c r="L177" i="2"/>
  <c r="I177" i="2"/>
  <c r="H177" i="2"/>
  <c r="G177" i="2"/>
  <c r="F177" i="2"/>
  <c r="E177" i="2"/>
  <c r="C177" i="2"/>
  <c r="B177" i="2"/>
  <c r="AB176" i="2"/>
  <c r="AA176" i="2"/>
  <c r="Z176" i="2"/>
  <c r="Y176" i="2"/>
  <c r="X176" i="2"/>
  <c r="V176" i="2"/>
  <c r="U176" i="2"/>
  <c r="T176" i="2"/>
  <c r="S176" i="2"/>
  <c r="R176" i="2"/>
  <c r="Q176" i="2"/>
  <c r="P176" i="2"/>
  <c r="N176" i="2"/>
  <c r="M176" i="2"/>
  <c r="L176" i="2"/>
  <c r="I176" i="2"/>
  <c r="G176" i="2"/>
  <c r="E176" i="2"/>
  <c r="C176" i="2"/>
  <c r="B176" i="2"/>
  <c r="AB175" i="2"/>
  <c r="AA175" i="2"/>
  <c r="Z175" i="2"/>
  <c r="Y175" i="2"/>
  <c r="X175" i="2"/>
  <c r="V175" i="2"/>
  <c r="U175" i="2"/>
  <c r="T175" i="2"/>
  <c r="S175" i="2"/>
  <c r="R175" i="2"/>
  <c r="Q175" i="2"/>
  <c r="P175" i="2"/>
  <c r="N175" i="2"/>
  <c r="M175" i="2"/>
  <c r="L175" i="2"/>
  <c r="I175" i="2"/>
  <c r="G175" i="2"/>
  <c r="E175" i="2"/>
  <c r="D175" i="2"/>
  <c r="C175" i="2"/>
  <c r="B175" i="2"/>
  <c r="AB174" i="2"/>
  <c r="AA174" i="2"/>
  <c r="Z174" i="2"/>
  <c r="Y174" i="2"/>
  <c r="X174" i="2"/>
  <c r="V174" i="2"/>
  <c r="U174" i="2"/>
  <c r="T174" i="2"/>
  <c r="S174" i="2"/>
  <c r="R174" i="2"/>
  <c r="Q174" i="2"/>
  <c r="P174" i="2"/>
  <c r="N174" i="2"/>
  <c r="M174" i="2"/>
  <c r="L174" i="2"/>
  <c r="I174" i="2"/>
  <c r="G174" i="2"/>
  <c r="F174" i="2"/>
  <c r="E174" i="2"/>
  <c r="D174" i="2"/>
  <c r="B174" i="2"/>
  <c r="AB173" i="2"/>
  <c r="AA173" i="2"/>
  <c r="Z173" i="2"/>
  <c r="Y173" i="2"/>
  <c r="X173" i="2"/>
  <c r="V173" i="2"/>
  <c r="U173" i="2"/>
  <c r="T173" i="2"/>
  <c r="S173" i="2"/>
  <c r="R173" i="2"/>
  <c r="Q173" i="2"/>
  <c r="P173" i="2"/>
  <c r="N173" i="2"/>
  <c r="M173" i="2"/>
  <c r="L173" i="2"/>
  <c r="I173" i="2"/>
  <c r="H173" i="2"/>
  <c r="G173" i="2"/>
  <c r="F173" i="2"/>
  <c r="E173" i="2"/>
  <c r="B173" i="2"/>
  <c r="AB172" i="2"/>
  <c r="AA172" i="2"/>
  <c r="Z172" i="2"/>
  <c r="Y172" i="2"/>
  <c r="X172" i="2"/>
  <c r="V172" i="2"/>
  <c r="U172" i="2"/>
  <c r="T172" i="2"/>
  <c r="S172" i="2"/>
  <c r="R172" i="2"/>
  <c r="Q172" i="2"/>
  <c r="P172" i="2"/>
  <c r="N172" i="2"/>
  <c r="M172" i="2"/>
  <c r="L172" i="2"/>
  <c r="I172" i="2"/>
  <c r="H172" i="2"/>
  <c r="G172" i="2"/>
  <c r="F172" i="2"/>
  <c r="E172" i="2"/>
  <c r="B172" i="2"/>
  <c r="AB171" i="2"/>
  <c r="AA171" i="2"/>
  <c r="Z171" i="2"/>
  <c r="Y171" i="2"/>
  <c r="X171" i="2"/>
  <c r="V171" i="2"/>
  <c r="T171" i="2"/>
  <c r="S171" i="2"/>
  <c r="R171" i="2"/>
  <c r="Q171" i="2"/>
  <c r="P171" i="2"/>
  <c r="N171" i="2"/>
  <c r="M171" i="2"/>
  <c r="L171" i="2"/>
  <c r="I171" i="2"/>
  <c r="H171" i="2"/>
  <c r="G171" i="2"/>
  <c r="F171" i="2"/>
  <c r="B171" i="2"/>
  <c r="AB170" i="2"/>
  <c r="AA170" i="2"/>
  <c r="Z170" i="2"/>
  <c r="Y170" i="2"/>
  <c r="X170" i="2"/>
  <c r="V170" i="2"/>
  <c r="T170" i="2"/>
  <c r="S170" i="2"/>
  <c r="R170" i="2"/>
  <c r="Q170" i="2"/>
  <c r="P170" i="2"/>
  <c r="N170" i="2"/>
  <c r="M170" i="2"/>
  <c r="L170" i="2"/>
  <c r="J170" i="2"/>
  <c r="I170" i="2"/>
  <c r="H170" i="2"/>
  <c r="G170" i="2"/>
  <c r="F170" i="2"/>
  <c r="E170" i="2"/>
  <c r="B170" i="2"/>
  <c r="AB169" i="2"/>
  <c r="AA169" i="2"/>
  <c r="Z169" i="2"/>
  <c r="Y169" i="2"/>
  <c r="X169" i="2"/>
  <c r="V169" i="2"/>
  <c r="T169" i="2"/>
  <c r="S169" i="2"/>
  <c r="R169" i="2"/>
  <c r="Q169" i="2"/>
  <c r="P169" i="2"/>
  <c r="N169" i="2"/>
  <c r="M169" i="2"/>
  <c r="L169" i="2"/>
  <c r="J169" i="2"/>
  <c r="I169" i="2"/>
  <c r="H169" i="2"/>
  <c r="G169" i="2"/>
  <c r="F169" i="2"/>
  <c r="E169" i="2"/>
  <c r="B169" i="2"/>
  <c r="AB168" i="2"/>
  <c r="AA168" i="2"/>
  <c r="Z168" i="2"/>
  <c r="Y168" i="2"/>
  <c r="X168" i="2"/>
  <c r="V168" i="2"/>
  <c r="T168" i="2"/>
  <c r="S168" i="2"/>
  <c r="R168" i="2"/>
  <c r="Q168" i="2"/>
  <c r="P168" i="2"/>
  <c r="N168" i="2"/>
  <c r="M168" i="2"/>
  <c r="L168" i="2"/>
  <c r="J168" i="2"/>
  <c r="I168" i="2"/>
  <c r="H168" i="2"/>
  <c r="G168" i="2"/>
  <c r="F168" i="2"/>
  <c r="E168" i="2"/>
  <c r="B168" i="2"/>
  <c r="AB167" i="2"/>
  <c r="AA167" i="2"/>
  <c r="Z167" i="2"/>
  <c r="Y167" i="2"/>
  <c r="X167" i="2"/>
  <c r="V167" i="2"/>
  <c r="U167" i="2"/>
  <c r="T167" i="2"/>
  <c r="S167" i="2"/>
  <c r="R167" i="2"/>
  <c r="Q167" i="2"/>
  <c r="P167" i="2"/>
  <c r="N167" i="2"/>
  <c r="M167" i="2"/>
  <c r="L167" i="2"/>
  <c r="J167" i="2"/>
  <c r="I167" i="2"/>
  <c r="H167" i="2"/>
  <c r="G167" i="2"/>
  <c r="E167" i="2"/>
  <c r="B167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N166" i="2"/>
  <c r="M166" i="2"/>
  <c r="L166" i="2"/>
  <c r="J166" i="2"/>
  <c r="I166" i="2"/>
  <c r="H166" i="2"/>
  <c r="G166" i="2"/>
  <c r="E166" i="2"/>
  <c r="B166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N165" i="2"/>
  <c r="M165" i="2"/>
  <c r="L165" i="2"/>
  <c r="J165" i="2"/>
  <c r="I165" i="2"/>
  <c r="H165" i="2"/>
  <c r="G165" i="2"/>
  <c r="E165" i="2"/>
  <c r="B165" i="2"/>
  <c r="AB164" i="2"/>
  <c r="AA164" i="2"/>
  <c r="Z164" i="2"/>
  <c r="Y164" i="2"/>
  <c r="X164" i="2"/>
  <c r="V164" i="2"/>
  <c r="U164" i="2"/>
  <c r="T164" i="2"/>
  <c r="S164" i="2"/>
  <c r="R164" i="2"/>
  <c r="Q164" i="2"/>
  <c r="P164" i="2"/>
  <c r="N164" i="2"/>
  <c r="M164" i="2"/>
  <c r="L164" i="2"/>
  <c r="I164" i="2"/>
  <c r="H164" i="2"/>
  <c r="G164" i="2"/>
  <c r="F164" i="2"/>
  <c r="E164" i="2"/>
  <c r="B164" i="2"/>
  <c r="AB163" i="2"/>
  <c r="AA163" i="2"/>
  <c r="Z163" i="2"/>
  <c r="Y163" i="2"/>
  <c r="X163" i="2"/>
  <c r="V163" i="2"/>
  <c r="U163" i="2"/>
  <c r="T163" i="2"/>
  <c r="S163" i="2"/>
  <c r="R163" i="2"/>
  <c r="Q163" i="2"/>
  <c r="P163" i="2"/>
  <c r="N163" i="2"/>
  <c r="M163" i="2"/>
  <c r="L163" i="2"/>
  <c r="I163" i="2"/>
  <c r="H163" i="2"/>
  <c r="G163" i="2"/>
  <c r="F163" i="2"/>
  <c r="E163" i="2"/>
  <c r="B163" i="2"/>
  <c r="AB162" i="2"/>
  <c r="AA162" i="2"/>
  <c r="Z162" i="2"/>
  <c r="Y162" i="2"/>
  <c r="X162" i="2"/>
  <c r="V162" i="2"/>
  <c r="U162" i="2"/>
  <c r="T162" i="2"/>
  <c r="S162" i="2"/>
  <c r="R162" i="2"/>
  <c r="Q162" i="2"/>
  <c r="P162" i="2"/>
  <c r="O162" i="2"/>
  <c r="N162" i="2"/>
  <c r="M162" i="2"/>
  <c r="L162" i="2"/>
  <c r="I162" i="2"/>
  <c r="H162" i="2"/>
  <c r="G162" i="2"/>
  <c r="F162" i="2"/>
  <c r="E162" i="2"/>
  <c r="C162" i="2"/>
  <c r="B162" i="2"/>
  <c r="AB161" i="2"/>
  <c r="AA161" i="2"/>
  <c r="Z161" i="2"/>
  <c r="Y161" i="2"/>
  <c r="X161" i="2"/>
  <c r="V161" i="2"/>
  <c r="U161" i="2"/>
  <c r="T161" i="2"/>
  <c r="S161" i="2"/>
  <c r="R161" i="2"/>
  <c r="Q161" i="2"/>
  <c r="P161" i="2"/>
  <c r="N161" i="2"/>
  <c r="M161" i="2"/>
  <c r="L161" i="2"/>
  <c r="J161" i="2"/>
  <c r="I161" i="2"/>
  <c r="H161" i="2"/>
  <c r="G161" i="2"/>
  <c r="F161" i="2"/>
  <c r="E161" i="2"/>
  <c r="C161" i="2"/>
  <c r="B161" i="2"/>
  <c r="AB160" i="2"/>
  <c r="AA160" i="2"/>
  <c r="Z160" i="2"/>
  <c r="Y160" i="2"/>
  <c r="X160" i="2"/>
  <c r="V160" i="2"/>
  <c r="U160" i="2"/>
  <c r="T160" i="2"/>
  <c r="S160" i="2"/>
  <c r="R160" i="2"/>
  <c r="Q160" i="2"/>
  <c r="P160" i="2"/>
  <c r="N160" i="2"/>
  <c r="M160" i="2"/>
  <c r="L160" i="2"/>
  <c r="J160" i="2"/>
  <c r="I160" i="2"/>
  <c r="H160" i="2"/>
  <c r="G160" i="2"/>
  <c r="F160" i="2"/>
  <c r="E160" i="2"/>
  <c r="C160" i="2"/>
  <c r="B160" i="2"/>
  <c r="AB159" i="2"/>
  <c r="AA159" i="2"/>
  <c r="Z159" i="2"/>
  <c r="Y159" i="2"/>
  <c r="X159" i="2"/>
  <c r="V159" i="2"/>
  <c r="U159" i="2"/>
  <c r="T159" i="2"/>
  <c r="S159" i="2"/>
  <c r="R159" i="2"/>
  <c r="Q159" i="2"/>
  <c r="P159" i="2"/>
  <c r="N159" i="2"/>
  <c r="M159" i="2"/>
  <c r="L159" i="2"/>
  <c r="J159" i="2"/>
  <c r="I159" i="2"/>
  <c r="H159" i="2"/>
  <c r="G159" i="2"/>
  <c r="F159" i="2"/>
  <c r="E159" i="2"/>
  <c r="C159" i="2"/>
  <c r="B159" i="2"/>
  <c r="AB158" i="2"/>
  <c r="AA158" i="2"/>
  <c r="Z158" i="2"/>
  <c r="Y158" i="2"/>
  <c r="X158" i="2"/>
  <c r="V158" i="2"/>
  <c r="U158" i="2"/>
  <c r="T158" i="2"/>
  <c r="S158" i="2"/>
  <c r="R158" i="2"/>
  <c r="Q158" i="2"/>
  <c r="P158" i="2"/>
  <c r="N158" i="2"/>
  <c r="M158" i="2"/>
  <c r="L158" i="2"/>
  <c r="J158" i="2"/>
  <c r="I158" i="2"/>
  <c r="H158" i="2"/>
  <c r="G158" i="2"/>
  <c r="F158" i="2"/>
  <c r="E158" i="2"/>
  <c r="D158" i="2"/>
  <c r="C158" i="2"/>
  <c r="B158" i="2"/>
  <c r="AB157" i="2"/>
  <c r="AA157" i="2"/>
  <c r="Z157" i="2"/>
  <c r="Y157" i="2"/>
  <c r="X157" i="2"/>
  <c r="V157" i="2"/>
  <c r="U157" i="2"/>
  <c r="T157" i="2"/>
  <c r="S157" i="2"/>
  <c r="R157" i="2"/>
  <c r="Q157" i="2"/>
  <c r="P157" i="2"/>
  <c r="O157" i="2"/>
  <c r="N157" i="2"/>
  <c r="M157" i="2"/>
  <c r="L157" i="2"/>
  <c r="J157" i="2"/>
  <c r="I157" i="2"/>
  <c r="H157" i="2"/>
  <c r="G157" i="2"/>
  <c r="F157" i="2"/>
  <c r="E157" i="2"/>
  <c r="D157" i="2"/>
  <c r="C157" i="2"/>
  <c r="B157" i="2"/>
  <c r="AB156" i="2"/>
  <c r="AA156" i="2"/>
  <c r="Z156" i="2"/>
  <c r="Y156" i="2"/>
  <c r="X156" i="2"/>
  <c r="V156" i="2"/>
  <c r="U156" i="2"/>
  <c r="T156" i="2"/>
  <c r="S156" i="2"/>
  <c r="R156" i="2"/>
  <c r="Q156" i="2"/>
  <c r="P156" i="2"/>
  <c r="O156" i="2"/>
  <c r="N156" i="2"/>
  <c r="M156" i="2"/>
  <c r="L156" i="2"/>
  <c r="J156" i="2"/>
  <c r="I156" i="2"/>
  <c r="H156" i="2"/>
  <c r="G156" i="2"/>
  <c r="F156" i="2"/>
  <c r="E156" i="2"/>
  <c r="D156" i="2"/>
  <c r="B156" i="2"/>
  <c r="AB155" i="2"/>
  <c r="AA155" i="2"/>
  <c r="Z155" i="2"/>
  <c r="Y155" i="2"/>
  <c r="X155" i="2"/>
  <c r="V155" i="2"/>
  <c r="U155" i="2"/>
  <c r="T155" i="2"/>
  <c r="S155" i="2"/>
  <c r="R155" i="2"/>
  <c r="Q155" i="2"/>
  <c r="P155" i="2"/>
  <c r="O155" i="2"/>
  <c r="N155" i="2"/>
  <c r="M155" i="2"/>
  <c r="L155" i="2"/>
  <c r="J155" i="2"/>
  <c r="I155" i="2"/>
  <c r="H155" i="2"/>
  <c r="G155" i="2"/>
  <c r="F155" i="2"/>
  <c r="E155" i="2"/>
  <c r="B155" i="2"/>
  <c r="AB154" i="2"/>
  <c r="AA154" i="2"/>
  <c r="Z154" i="2"/>
  <c r="Y154" i="2"/>
  <c r="X154" i="2"/>
  <c r="V154" i="2"/>
  <c r="U154" i="2"/>
  <c r="T154" i="2"/>
  <c r="S154" i="2"/>
  <c r="R154" i="2"/>
  <c r="Q154" i="2"/>
  <c r="P154" i="2"/>
  <c r="O154" i="2"/>
  <c r="N154" i="2"/>
  <c r="M154" i="2"/>
  <c r="L154" i="2"/>
  <c r="J154" i="2"/>
  <c r="I154" i="2"/>
  <c r="H154" i="2"/>
  <c r="G154" i="2"/>
  <c r="F154" i="2"/>
  <c r="E154" i="2"/>
  <c r="B154" i="2"/>
  <c r="AB153" i="2"/>
  <c r="AA153" i="2"/>
  <c r="Z153" i="2"/>
  <c r="Y153" i="2"/>
  <c r="X153" i="2"/>
  <c r="V153" i="2"/>
  <c r="U153" i="2"/>
  <c r="T153" i="2"/>
  <c r="E153" i="2"/>
  <c r="B153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N152" i="2"/>
  <c r="M152" i="2"/>
  <c r="L152" i="2"/>
  <c r="J152" i="2"/>
  <c r="I152" i="2"/>
  <c r="H152" i="2"/>
  <c r="G152" i="2"/>
  <c r="F152" i="2"/>
  <c r="E152" i="2"/>
  <c r="B152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N151" i="2"/>
  <c r="M151" i="2"/>
  <c r="L151" i="2"/>
  <c r="J151" i="2"/>
  <c r="I151" i="2"/>
  <c r="H151" i="2"/>
  <c r="G151" i="2"/>
  <c r="F151" i="2"/>
  <c r="E151" i="2"/>
  <c r="B151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N150" i="2"/>
  <c r="M150" i="2"/>
  <c r="L150" i="2"/>
  <c r="J150" i="2"/>
  <c r="I150" i="2"/>
  <c r="H150" i="2"/>
  <c r="G150" i="2"/>
  <c r="F150" i="2"/>
  <c r="E150" i="2"/>
  <c r="B150" i="2"/>
  <c r="AB149" i="2"/>
  <c r="AA149" i="2"/>
  <c r="Z149" i="2"/>
  <c r="Y149" i="2"/>
  <c r="X149" i="2"/>
  <c r="V149" i="2"/>
  <c r="U149" i="2"/>
  <c r="T149" i="2"/>
  <c r="S149" i="2"/>
  <c r="R149" i="2"/>
  <c r="Q149" i="2"/>
  <c r="P149" i="2"/>
  <c r="N149" i="2"/>
  <c r="M149" i="2"/>
  <c r="L149" i="2"/>
  <c r="J149" i="2"/>
  <c r="I149" i="2"/>
  <c r="H149" i="2"/>
  <c r="G149" i="2"/>
  <c r="F149" i="2"/>
  <c r="E149" i="2"/>
  <c r="B149" i="2"/>
  <c r="AB148" i="2"/>
  <c r="AA148" i="2"/>
  <c r="Z148" i="2"/>
  <c r="Y148" i="2"/>
  <c r="X148" i="2"/>
  <c r="V148" i="2"/>
  <c r="U148" i="2"/>
  <c r="T148" i="2"/>
  <c r="S148" i="2"/>
  <c r="R148" i="2"/>
  <c r="Q148" i="2"/>
  <c r="P148" i="2"/>
  <c r="N148" i="2"/>
  <c r="M148" i="2"/>
  <c r="L148" i="2"/>
  <c r="J148" i="2"/>
  <c r="I148" i="2"/>
  <c r="H148" i="2"/>
  <c r="G148" i="2"/>
  <c r="F148" i="2"/>
  <c r="E148" i="2"/>
  <c r="C148" i="2"/>
  <c r="B148" i="2"/>
  <c r="AB147" i="2"/>
  <c r="AA147" i="2"/>
  <c r="Z147" i="2"/>
  <c r="Y147" i="2"/>
  <c r="X147" i="2"/>
  <c r="V147" i="2"/>
  <c r="U147" i="2"/>
  <c r="T147" i="2"/>
  <c r="S147" i="2"/>
  <c r="R147" i="2"/>
  <c r="Q147" i="2"/>
  <c r="P147" i="2"/>
  <c r="N147" i="2"/>
  <c r="M147" i="2"/>
  <c r="L147" i="2"/>
  <c r="J147" i="2"/>
  <c r="I147" i="2"/>
  <c r="H147" i="2"/>
  <c r="G147" i="2"/>
  <c r="F147" i="2"/>
  <c r="C147" i="2"/>
  <c r="B147" i="2"/>
  <c r="AB146" i="2"/>
  <c r="AA146" i="2"/>
  <c r="Z146" i="2"/>
  <c r="Y146" i="2"/>
  <c r="X146" i="2"/>
  <c r="V146" i="2"/>
  <c r="T146" i="2"/>
  <c r="S146" i="2"/>
  <c r="R146" i="2"/>
  <c r="Q146" i="2"/>
  <c r="P146" i="2"/>
  <c r="N146" i="2"/>
  <c r="M146" i="2"/>
  <c r="L146" i="2"/>
  <c r="J146" i="2"/>
  <c r="I146" i="2"/>
  <c r="H146" i="2"/>
  <c r="G146" i="2"/>
  <c r="F146" i="2"/>
  <c r="C146" i="2"/>
  <c r="B146" i="2"/>
  <c r="AB145" i="2"/>
  <c r="AA145" i="2"/>
  <c r="Z145" i="2"/>
  <c r="Y145" i="2"/>
  <c r="X145" i="2"/>
  <c r="W145" i="2"/>
  <c r="V145" i="2"/>
  <c r="T145" i="2"/>
  <c r="S145" i="2"/>
  <c r="Q145" i="2"/>
  <c r="P145" i="2"/>
  <c r="N145" i="2"/>
  <c r="M145" i="2"/>
  <c r="L145" i="2"/>
  <c r="J145" i="2"/>
  <c r="I145" i="2"/>
  <c r="H145" i="2"/>
  <c r="G145" i="2"/>
  <c r="F145" i="2"/>
  <c r="B145" i="2"/>
  <c r="AB144" i="2"/>
  <c r="AA144" i="2"/>
  <c r="Z144" i="2"/>
  <c r="Y144" i="2"/>
  <c r="X144" i="2"/>
  <c r="W144" i="2"/>
  <c r="V144" i="2"/>
  <c r="T144" i="2"/>
  <c r="S144" i="2"/>
  <c r="Q144" i="2"/>
  <c r="P144" i="2"/>
  <c r="N144" i="2"/>
  <c r="M144" i="2"/>
  <c r="L144" i="2"/>
  <c r="J144" i="2"/>
  <c r="I144" i="2"/>
  <c r="H144" i="2"/>
  <c r="G144" i="2"/>
  <c r="F144" i="2"/>
  <c r="B144" i="2"/>
  <c r="AB143" i="2"/>
  <c r="AA143" i="2"/>
  <c r="Z143" i="2"/>
  <c r="Y143" i="2"/>
  <c r="X143" i="2"/>
  <c r="V143" i="2"/>
  <c r="T143" i="2"/>
  <c r="S143" i="2"/>
  <c r="Q143" i="2"/>
  <c r="P143" i="2"/>
  <c r="N143" i="2"/>
  <c r="M143" i="2"/>
  <c r="L143" i="2"/>
  <c r="J143" i="2"/>
  <c r="I143" i="2"/>
  <c r="H143" i="2"/>
  <c r="G143" i="2"/>
  <c r="F143" i="2"/>
  <c r="E143" i="2"/>
  <c r="B143" i="2"/>
  <c r="AB142" i="2"/>
  <c r="AA142" i="2"/>
  <c r="Z142" i="2"/>
  <c r="Y142" i="2"/>
  <c r="X142" i="2"/>
  <c r="V142" i="2"/>
  <c r="T142" i="2"/>
  <c r="S142" i="2"/>
  <c r="Q142" i="2"/>
  <c r="P142" i="2"/>
  <c r="N142" i="2"/>
  <c r="M142" i="2"/>
  <c r="L142" i="2"/>
  <c r="J142" i="2"/>
  <c r="I142" i="2"/>
  <c r="H142" i="2"/>
  <c r="G142" i="2"/>
  <c r="F142" i="2"/>
  <c r="E142" i="2"/>
  <c r="D142" i="2"/>
  <c r="B142" i="2"/>
  <c r="AB141" i="2"/>
  <c r="AA141" i="2"/>
  <c r="Z141" i="2"/>
  <c r="Y141" i="2"/>
  <c r="X141" i="2"/>
  <c r="V141" i="2"/>
  <c r="T141" i="2"/>
  <c r="S141" i="2"/>
  <c r="Q141" i="2"/>
  <c r="P141" i="2"/>
  <c r="N141" i="2"/>
  <c r="M141" i="2"/>
  <c r="L141" i="2"/>
  <c r="J141" i="2"/>
  <c r="I141" i="2"/>
  <c r="H141" i="2"/>
  <c r="G141" i="2"/>
  <c r="F141" i="2"/>
  <c r="E141" i="2"/>
  <c r="D141" i="2"/>
  <c r="B141" i="2"/>
  <c r="AB140" i="2"/>
  <c r="AA140" i="2"/>
  <c r="Z140" i="2"/>
  <c r="Y140" i="2"/>
  <c r="X140" i="2"/>
  <c r="V140" i="2"/>
  <c r="T140" i="2"/>
  <c r="S140" i="2"/>
  <c r="Q140" i="2"/>
  <c r="P140" i="2"/>
  <c r="N140" i="2"/>
  <c r="M140" i="2"/>
  <c r="L140" i="2"/>
  <c r="J140" i="2"/>
  <c r="I140" i="2"/>
  <c r="H140" i="2"/>
  <c r="G140" i="2"/>
  <c r="F140" i="2"/>
  <c r="E140" i="2"/>
  <c r="D140" i="2"/>
  <c r="B140" i="2"/>
  <c r="AB139" i="2"/>
  <c r="AA139" i="2"/>
  <c r="Z139" i="2"/>
  <c r="Y139" i="2"/>
  <c r="X139" i="2"/>
  <c r="V139" i="2"/>
  <c r="T139" i="2"/>
  <c r="S139" i="2"/>
  <c r="Q139" i="2"/>
  <c r="P139" i="2"/>
  <c r="N139" i="2"/>
  <c r="M139" i="2"/>
  <c r="L139" i="2"/>
  <c r="J139" i="2"/>
  <c r="I139" i="2"/>
  <c r="H139" i="2"/>
  <c r="G139" i="2"/>
  <c r="F139" i="2"/>
  <c r="E139" i="2"/>
  <c r="D139" i="2"/>
  <c r="B139" i="2"/>
  <c r="AB138" i="2"/>
  <c r="AA138" i="2"/>
  <c r="Z138" i="2"/>
  <c r="Y138" i="2"/>
  <c r="X138" i="2"/>
  <c r="V138" i="2"/>
  <c r="U138" i="2"/>
  <c r="T138" i="2"/>
  <c r="S138" i="2"/>
  <c r="Q138" i="2"/>
  <c r="P138" i="2"/>
  <c r="N138" i="2"/>
  <c r="M138" i="2"/>
  <c r="L138" i="2"/>
  <c r="J138" i="2"/>
  <c r="I138" i="2"/>
  <c r="H138" i="2"/>
  <c r="G138" i="2"/>
  <c r="F138" i="2"/>
  <c r="E138" i="2"/>
  <c r="D138" i="2"/>
  <c r="B138" i="2"/>
  <c r="AB137" i="2"/>
  <c r="AA137" i="2"/>
  <c r="Z137" i="2"/>
  <c r="Y137" i="2"/>
  <c r="X137" i="2"/>
  <c r="V137" i="2"/>
  <c r="U137" i="2"/>
  <c r="T137" i="2"/>
  <c r="S137" i="2"/>
  <c r="R137" i="2"/>
  <c r="Q137" i="2"/>
  <c r="P137" i="2"/>
  <c r="N137" i="2"/>
  <c r="M137" i="2"/>
  <c r="L137" i="2"/>
  <c r="J137" i="2"/>
  <c r="I137" i="2"/>
  <c r="H137" i="2"/>
  <c r="G137" i="2"/>
  <c r="F137" i="2"/>
  <c r="E137" i="2"/>
  <c r="D137" i="2"/>
  <c r="C137" i="2"/>
  <c r="B137" i="2"/>
  <c r="AB136" i="2"/>
  <c r="AA136" i="2"/>
  <c r="Z136" i="2"/>
  <c r="Y136" i="2"/>
  <c r="X136" i="2"/>
  <c r="V136" i="2"/>
  <c r="U136" i="2"/>
  <c r="T136" i="2"/>
  <c r="S136" i="2"/>
  <c r="R136" i="2"/>
  <c r="Q136" i="2"/>
  <c r="P136" i="2"/>
  <c r="N136" i="2"/>
  <c r="M136" i="2"/>
  <c r="L136" i="2"/>
  <c r="J136" i="2"/>
  <c r="I136" i="2"/>
  <c r="H136" i="2"/>
  <c r="G136" i="2"/>
  <c r="F136" i="2"/>
  <c r="E136" i="2"/>
  <c r="D136" i="2"/>
  <c r="C136" i="2"/>
  <c r="B136" i="2"/>
  <c r="AB135" i="2"/>
  <c r="AA135" i="2"/>
  <c r="Z135" i="2"/>
  <c r="Y135" i="2"/>
  <c r="X135" i="2"/>
  <c r="V135" i="2"/>
  <c r="U135" i="2"/>
  <c r="T135" i="2"/>
  <c r="S135" i="2"/>
  <c r="R135" i="2"/>
  <c r="Q135" i="2"/>
  <c r="P135" i="2"/>
  <c r="N135" i="2"/>
  <c r="M135" i="2"/>
  <c r="L135" i="2"/>
  <c r="J135" i="2"/>
  <c r="I135" i="2"/>
  <c r="H135" i="2"/>
  <c r="G135" i="2"/>
  <c r="F135" i="2"/>
  <c r="E135" i="2"/>
  <c r="C135" i="2"/>
  <c r="B135" i="2"/>
  <c r="AB134" i="2"/>
  <c r="AA134" i="2"/>
  <c r="Z134" i="2"/>
  <c r="Y134" i="2"/>
  <c r="X134" i="2"/>
  <c r="V134" i="2"/>
  <c r="U134" i="2"/>
  <c r="T134" i="2"/>
  <c r="S134" i="2"/>
  <c r="R134" i="2"/>
  <c r="Q134" i="2"/>
  <c r="P134" i="2"/>
  <c r="N134" i="2"/>
  <c r="M134" i="2"/>
  <c r="L134" i="2"/>
  <c r="J134" i="2"/>
  <c r="I134" i="2"/>
  <c r="H134" i="2"/>
  <c r="G134" i="2"/>
  <c r="F134" i="2"/>
  <c r="E134" i="2"/>
  <c r="C134" i="2"/>
  <c r="B134" i="2"/>
  <c r="AB133" i="2"/>
  <c r="AA133" i="2"/>
  <c r="Z133" i="2"/>
  <c r="Y133" i="2"/>
  <c r="X133" i="2"/>
  <c r="V133" i="2"/>
  <c r="U133" i="2"/>
  <c r="T133" i="2"/>
  <c r="S133" i="2"/>
  <c r="R133" i="2"/>
  <c r="Q133" i="2"/>
  <c r="P133" i="2"/>
  <c r="N133" i="2"/>
  <c r="M133" i="2"/>
  <c r="L133" i="2"/>
  <c r="J133" i="2"/>
  <c r="I133" i="2"/>
  <c r="H133" i="2"/>
  <c r="G133" i="2"/>
  <c r="F133" i="2"/>
  <c r="E133" i="2"/>
  <c r="C133" i="2"/>
  <c r="B133" i="2"/>
  <c r="AB132" i="2"/>
  <c r="AA132" i="2"/>
  <c r="Z132" i="2"/>
  <c r="Y132" i="2"/>
  <c r="X132" i="2"/>
  <c r="V132" i="2"/>
  <c r="U132" i="2"/>
  <c r="T132" i="2"/>
  <c r="S132" i="2"/>
  <c r="Q132" i="2"/>
  <c r="P132" i="2"/>
  <c r="N132" i="2"/>
  <c r="M132" i="2"/>
  <c r="L132" i="2"/>
  <c r="J132" i="2"/>
  <c r="I132" i="2"/>
  <c r="H132" i="2"/>
  <c r="G132" i="2"/>
  <c r="F132" i="2"/>
  <c r="E132" i="2"/>
  <c r="C132" i="2"/>
  <c r="B132" i="2"/>
  <c r="AB131" i="2"/>
  <c r="AA131" i="2"/>
  <c r="Z131" i="2"/>
  <c r="Y131" i="2"/>
  <c r="X131" i="2"/>
  <c r="V131" i="2"/>
  <c r="U131" i="2"/>
  <c r="T131" i="2"/>
  <c r="S131" i="2"/>
  <c r="Q131" i="2"/>
  <c r="P131" i="2"/>
  <c r="N131" i="2"/>
  <c r="M131" i="2"/>
  <c r="L131" i="2"/>
  <c r="J131" i="2"/>
  <c r="I131" i="2"/>
  <c r="H131" i="2"/>
  <c r="G131" i="2"/>
  <c r="F131" i="2"/>
  <c r="B131" i="2"/>
  <c r="AB130" i="2"/>
  <c r="AA130" i="2"/>
  <c r="Z130" i="2"/>
  <c r="Y130" i="2"/>
  <c r="X130" i="2"/>
  <c r="V130" i="2"/>
  <c r="U130" i="2"/>
  <c r="T130" i="2"/>
  <c r="S130" i="2"/>
  <c r="Q130" i="2"/>
  <c r="P130" i="2"/>
  <c r="O130" i="2"/>
  <c r="N130" i="2"/>
  <c r="M130" i="2"/>
  <c r="L130" i="2"/>
  <c r="J130" i="2"/>
  <c r="I130" i="2"/>
  <c r="H130" i="2"/>
  <c r="G130" i="2"/>
  <c r="F130" i="2"/>
  <c r="B130" i="2"/>
  <c r="AB129" i="2"/>
  <c r="AA129" i="2"/>
  <c r="Z129" i="2"/>
  <c r="Y129" i="2"/>
  <c r="X129" i="2"/>
  <c r="V129" i="2"/>
  <c r="U129" i="2"/>
  <c r="T129" i="2"/>
  <c r="S129" i="2"/>
  <c r="Q129" i="2"/>
  <c r="P129" i="2"/>
  <c r="O129" i="2"/>
  <c r="N129" i="2"/>
  <c r="M129" i="2"/>
  <c r="L129" i="2"/>
  <c r="J129" i="2"/>
  <c r="I129" i="2"/>
  <c r="H129" i="2"/>
  <c r="G129" i="2"/>
  <c r="F129" i="2"/>
  <c r="D129" i="2"/>
  <c r="B129" i="2"/>
  <c r="AB128" i="2"/>
  <c r="AA128" i="2"/>
  <c r="Z128" i="2"/>
  <c r="Y128" i="2"/>
  <c r="X128" i="2"/>
  <c r="U128" i="2"/>
  <c r="T128" i="2"/>
  <c r="S128" i="2"/>
  <c r="Q128" i="2"/>
  <c r="P128" i="2"/>
  <c r="O128" i="2"/>
  <c r="N128" i="2"/>
  <c r="M128" i="2"/>
  <c r="L128" i="2"/>
  <c r="J128" i="2"/>
  <c r="I128" i="2"/>
  <c r="H128" i="2"/>
  <c r="G128" i="2"/>
  <c r="F128" i="2"/>
  <c r="E128" i="2"/>
  <c r="D128" i="2"/>
  <c r="B128" i="2"/>
  <c r="AB127" i="2"/>
  <c r="AA127" i="2"/>
  <c r="Z127" i="2"/>
  <c r="Y127" i="2"/>
  <c r="X127" i="2"/>
  <c r="U127" i="2"/>
  <c r="T127" i="2"/>
  <c r="D127" i="2"/>
  <c r="C127" i="2"/>
  <c r="B127" i="2"/>
  <c r="AB126" i="2"/>
  <c r="AA126" i="2"/>
  <c r="Z126" i="2"/>
  <c r="Y126" i="2"/>
  <c r="X126" i="2"/>
  <c r="U126" i="2"/>
  <c r="T126" i="2"/>
  <c r="S126" i="2"/>
  <c r="Q126" i="2"/>
  <c r="P126" i="2"/>
  <c r="O126" i="2"/>
  <c r="N126" i="2"/>
  <c r="M126" i="2"/>
  <c r="L126" i="2"/>
  <c r="J126" i="2"/>
  <c r="I126" i="2"/>
  <c r="H126" i="2"/>
  <c r="G126" i="2"/>
  <c r="F126" i="2"/>
  <c r="E126" i="2"/>
  <c r="D126" i="2"/>
  <c r="C126" i="2"/>
  <c r="B126" i="2"/>
  <c r="AB125" i="2"/>
  <c r="AA125" i="2"/>
  <c r="Z125" i="2"/>
  <c r="Y125" i="2"/>
  <c r="X125" i="2"/>
  <c r="U125" i="2"/>
  <c r="T125" i="2"/>
  <c r="S125" i="2"/>
  <c r="R125" i="2"/>
  <c r="Q125" i="2"/>
  <c r="P125" i="2"/>
  <c r="O125" i="2"/>
  <c r="N125" i="2"/>
  <c r="M125" i="2"/>
  <c r="L125" i="2"/>
  <c r="J125" i="2"/>
  <c r="I125" i="2"/>
  <c r="H125" i="2"/>
  <c r="G125" i="2"/>
  <c r="F125" i="2"/>
  <c r="E125" i="2"/>
  <c r="D125" i="2"/>
  <c r="C125" i="2"/>
  <c r="B125" i="2"/>
  <c r="AB124" i="2"/>
  <c r="AA124" i="2"/>
  <c r="Z124" i="2"/>
  <c r="Y124" i="2"/>
  <c r="X124" i="2"/>
  <c r="V124" i="2"/>
  <c r="U124" i="2"/>
  <c r="T124" i="2"/>
  <c r="S124" i="2"/>
  <c r="R124" i="2"/>
  <c r="Q124" i="2"/>
  <c r="P124" i="2"/>
  <c r="O124" i="2"/>
  <c r="N124" i="2"/>
  <c r="M124" i="2"/>
  <c r="L124" i="2"/>
  <c r="J124" i="2"/>
  <c r="I124" i="2"/>
  <c r="H124" i="2"/>
  <c r="G124" i="2"/>
  <c r="F124" i="2"/>
  <c r="E124" i="2"/>
  <c r="D124" i="2"/>
  <c r="C124" i="2"/>
  <c r="B124" i="2"/>
  <c r="AB123" i="2"/>
  <c r="AA123" i="2"/>
  <c r="Z123" i="2"/>
  <c r="Y123" i="2"/>
  <c r="X123" i="2"/>
  <c r="V123" i="2"/>
  <c r="U123" i="2"/>
  <c r="T123" i="2"/>
  <c r="S123" i="2"/>
  <c r="R123" i="2"/>
  <c r="Q123" i="2"/>
  <c r="P123" i="2"/>
  <c r="O123" i="2"/>
  <c r="N123" i="2"/>
  <c r="M123" i="2"/>
  <c r="L123" i="2"/>
  <c r="J123" i="2"/>
  <c r="I123" i="2"/>
  <c r="H123" i="2"/>
  <c r="G123" i="2"/>
  <c r="F123" i="2"/>
  <c r="E123" i="2"/>
  <c r="D123" i="2"/>
  <c r="B123" i="2"/>
  <c r="AB122" i="2"/>
  <c r="AA122" i="2"/>
  <c r="Z122" i="2"/>
  <c r="Y122" i="2"/>
  <c r="X122" i="2"/>
  <c r="U122" i="2"/>
  <c r="T122" i="2"/>
  <c r="S122" i="2"/>
  <c r="R122" i="2"/>
  <c r="Q122" i="2"/>
  <c r="P122" i="2"/>
  <c r="O122" i="2"/>
  <c r="N122" i="2"/>
  <c r="M122" i="2"/>
  <c r="L122" i="2"/>
  <c r="J122" i="2"/>
  <c r="I122" i="2"/>
  <c r="H122" i="2"/>
  <c r="G122" i="2"/>
  <c r="F122" i="2"/>
  <c r="E122" i="2"/>
  <c r="D122" i="2"/>
  <c r="B122" i="2"/>
  <c r="AB121" i="2"/>
  <c r="AA121" i="2"/>
  <c r="Z121" i="2"/>
  <c r="Y121" i="2"/>
  <c r="X121" i="2"/>
  <c r="U121" i="2"/>
  <c r="T121" i="2"/>
  <c r="S121" i="2"/>
  <c r="R121" i="2"/>
  <c r="Q121" i="2"/>
  <c r="P121" i="2"/>
  <c r="O121" i="2"/>
  <c r="N121" i="2"/>
  <c r="M121" i="2"/>
  <c r="L121" i="2"/>
  <c r="J121" i="2"/>
  <c r="I121" i="2"/>
  <c r="H121" i="2"/>
  <c r="G121" i="2"/>
  <c r="F121" i="2"/>
  <c r="E121" i="2"/>
  <c r="C121" i="2"/>
  <c r="B121" i="2"/>
  <c r="AB120" i="2"/>
  <c r="AA120" i="2"/>
  <c r="Z120" i="2"/>
  <c r="Y120" i="2"/>
  <c r="X120" i="2"/>
  <c r="W120" i="2"/>
  <c r="U120" i="2"/>
  <c r="T120" i="2"/>
  <c r="S120" i="2"/>
  <c r="R120" i="2"/>
  <c r="Q120" i="2"/>
  <c r="P120" i="2"/>
  <c r="O120" i="2"/>
  <c r="N120" i="2"/>
  <c r="M120" i="2"/>
  <c r="L120" i="2"/>
  <c r="J120" i="2"/>
  <c r="I120" i="2"/>
  <c r="H120" i="2"/>
  <c r="G120" i="2"/>
  <c r="F120" i="2"/>
  <c r="E120" i="2"/>
  <c r="C120" i="2"/>
  <c r="B120" i="2"/>
  <c r="W117" i="2"/>
  <c r="AB113" i="2"/>
  <c r="AA113" i="2"/>
  <c r="Z113" i="2"/>
  <c r="Y113" i="2"/>
  <c r="X113" i="2"/>
  <c r="W113" i="2"/>
  <c r="V113" i="2"/>
  <c r="U113" i="2"/>
  <c r="Q113" i="2"/>
  <c r="O113" i="2"/>
  <c r="AB112" i="2"/>
  <c r="AA112" i="2"/>
  <c r="Z112" i="2"/>
  <c r="Y112" i="2"/>
  <c r="X112" i="2"/>
  <c r="V112" i="2"/>
  <c r="U112" i="2"/>
  <c r="Q112" i="2"/>
  <c r="O112" i="2"/>
  <c r="AB111" i="2"/>
  <c r="AA111" i="2"/>
  <c r="Z111" i="2"/>
  <c r="Y111" i="2"/>
  <c r="X111" i="2"/>
  <c r="W111" i="2"/>
  <c r="V111" i="2"/>
  <c r="U111" i="2"/>
  <c r="Q111" i="2"/>
  <c r="AA110" i="2"/>
  <c r="X110" i="2"/>
  <c r="W110" i="2"/>
  <c r="V110" i="2"/>
  <c r="U110" i="2"/>
  <c r="Q110" i="2"/>
  <c r="AA109" i="2"/>
  <c r="Y109" i="2"/>
  <c r="X109" i="2"/>
  <c r="W109" i="2"/>
  <c r="V109" i="2"/>
  <c r="U109" i="2"/>
  <c r="Q109" i="2"/>
  <c r="AA108" i="2"/>
  <c r="Y108" i="2"/>
  <c r="X108" i="2"/>
  <c r="W108" i="2"/>
  <c r="V108" i="2"/>
  <c r="U108" i="2"/>
  <c r="Q108" i="2"/>
  <c r="AB107" i="2"/>
  <c r="AA107" i="2"/>
  <c r="Y107" i="2"/>
  <c r="X107" i="2"/>
  <c r="W107" i="2"/>
  <c r="V107" i="2"/>
  <c r="U107" i="2"/>
  <c r="Q107" i="2"/>
  <c r="AB106" i="2"/>
  <c r="AA106" i="2"/>
  <c r="Y106" i="2"/>
  <c r="X106" i="2"/>
  <c r="W106" i="2"/>
  <c r="V106" i="2"/>
  <c r="U106" i="2"/>
  <c r="R106" i="2"/>
  <c r="Q106" i="2"/>
  <c r="AB105" i="2"/>
  <c r="AA105" i="2"/>
  <c r="Y105" i="2"/>
  <c r="X105" i="2"/>
  <c r="W105" i="2"/>
  <c r="V105" i="2"/>
  <c r="U105" i="2"/>
  <c r="R105" i="2"/>
  <c r="Q105" i="2"/>
  <c r="AB104" i="2"/>
  <c r="AA104" i="2"/>
  <c r="X104" i="2"/>
  <c r="W104" i="2"/>
  <c r="V104" i="2"/>
  <c r="U104" i="2"/>
  <c r="R104" i="2"/>
  <c r="Q104" i="2"/>
  <c r="AA103" i="2"/>
  <c r="W103" i="2"/>
  <c r="V103" i="2"/>
  <c r="U103" i="2"/>
  <c r="Q103" i="2"/>
  <c r="V102" i="2"/>
  <c r="U102" i="2"/>
  <c r="Q102" i="2"/>
  <c r="V101" i="2"/>
  <c r="U101" i="2"/>
  <c r="Q101" i="2"/>
  <c r="V100" i="2"/>
  <c r="U100" i="2"/>
  <c r="Q100" i="2"/>
  <c r="V99" i="2"/>
  <c r="U99" i="2"/>
  <c r="Q99" i="2"/>
  <c r="K99" i="2"/>
  <c r="Z98" i="2"/>
  <c r="V98" i="2"/>
  <c r="U98" i="2"/>
  <c r="Q98" i="2"/>
  <c r="P98" i="2"/>
  <c r="K98" i="2"/>
  <c r="Z97" i="2"/>
  <c r="V97" i="2"/>
  <c r="U97" i="2"/>
  <c r="Q97" i="2"/>
  <c r="P97" i="2"/>
  <c r="K97" i="2"/>
  <c r="Z96" i="2"/>
  <c r="V96" i="2"/>
  <c r="U96" i="2"/>
  <c r="Q96" i="2"/>
  <c r="P96" i="2"/>
  <c r="K96" i="2"/>
  <c r="AB95" i="2"/>
  <c r="Z95" i="2"/>
  <c r="X95" i="2"/>
  <c r="V95" i="2"/>
  <c r="U95" i="2"/>
  <c r="Q95" i="2"/>
  <c r="P95" i="2"/>
  <c r="K95" i="2"/>
  <c r="AB94" i="2"/>
  <c r="Z94" i="2"/>
  <c r="X94" i="2"/>
  <c r="V94" i="2"/>
  <c r="U94" i="2"/>
  <c r="Q94" i="2"/>
  <c r="P94" i="2"/>
  <c r="K94" i="2"/>
  <c r="AB93" i="2"/>
  <c r="Z93" i="2"/>
  <c r="Y93" i="2"/>
  <c r="X93" i="2"/>
  <c r="V93" i="2"/>
  <c r="U93" i="2"/>
  <c r="S93" i="2"/>
  <c r="Q93" i="2"/>
  <c r="P93" i="2"/>
  <c r="K93" i="2"/>
  <c r="AB92" i="2"/>
  <c r="Z92" i="2"/>
  <c r="X92" i="2"/>
  <c r="V92" i="2"/>
  <c r="U92" i="2"/>
  <c r="S92" i="2"/>
  <c r="Q92" i="2"/>
  <c r="P92" i="2"/>
  <c r="K92" i="2"/>
  <c r="AB91" i="2"/>
  <c r="Z91" i="2"/>
  <c r="X91" i="2"/>
  <c r="V91" i="2"/>
  <c r="U91" i="2"/>
  <c r="S91" i="2"/>
  <c r="Q91" i="2"/>
  <c r="P91" i="2"/>
  <c r="K91" i="2"/>
  <c r="AB90" i="2"/>
  <c r="AA90" i="2"/>
  <c r="Z90" i="2"/>
  <c r="X90" i="2"/>
  <c r="W90" i="2"/>
  <c r="V90" i="2"/>
  <c r="U90" i="2"/>
  <c r="T90" i="2"/>
  <c r="S90" i="2"/>
  <c r="Q90" i="2"/>
  <c r="P90" i="2"/>
  <c r="M90" i="2"/>
  <c r="K90" i="2"/>
  <c r="AB89" i="2"/>
  <c r="AA89" i="2"/>
  <c r="Z89" i="2"/>
  <c r="W89" i="2"/>
  <c r="V89" i="2"/>
  <c r="U89" i="2"/>
  <c r="T89" i="2"/>
  <c r="S89" i="2"/>
  <c r="Q89" i="2"/>
  <c r="P89" i="2"/>
  <c r="M89" i="2"/>
  <c r="K89" i="2"/>
  <c r="AA88" i="2"/>
  <c r="Z88" i="2"/>
  <c r="V88" i="2"/>
  <c r="U88" i="2"/>
  <c r="T88" i="2"/>
  <c r="S88" i="2"/>
  <c r="R88" i="2"/>
  <c r="Q88" i="2"/>
  <c r="P88" i="2"/>
  <c r="M88" i="2"/>
  <c r="K88" i="2"/>
  <c r="AA87" i="2"/>
  <c r="V87" i="2"/>
  <c r="U87" i="2"/>
  <c r="T87" i="2"/>
  <c r="Q87" i="2"/>
  <c r="P87" i="2"/>
  <c r="M87" i="2"/>
  <c r="K87" i="2"/>
  <c r="AA86" i="2"/>
  <c r="V86" i="2"/>
  <c r="U86" i="2"/>
  <c r="T86" i="2"/>
  <c r="Q86" i="2"/>
  <c r="P86" i="2"/>
  <c r="M86" i="2"/>
  <c r="K86" i="2"/>
  <c r="AA85" i="2"/>
  <c r="V85" i="2"/>
  <c r="U85" i="2"/>
  <c r="T85" i="2"/>
  <c r="Q85" i="2"/>
  <c r="P85" i="2"/>
  <c r="O85" i="2"/>
  <c r="M85" i="2"/>
  <c r="K85" i="2"/>
  <c r="AA84" i="2"/>
  <c r="V84" i="2"/>
  <c r="U84" i="2"/>
  <c r="T84" i="2"/>
  <c r="Q84" i="2"/>
  <c r="P84" i="2"/>
  <c r="O84" i="2"/>
  <c r="M84" i="2"/>
  <c r="K84" i="2"/>
  <c r="AA83" i="2"/>
  <c r="V83" i="2"/>
  <c r="U83" i="2"/>
  <c r="T83" i="2"/>
  <c r="Q83" i="2"/>
  <c r="P83" i="2"/>
  <c r="O83" i="2"/>
  <c r="M83" i="2"/>
  <c r="K83" i="2"/>
  <c r="H83" i="2"/>
  <c r="AA82" i="2"/>
  <c r="V82" i="2"/>
  <c r="U82" i="2"/>
  <c r="T82" i="2"/>
  <c r="Q82" i="2"/>
  <c r="P82" i="2"/>
  <c r="M82" i="2"/>
  <c r="K82" i="2"/>
  <c r="H82" i="2"/>
  <c r="B82" i="2"/>
  <c r="AA81" i="2"/>
  <c r="Z81" i="2"/>
  <c r="X81" i="2"/>
  <c r="V81" i="2"/>
  <c r="U81" i="2"/>
  <c r="T81" i="2"/>
  <c r="Q81" i="2"/>
  <c r="P81" i="2"/>
  <c r="M81" i="2"/>
  <c r="K81" i="2"/>
  <c r="H81" i="2"/>
  <c r="AB80" i="2"/>
  <c r="AA80" i="2"/>
  <c r="Z80" i="2"/>
  <c r="X80" i="2"/>
  <c r="V80" i="2"/>
  <c r="U80" i="2"/>
  <c r="T80" i="2"/>
  <c r="Q80" i="2"/>
  <c r="P80" i="2"/>
  <c r="M80" i="2"/>
  <c r="K80" i="2"/>
  <c r="H80" i="2"/>
  <c r="AB79" i="2"/>
  <c r="AA79" i="2"/>
  <c r="Z79" i="2"/>
  <c r="X79" i="2"/>
  <c r="V79" i="2"/>
  <c r="U79" i="2"/>
  <c r="T79" i="2"/>
  <c r="S79" i="2"/>
  <c r="Q79" i="2"/>
  <c r="P79" i="2"/>
  <c r="M79" i="2"/>
  <c r="K79" i="2"/>
  <c r="AB78" i="2"/>
  <c r="AA78" i="2"/>
  <c r="Z78" i="2"/>
  <c r="Y78" i="2"/>
  <c r="X78" i="2"/>
  <c r="V78" i="2"/>
  <c r="U78" i="2"/>
  <c r="T78" i="2"/>
  <c r="S78" i="2"/>
  <c r="Q78" i="2"/>
  <c r="P78" i="2"/>
  <c r="O78" i="2"/>
  <c r="N78" i="2"/>
  <c r="M78" i="2"/>
  <c r="K78" i="2"/>
  <c r="J78" i="2"/>
  <c r="G78" i="2"/>
  <c r="C78" i="2"/>
  <c r="B78" i="2"/>
  <c r="AB77" i="2"/>
  <c r="AA77" i="2"/>
  <c r="Y77" i="2"/>
  <c r="V77" i="2"/>
  <c r="U77" i="2"/>
  <c r="T77" i="2"/>
  <c r="S77" i="2"/>
  <c r="Q77" i="2"/>
  <c r="P77" i="2"/>
  <c r="N77" i="2"/>
  <c r="M77" i="2"/>
  <c r="K77" i="2"/>
  <c r="J77" i="2"/>
  <c r="C77" i="2"/>
  <c r="B77" i="2"/>
  <c r="AB76" i="2"/>
  <c r="AA76" i="2"/>
  <c r="Y76" i="2"/>
  <c r="V76" i="2"/>
  <c r="U76" i="2"/>
  <c r="T76" i="2"/>
  <c r="S76" i="2"/>
  <c r="Q76" i="2"/>
  <c r="P76" i="2"/>
  <c r="N76" i="2"/>
  <c r="M76" i="2"/>
  <c r="K76" i="2"/>
  <c r="J76" i="2"/>
  <c r="C76" i="2"/>
  <c r="B76" i="2"/>
  <c r="AB75" i="2"/>
  <c r="AA75" i="2"/>
  <c r="Y75" i="2"/>
  <c r="V75" i="2"/>
  <c r="U75" i="2"/>
  <c r="T75" i="2"/>
  <c r="S75" i="2"/>
  <c r="Q75" i="2"/>
  <c r="P75" i="2"/>
  <c r="N75" i="2"/>
  <c r="M75" i="2"/>
  <c r="K75" i="2"/>
  <c r="J75" i="2"/>
  <c r="C75" i="2"/>
  <c r="B75" i="2"/>
  <c r="AB74" i="2"/>
  <c r="AA74" i="2"/>
  <c r="Y74" i="2"/>
  <c r="V74" i="2"/>
  <c r="U74" i="2"/>
  <c r="T74" i="2"/>
  <c r="S74" i="2"/>
  <c r="Q74" i="2"/>
  <c r="P74" i="2"/>
  <c r="N74" i="2"/>
  <c r="M74" i="2"/>
  <c r="K74" i="2"/>
  <c r="J74" i="2"/>
  <c r="I74" i="2"/>
  <c r="G74" i="2"/>
  <c r="E74" i="2"/>
  <c r="C74" i="2"/>
  <c r="B74" i="2"/>
  <c r="AB73" i="2"/>
  <c r="AA73" i="2"/>
  <c r="Z73" i="2"/>
  <c r="Y73" i="2"/>
  <c r="V73" i="2"/>
  <c r="U73" i="2"/>
  <c r="T73" i="2"/>
  <c r="S73" i="2"/>
  <c r="Q73" i="2"/>
  <c r="P73" i="2"/>
  <c r="N73" i="2"/>
  <c r="M73" i="2"/>
  <c r="K73" i="2"/>
  <c r="J73" i="2"/>
  <c r="I73" i="2"/>
  <c r="H73" i="2"/>
  <c r="G73" i="2"/>
  <c r="C73" i="2"/>
  <c r="B73" i="2"/>
  <c r="AB72" i="2"/>
  <c r="AA72" i="2"/>
  <c r="Z72" i="2"/>
  <c r="Y72" i="2"/>
  <c r="V72" i="2"/>
  <c r="T72" i="2"/>
  <c r="S72" i="2"/>
  <c r="Q72" i="2"/>
  <c r="P72" i="2"/>
  <c r="N72" i="2"/>
  <c r="M72" i="2"/>
  <c r="K72" i="2"/>
  <c r="I72" i="2"/>
  <c r="H72" i="2"/>
  <c r="G72" i="2"/>
  <c r="C72" i="2"/>
  <c r="B72" i="2"/>
  <c r="AB71" i="2"/>
  <c r="AA71" i="2"/>
  <c r="Z71" i="2"/>
  <c r="Y71" i="2"/>
  <c r="V71" i="2"/>
  <c r="T71" i="2"/>
  <c r="S71" i="2"/>
  <c r="Q71" i="2"/>
  <c r="P71" i="2"/>
  <c r="N71" i="2"/>
  <c r="M71" i="2"/>
  <c r="K71" i="2"/>
  <c r="I71" i="2"/>
  <c r="G71" i="2"/>
  <c r="B71" i="2"/>
  <c r="AB70" i="2"/>
  <c r="AA70" i="2"/>
  <c r="Z70" i="2"/>
  <c r="Y70" i="2"/>
  <c r="W70" i="2"/>
  <c r="V70" i="2"/>
  <c r="T70" i="2"/>
  <c r="S70" i="2"/>
  <c r="Q70" i="2"/>
  <c r="P70" i="2"/>
  <c r="N70" i="2"/>
  <c r="M70" i="2"/>
  <c r="L70" i="2"/>
  <c r="K70" i="2"/>
  <c r="I70" i="2"/>
  <c r="G70" i="2"/>
  <c r="B70" i="2"/>
  <c r="AB69" i="2"/>
  <c r="AA69" i="2"/>
  <c r="Z69" i="2"/>
  <c r="Y69" i="2"/>
  <c r="V69" i="2"/>
  <c r="T69" i="2"/>
  <c r="S69" i="2"/>
  <c r="Q69" i="2"/>
  <c r="P69" i="2"/>
  <c r="N69" i="2"/>
  <c r="M69" i="2"/>
  <c r="K69" i="2"/>
  <c r="I69" i="2"/>
  <c r="G69" i="2"/>
  <c r="B69" i="2"/>
  <c r="AB68" i="2"/>
  <c r="AA68" i="2"/>
  <c r="Z68" i="2"/>
  <c r="Y68" i="2"/>
  <c r="V68" i="2"/>
  <c r="U68" i="2"/>
  <c r="T68" i="2"/>
  <c r="S68" i="2"/>
  <c r="Q68" i="2"/>
  <c r="P68" i="2"/>
  <c r="N68" i="2"/>
  <c r="M68" i="2"/>
  <c r="K68" i="2"/>
  <c r="I68" i="2"/>
  <c r="G68" i="2"/>
  <c r="D68" i="2"/>
  <c r="B68" i="2"/>
  <c r="AB67" i="2"/>
  <c r="AA67" i="2"/>
  <c r="Z67" i="2"/>
  <c r="Y67" i="2"/>
  <c r="V67" i="2"/>
  <c r="U67" i="2"/>
  <c r="T67" i="2"/>
  <c r="S67" i="2"/>
  <c r="Q67" i="2"/>
  <c r="P67" i="2"/>
  <c r="N67" i="2"/>
  <c r="M67" i="2"/>
  <c r="K67" i="2"/>
  <c r="I67" i="2"/>
  <c r="H67" i="2"/>
  <c r="G67" i="2"/>
  <c r="B67" i="2"/>
  <c r="AB66" i="2"/>
  <c r="AA66" i="2"/>
  <c r="Z66" i="2"/>
  <c r="Y66" i="2"/>
  <c r="X66" i="2"/>
  <c r="V66" i="2"/>
  <c r="U66" i="2"/>
  <c r="T66" i="2"/>
  <c r="S66" i="2"/>
  <c r="Q66" i="2"/>
  <c r="P66" i="2"/>
  <c r="N66" i="2"/>
  <c r="M66" i="2"/>
  <c r="K66" i="2"/>
  <c r="I66" i="2"/>
  <c r="G66" i="2"/>
  <c r="B66" i="2"/>
  <c r="AB65" i="2"/>
  <c r="AA65" i="2"/>
  <c r="Z65" i="2"/>
  <c r="Y65" i="2"/>
  <c r="X65" i="2"/>
  <c r="V65" i="2"/>
  <c r="U65" i="2"/>
  <c r="T65" i="2"/>
  <c r="S65" i="2"/>
  <c r="Q65" i="2"/>
  <c r="P65" i="2"/>
  <c r="N65" i="2"/>
  <c r="M65" i="2"/>
  <c r="L65" i="2"/>
  <c r="K65" i="2"/>
  <c r="I65" i="2"/>
  <c r="G65" i="2"/>
  <c r="B65" i="2"/>
  <c r="AB64" i="2"/>
  <c r="AA64" i="2"/>
  <c r="Z64" i="2"/>
  <c r="Y64" i="2"/>
  <c r="X64" i="2"/>
  <c r="V64" i="2"/>
  <c r="U64" i="2"/>
  <c r="T64" i="2"/>
  <c r="S64" i="2"/>
  <c r="Q64" i="2"/>
  <c r="P64" i="2"/>
  <c r="N64" i="2"/>
  <c r="M64" i="2"/>
  <c r="L64" i="2"/>
  <c r="K64" i="2"/>
  <c r="I64" i="2"/>
  <c r="G64" i="2"/>
  <c r="B64" i="2"/>
  <c r="AB63" i="2"/>
  <c r="AA63" i="2"/>
  <c r="Z63" i="2"/>
  <c r="Y63" i="2"/>
  <c r="X63" i="2"/>
  <c r="V63" i="2"/>
  <c r="U63" i="2"/>
  <c r="T63" i="2"/>
  <c r="S63" i="2"/>
  <c r="R63" i="2"/>
  <c r="Q63" i="2"/>
  <c r="P63" i="2"/>
  <c r="N63" i="2"/>
  <c r="M63" i="2"/>
  <c r="L63" i="2"/>
  <c r="K63" i="2"/>
  <c r="I63" i="2"/>
  <c r="H63" i="2"/>
  <c r="G63" i="2"/>
  <c r="C63" i="2"/>
  <c r="B63" i="2"/>
  <c r="AB62" i="2"/>
  <c r="AA62" i="2"/>
  <c r="Z62" i="2"/>
  <c r="Y62" i="2"/>
  <c r="X62" i="2"/>
  <c r="V62" i="2"/>
  <c r="U62" i="2"/>
  <c r="T62" i="2"/>
  <c r="S62" i="2"/>
  <c r="R62" i="2"/>
  <c r="Q62" i="2"/>
  <c r="P62" i="2"/>
  <c r="N62" i="2"/>
  <c r="M62" i="2"/>
  <c r="L62" i="2"/>
  <c r="K62" i="2"/>
  <c r="I62" i="2"/>
  <c r="H62" i="2"/>
  <c r="G62" i="2"/>
  <c r="C62" i="2"/>
  <c r="B62" i="2"/>
  <c r="AB61" i="2"/>
  <c r="AA61" i="2"/>
  <c r="Z61" i="2"/>
  <c r="Y61" i="2"/>
  <c r="X61" i="2"/>
  <c r="V61" i="2"/>
  <c r="T61" i="2"/>
  <c r="S61" i="2"/>
  <c r="R61" i="2"/>
  <c r="Q61" i="2"/>
  <c r="P61" i="2"/>
  <c r="N61" i="2"/>
  <c r="M61" i="2"/>
  <c r="L61" i="2"/>
  <c r="K61" i="2"/>
  <c r="I61" i="2"/>
  <c r="H61" i="2"/>
  <c r="G61" i="2"/>
  <c r="D61" i="2"/>
  <c r="C61" i="2"/>
  <c r="B61" i="2"/>
  <c r="AB60" i="2"/>
  <c r="AA60" i="2"/>
  <c r="Z60" i="2"/>
  <c r="Y60" i="2"/>
  <c r="X60" i="2"/>
  <c r="V60" i="2"/>
  <c r="T60" i="2"/>
  <c r="S60" i="2"/>
  <c r="R60" i="2"/>
  <c r="Q60" i="2"/>
  <c r="P60" i="2"/>
  <c r="N60" i="2"/>
  <c r="M60" i="2"/>
  <c r="L60" i="2"/>
  <c r="K60" i="2"/>
  <c r="I60" i="2"/>
  <c r="H60" i="2"/>
  <c r="G60" i="2"/>
  <c r="D60" i="2"/>
  <c r="B60" i="2"/>
  <c r="AB59" i="2"/>
  <c r="AA59" i="2"/>
  <c r="Z59" i="2"/>
  <c r="Y59" i="2"/>
  <c r="X59" i="2"/>
  <c r="V59" i="2"/>
  <c r="T59" i="2"/>
  <c r="S59" i="2"/>
  <c r="R59" i="2"/>
  <c r="Q59" i="2"/>
  <c r="P59" i="2"/>
  <c r="N59" i="2"/>
  <c r="M59" i="2"/>
  <c r="K59" i="2"/>
  <c r="J59" i="2"/>
  <c r="I59" i="2"/>
  <c r="H59" i="2"/>
  <c r="G59" i="2"/>
  <c r="B59" i="2"/>
  <c r="AB58" i="2"/>
  <c r="AA58" i="2"/>
  <c r="Z58" i="2"/>
  <c r="Y58" i="2"/>
  <c r="X58" i="2"/>
  <c r="V58" i="2"/>
  <c r="T58" i="2"/>
  <c r="S58" i="2"/>
  <c r="R58" i="2"/>
  <c r="Q58" i="2"/>
  <c r="P58" i="2"/>
  <c r="N58" i="2"/>
  <c r="M58" i="2"/>
  <c r="K58" i="2"/>
  <c r="J58" i="2"/>
  <c r="I58" i="2"/>
  <c r="H58" i="2"/>
  <c r="G58" i="2"/>
  <c r="B58" i="2"/>
  <c r="AB57" i="2"/>
  <c r="AA57" i="2"/>
  <c r="Z57" i="2"/>
  <c r="Y57" i="2"/>
  <c r="X57" i="2"/>
  <c r="V57" i="2"/>
  <c r="U57" i="2"/>
  <c r="T57" i="2"/>
  <c r="S57" i="2"/>
  <c r="R57" i="2"/>
  <c r="Q57" i="2"/>
  <c r="P57" i="2"/>
  <c r="N57" i="2"/>
  <c r="M57" i="2"/>
  <c r="K57" i="2"/>
  <c r="J57" i="2"/>
  <c r="I57" i="2"/>
  <c r="H57" i="2"/>
  <c r="G57" i="2"/>
  <c r="B57" i="2"/>
  <c r="AB56" i="2"/>
  <c r="AA56" i="2"/>
  <c r="Z56" i="2"/>
  <c r="Y56" i="2"/>
  <c r="X56" i="2"/>
  <c r="V56" i="2"/>
  <c r="U56" i="2"/>
  <c r="T56" i="2"/>
  <c r="S56" i="2"/>
  <c r="R56" i="2"/>
  <c r="Q56" i="2"/>
  <c r="P56" i="2"/>
  <c r="N56" i="2"/>
  <c r="M56" i="2"/>
  <c r="K56" i="2"/>
  <c r="I56" i="2"/>
  <c r="H56" i="2"/>
  <c r="G56" i="2"/>
  <c r="B56" i="2"/>
  <c r="AB55" i="2"/>
  <c r="AA55" i="2"/>
  <c r="Z55" i="2"/>
  <c r="Y55" i="2"/>
  <c r="X55" i="2"/>
  <c r="V55" i="2"/>
  <c r="U55" i="2"/>
  <c r="T55" i="2"/>
  <c r="S55" i="2"/>
  <c r="R55" i="2"/>
  <c r="Q55" i="2"/>
  <c r="P55" i="2"/>
  <c r="N55" i="2"/>
  <c r="M55" i="2"/>
  <c r="L55" i="2"/>
  <c r="K55" i="2"/>
  <c r="I55" i="2"/>
  <c r="H55" i="2"/>
  <c r="G55" i="2"/>
  <c r="B55" i="2"/>
  <c r="AB54" i="2"/>
  <c r="AA54" i="2"/>
  <c r="Z54" i="2"/>
  <c r="Y54" i="2"/>
  <c r="X54" i="2"/>
  <c r="V54" i="2"/>
  <c r="U54" i="2"/>
  <c r="T54" i="2"/>
  <c r="S54" i="2"/>
  <c r="R54" i="2"/>
  <c r="Q54" i="2"/>
  <c r="P54" i="2"/>
  <c r="N54" i="2"/>
  <c r="M54" i="2"/>
  <c r="L54" i="2"/>
  <c r="K54" i="2"/>
  <c r="I54" i="2"/>
  <c r="H54" i="2"/>
  <c r="G54" i="2"/>
  <c r="B54" i="2"/>
  <c r="AB53" i="2"/>
  <c r="AA53" i="2"/>
  <c r="Z53" i="2"/>
  <c r="Y53" i="2"/>
  <c r="X53" i="2"/>
  <c r="V53" i="2"/>
  <c r="U53" i="2"/>
  <c r="T53" i="2"/>
  <c r="S53" i="2"/>
  <c r="R53" i="2"/>
  <c r="Q53" i="2"/>
  <c r="P53" i="2"/>
  <c r="N53" i="2"/>
  <c r="M53" i="2"/>
  <c r="L53" i="2"/>
  <c r="K53" i="2"/>
  <c r="I53" i="2"/>
  <c r="H53" i="2"/>
  <c r="G53" i="2"/>
  <c r="F53" i="2"/>
  <c r="B53" i="2"/>
  <c r="AB52" i="2"/>
  <c r="AA52" i="2"/>
  <c r="Z52" i="2"/>
  <c r="Y52" i="2"/>
  <c r="X52" i="2"/>
  <c r="V52" i="2"/>
  <c r="U52" i="2"/>
  <c r="T52" i="2"/>
  <c r="S52" i="2"/>
  <c r="R52" i="2"/>
  <c r="Q52" i="2"/>
  <c r="P52" i="2"/>
  <c r="N52" i="2"/>
  <c r="M52" i="2"/>
  <c r="L52" i="2"/>
  <c r="K52" i="2"/>
  <c r="I52" i="2"/>
  <c r="H52" i="2"/>
  <c r="G52" i="2"/>
  <c r="F52" i="2"/>
  <c r="B52" i="2"/>
  <c r="AB51" i="2"/>
  <c r="AA51" i="2"/>
  <c r="Z51" i="2"/>
  <c r="Y51" i="2"/>
  <c r="X51" i="2"/>
  <c r="V51" i="2"/>
  <c r="U51" i="2"/>
  <c r="T51" i="2"/>
  <c r="S51" i="2"/>
  <c r="R51" i="2"/>
  <c r="Q51" i="2"/>
  <c r="P51" i="2"/>
  <c r="N51" i="2"/>
  <c r="M51" i="2"/>
  <c r="L51" i="2"/>
  <c r="K51" i="2"/>
  <c r="I51" i="2"/>
  <c r="H51" i="2"/>
  <c r="G51" i="2"/>
  <c r="F51" i="2"/>
  <c r="B51" i="2"/>
  <c r="AB50" i="2"/>
  <c r="AA50" i="2"/>
  <c r="Z50" i="2"/>
  <c r="Y50" i="2"/>
  <c r="X50" i="2"/>
  <c r="V50" i="2"/>
  <c r="U50" i="2"/>
  <c r="T50" i="2"/>
  <c r="S50" i="2"/>
  <c r="R50" i="2"/>
  <c r="Q50" i="2"/>
  <c r="P50" i="2"/>
  <c r="N50" i="2"/>
  <c r="M50" i="2"/>
  <c r="L50" i="2"/>
  <c r="K50" i="2"/>
  <c r="I50" i="2"/>
  <c r="H50" i="2"/>
  <c r="G50" i="2"/>
  <c r="F50" i="2"/>
  <c r="E50" i="2"/>
  <c r="B50" i="2"/>
  <c r="AB49" i="2"/>
  <c r="AA49" i="2"/>
  <c r="Z49" i="2"/>
  <c r="Y49" i="2"/>
  <c r="X49" i="2"/>
  <c r="V49" i="2"/>
  <c r="U49" i="2"/>
  <c r="T49" i="2"/>
  <c r="S49" i="2"/>
  <c r="R49" i="2"/>
  <c r="Q49" i="2"/>
  <c r="P49" i="2"/>
  <c r="N49" i="2"/>
  <c r="M49" i="2"/>
  <c r="L49" i="2"/>
  <c r="K49" i="2"/>
  <c r="I49" i="2"/>
  <c r="H49" i="2"/>
  <c r="G49" i="2"/>
  <c r="F49" i="2"/>
  <c r="E49" i="2"/>
  <c r="B49" i="2"/>
  <c r="AB48" i="2"/>
  <c r="AA48" i="2"/>
  <c r="Z48" i="2"/>
  <c r="Y48" i="2"/>
  <c r="X48" i="2"/>
  <c r="V48" i="2"/>
  <c r="U48" i="2"/>
  <c r="T48" i="2"/>
  <c r="S48" i="2"/>
  <c r="R48" i="2"/>
  <c r="Q48" i="2"/>
  <c r="P48" i="2"/>
  <c r="N48" i="2"/>
  <c r="M48" i="2"/>
  <c r="L48" i="2"/>
  <c r="K48" i="2"/>
  <c r="I48" i="2"/>
  <c r="H48" i="2"/>
  <c r="G48" i="2"/>
  <c r="F48" i="2"/>
  <c r="B48" i="2"/>
  <c r="AB47" i="2"/>
  <c r="AA47" i="2"/>
  <c r="Z47" i="2"/>
  <c r="Y47" i="2"/>
  <c r="X47" i="2"/>
  <c r="V47" i="2"/>
  <c r="U47" i="2"/>
  <c r="T47" i="2"/>
  <c r="S47" i="2"/>
  <c r="R47" i="2"/>
  <c r="Q47" i="2"/>
  <c r="P47" i="2"/>
  <c r="N47" i="2"/>
  <c r="M47" i="2"/>
  <c r="L47" i="2"/>
  <c r="K47" i="2"/>
  <c r="J47" i="2"/>
  <c r="I47" i="2"/>
  <c r="H47" i="2"/>
  <c r="G47" i="2"/>
  <c r="F47" i="2"/>
  <c r="B47" i="2"/>
  <c r="AB46" i="2"/>
  <c r="AA46" i="2"/>
  <c r="Z46" i="2"/>
  <c r="Y46" i="2"/>
  <c r="X46" i="2"/>
  <c r="V46" i="2"/>
  <c r="U46" i="2"/>
  <c r="T46" i="2"/>
  <c r="S46" i="2"/>
  <c r="R46" i="2"/>
  <c r="Q46" i="2"/>
  <c r="P46" i="2"/>
  <c r="N46" i="2"/>
  <c r="M46" i="2"/>
  <c r="L46" i="2"/>
  <c r="K46" i="2"/>
  <c r="J46" i="2"/>
  <c r="I46" i="2"/>
  <c r="H46" i="2"/>
  <c r="G46" i="2"/>
  <c r="F46" i="2"/>
  <c r="B46" i="2"/>
  <c r="AB45" i="2"/>
  <c r="AA45" i="2"/>
  <c r="Z45" i="2"/>
  <c r="Y45" i="2"/>
  <c r="X45" i="2"/>
  <c r="V45" i="2"/>
  <c r="U45" i="2"/>
  <c r="T45" i="2"/>
  <c r="S45" i="2"/>
  <c r="R45" i="2"/>
  <c r="Q45" i="2"/>
  <c r="P45" i="2"/>
  <c r="N45" i="2"/>
  <c r="M45" i="2"/>
  <c r="L45" i="2"/>
  <c r="K45" i="2"/>
  <c r="J45" i="2"/>
  <c r="I45" i="2"/>
  <c r="H45" i="2"/>
  <c r="G45" i="2"/>
  <c r="F45" i="2"/>
  <c r="B45" i="2"/>
  <c r="AB44" i="2"/>
  <c r="AA44" i="2"/>
  <c r="Z44" i="2"/>
  <c r="Y44" i="2"/>
  <c r="X44" i="2"/>
  <c r="V44" i="2"/>
  <c r="U44" i="2"/>
  <c r="T44" i="2"/>
  <c r="S44" i="2"/>
  <c r="R44" i="2"/>
  <c r="Q44" i="2"/>
  <c r="P44" i="2"/>
  <c r="N44" i="2"/>
  <c r="M44" i="2"/>
  <c r="L44" i="2"/>
  <c r="K44" i="2"/>
  <c r="J44" i="2"/>
  <c r="I44" i="2"/>
  <c r="H44" i="2"/>
  <c r="G44" i="2"/>
  <c r="F44" i="2"/>
  <c r="E44" i="2"/>
  <c r="B44" i="2"/>
  <c r="AB43" i="2"/>
  <c r="AA43" i="2"/>
  <c r="Z43" i="2"/>
  <c r="Y43" i="2"/>
  <c r="X43" i="2"/>
  <c r="V43" i="2"/>
  <c r="U43" i="2"/>
  <c r="T43" i="2"/>
  <c r="S43" i="2"/>
  <c r="R43" i="2"/>
  <c r="Q43" i="2"/>
  <c r="P43" i="2"/>
  <c r="N43" i="2"/>
  <c r="M43" i="2"/>
  <c r="L43" i="2"/>
  <c r="K43" i="2"/>
  <c r="J43" i="2"/>
  <c r="I43" i="2"/>
  <c r="H43" i="2"/>
  <c r="G43" i="2"/>
  <c r="F43" i="2"/>
  <c r="E43" i="2"/>
  <c r="B43" i="2"/>
  <c r="AB42" i="2"/>
  <c r="AA42" i="2"/>
  <c r="Z42" i="2"/>
  <c r="Y42" i="2"/>
  <c r="X42" i="2"/>
  <c r="V42" i="2"/>
  <c r="U42" i="2"/>
  <c r="T42" i="2"/>
  <c r="S42" i="2"/>
  <c r="R42" i="2"/>
  <c r="Q42" i="2"/>
  <c r="P42" i="2"/>
  <c r="N42" i="2"/>
  <c r="M42" i="2"/>
  <c r="L42" i="2"/>
  <c r="K42" i="2"/>
  <c r="J42" i="2"/>
  <c r="I42" i="2"/>
  <c r="H42" i="2"/>
  <c r="G42" i="2"/>
  <c r="F42" i="2"/>
  <c r="E42" i="2"/>
  <c r="B42" i="2"/>
  <c r="AB41" i="2"/>
  <c r="AA41" i="2"/>
  <c r="Z41" i="2"/>
  <c r="Y41" i="2"/>
  <c r="X41" i="2"/>
  <c r="V41" i="2"/>
  <c r="U41" i="2"/>
  <c r="T41" i="2"/>
  <c r="S41" i="2"/>
  <c r="R41" i="2"/>
  <c r="Q41" i="2"/>
  <c r="P41" i="2"/>
  <c r="N41" i="2"/>
  <c r="M41" i="2"/>
  <c r="L41" i="2"/>
  <c r="K41" i="2"/>
  <c r="J41" i="2"/>
  <c r="I41" i="2"/>
  <c r="H41" i="2"/>
  <c r="G41" i="2"/>
  <c r="F41" i="2"/>
  <c r="E41" i="2"/>
  <c r="B41" i="2"/>
  <c r="AB40" i="2"/>
  <c r="AA40" i="2"/>
  <c r="Z40" i="2"/>
  <c r="Y40" i="2"/>
  <c r="X40" i="2"/>
  <c r="V40" i="2"/>
  <c r="U40" i="2"/>
  <c r="T40" i="2"/>
  <c r="S40" i="2"/>
  <c r="R40" i="2"/>
  <c r="Q40" i="2"/>
  <c r="P40" i="2"/>
  <c r="N40" i="2"/>
  <c r="M40" i="2"/>
  <c r="L40" i="2"/>
  <c r="K40" i="2"/>
  <c r="J40" i="2"/>
  <c r="I40" i="2"/>
  <c r="H40" i="2"/>
  <c r="G40" i="2"/>
  <c r="F40" i="2"/>
  <c r="E40" i="2"/>
  <c r="B40" i="2"/>
  <c r="AB39" i="2"/>
  <c r="AA39" i="2"/>
  <c r="Z39" i="2"/>
  <c r="Y39" i="2"/>
  <c r="X39" i="2"/>
  <c r="V39" i="2"/>
  <c r="U39" i="2"/>
  <c r="T39" i="2"/>
  <c r="S39" i="2"/>
  <c r="R39" i="2"/>
  <c r="Q39" i="2"/>
  <c r="P39" i="2"/>
  <c r="N39" i="2"/>
  <c r="M39" i="2"/>
  <c r="L39" i="2"/>
  <c r="K39" i="2"/>
  <c r="J39" i="2"/>
  <c r="I39" i="2"/>
  <c r="H39" i="2"/>
  <c r="G39" i="2"/>
  <c r="F39" i="2"/>
  <c r="E39" i="2"/>
  <c r="B39" i="2"/>
  <c r="AB38" i="2"/>
  <c r="AA38" i="2"/>
  <c r="Z38" i="2"/>
  <c r="Y38" i="2"/>
  <c r="X38" i="2"/>
  <c r="V38" i="2"/>
  <c r="U38" i="2"/>
  <c r="T38" i="2"/>
  <c r="S38" i="2"/>
  <c r="R38" i="2"/>
  <c r="Q38" i="2"/>
  <c r="P38" i="2"/>
  <c r="N38" i="2"/>
  <c r="M38" i="2"/>
  <c r="L38" i="2"/>
  <c r="K38" i="2"/>
  <c r="J38" i="2"/>
  <c r="I38" i="2"/>
  <c r="H38" i="2"/>
  <c r="G38" i="2"/>
  <c r="F38" i="2"/>
  <c r="E38" i="2"/>
  <c r="B38" i="2"/>
  <c r="AB37" i="2"/>
  <c r="AA37" i="2"/>
  <c r="Z37" i="2"/>
  <c r="Y37" i="2"/>
  <c r="X37" i="2"/>
  <c r="V37" i="2"/>
  <c r="U37" i="2"/>
  <c r="T37" i="2"/>
  <c r="S37" i="2"/>
  <c r="R37" i="2"/>
  <c r="Q37" i="2"/>
  <c r="P37" i="2"/>
  <c r="N37" i="2"/>
  <c r="M37" i="2"/>
  <c r="L37" i="2"/>
  <c r="K37" i="2"/>
  <c r="J37" i="2"/>
  <c r="I37" i="2"/>
  <c r="H37" i="2"/>
  <c r="G37" i="2"/>
  <c r="F37" i="2"/>
  <c r="E37" i="2"/>
  <c r="B37" i="2"/>
  <c r="AB36" i="2"/>
  <c r="AA36" i="2"/>
  <c r="Z36" i="2"/>
  <c r="Y36" i="2"/>
  <c r="X36" i="2"/>
  <c r="V36" i="2"/>
  <c r="T36" i="2"/>
  <c r="S36" i="2"/>
  <c r="R36" i="2"/>
  <c r="Q36" i="2"/>
  <c r="P36" i="2"/>
  <c r="N36" i="2"/>
  <c r="M36" i="2"/>
  <c r="L36" i="2"/>
  <c r="K36" i="2"/>
  <c r="J36" i="2"/>
  <c r="I36" i="2"/>
  <c r="H36" i="2"/>
  <c r="G36" i="2"/>
  <c r="F36" i="2"/>
  <c r="E36" i="2"/>
  <c r="B36" i="2"/>
  <c r="AB35" i="2"/>
  <c r="AA35" i="2"/>
  <c r="Z35" i="2"/>
  <c r="Y35" i="2"/>
  <c r="X35" i="2"/>
  <c r="V35" i="2"/>
  <c r="T35" i="2"/>
  <c r="S35" i="2"/>
  <c r="R35" i="2"/>
  <c r="Q35" i="2"/>
  <c r="P35" i="2"/>
  <c r="N35" i="2"/>
  <c r="M35" i="2"/>
  <c r="L35" i="2"/>
  <c r="K35" i="2"/>
  <c r="J35" i="2"/>
  <c r="I35" i="2"/>
  <c r="H35" i="2"/>
  <c r="G35" i="2"/>
  <c r="F35" i="2"/>
  <c r="E35" i="2"/>
  <c r="D35" i="2"/>
  <c r="B35" i="2"/>
  <c r="AB34" i="2"/>
  <c r="AA34" i="2"/>
  <c r="Z34" i="2"/>
  <c r="Y34" i="2"/>
  <c r="X34" i="2"/>
  <c r="V34" i="2"/>
  <c r="T34" i="2"/>
  <c r="S34" i="2"/>
  <c r="R34" i="2"/>
  <c r="Q34" i="2"/>
  <c r="P34" i="2"/>
  <c r="N34" i="2"/>
  <c r="M34" i="2"/>
  <c r="L34" i="2"/>
  <c r="K34" i="2"/>
  <c r="J34" i="2"/>
  <c r="I34" i="2"/>
  <c r="H34" i="2"/>
  <c r="G34" i="2"/>
  <c r="F34" i="2"/>
  <c r="E34" i="2"/>
  <c r="D34" i="2"/>
  <c r="B34" i="2"/>
  <c r="AB33" i="2"/>
  <c r="AA33" i="2"/>
  <c r="Z33" i="2"/>
  <c r="Y33" i="2"/>
  <c r="X33" i="2"/>
  <c r="V33" i="2"/>
  <c r="T33" i="2"/>
  <c r="S33" i="2"/>
  <c r="R33" i="2"/>
  <c r="Q33" i="2"/>
  <c r="P33" i="2"/>
  <c r="N33" i="2"/>
  <c r="M33" i="2"/>
  <c r="L33" i="2"/>
  <c r="K33" i="2"/>
  <c r="J33" i="2"/>
  <c r="I33" i="2"/>
  <c r="H33" i="2"/>
  <c r="G33" i="2"/>
  <c r="F33" i="2"/>
  <c r="E33" i="2"/>
  <c r="D33" i="2"/>
  <c r="B33" i="2"/>
  <c r="AB32" i="2"/>
  <c r="AA32" i="2"/>
  <c r="Z32" i="2"/>
  <c r="Y32" i="2"/>
  <c r="X32" i="2"/>
  <c r="V32" i="2"/>
  <c r="U32" i="2"/>
  <c r="T32" i="2"/>
  <c r="S32" i="2"/>
  <c r="R32" i="2"/>
  <c r="Q32" i="2"/>
  <c r="P32" i="2"/>
  <c r="N32" i="2"/>
  <c r="M32" i="2"/>
  <c r="L32" i="2"/>
  <c r="K32" i="2"/>
  <c r="J32" i="2"/>
  <c r="I32" i="2"/>
  <c r="H32" i="2"/>
  <c r="G32" i="2"/>
  <c r="F32" i="2"/>
  <c r="E32" i="2"/>
  <c r="B32" i="2"/>
  <c r="AB31" i="2"/>
  <c r="AA31" i="2"/>
  <c r="Z31" i="2"/>
  <c r="Y31" i="2"/>
  <c r="X31" i="2"/>
  <c r="V31" i="2"/>
  <c r="U31" i="2"/>
  <c r="T31" i="2"/>
  <c r="S31" i="2"/>
  <c r="Q31" i="2"/>
  <c r="P31" i="2"/>
  <c r="N31" i="2"/>
  <c r="M31" i="2"/>
  <c r="L31" i="2"/>
  <c r="K31" i="2"/>
  <c r="J31" i="2"/>
  <c r="I31" i="2"/>
  <c r="H31" i="2"/>
  <c r="G31" i="2"/>
  <c r="F31" i="2"/>
  <c r="E31" i="2"/>
  <c r="B31" i="2"/>
  <c r="AB30" i="2"/>
  <c r="AA30" i="2"/>
  <c r="Z30" i="2"/>
  <c r="Y30" i="2"/>
  <c r="X30" i="2"/>
  <c r="V30" i="2"/>
  <c r="U30" i="2"/>
  <c r="T30" i="2"/>
  <c r="S30" i="2"/>
  <c r="Q30" i="2"/>
  <c r="P30" i="2"/>
  <c r="N30" i="2"/>
  <c r="M30" i="2"/>
  <c r="L30" i="2"/>
  <c r="K30" i="2"/>
  <c r="J30" i="2"/>
  <c r="I30" i="2"/>
  <c r="H30" i="2"/>
  <c r="G30" i="2"/>
  <c r="F30" i="2"/>
  <c r="E30" i="2"/>
  <c r="B30" i="2"/>
  <c r="AB29" i="2"/>
  <c r="AA29" i="2"/>
  <c r="Z29" i="2"/>
  <c r="Y29" i="2"/>
  <c r="X29" i="2"/>
  <c r="V29" i="2"/>
  <c r="U29" i="2"/>
  <c r="T29" i="2"/>
  <c r="S29" i="2"/>
  <c r="Q29" i="2"/>
  <c r="P29" i="2"/>
  <c r="N29" i="2"/>
  <c r="M29" i="2"/>
  <c r="L29" i="2"/>
  <c r="K29" i="2"/>
  <c r="J29" i="2"/>
  <c r="I29" i="2"/>
  <c r="H29" i="2"/>
  <c r="G29" i="2"/>
  <c r="F29" i="2"/>
  <c r="B29" i="2"/>
  <c r="AB28" i="2"/>
  <c r="AA28" i="2"/>
  <c r="Z28" i="2"/>
  <c r="Y28" i="2"/>
  <c r="X28" i="2"/>
  <c r="V28" i="2"/>
  <c r="T28" i="2"/>
  <c r="S28" i="2"/>
  <c r="Q28" i="2"/>
  <c r="P28" i="2"/>
  <c r="N28" i="2"/>
  <c r="M28" i="2"/>
  <c r="L28" i="2"/>
  <c r="K28" i="2"/>
  <c r="J28" i="2"/>
  <c r="I28" i="2"/>
  <c r="H28" i="2"/>
  <c r="G28" i="2"/>
  <c r="F28" i="2"/>
  <c r="B28" i="2"/>
  <c r="AB27" i="2"/>
  <c r="AA27" i="2"/>
  <c r="Z27" i="2"/>
  <c r="Y27" i="2"/>
  <c r="X27" i="2"/>
  <c r="V27" i="2"/>
  <c r="T27" i="2"/>
  <c r="S27" i="2"/>
  <c r="Q27" i="2"/>
  <c r="P27" i="2"/>
  <c r="N27" i="2"/>
  <c r="M27" i="2"/>
  <c r="L27" i="2"/>
  <c r="K27" i="2"/>
  <c r="J27" i="2"/>
  <c r="I27" i="2"/>
  <c r="H27" i="2"/>
  <c r="G27" i="2"/>
  <c r="F27" i="2"/>
  <c r="B27" i="2"/>
  <c r="AB26" i="2"/>
  <c r="AA26" i="2"/>
  <c r="Z26" i="2"/>
  <c r="Y26" i="2"/>
  <c r="X26" i="2"/>
  <c r="V26" i="2"/>
  <c r="T26" i="2"/>
  <c r="S26" i="2"/>
  <c r="Q26" i="2"/>
  <c r="P26" i="2"/>
  <c r="N26" i="2"/>
  <c r="M26" i="2"/>
  <c r="L26" i="2"/>
  <c r="K26" i="2"/>
  <c r="J26" i="2"/>
  <c r="I26" i="2"/>
  <c r="H26" i="2"/>
  <c r="G26" i="2"/>
  <c r="F26" i="2"/>
  <c r="B26" i="2"/>
  <c r="AB25" i="2"/>
  <c r="AA25" i="2"/>
  <c r="Z25" i="2"/>
  <c r="Y25" i="2"/>
  <c r="X25" i="2"/>
  <c r="V25" i="2"/>
  <c r="T25" i="2"/>
  <c r="S25" i="2"/>
  <c r="Q25" i="2"/>
  <c r="P25" i="2"/>
  <c r="N25" i="2"/>
  <c r="M25" i="2"/>
  <c r="L25" i="2"/>
  <c r="K25" i="2"/>
  <c r="J25" i="2"/>
  <c r="I25" i="2"/>
  <c r="H25" i="2"/>
  <c r="G25" i="2"/>
  <c r="F25" i="2"/>
  <c r="E25" i="2"/>
  <c r="B25" i="2"/>
  <c r="AB24" i="2"/>
  <c r="AA24" i="2"/>
  <c r="Z24" i="2"/>
  <c r="Y24" i="2"/>
  <c r="X24" i="2"/>
  <c r="V24" i="2"/>
  <c r="U24" i="2"/>
  <c r="T24" i="2"/>
  <c r="S24" i="2"/>
  <c r="Q24" i="2"/>
  <c r="P24" i="2"/>
  <c r="N24" i="2"/>
  <c r="M24" i="2"/>
  <c r="L24" i="2"/>
  <c r="K24" i="2"/>
  <c r="J24" i="2"/>
  <c r="I24" i="2"/>
  <c r="H24" i="2"/>
  <c r="G24" i="2"/>
  <c r="F24" i="2"/>
  <c r="E24" i="2"/>
  <c r="B24" i="2"/>
  <c r="AB23" i="2"/>
  <c r="AA23" i="2"/>
  <c r="Z23" i="2"/>
  <c r="Y23" i="2"/>
  <c r="X23" i="2"/>
  <c r="V23" i="2"/>
  <c r="U23" i="2"/>
  <c r="T23" i="2"/>
  <c r="S23" i="2"/>
  <c r="Q23" i="2"/>
  <c r="P23" i="2"/>
  <c r="N23" i="2"/>
  <c r="M23" i="2"/>
  <c r="L23" i="2"/>
  <c r="K23" i="2"/>
  <c r="J23" i="2"/>
  <c r="I23" i="2"/>
  <c r="H23" i="2"/>
  <c r="G23" i="2"/>
  <c r="F23" i="2"/>
  <c r="E23" i="2"/>
  <c r="C23" i="2"/>
  <c r="B23" i="2"/>
  <c r="AB22" i="2"/>
  <c r="AA22" i="2"/>
  <c r="Z22" i="2"/>
  <c r="Y22" i="2"/>
  <c r="X22" i="2"/>
  <c r="V22" i="2"/>
  <c r="U22" i="2"/>
  <c r="T22" i="2"/>
  <c r="S22" i="2"/>
  <c r="Q22" i="2"/>
  <c r="P22" i="2"/>
  <c r="N22" i="2"/>
  <c r="M22" i="2"/>
  <c r="L22" i="2"/>
  <c r="K22" i="2"/>
  <c r="J22" i="2"/>
  <c r="I22" i="2"/>
  <c r="H22" i="2"/>
  <c r="G22" i="2"/>
  <c r="F22" i="2"/>
  <c r="E22" i="2"/>
  <c r="C22" i="2"/>
  <c r="B22" i="2"/>
  <c r="AB21" i="2"/>
  <c r="AA21" i="2"/>
  <c r="Z21" i="2"/>
  <c r="Y21" i="2"/>
  <c r="X21" i="2"/>
  <c r="V21" i="2"/>
  <c r="U21" i="2"/>
  <c r="T21" i="2"/>
  <c r="S21" i="2"/>
  <c r="Q21" i="2"/>
  <c r="P21" i="2"/>
  <c r="N21" i="2"/>
  <c r="M21" i="2"/>
  <c r="L21" i="2"/>
  <c r="K21" i="2"/>
  <c r="J21" i="2"/>
  <c r="I21" i="2"/>
  <c r="H21" i="2"/>
  <c r="G21" i="2"/>
  <c r="F21" i="2"/>
  <c r="B21" i="2"/>
  <c r="AB20" i="2"/>
  <c r="AA20" i="2"/>
  <c r="Z20" i="2"/>
  <c r="Y20" i="2"/>
  <c r="X20" i="2"/>
  <c r="V20" i="2"/>
  <c r="U20" i="2"/>
  <c r="T20" i="2"/>
  <c r="S20" i="2"/>
  <c r="R20" i="2"/>
  <c r="Q20" i="2"/>
  <c r="P20" i="2"/>
  <c r="N20" i="2"/>
  <c r="M20" i="2"/>
  <c r="L20" i="2"/>
  <c r="K20" i="2"/>
  <c r="J20" i="2"/>
  <c r="I20" i="2"/>
  <c r="H20" i="2"/>
  <c r="G20" i="2"/>
  <c r="F20" i="2"/>
  <c r="B20" i="2"/>
  <c r="AB19" i="2"/>
  <c r="AA19" i="2"/>
  <c r="Z19" i="2"/>
  <c r="Y19" i="2"/>
  <c r="X19" i="2"/>
  <c r="V19" i="2"/>
  <c r="U19" i="2"/>
  <c r="T19" i="2"/>
  <c r="S19" i="2"/>
  <c r="R19" i="2"/>
  <c r="Q19" i="2"/>
  <c r="P19" i="2"/>
  <c r="N19" i="2"/>
  <c r="M19" i="2"/>
  <c r="L19" i="2"/>
  <c r="K19" i="2"/>
  <c r="J19" i="2"/>
  <c r="I19" i="2"/>
  <c r="H19" i="2"/>
  <c r="G19" i="2"/>
  <c r="F19" i="2"/>
  <c r="D19" i="2"/>
  <c r="B19" i="2"/>
  <c r="AB18" i="2"/>
  <c r="AA18" i="2"/>
  <c r="Z18" i="2"/>
  <c r="Y18" i="2"/>
  <c r="X18" i="2"/>
  <c r="V18" i="2"/>
  <c r="U18" i="2"/>
  <c r="T18" i="2"/>
  <c r="S18" i="2"/>
  <c r="R18" i="2"/>
  <c r="Q18" i="2"/>
  <c r="P18" i="2"/>
  <c r="O18" i="2"/>
  <c r="N18" i="2"/>
  <c r="M18" i="2"/>
  <c r="L18" i="2"/>
  <c r="K18" i="2"/>
  <c r="J18" i="2"/>
  <c r="I18" i="2"/>
  <c r="H18" i="2"/>
  <c r="G18" i="2"/>
  <c r="F18" i="2"/>
  <c r="E18" i="2"/>
  <c r="D18" i="2"/>
  <c r="B18" i="2"/>
  <c r="AB17" i="2"/>
  <c r="AA17" i="2"/>
  <c r="Z17" i="2"/>
  <c r="Y17" i="2"/>
  <c r="X17" i="2"/>
  <c r="V17" i="2"/>
  <c r="U17" i="2"/>
  <c r="T17" i="2"/>
  <c r="S17" i="2"/>
  <c r="R17" i="2"/>
  <c r="Q17" i="2"/>
  <c r="P17" i="2"/>
  <c r="O17" i="2"/>
  <c r="N17" i="2"/>
  <c r="M17" i="2"/>
  <c r="L17" i="2"/>
  <c r="K17" i="2"/>
  <c r="J17" i="2"/>
  <c r="I17" i="2"/>
  <c r="H17" i="2"/>
  <c r="G17" i="2"/>
  <c r="F17" i="2"/>
  <c r="E17" i="2"/>
  <c r="D17" i="2"/>
  <c r="C17" i="2"/>
  <c r="B17" i="2"/>
  <c r="AB16" i="2"/>
  <c r="AA16" i="2"/>
  <c r="Z16" i="2"/>
  <c r="Y16" i="2"/>
  <c r="X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H16" i="2"/>
  <c r="G16" i="2"/>
  <c r="F16" i="2"/>
  <c r="E16" i="2"/>
  <c r="C16" i="2"/>
  <c r="B16" i="2"/>
  <c r="AB15" i="2"/>
  <c r="AA15" i="2"/>
  <c r="Z15" i="2"/>
  <c r="Y15" i="2"/>
  <c r="X15" i="2"/>
  <c r="V15" i="2"/>
  <c r="U15" i="2"/>
  <c r="T15" i="2"/>
  <c r="S15" i="2"/>
  <c r="Q15" i="2"/>
  <c r="P15" i="2"/>
  <c r="O15" i="2"/>
  <c r="N15" i="2"/>
  <c r="M15" i="2"/>
  <c r="L15" i="2"/>
  <c r="K15" i="2"/>
  <c r="J15" i="2"/>
  <c r="I15" i="2"/>
  <c r="H15" i="2"/>
  <c r="G15" i="2"/>
  <c r="F15" i="2"/>
  <c r="E15" i="2"/>
  <c r="C15" i="2"/>
  <c r="B15" i="2"/>
  <c r="AB14" i="2"/>
  <c r="AA14" i="2"/>
  <c r="Z14" i="2"/>
  <c r="Y14" i="2"/>
  <c r="X14" i="2"/>
  <c r="U14" i="2"/>
  <c r="T14" i="2"/>
  <c r="S14" i="2"/>
  <c r="Q14" i="2"/>
  <c r="P14" i="2"/>
  <c r="O14" i="2"/>
  <c r="N14" i="2"/>
  <c r="M14" i="2"/>
  <c r="L14" i="2"/>
  <c r="K14" i="2"/>
  <c r="J14" i="2"/>
  <c r="I14" i="2"/>
  <c r="H14" i="2"/>
  <c r="G14" i="2"/>
  <c r="F14" i="2"/>
  <c r="E14" i="2"/>
  <c r="C14" i="2"/>
  <c r="B14" i="2"/>
  <c r="AB13" i="2"/>
  <c r="AA13" i="2"/>
  <c r="Z13" i="2"/>
  <c r="Y13" i="2"/>
  <c r="X13" i="2"/>
  <c r="U13" i="2"/>
  <c r="T13" i="2"/>
  <c r="S13" i="2"/>
  <c r="Q13" i="2"/>
  <c r="P13" i="2"/>
  <c r="O13" i="2"/>
  <c r="N13" i="2"/>
  <c r="M13" i="2"/>
  <c r="L13" i="2"/>
  <c r="K13" i="2"/>
  <c r="J13" i="2"/>
  <c r="I13" i="2"/>
  <c r="H13" i="2"/>
  <c r="G13" i="2"/>
  <c r="F13" i="2"/>
  <c r="E13" i="2"/>
  <c r="C13" i="2"/>
  <c r="B13" i="2"/>
  <c r="AB12" i="2"/>
  <c r="AA12" i="2"/>
  <c r="Z12" i="2"/>
  <c r="Y12" i="2"/>
  <c r="X12" i="2"/>
  <c r="U12" i="2"/>
  <c r="T12" i="2"/>
  <c r="S12" i="2"/>
  <c r="Q12" i="2"/>
  <c r="P12" i="2"/>
  <c r="O12" i="2"/>
  <c r="N12" i="2"/>
  <c r="M12" i="2"/>
  <c r="L12" i="2"/>
  <c r="K12" i="2"/>
  <c r="J12" i="2"/>
  <c r="I12" i="2"/>
  <c r="H12" i="2"/>
  <c r="G12" i="2"/>
  <c r="F12" i="2"/>
  <c r="E12" i="2"/>
  <c r="D12" i="2"/>
  <c r="C12" i="2"/>
  <c r="B12" i="2"/>
  <c r="AB11" i="2"/>
  <c r="AA11" i="2"/>
  <c r="Z11" i="2"/>
  <c r="Y11" i="2"/>
  <c r="X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G11" i="2"/>
  <c r="F11" i="2"/>
  <c r="E11" i="2"/>
  <c r="D11" i="2"/>
  <c r="C11" i="2"/>
  <c r="B11" i="2"/>
  <c r="AB10" i="2"/>
  <c r="AA10" i="2"/>
  <c r="Z10" i="2"/>
  <c r="Y10" i="2"/>
  <c r="X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H10" i="2"/>
  <c r="G10" i="2"/>
  <c r="F10" i="2"/>
  <c r="E10" i="2"/>
  <c r="B10" i="2"/>
  <c r="AB9" i="2"/>
  <c r="AA9" i="2"/>
  <c r="Z9" i="2"/>
  <c r="Y9" i="2"/>
  <c r="X9" i="2"/>
  <c r="V9" i="2"/>
  <c r="U9" i="2"/>
  <c r="T9" i="2"/>
  <c r="S9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C9" i="2"/>
  <c r="B9" i="2"/>
  <c r="AB8" i="2"/>
  <c r="AA8" i="2"/>
  <c r="Z8" i="2"/>
  <c r="Y8" i="2"/>
  <c r="X8" i="2"/>
  <c r="U8" i="2"/>
  <c r="T8" i="2"/>
  <c r="S8" i="2"/>
  <c r="R8" i="2"/>
  <c r="Q8" i="2"/>
  <c r="P8" i="2"/>
  <c r="O8" i="2"/>
  <c r="N8" i="2"/>
  <c r="M8" i="2"/>
  <c r="L8" i="2"/>
  <c r="K8" i="2"/>
  <c r="J8" i="2"/>
  <c r="I8" i="2"/>
  <c r="H8" i="2"/>
  <c r="G8" i="2"/>
  <c r="F8" i="2"/>
  <c r="E8" i="2"/>
  <c r="C8" i="2"/>
  <c r="B8" i="2"/>
  <c r="AB7" i="2"/>
  <c r="AA7" i="2"/>
  <c r="Z7" i="2"/>
  <c r="Y7" i="2"/>
  <c r="X7" i="2"/>
  <c r="U7" i="2"/>
  <c r="T7" i="2"/>
  <c r="S7" i="2"/>
  <c r="R7" i="2"/>
  <c r="Q7" i="2"/>
  <c r="P7" i="2"/>
  <c r="O7" i="2"/>
  <c r="N7" i="2"/>
  <c r="M7" i="2"/>
  <c r="L7" i="2"/>
  <c r="K7" i="2"/>
  <c r="J7" i="2"/>
  <c r="I7" i="2"/>
  <c r="H7" i="2"/>
  <c r="G7" i="2"/>
  <c r="F7" i="2"/>
  <c r="E7" i="2"/>
  <c r="C7" i="2"/>
  <c r="B7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C6" i="2"/>
  <c r="B6" i="2"/>
  <c r="Q228" i="1"/>
  <c r="O228" i="1"/>
  <c r="Q227" i="1"/>
  <c r="Q226" i="1"/>
  <c r="Q225" i="1"/>
  <c r="Q224" i="1"/>
  <c r="Q223" i="1"/>
  <c r="Q222" i="1"/>
  <c r="Q221" i="1"/>
  <c r="R220" i="1"/>
  <c r="Q220" i="1"/>
  <c r="R219" i="1"/>
  <c r="Q219" i="1"/>
  <c r="R218" i="1"/>
  <c r="Q218" i="1"/>
  <c r="S217" i="1"/>
  <c r="R217" i="1"/>
  <c r="Q217" i="1"/>
  <c r="S216" i="1"/>
  <c r="R216" i="1"/>
  <c r="Q216" i="1"/>
  <c r="M216" i="1"/>
  <c r="K216" i="1"/>
  <c r="S215" i="1"/>
  <c r="R215" i="1"/>
  <c r="Q215" i="1"/>
  <c r="M215" i="1"/>
  <c r="K215" i="1"/>
  <c r="S214" i="1"/>
  <c r="R214" i="1"/>
  <c r="Q214" i="1"/>
  <c r="M214" i="1"/>
  <c r="K214" i="1"/>
  <c r="S213" i="1"/>
  <c r="Q213" i="1"/>
  <c r="M213" i="1"/>
  <c r="K213" i="1"/>
  <c r="S212" i="1"/>
  <c r="Q212" i="1"/>
  <c r="P212" i="1"/>
  <c r="M212" i="1"/>
  <c r="K212" i="1"/>
  <c r="Q211" i="1"/>
  <c r="P211" i="1"/>
  <c r="M211" i="1"/>
  <c r="K211" i="1"/>
  <c r="Q210" i="1"/>
  <c r="P210" i="1"/>
  <c r="M210" i="1"/>
  <c r="K210" i="1"/>
  <c r="R209" i="1"/>
  <c r="Q209" i="1"/>
  <c r="P209" i="1"/>
  <c r="M209" i="1"/>
  <c r="K209" i="1"/>
  <c r="R208" i="1"/>
  <c r="Q208" i="1"/>
  <c r="P208" i="1"/>
  <c r="M208" i="1"/>
  <c r="K208" i="1"/>
  <c r="S207" i="1"/>
  <c r="Q207" i="1"/>
  <c r="P207" i="1"/>
  <c r="M207" i="1"/>
  <c r="K207" i="1"/>
  <c r="S206" i="1"/>
  <c r="Q206" i="1"/>
  <c r="P206" i="1"/>
  <c r="M206" i="1"/>
  <c r="K206" i="1"/>
  <c r="S205" i="1"/>
  <c r="Q205" i="1"/>
  <c r="P205" i="1"/>
  <c r="M205" i="1"/>
  <c r="K205" i="1"/>
  <c r="T204" i="1"/>
  <c r="S204" i="1"/>
  <c r="Q204" i="1"/>
  <c r="P204" i="1"/>
  <c r="M204" i="1"/>
  <c r="K204" i="1"/>
  <c r="T203" i="1"/>
  <c r="S203" i="1"/>
  <c r="Q203" i="1"/>
  <c r="P203" i="1"/>
  <c r="M203" i="1"/>
  <c r="K203" i="1"/>
  <c r="T202" i="1"/>
  <c r="S202" i="1"/>
  <c r="Q202" i="1"/>
  <c r="P202" i="1"/>
  <c r="O202" i="1"/>
  <c r="M202" i="1"/>
  <c r="K202" i="1"/>
  <c r="T201" i="1"/>
  <c r="S201" i="1"/>
  <c r="Q201" i="1"/>
  <c r="P201" i="1"/>
  <c r="O201" i="1"/>
  <c r="M201" i="1"/>
  <c r="K201" i="1"/>
  <c r="T200" i="1"/>
  <c r="S200" i="1"/>
  <c r="Q200" i="1"/>
  <c r="P200" i="1"/>
  <c r="O200" i="1"/>
  <c r="M200" i="1"/>
  <c r="K200" i="1"/>
  <c r="B200" i="1"/>
  <c r="T199" i="1"/>
  <c r="S199" i="1"/>
  <c r="R199" i="1"/>
  <c r="Q199" i="1"/>
  <c r="P199" i="1"/>
  <c r="O199" i="1"/>
  <c r="M199" i="1"/>
  <c r="K199" i="1"/>
  <c r="T198" i="1"/>
  <c r="S198" i="1"/>
  <c r="R198" i="1"/>
  <c r="Q198" i="1"/>
  <c r="P198" i="1"/>
  <c r="O198" i="1"/>
  <c r="M198" i="1"/>
  <c r="K198" i="1"/>
  <c r="B198" i="1"/>
  <c r="T197" i="1"/>
  <c r="R197" i="1"/>
  <c r="Q197" i="1"/>
  <c r="P197" i="1"/>
  <c r="O197" i="1"/>
  <c r="M197" i="1"/>
  <c r="K197" i="1"/>
  <c r="B197" i="1"/>
  <c r="T196" i="1"/>
  <c r="S196" i="1"/>
  <c r="R196" i="1"/>
  <c r="Q196" i="1"/>
  <c r="P196" i="1"/>
  <c r="M196" i="1"/>
  <c r="K196" i="1"/>
  <c r="B196" i="1"/>
  <c r="T195" i="1"/>
  <c r="S195" i="1"/>
  <c r="Q195" i="1"/>
  <c r="P195" i="1"/>
  <c r="M195" i="1"/>
  <c r="K195" i="1"/>
  <c r="B195" i="1"/>
  <c r="T194" i="1"/>
  <c r="S194" i="1"/>
  <c r="Q194" i="1"/>
  <c r="P194" i="1"/>
  <c r="M194" i="1"/>
  <c r="K194" i="1"/>
  <c r="H194" i="1"/>
  <c r="B194" i="1"/>
  <c r="T193" i="1"/>
  <c r="S193" i="1"/>
  <c r="Q193" i="1"/>
  <c r="P193" i="1"/>
  <c r="M193" i="1"/>
  <c r="K193" i="1"/>
  <c r="H193" i="1"/>
  <c r="B193" i="1"/>
  <c r="T192" i="1"/>
  <c r="S192" i="1"/>
  <c r="Q192" i="1"/>
  <c r="P192" i="1"/>
  <c r="O192" i="1"/>
  <c r="N192" i="1"/>
  <c r="M192" i="1"/>
  <c r="L192" i="1"/>
  <c r="K192" i="1"/>
  <c r="J192" i="1"/>
  <c r="H192" i="1"/>
  <c r="G192" i="1"/>
  <c r="F192" i="1"/>
  <c r="D192" i="1"/>
  <c r="C192" i="1"/>
  <c r="B192" i="1"/>
  <c r="T191" i="1"/>
  <c r="S191" i="1"/>
  <c r="Q191" i="1"/>
  <c r="P191" i="1"/>
  <c r="O191" i="1"/>
  <c r="N191" i="1"/>
  <c r="M191" i="1"/>
  <c r="L191" i="1"/>
  <c r="K191" i="1"/>
  <c r="J191" i="1"/>
  <c r="I191" i="1"/>
  <c r="G191" i="1"/>
  <c r="F191" i="1"/>
  <c r="C191" i="1"/>
  <c r="B191" i="1"/>
  <c r="T190" i="1"/>
  <c r="S190" i="1"/>
  <c r="Q190" i="1"/>
  <c r="P190" i="1"/>
  <c r="O190" i="1"/>
  <c r="N190" i="1"/>
  <c r="M190" i="1"/>
  <c r="L190" i="1"/>
  <c r="K190" i="1"/>
  <c r="J190" i="1"/>
  <c r="I190" i="1"/>
  <c r="G190" i="1"/>
  <c r="C190" i="1"/>
  <c r="B190" i="1"/>
  <c r="T189" i="1"/>
  <c r="S189" i="1"/>
  <c r="Q189" i="1"/>
  <c r="P189" i="1"/>
  <c r="O189" i="1"/>
  <c r="N189" i="1"/>
  <c r="M189" i="1"/>
  <c r="L189" i="1"/>
  <c r="K189" i="1"/>
  <c r="J189" i="1"/>
  <c r="I189" i="1"/>
  <c r="G189" i="1"/>
  <c r="E189" i="1"/>
  <c r="C189" i="1"/>
  <c r="B189" i="1"/>
  <c r="T188" i="1"/>
  <c r="S188" i="1"/>
  <c r="R188" i="1"/>
  <c r="Q188" i="1"/>
  <c r="P188" i="1"/>
  <c r="O188" i="1"/>
  <c r="N188" i="1"/>
  <c r="M188" i="1"/>
  <c r="L188" i="1"/>
  <c r="K188" i="1"/>
  <c r="J188" i="1"/>
  <c r="I188" i="1"/>
  <c r="G188" i="1"/>
  <c r="E188" i="1"/>
  <c r="C188" i="1"/>
  <c r="B188" i="1"/>
  <c r="T187" i="1"/>
  <c r="S187" i="1"/>
  <c r="R187" i="1"/>
  <c r="Q187" i="1"/>
  <c r="P187" i="1"/>
  <c r="N187" i="1"/>
  <c r="M187" i="1"/>
  <c r="L187" i="1"/>
  <c r="K187" i="1"/>
  <c r="J187" i="1"/>
  <c r="I187" i="1"/>
  <c r="H187" i="1"/>
  <c r="G187" i="1"/>
  <c r="E187" i="1"/>
  <c r="D187" i="1"/>
  <c r="C187" i="1"/>
  <c r="B187" i="1"/>
  <c r="T186" i="1"/>
  <c r="S186" i="1"/>
  <c r="R186" i="1"/>
  <c r="Q186" i="1"/>
  <c r="P186" i="1"/>
  <c r="N186" i="1"/>
  <c r="M186" i="1"/>
  <c r="L186" i="1"/>
  <c r="K186" i="1"/>
  <c r="J186" i="1"/>
  <c r="I186" i="1"/>
  <c r="H186" i="1"/>
  <c r="G186" i="1"/>
  <c r="E186" i="1"/>
  <c r="D186" i="1"/>
  <c r="C186" i="1"/>
  <c r="B186" i="1"/>
  <c r="T185" i="1"/>
  <c r="S185" i="1"/>
  <c r="R185" i="1"/>
  <c r="Q185" i="1"/>
  <c r="P185" i="1"/>
  <c r="N185" i="1"/>
  <c r="M185" i="1"/>
  <c r="L185" i="1"/>
  <c r="K185" i="1"/>
  <c r="J185" i="1"/>
  <c r="I185" i="1"/>
  <c r="H185" i="1"/>
  <c r="G185" i="1"/>
  <c r="E185" i="1"/>
  <c r="D185" i="1"/>
  <c r="C185" i="1"/>
  <c r="B185" i="1"/>
  <c r="T184" i="1"/>
  <c r="S184" i="1"/>
  <c r="R184" i="1"/>
  <c r="Q184" i="1"/>
  <c r="P184" i="1"/>
  <c r="N184" i="1"/>
  <c r="M184" i="1"/>
  <c r="L184" i="1"/>
  <c r="K184" i="1"/>
  <c r="J184" i="1"/>
  <c r="I184" i="1"/>
  <c r="H184" i="1"/>
  <c r="G184" i="1"/>
  <c r="E184" i="1"/>
  <c r="D184" i="1"/>
  <c r="C184" i="1"/>
  <c r="B184" i="1"/>
  <c r="T183" i="1"/>
  <c r="S183" i="1"/>
  <c r="R183" i="1"/>
  <c r="Q183" i="1"/>
  <c r="P183" i="1"/>
  <c r="N183" i="1"/>
  <c r="M183" i="1"/>
  <c r="L183" i="1"/>
  <c r="K183" i="1"/>
  <c r="J183" i="1"/>
  <c r="I183" i="1"/>
  <c r="H183" i="1"/>
  <c r="G183" i="1"/>
  <c r="D183" i="1"/>
  <c r="C183" i="1"/>
  <c r="B183" i="1"/>
  <c r="T182" i="1"/>
  <c r="S182" i="1"/>
  <c r="R182" i="1"/>
  <c r="Q182" i="1"/>
  <c r="P182" i="1"/>
  <c r="N182" i="1"/>
  <c r="M182" i="1"/>
  <c r="L182" i="1"/>
  <c r="K182" i="1"/>
  <c r="I182" i="1"/>
  <c r="H182" i="1"/>
  <c r="G182" i="1"/>
  <c r="C182" i="1"/>
  <c r="B182" i="1"/>
  <c r="T181" i="1"/>
  <c r="S181" i="1"/>
  <c r="Q181" i="1"/>
  <c r="P181" i="1"/>
  <c r="N181" i="1"/>
  <c r="M181" i="1"/>
  <c r="L181" i="1"/>
  <c r="K181" i="1"/>
  <c r="I181" i="1"/>
  <c r="G181" i="1"/>
  <c r="B181" i="1"/>
  <c r="T180" i="1"/>
  <c r="S180" i="1"/>
  <c r="Q180" i="1"/>
  <c r="P180" i="1"/>
  <c r="N180" i="1"/>
  <c r="M180" i="1"/>
  <c r="L180" i="1"/>
  <c r="K180" i="1"/>
  <c r="I180" i="1"/>
  <c r="G180" i="1"/>
  <c r="F180" i="1"/>
  <c r="B180" i="1"/>
  <c r="T179" i="1"/>
  <c r="S179" i="1"/>
  <c r="R179" i="1"/>
  <c r="Q179" i="1"/>
  <c r="P179" i="1"/>
  <c r="N179" i="1"/>
  <c r="M179" i="1"/>
  <c r="L179" i="1"/>
  <c r="K179" i="1"/>
  <c r="I179" i="1"/>
  <c r="G179" i="1"/>
  <c r="F179" i="1"/>
  <c r="E179" i="1"/>
  <c r="B179" i="1"/>
  <c r="T178" i="1"/>
  <c r="S178" i="1"/>
  <c r="R178" i="1"/>
  <c r="Q178" i="1"/>
  <c r="P178" i="1"/>
  <c r="N178" i="1"/>
  <c r="M178" i="1"/>
  <c r="L178" i="1"/>
  <c r="K178" i="1"/>
  <c r="I178" i="1"/>
  <c r="G178" i="1"/>
  <c r="F178" i="1"/>
  <c r="E178" i="1"/>
  <c r="B178" i="1"/>
  <c r="T177" i="1"/>
  <c r="S177" i="1"/>
  <c r="R177" i="1"/>
  <c r="Q177" i="1"/>
  <c r="P177" i="1"/>
  <c r="N177" i="1"/>
  <c r="M177" i="1"/>
  <c r="L177" i="1"/>
  <c r="K177" i="1"/>
  <c r="I177" i="1"/>
  <c r="H177" i="1"/>
  <c r="G177" i="1"/>
  <c r="F177" i="1"/>
  <c r="E177" i="1"/>
  <c r="C177" i="1"/>
  <c r="B177" i="1"/>
  <c r="T176" i="1"/>
  <c r="S176" i="1"/>
  <c r="R176" i="1"/>
  <c r="Q176" i="1"/>
  <c r="P176" i="1"/>
  <c r="N176" i="1"/>
  <c r="M176" i="1"/>
  <c r="L176" i="1"/>
  <c r="K176" i="1"/>
  <c r="I176" i="1"/>
  <c r="H176" i="1"/>
  <c r="G176" i="1"/>
  <c r="E176" i="1"/>
  <c r="C176" i="1"/>
  <c r="B176" i="1"/>
  <c r="T175" i="1"/>
  <c r="S175" i="1"/>
  <c r="R175" i="1"/>
  <c r="Q175" i="1"/>
  <c r="P175" i="1"/>
  <c r="N175" i="1"/>
  <c r="M175" i="1"/>
  <c r="L175" i="1"/>
  <c r="K175" i="1"/>
  <c r="I175" i="1"/>
  <c r="H175" i="1"/>
  <c r="G175" i="1"/>
  <c r="E175" i="1"/>
  <c r="D175" i="1"/>
  <c r="C175" i="1"/>
  <c r="B175" i="1"/>
  <c r="T174" i="1"/>
  <c r="S174" i="1"/>
  <c r="R174" i="1"/>
  <c r="Q174" i="1"/>
  <c r="P174" i="1"/>
  <c r="N174" i="1"/>
  <c r="M174" i="1"/>
  <c r="L174" i="1"/>
  <c r="K174" i="1"/>
  <c r="I174" i="1"/>
  <c r="H174" i="1"/>
  <c r="G174" i="1"/>
  <c r="F174" i="1"/>
  <c r="E174" i="1"/>
  <c r="D174" i="1"/>
  <c r="B174" i="1"/>
  <c r="T173" i="1"/>
  <c r="S173" i="1"/>
  <c r="R173" i="1"/>
  <c r="Q173" i="1"/>
  <c r="P173" i="1"/>
  <c r="N173" i="1"/>
  <c r="M173" i="1"/>
  <c r="L173" i="1"/>
  <c r="K173" i="1"/>
  <c r="I173" i="1"/>
  <c r="H173" i="1"/>
  <c r="G173" i="1"/>
  <c r="F173" i="1"/>
  <c r="E173" i="1"/>
  <c r="B173" i="1"/>
  <c r="T172" i="1"/>
  <c r="S172" i="1"/>
  <c r="R172" i="1"/>
  <c r="Q172" i="1"/>
  <c r="P172" i="1"/>
  <c r="N172" i="1"/>
  <c r="M172" i="1"/>
  <c r="L172" i="1"/>
  <c r="K172" i="1"/>
  <c r="I172" i="1"/>
  <c r="H172" i="1"/>
  <c r="G172" i="1"/>
  <c r="F172" i="1"/>
  <c r="E172" i="1"/>
  <c r="B172" i="1"/>
  <c r="T171" i="1"/>
  <c r="S171" i="1"/>
  <c r="R171" i="1"/>
  <c r="Q171" i="1"/>
  <c r="P171" i="1"/>
  <c r="N171" i="1"/>
  <c r="M171" i="1"/>
  <c r="L171" i="1"/>
  <c r="K171" i="1"/>
  <c r="I171" i="1"/>
  <c r="H171" i="1"/>
  <c r="G171" i="1"/>
  <c r="F171" i="1"/>
  <c r="E171" i="1"/>
  <c r="B171" i="1"/>
  <c r="T170" i="1"/>
  <c r="S170" i="1"/>
  <c r="R170" i="1"/>
  <c r="Q170" i="1"/>
  <c r="P170" i="1"/>
  <c r="N170" i="1"/>
  <c r="M170" i="1"/>
  <c r="L170" i="1"/>
  <c r="K170" i="1"/>
  <c r="J170" i="1"/>
  <c r="I170" i="1"/>
  <c r="H170" i="1"/>
  <c r="G170" i="1"/>
  <c r="F170" i="1"/>
  <c r="E170" i="1"/>
  <c r="B170" i="1"/>
  <c r="T169" i="1"/>
  <c r="S169" i="1"/>
  <c r="R169" i="1"/>
  <c r="Q169" i="1"/>
  <c r="P169" i="1"/>
  <c r="N169" i="1"/>
  <c r="M169" i="1"/>
  <c r="L169" i="1"/>
  <c r="K169" i="1"/>
  <c r="J169" i="1"/>
  <c r="I169" i="1"/>
  <c r="H169" i="1"/>
  <c r="G169" i="1"/>
  <c r="F169" i="1"/>
  <c r="E169" i="1"/>
  <c r="B169" i="1"/>
  <c r="T168" i="1"/>
  <c r="S168" i="1"/>
  <c r="R168" i="1"/>
  <c r="Q168" i="1"/>
  <c r="P168" i="1"/>
  <c r="N168" i="1"/>
  <c r="M168" i="1"/>
  <c r="L168" i="1"/>
  <c r="K168" i="1"/>
  <c r="J168" i="1"/>
  <c r="I168" i="1"/>
  <c r="H168" i="1"/>
  <c r="G168" i="1"/>
  <c r="F168" i="1"/>
  <c r="E168" i="1"/>
  <c r="B168" i="1"/>
  <c r="T167" i="1"/>
  <c r="S167" i="1"/>
  <c r="R167" i="1"/>
  <c r="Q167" i="1"/>
  <c r="P167" i="1"/>
  <c r="N167" i="1"/>
  <c r="M167" i="1"/>
  <c r="L167" i="1"/>
  <c r="K167" i="1"/>
  <c r="J167" i="1"/>
  <c r="I167" i="1"/>
  <c r="H167" i="1"/>
  <c r="G167" i="1"/>
  <c r="F167" i="1"/>
  <c r="E167" i="1"/>
  <c r="B167" i="1"/>
  <c r="T166" i="1"/>
  <c r="S166" i="1"/>
  <c r="R166" i="1"/>
  <c r="Q166" i="1"/>
  <c r="P166" i="1"/>
  <c r="N166" i="1"/>
  <c r="M166" i="1"/>
  <c r="L166" i="1"/>
  <c r="K166" i="1"/>
  <c r="J166" i="1"/>
  <c r="I166" i="1"/>
  <c r="H166" i="1"/>
  <c r="G166" i="1"/>
  <c r="F166" i="1"/>
  <c r="E166" i="1"/>
  <c r="B166" i="1"/>
  <c r="T165" i="1"/>
  <c r="S165" i="1"/>
  <c r="R165" i="1"/>
  <c r="Q165" i="1"/>
  <c r="P165" i="1"/>
  <c r="N165" i="1"/>
  <c r="M165" i="1"/>
  <c r="L165" i="1"/>
  <c r="K165" i="1"/>
  <c r="J165" i="1"/>
  <c r="I165" i="1"/>
  <c r="H165" i="1"/>
  <c r="G165" i="1"/>
  <c r="F165" i="1"/>
  <c r="E165" i="1"/>
  <c r="B165" i="1"/>
  <c r="T164" i="1"/>
  <c r="S164" i="1"/>
  <c r="R164" i="1"/>
  <c r="Q164" i="1"/>
  <c r="P164" i="1"/>
  <c r="N164" i="1"/>
  <c r="M164" i="1"/>
  <c r="L164" i="1"/>
  <c r="K164" i="1"/>
  <c r="J164" i="1"/>
  <c r="I164" i="1"/>
  <c r="H164" i="1"/>
  <c r="G164" i="1"/>
  <c r="F164" i="1"/>
  <c r="E164" i="1"/>
  <c r="B164" i="1"/>
  <c r="T163" i="1"/>
  <c r="S163" i="1"/>
  <c r="R163" i="1"/>
  <c r="Q163" i="1"/>
  <c r="P163" i="1"/>
  <c r="N163" i="1"/>
  <c r="M163" i="1"/>
  <c r="L163" i="1"/>
  <c r="K163" i="1"/>
  <c r="J163" i="1"/>
  <c r="I163" i="1"/>
  <c r="H163" i="1"/>
  <c r="G163" i="1"/>
  <c r="F163" i="1"/>
  <c r="E163" i="1"/>
  <c r="B163" i="1"/>
  <c r="T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G162" i="1"/>
  <c r="F162" i="1"/>
  <c r="E162" i="1"/>
  <c r="C162" i="1"/>
  <c r="B162" i="1"/>
  <c r="T161" i="1"/>
  <c r="S161" i="1"/>
  <c r="R161" i="1"/>
  <c r="Q161" i="1"/>
  <c r="P161" i="1"/>
  <c r="N161" i="1"/>
  <c r="M161" i="1"/>
  <c r="L161" i="1"/>
  <c r="K161" i="1"/>
  <c r="J161" i="1"/>
  <c r="I161" i="1"/>
  <c r="H161" i="1"/>
  <c r="G161" i="1"/>
  <c r="F161" i="1"/>
  <c r="E161" i="1"/>
  <c r="C161" i="1"/>
  <c r="B161" i="1"/>
  <c r="T160" i="1"/>
  <c r="S160" i="1"/>
  <c r="R160" i="1"/>
  <c r="Q160" i="1"/>
  <c r="P160" i="1"/>
  <c r="N160" i="1"/>
  <c r="M160" i="1"/>
  <c r="L160" i="1"/>
  <c r="K160" i="1"/>
  <c r="J160" i="1"/>
  <c r="I160" i="1"/>
  <c r="H160" i="1"/>
  <c r="G160" i="1"/>
  <c r="F160" i="1"/>
  <c r="E160" i="1"/>
  <c r="C160" i="1"/>
  <c r="B160" i="1"/>
  <c r="T159" i="1"/>
  <c r="S159" i="1"/>
  <c r="R159" i="1"/>
  <c r="Q159" i="1"/>
  <c r="P159" i="1"/>
  <c r="N159" i="1"/>
  <c r="M159" i="1"/>
  <c r="L159" i="1"/>
  <c r="K159" i="1"/>
  <c r="J159" i="1"/>
  <c r="I159" i="1"/>
  <c r="H159" i="1"/>
  <c r="G159" i="1"/>
  <c r="F159" i="1"/>
  <c r="E159" i="1"/>
  <c r="C159" i="1"/>
  <c r="B159" i="1"/>
  <c r="T158" i="1"/>
  <c r="S158" i="1"/>
  <c r="R158" i="1"/>
  <c r="Q158" i="1"/>
  <c r="P158" i="1"/>
  <c r="N158" i="1"/>
  <c r="M158" i="1"/>
  <c r="L158" i="1"/>
  <c r="K158" i="1"/>
  <c r="J158" i="1"/>
  <c r="I158" i="1"/>
  <c r="H158" i="1"/>
  <c r="G158" i="1"/>
  <c r="F158" i="1"/>
  <c r="E158" i="1"/>
  <c r="D158" i="1"/>
  <c r="C158" i="1"/>
  <c r="B158" i="1"/>
  <c r="T157" i="1"/>
  <c r="S157" i="1"/>
  <c r="R157" i="1"/>
  <c r="Q157" i="1"/>
  <c r="P157" i="1"/>
  <c r="O157" i="1"/>
  <c r="N157" i="1"/>
  <c r="M157" i="1"/>
  <c r="L157" i="1"/>
  <c r="K157" i="1"/>
  <c r="J157" i="1"/>
  <c r="I157" i="1"/>
  <c r="H157" i="1"/>
  <c r="G157" i="1"/>
  <c r="F157" i="1"/>
  <c r="E157" i="1"/>
  <c r="D157" i="1"/>
  <c r="C157" i="1"/>
  <c r="B157" i="1"/>
  <c r="T156" i="1"/>
  <c r="S156" i="1"/>
  <c r="R156" i="1"/>
  <c r="Q156" i="1"/>
  <c r="P156" i="1"/>
  <c r="O156" i="1"/>
  <c r="N156" i="1"/>
  <c r="M156" i="1"/>
  <c r="L156" i="1"/>
  <c r="K156" i="1"/>
  <c r="J156" i="1"/>
  <c r="I156" i="1"/>
  <c r="H156" i="1"/>
  <c r="G156" i="1"/>
  <c r="F156" i="1"/>
  <c r="E156" i="1"/>
  <c r="D156" i="1"/>
  <c r="B156" i="1"/>
  <c r="T155" i="1"/>
  <c r="S155" i="1"/>
  <c r="R155" i="1"/>
  <c r="Q155" i="1"/>
  <c r="P155" i="1"/>
  <c r="O155" i="1"/>
  <c r="N155" i="1"/>
  <c r="M155" i="1"/>
  <c r="L155" i="1"/>
  <c r="K155" i="1"/>
  <c r="J155" i="1"/>
  <c r="I155" i="1"/>
  <c r="H155" i="1"/>
  <c r="G155" i="1"/>
  <c r="F155" i="1"/>
  <c r="E155" i="1"/>
  <c r="B155" i="1"/>
  <c r="T154" i="1"/>
  <c r="S154" i="1"/>
  <c r="R154" i="1"/>
  <c r="Q154" i="1"/>
  <c r="P154" i="1"/>
  <c r="O154" i="1"/>
  <c r="N154" i="1"/>
  <c r="M154" i="1"/>
  <c r="L154" i="1"/>
  <c r="K154" i="1"/>
  <c r="J154" i="1"/>
  <c r="I154" i="1"/>
  <c r="H154" i="1"/>
  <c r="G154" i="1"/>
  <c r="F154" i="1"/>
  <c r="E154" i="1"/>
  <c r="B154" i="1"/>
  <c r="T153" i="1"/>
  <c r="S153" i="1"/>
  <c r="R153" i="1"/>
  <c r="Q153" i="1"/>
  <c r="P153" i="1"/>
  <c r="N153" i="1"/>
  <c r="M153" i="1"/>
  <c r="L153" i="1"/>
  <c r="K153" i="1"/>
  <c r="J153" i="1"/>
  <c r="I153" i="1"/>
  <c r="H153" i="1"/>
  <c r="G153" i="1"/>
  <c r="F153" i="1"/>
  <c r="E153" i="1"/>
  <c r="B153" i="1"/>
  <c r="T152" i="1"/>
  <c r="S152" i="1"/>
  <c r="R152" i="1"/>
  <c r="Q152" i="1"/>
  <c r="P152" i="1"/>
  <c r="N152" i="1"/>
  <c r="M152" i="1"/>
  <c r="L152" i="1"/>
  <c r="K152" i="1"/>
  <c r="J152" i="1"/>
  <c r="I152" i="1"/>
  <c r="H152" i="1"/>
  <c r="G152" i="1"/>
  <c r="F152" i="1"/>
  <c r="E152" i="1"/>
  <c r="B152" i="1"/>
  <c r="T151" i="1"/>
  <c r="S151" i="1"/>
  <c r="R151" i="1"/>
  <c r="Q151" i="1"/>
  <c r="P151" i="1"/>
  <c r="N151" i="1"/>
  <c r="M151" i="1"/>
  <c r="L151" i="1"/>
  <c r="K151" i="1"/>
  <c r="J151" i="1"/>
  <c r="I151" i="1"/>
  <c r="H151" i="1"/>
  <c r="G151" i="1"/>
  <c r="F151" i="1"/>
  <c r="E151" i="1"/>
  <c r="B151" i="1"/>
  <c r="T150" i="1"/>
  <c r="S150" i="1"/>
  <c r="R150" i="1"/>
  <c r="Q150" i="1"/>
  <c r="P150" i="1"/>
  <c r="N150" i="1"/>
  <c r="M150" i="1"/>
  <c r="L150" i="1"/>
  <c r="K150" i="1"/>
  <c r="J150" i="1"/>
  <c r="I150" i="1"/>
  <c r="H150" i="1"/>
  <c r="G150" i="1"/>
  <c r="F150" i="1"/>
  <c r="E150" i="1"/>
  <c r="B150" i="1"/>
  <c r="T149" i="1"/>
  <c r="S149" i="1"/>
  <c r="R149" i="1"/>
  <c r="Q149" i="1"/>
  <c r="P149" i="1"/>
  <c r="N149" i="1"/>
  <c r="M149" i="1"/>
  <c r="L149" i="1"/>
  <c r="K149" i="1"/>
  <c r="J149" i="1"/>
  <c r="I149" i="1"/>
  <c r="H149" i="1"/>
  <c r="G149" i="1"/>
  <c r="F149" i="1"/>
  <c r="E149" i="1"/>
  <c r="B149" i="1"/>
  <c r="T148" i="1"/>
  <c r="S148" i="1"/>
  <c r="R148" i="1"/>
  <c r="Q148" i="1"/>
  <c r="P148" i="1"/>
  <c r="N148" i="1"/>
  <c r="M148" i="1"/>
  <c r="L148" i="1"/>
  <c r="K148" i="1"/>
  <c r="J148" i="1"/>
  <c r="I148" i="1"/>
  <c r="H148" i="1"/>
  <c r="G148" i="1"/>
  <c r="F148" i="1"/>
  <c r="E148" i="1"/>
  <c r="C148" i="1"/>
  <c r="B148" i="1"/>
  <c r="T147" i="1"/>
  <c r="S147" i="1"/>
  <c r="R147" i="1"/>
  <c r="Q147" i="1"/>
  <c r="P147" i="1"/>
  <c r="N147" i="1"/>
  <c r="M147" i="1"/>
  <c r="L147" i="1"/>
  <c r="K147" i="1"/>
  <c r="J147" i="1"/>
  <c r="I147" i="1"/>
  <c r="H147" i="1"/>
  <c r="G147" i="1"/>
  <c r="F147" i="1"/>
  <c r="C147" i="1"/>
  <c r="B147" i="1"/>
  <c r="T146" i="1"/>
  <c r="S146" i="1"/>
  <c r="R146" i="1"/>
  <c r="Q146" i="1"/>
  <c r="P146" i="1"/>
  <c r="N146" i="1"/>
  <c r="M146" i="1"/>
  <c r="L146" i="1"/>
  <c r="K146" i="1"/>
  <c r="J146" i="1"/>
  <c r="I146" i="1"/>
  <c r="H146" i="1"/>
  <c r="G146" i="1"/>
  <c r="F146" i="1"/>
  <c r="C146" i="1"/>
  <c r="B146" i="1"/>
  <c r="T145" i="1"/>
  <c r="S145" i="1"/>
  <c r="Q145" i="1"/>
  <c r="P145" i="1"/>
  <c r="N145" i="1"/>
  <c r="M145" i="1"/>
  <c r="L145" i="1"/>
  <c r="K145" i="1"/>
  <c r="J145" i="1"/>
  <c r="I145" i="1"/>
  <c r="H145" i="1"/>
  <c r="G145" i="1"/>
  <c r="F145" i="1"/>
  <c r="B145" i="1"/>
  <c r="T144" i="1"/>
  <c r="S144" i="1"/>
  <c r="Q144" i="1"/>
  <c r="P144" i="1"/>
  <c r="N144" i="1"/>
  <c r="M144" i="1"/>
  <c r="L144" i="1"/>
  <c r="K144" i="1"/>
  <c r="J144" i="1"/>
  <c r="I144" i="1"/>
  <c r="H144" i="1"/>
  <c r="G144" i="1"/>
  <c r="F144" i="1"/>
  <c r="B144" i="1"/>
  <c r="T143" i="1"/>
  <c r="S143" i="1"/>
  <c r="Q143" i="1"/>
  <c r="P143" i="1"/>
  <c r="N143" i="1"/>
  <c r="M143" i="1"/>
  <c r="L143" i="1"/>
  <c r="K143" i="1"/>
  <c r="J143" i="1"/>
  <c r="I143" i="1"/>
  <c r="H143" i="1"/>
  <c r="G143" i="1"/>
  <c r="F143" i="1"/>
  <c r="E143" i="1"/>
  <c r="B143" i="1"/>
  <c r="T142" i="1"/>
  <c r="S142" i="1"/>
  <c r="Q142" i="1"/>
  <c r="P142" i="1"/>
  <c r="N142" i="1"/>
  <c r="M142" i="1"/>
  <c r="L142" i="1"/>
  <c r="K142" i="1"/>
  <c r="J142" i="1"/>
  <c r="I142" i="1"/>
  <c r="H142" i="1"/>
  <c r="G142" i="1"/>
  <c r="F142" i="1"/>
  <c r="E142" i="1"/>
  <c r="D142" i="1"/>
  <c r="B142" i="1"/>
  <c r="T141" i="1"/>
  <c r="S141" i="1"/>
  <c r="Q141" i="1"/>
  <c r="P141" i="1"/>
  <c r="N141" i="1"/>
  <c r="M141" i="1"/>
  <c r="L141" i="1"/>
  <c r="K141" i="1"/>
  <c r="J141" i="1"/>
  <c r="I141" i="1"/>
  <c r="H141" i="1"/>
  <c r="G141" i="1"/>
  <c r="F141" i="1"/>
  <c r="E141" i="1"/>
  <c r="D141" i="1"/>
  <c r="B141" i="1"/>
  <c r="T140" i="1"/>
  <c r="S140" i="1"/>
  <c r="Q140" i="1"/>
  <c r="P140" i="1"/>
  <c r="N140" i="1"/>
  <c r="M140" i="1"/>
  <c r="L140" i="1"/>
  <c r="K140" i="1"/>
  <c r="J140" i="1"/>
  <c r="I140" i="1"/>
  <c r="H140" i="1"/>
  <c r="G140" i="1"/>
  <c r="F140" i="1"/>
  <c r="E140" i="1"/>
  <c r="D140" i="1"/>
  <c r="B140" i="1"/>
  <c r="T139" i="1"/>
  <c r="S139" i="1"/>
  <c r="Q139" i="1"/>
  <c r="P139" i="1"/>
  <c r="N139" i="1"/>
  <c r="M139" i="1"/>
  <c r="L139" i="1"/>
  <c r="K139" i="1"/>
  <c r="J139" i="1"/>
  <c r="I139" i="1"/>
  <c r="H139" i="1"/>
  <c r="G139" i="1"/>
  <c r="F139" i="1"/>
  <c r="E139" i="1"/>
  <c r="D139" i="1"/>
  <c r="B139" i="1"/>
  <c r="T138" i="1"/>
  <c r="S138" i="1"/>
  <c r="Q138" i="1"/>
  <c r="P138" i="1"/>
  <c r="N138" i="1"/>
  <c r="M138" i="1"/>
  <c r="L138" i="1"/>
  <c r="K138" i="1"/>
  <c r="J138" i="1"/>
  <c r="I138" i="1"/>
  <c r="H138" i="1"/>
  <c r="G138" i="1"/>
  <c r="F138" i="1"/>
  <c r="E138" i="1"/>
  <c r="D138" i="1"/>
  <c r="B138" i="1"/>
  <c r="T137" i="1"/>
  <c r="S137" i="1"/>
  <c r="R137" i="1"/>
  <c r="Q137" i="1"/>
  <c r="P137" i="1"/>
  <c r="N137" i="1"/>
  <c r="M137" i="1"/>
  <c r="L137" i="1"/>
  <c r="K137" i="1"/>
  <c r="J137" i="1"/>
  <c r="I137" i="1"/>
  <c r="H137" i="1"/>
  <c r="G137" i="1"/>
  <c r="F137" i="1"/>
  <c r="E137" i="1"/>
  <c r="D137" i="1"/>
  <c r="C137" i="1"/>
  <c r="B137" i="1"/>
  <c r="T136" i="1"/>
  <c r="S136" i="1"/>
  <c r="R136" i="1"/>
  <c r="Q136" i="1"/>
  <c r="P136" i="1"/>
  <c r="N136" i="1"/>
  <c r="M136" i="1"/>
  <c r="L136" i="1"/>
  <c r="K136" i="1"/>
  <c r="J136" i="1"/>
  <c r="I136" i="1"/>
  <c r="H136" i="1"/>
  <c r="G136" i="1"/>
  <c r="F136" i="1"/>
  <c r="E136" i="1"/>
  <c r="D136" i="1"/>
  <c r="C136" i="1"/>
  <c r="B136" i="1"/>
  <c r="T135" i="1"/>
  <c r="S135" i="1"/>
  <c r="R135" i="1"/>
  <c r="Q135" i="1"/>
  <c r="P135" i="1"/>
  <c r="N135" i="1"/>
  <c r="M135" i="1"/>
  <c r="L135" i="1"/>
  <c r="K135" i="1"/>
  <c r="J135" i="1"/>
  <c r="I135" i="1"/>
  <c r="H135" i="1"/>
  <c r="G135" i="1"/>
  <c r="F135" i="1"/>
  <c r="E135" i="1"/>
  <c r="C135" i="1"/>
  <c r="B135" i="1"/>
  <c r="T134" i="1"/>
  <c r="S134" i="1"/>
  <c r="R134" i="1"/>
  <c r="Q134" i="1"/>
  <c r="P134" i="1"/>
  <c r="N134" i="1"/>
  <c r="M134" i="1"/>
  <c r="L134" i="1"/>
  <c r="K134" i="1"/>
  <c r="J134" i="1"/>
  <c r="I134" i="1"/>
  <c r="H134" i="1"/>
  <c r="G134" i="1"/>
  <c r="F134" i="1"/>
  <c r="E134" i="1"/>
  <c r="C134" i="1"/>
  <c r="B134" i="1"/>
  <c r="T133" i="1"/>
  <c r="S133" i="1"/>
  <c r="R133" i="1"/>
  <c r="Q133" i="1"/>
  <c r="P133" i="1"/>
  <c r="O133" i="1"/>
  <c r="N133" i="1"/>
  <c r="M133" i="1"/>
  <c r="L133" i="1"/>
  <c r="K133" i="1"/>
  <c r="J133" i="1"/>
  <c r="I133" i="1"/>
  <c r="H133" i="1"/>
  <c r="G133" i="1"/>
  <c r="F133" i="1"/>
  <c r="E133" i="1"/>
  <c r="C133" i="1"/>
  <c r="B133" i="1"/>
  <c r="T132" i="1"/>
  <c r="S132" i="1"/>
  <c r="Q132" i="1"/>
  <c r="P132" i="1"/>
  <c r="O132" i="1"/>
  <c r="N132" i="1"/>
  <c r="M132" i="1"/>
  <c r="L132" i="1"/>
  <c r="K132" i="1"/>
  <c r="J132" i="1"/>
  <c r="I132" i="1"/>
  <c r="H132" i="1"/>
  <c r="G132" i="1"/>
  <c r="F132" i="1"/>
  <c r="E132" i="1"/>
  <c r="C132" i="1"/>
  <c r="B132" i="1"/>
  <c r="T131" i="1"/>
  <c r="S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E131" i="1"/>
  <c r="B131" i="1"/>
  <c r="T130" i="1"/>
  <c r="S130" i="1"/>
  <c r="Q130" i="1"/>
  <c r="P130" i="1"/>
  <c r="O130" i="1"/>
  <c r="N130" i="1"/>
  <c r="M130" i="1"/>
  <c r="L130" i="1"/>
  <c r="K130" i="1"/>
  <c r="J130" i="1"/>
  <c r="I130" i="1"/>
  <c r="H130" i="1"/>
  <c r="G130" i="1"/>
  <c r="F130" i="1"/>
  <c r="E130" i="1"/>
  <c r="B130" i="1"/>
  <c r="T129" i="1"/>
  <c r="S129" i="1"/>
  <c r="Q129" i="1"/>
  <c r="P129" i="1"/>
  <c r="O129" i="1"/>
  <c r="N129" i="1"/>
  <c r="M129" i="1"/>
  <c r="L129" i="1"/>
  <c r="K129" i="1"/>
  <c r="J129" i="1"/>
  <c r="I129" i="1"/>
  <c r="H129" i="1"/>
  <c r="G129" i="1"/>
  <c r="F129" i="1"/>
  <c r="E129" i="1"/>
  <c r="D129" i="1"/>
  <c r="B129" i="1"/>
  <c r="T128" i="1"/>
  <c r="S128" i="1"/>
  <c r="Q128" i="1"/>
  <c r="P128" i="1"/>
  <c r="O128" i="1"/>
  <c r="N128" i="1"/>
  <c r="M128" i="1"/>
  <c r="L128" i="1"/>
  <c r="K128" i="1"/>
  <c r="J128" i="1"/>
  <c r="I128" i="1"/>
  <c r="H128" i="1"/>
  <c r="G128" i="1"/>
  <c r="F128" i="1"/>
  <c r="E128" i="1"/>
  <c r="D128" i="1"/>
  <c r="B128" i="1"/>
  <c r="T127" i="1"/>
  <c r="S127" i="1"/>
  <c r="R127" i="1"/>
  <c r="Q127" i="1"/>
  <c r="P127" i="1"/>
  <c r="O127" i="1"/>
  <c r="N127" i="1"/>
  <c r="M127" i="1"/>
  <c r="L127" i="1"/>
  <c r="K127" i="1"/>
  <c r="J127" i="1"/>
  <c r="I127" i="1"/>
  <c r="H127" i="1"/>
  <c r="G127" i="1"/>
  <c r="F127" i="1"/>
  <c r="E127" i="1"/>
  <c r="D127" i="1"/>
  <c r="C127" i="1"/>
  <c r="B127" i="1"/>
  <c r="T126" i="1"/>
  <c r="S126" i="1"/>
  <c r="Q126" i="1"/>
  <c r="P126" i="1"/>
  <c r="O126" i="1"/>
  <c r="N126" i="1"/>
  <c r="M126" i="1"/>
  <c r="L126" i="1"/>
  <c r="K126" i="1"/>
  <c r="J126" i="1"/>
  <c r="I126" i="1"/>
  <c r="H126" i="1"/>
  <c r="G126" i="1"/>
  <c r="F126" i="1"/>
  <c r="E126" i="1"/>
  <c r="D126" i="1"/>
  <c r="C126" i="1"/>
  <c r="B126" i="1"/>
  <c r="T125" i="1"/>
  <c r="S125" i="1"/>
  <c r="R125" i="1"/>
  <c r="Q125" i="1"/>
  <c r="P125" i="1"/>
  <c r="O125" i="1"/>
  <c r="N125" i="1"/>
  <c r="M125" i="1"/>
  <c r="L125" i="1"/>
  <c r="K125" i="1"/>
  <c r="J125" i="1"/>
  <c r="I125" i="1"/>
  <c r="H125" i="1"/>
  <c r="G125" i="1"/>
  <c r="F125" i="1"/>
  <c r="E125" i="1"/>
  <c r="D125" i="1"/>
  <c r="C125" i="1"/>
  <c r="B125" i="1"/>
  <c r="T124" i="1"/>
  <c r="S124" i="1"/>
  <c r="R124" i="1"/>
  <c r="Q124" i="1"/>
  <c r="P124" i="1"/>
  <c r="O124" i="1"/>
  <c r="N124" i="1"/>
  <c r="M124" i="1"/>
  <c r="L124" i="1"/>
  <c r="K124" i="1"/>
  <c r="J124" i="1"/>
  <c r="I124" i="1"/>
  <c r="H124" i="1"/>
  <c r="G124" i="1"/>
  <c r="F124" i="1"/>
  <c r="E124" i="1"/>
  <c r="D124" i="1"/>
  <c r="C124" i="1"/>
  <c r="B124" i="1"/>
  <c r="T123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G123" i="1"/>
  <c r="F123" i="1"/>
  <c r="E123" i="1"/>
  <c r="D123" i="1"/>
  <c r="C123" i="1"/>
  <c r="B123" i="1"/>
  <c r="T122" i="1"/>
  <c r="S122" i="1"/>
  <c r="R122" i="1"/>
  <c r="Q122" i="1"/>
  <c r="P122" i="1"/>
  <c r="O122" i="1"/>
  <c r="N122" i="1"/>
  <c r="M122" i="1"/>
  <c r="L122" i="1"/>
  <c r="K122" i="1"/>
  <c r="J122" i="1"/>
  <c r="I122" i="1"/>
  <c r="H122" i="1"/>
  <c r="G122" i="1"/>
  <c r="F122" i="1"/>
  <c r="E122" i="1"/>
  <c r="D122" i="1"/>
  <c r="C122" i="1"/>
  <c r="B122" i="1"/>
  <c r="T121" i="1"/>
  <c r="S121" i="1"/>
  <c r="R121" i="1"/>
  <c r="Q121" i="1"/>
  <c r="P121" i="1"/>
  <c r="O121" i="1"/>
  <c r="N121" i="1"/>
  <c r="M121" i="1"/>
  <c r="L121" i="1"/>
  <c r="K121" i="1"/>
  <c r="J121" i="1"/>
  <c r="I121" i="1"/>
  <c r="H121" i="1"/>
  <c r="G121" i="1"/>
  <c r="F121" i="1"/>
  <c r="E121" i="1"/>
  <c r="C121" i="1"/>
  <c r="B121" i="1"/>
  <c r="T120" i="1"/>
  <c r="S120" i="1"/>
  <c r="R120" i="1"/>
  <c r="Q120" i="1"/>
  <c r="P120" i="1"/>
  <c r="O120" i="1"/>
  <c r="N120" i="1"/>
  <c r="M120" i="1"/>
  <c r="L120" i="1"/>
  <c r="K120" i="1"/>
  <c r="J120" i="1"/>
  <c r="I120" i="1"/>
  <c r="H120" i="1"/>
  <c r="G120" i="1"/>
  <c r="F120" i="1"/>
  <c r="E120" i="1"/>
  <c r="D120" i="1"/>
  <c r="C120" i="1"/>
  <c r="B120" i="1"/>
  <c r="T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G119" i="1"/>
  <c r="F119" i="1"/>
  <c r="E119" i="1"/>
  <c r="D119" i="1"/>
  <c r="C119" i="1"/>
  <c r="B119" i="1"/>
  <c r="T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G118" i="1"/>
  <c r="F118" i="1"/>
  <c r="E118" i="1"/>
  <c r="D118" i="1"/>
  <c r="C118" i="1"/>
  <c r="B118" i="1"/>
  <c r="T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G117" i="1"/>
  <c r="F117" i="1"/>
  <c r="E117" i="1"/>
  <c r="D117" i="1"/>
  <c r="C117" i="1"/>
  <c r="B117" i="1"/>
  <c r="Q114" i="1"/>
  <c r="O114" i="1"/>
  <c r="Q113" i="1"/>
  <c r="O113" i="1"/>
  <c r="Q112" i="1"/>
  <c r="O112" i="1"/>
  <c r="Q111" i="1"/>
  <c r="Q110" i="1"/>
  <c r="Q109" i="1"/>
  <c r="Q108" i="1"/>
  <c r="Q107" i="1"/>
  <c r="R106" i="1"/>
  <c r="Q106" i="1"/>
  <c r="R105" i="1"/>
  <c r="Q105" i="1"/>
  <c r="R104" i="1"/>
  <c r="Q104" i="1"/>
  <c r="Q103" i="1"/>
  <c r="Q102" i="1"/>
  <c r="K102" i="1"/>
  <c r="Q101" i="1"/>
  <c r="K101" i="1"/>
  <c r="Q100" i="1"/>
  <c r="K100" i="1"/>
  <c r="Q99" i="1"/>
  <c r="K99" i="1"/>
  <c r="Q98" i="1"/>
  <c r="P98" i="1"/>
  <c r="K98" i="1"/>
  <c r="Q97" i="1"/>
  <c r="P97" i="1"/>
  <c r="K97" i="1"/>
  <c r="Q96" i="1"/>
  <c r="P96" i="1"/>
  <c r="K96" i="1"/>
  <c r="Q95" i="1"/>
  <c r="P95" i="1"/>
  <c r="K95" i="1"/>
  <c r="Q94" i="1"/>
  <c r="P94" i="1"/>
  <c r="K94" i="1"/>
  <c r="S93" i="1"/>
  <c r="Q93" i="1"/>
  <c r="P93" i="1"/>
  <c r="K93" i="1"/>
  <c r="S92" i="1"/>
  <c r="Q92" i="1"/>
  <c r="P92" i="1"/>
  <c r="K92" i="1"/>
  <c r="S91" i="1"/>
  <c r="Q91" i="1"/>
  <c r="P91" i="1"/>
  <c r="K91" i="1"/>
  <c r="T90" i="1"/>
  <c r="S90" i="1"/>
  <c r="Q90" i="1"/>
  <c r="P90" i="1"/>
  <c r="M90" i="1"/>
  <c r="K90" i="1"/>
  <c r="T89" i="1"/>
  <c r="S89" i="1"/>
  <c r="Q89" i="1"/>
  <c r="P89" i="1"/>
  <c r="M89" i="1"/>
  <c r="K89" i="1"/>
  <c r="T88" i="1"/>
  <c r="S88" i="1"/>
  <c r="R88" i="1"/>
  <c r="Q88" i="1"/>
  <c r="P88" i="1"/>
  <c r="M88" i="1"/>
  <c r="K88" i="1"/>
  <c r="T87" i="1"/>
  <c r="S87" i="1"/>
  <c r="Q87" i="1"/>
  <c r="P87" i="1"/>
  <c r="M87" i="1"/>
  <c r="K87" i="1"/>
  <c r="T86" i="1"/>
  <c r="S86" i="1"/>
  <c r="Q86" i="1"/>
  <c r="P86" i="1"/>
  <c r="M86" i="1"/>
  <c r="K86" i="1"/>
  <c r="T85" i="1"/>
  <c r="S85" i="1"/>
  <c r="Q85" i="1"/>
  <c r="P85" i="1"/>
  <c r="O85" i="1"/>
  <c r="M85" i="1"/>
  <c r="K85" i="1"/>
  <c r="T84" i="1"/>
  <c r="S84" i="1"/>
  <c r="Q84" i="1"/>
  <c r="P84" i="1"/>
  <c r="O84" i="1"/>
  <c r="M84" i="1"/>
  <c r="K84" i="1"/>
  <c r="T83" i="1"/>
  <c r="Q83" i="1"/>
  <c r="P83" i="1"/>
  <c r="O83" i="1"/>
  <c r="M83" i="1"/>
  <c r="K83" i="1"/>
  <c r="H83" i="1"/>
  <c r="T82" i="1"/>
  <c r="Q82" i="1"/>
  <c r="P82" i="1"/>
  <c r="M82" i="1"/>
  <c r="K82" i="1"/>
  <c r="H82" i="1"/>
  <c r="B82" i="1"/>
  <c r="T81" i="1"/>
  <c r="Q81" i="1"/>
  <c r="P81" i="1"/>
  <c r="M81" i="1"/>
  <c r="K81" i="1"/>
  <c r="H81" i="1"/>
  <c r="B81" i="1"/>
  <c r="T80" i="1"/>
  <c r="Q80" i="1"/>
  <c r="P80" i="1"/>
  <c r="M80" i="1"/>
  <c r="K80" i="1"/>
  <c r="H80" i="1"/>
  <c r="B80" i="1"/>
  <c r="T79" i="1"/>
  <c r="S79" i="1"/>
  <c r="Q79" i="1"/>
  <c r="P79" i="1"/>
  <c r="M79" i="1"/>
  <c r="K79" i="1"/>
  <c r="B79" i="1"/>
  <c r="T78" i="1"/>
  <c r="S78" i="1"/>
  <c r="Q78" i="1"/>
  <c r="P78" i="1"/>
  <c r="O78" i="1"/>
  <c r="N78" i="1"/>
  <c r="M78" i="1"/>
  <c r="K78" i="1"/>
  <c r="J78" i="1"/>
  <c r="G78" i="1"/>
  <c r="C78" i="1"/>
  <c r="B78" i="1"/>
  <c r="T77" i="1"/>
  <c r="S77" i="1"/>
  <c r="Q77" i="1"/>
  <c r="P77" i="1"/>
  <c r="N77" i="1"/>
  <c r="M77" i="1"/>
  <c r="K77" i="1"/>
  <c r="J77" i="1"/>
  <c r="G77" i="1"/>
  <c r="C77" i="1"/>
  <c r="B77" i="1"/>
  <c r="T76" i="1"/>
  <c r="S76" i="1"/>
  <c r="Q76" i="1"/>
  <c r="P76" i="1"/>
  <c r="N76" i="1"/>
  <c r="M76" i="1"/>
  <c r="K76" i="1"/>
  <c r="J76" i="1"/>
  <c r="G76" i="1"/>
  <c r="C76" i="1"/>
  <c r="B76" i="1"/>
  <c r="T75" i="1"/>
  <c r="S75" i="1"/>
  <c r="Q75" i="1"/>
  <c r="P75" i="1"/>
  <c r="N75" i="1"/>
  <c r="M75" i="1"/>
  <c r="K75" i="1"/>
  <c r="J75" i="1"/>
  <c r="G75" i="1"/>
  <c r="C75" i="1"/>
  <c r="B75" i="1"/>
  <c r="T74" i="1"/>
  <c r="S74" i="1"/>
  <c r="Q74" i="1"/>
  <c r="P74" i="1"/>
  <c r="N74" i="1"/>
  <c r="M74" i="1"/>
  <c r="K74" i="1"/>
  <c r="J74" i="1"/>
  <c r="I74" i="1"/>
  <c r="G74" i="1"/>
  <c r="E74" i="1"/>
  <c r="C74" i="1"/>
  <c r="B74" i="1"/>
  <c r="T73" i="1"/>
  <c r="S73" i="1"/>
  <c r="Q73" i="1"/>
  <c r="P73" i="1"/>
  <c r="N73" i="1"/>
  <c r="M73" i="1"/>
  <c r="K73" i="1"/>
  <c r="J73" i="1"/>
  <c r="I73" i="1"/>
  <c r="H73" i="1"/>
  <c r="G73" i="1"/>
  <c r="C73" i="1"/>
  <c r="B73" i="1"/>
  <c r="T72" i="1"/>
  <c r="S72" i="1"/>
  <c r="Q72" i="1"/>
  <c r="P72" i="1"/>
  <c r="N72" i="1"/>
  <c r="M72" i="1"/>
  <c r="K72" i="1"/>
  <c r="I72" i="1"/>
  <c r="H72" i="1"/>
  <c r="G72" i="1"/>
  <c r="C72" i="1"/>
  <c r="B72" i="1"/>
  <c r="T71" i="1"/>
  <c r="S71" i="1"/>
  <c r="Q71" i="1"/>
  <c r="P71" i="1"/>
  <c r="N71" i="1"/>
  <c r="M71" i="1"/>
  <c r="K71" i="1"/>
  <c r="I71" i="1"/>
  <c r="G71" i="1"/>
  <c r="B71" i="1"/>
  <c r="T70" i="1"/>
  <c r="S70" i="1"/>
  <c r="R70" i="1"/>
  <c r="Q70" i="1"/>
  <c r="P70" i="1"/>
  <c r="N70" i="1"/>
  <c r="M70" i="1"/>
  <c r="L70" i="1"/>
  <c r="K70" i="1"/>
  <c r="I70" i="1"/>
  <c r="G70" i="1"/>
  <c r="B70" i="1"/>
  <c r="T69" i="1"/>
  <c r="S69" i="1"/>
  <c r="R69" i="1"/>
  <c r="Q69" i="1"/>
  <c r="P69" i="1"/>
  <c r="N69" i="1"/>
  <c r="M69" i="1"/>
  <c r="K69" i="1"/>
  <c r="I69" i="1"/>
  <c r="G69" i="1"/>
  <c r="B69" i="1"/>
  <c r="T68" i="1"/>
  <c r="S68" i="1"/>
  <c r="R68" i="1"/>
  <c r="Q68" i="1"/>
  <c r="P68" i="1"/>
  <c r="N68" i="1"/>
  <c r="M68" i="1"/>
  <c r="K68" i="1"/>
  <c r="I68" i="1"/>
  <c r="G68" i="1"/>
  <c r="D68" i="1"/>
  <c r="B68" i="1"/>
  <c r="T67" i="1"/>
  <c r="S67" i="1"/>
  <c r="R67" i="1"/>
  <c r="Q67" i="1"/>
  <c r="P67" i="1"/>
  <c r="N67" i="1"/>
  <c r="M67" i="1"/>
  <c r="K67" i="1"/>
  <c r="I67" i="1"/>
  <c r="H67" i="1"/>
  <c r="G67" i="1"/>
  <c r="B67" i="1"/>
  <c r="T66" i="1"/>
  <c r="S66" i="1"/>
  <c r="Q66" i="1"/>
  <c r="P66" i="1"/>
  <c r="N66" i="1"/>
  <c r="M66" i="1"/>
  <c r="K66" i="1"/>
  <c r="I66" i="1"/>
  <c r="H66" i="1"/>
  <c r="G66" i="1"/>
  <c r="B66" i="1"/>
  <c r="T65" i="1"/>
  <c r="S65" i="1"/>
  <c r="Q65" i="1"/>
  <c r="P65" i="1"/>
  <c r="N65" i="1"/>
  <c r="M65" i="1"/>
  <c r="L65" i="1"/>
  <c r="K65" i="1"/>
  <c r="I65" i="1"/>
  <c r="H65" i="1"/>
  <c r="G65" i="1"/>
  <c r="B65" i="1"/>
  <c r="T64" i="1"/>
  <c r="S64" i="1"/>
  <c r="Q64" i="1"/>
  <c r="P64" i="1"/>
  <c r="N64" i="1"/>
  <c r="M64" i="1"/>
  <c r="L64" i="1"/>
  <c r="K64" i="1"/>
  <c r="I64" i="1"/>
  <c r="H64" i="1"/>
  <c r="G64" i="1"/>
  <c r="B64" i="1"/>
  <c r="T63" i="1"/>
  <c r="S63" i="1"/>
  <c r="R63" i="1"/>
  <c r="Q63" i="1"/>
  <c r="P63" i="1"/>
  <c r="N63" i="1"/>
  <c r="M63" i="1"/>
  <c r="L63" i="1"/>
  <c r="K63" i="1"/>
  <c r="I63" i="1"/>
  <c r="H63" i="1"/>
  <c r="G63" i="1"/>
  <c r="C63" i="1"/>
  <c r="B63" i="1"/>
  <c r="T62" i="1"/>
  <c r="S62" i="1"/>
  <c r="R62" i="1"/>
  <c r="Q62" i="1"/>
  <c r="P62" i="1"/>
  <c r="N62" i="1"/>
  <c r="M62" i="1"/>
  <c r="L62" i="1"/>
  <c r="K62" i="1"/>
  <c r="I62" i="1"/>
  <c r="H62" i="1"/>
  <c r="G62" i="1"/>
  <c r="C62" i="1"/>
  <c r="B62" i="1"/>
  <c r="T61" i="1"/>
  <c r="S61" i="1"/>
  <c r="R61" i="1"/>
  <c r="Q61" i="1"/>
  <c r="P61" i="1"/>
  <c r="N61" i="1"/>
  <c r="M61" i="1"/>
  <c r="L61" i="1"/>
  <c r="K61" i="1"/>
  <c r="I61" i="1"/>
  <c r="H61" i="1"/>
  <c r="G61" i="1"/>
  <c r="D61" i="1"/>
  <c r="C61" i="1"/>
  <c r="B61" i="1"/>
  <c r="T60" i="1"/>
  <c r="S60" i="1"/>
  <c r="R60" i="1"/>
  <c r="Q60" i="1"/>
  <c r="P60" i="1"/>
  <c r="N60" i="1"/>
  <c r="M60" i="1"/>
  <c r="L60" i="1"/>
  <c r="K60" i="1"/>
  <c r="I60" i="1"/>
  <c r="H60" i="1"/>
  <c r="G60" i="1"/>
  <c r="D60" i="1"/>
  <c r="B60" i="1"/>
  <c r="T59" i="1"/>
  <c r="S59" i="1"/>
  <c r="R59" i="1"/>
  <c r="Q59" i="1"/>
  <c r="P59" i="1"/>
  <c r="N59" i="1"/>
  <c r="M59" i="1"/>
  <c r="K59" i="1"/>
  <c r="J59" i="1"/>
  <c r="I59" i="1"/>
  <c r="H59" i="1"/>
  <c r="G59" i="1"/>
  <c r="B59" i="1"/>
  <c r="T58" i="1"/>
  <c r="S58" i="1"/>
  <c r="R58" i="1"/>
  <c r="Q58" i="1"/>
  <c r="P58" i="1"/>
  <c r="N58" i="1"/>
  <c r="M58" i="1"/>
  <c r="K58" i="1"/>
  <c r="J58" i="1"/>
  <c r="I58" i="1"/>
  <c r="H58" i="1"/>
  <c r="G58" i="1"/>
  <c r="F58" i="1"/>
  <c r="B58" i="1"/>
  <c r="T57" i="1"/>
  <c r="S57" i="1"/>
  <c r="R57" i="1"/>
  <c r="Q57" i="1"/>
  <c r="P57" i="1"/>
  <c r="N57" i="1"/>
  <c r="M57" i="1"/>
  <c r="K57" i="1"/>
  <c r="J57" i="1"/>
  <c r="I57" i="1"/>
  <c r="H57" i="1"/>
  <c r="G57" i="1"/>
  <c r="F57" i="1"/>
  <c r="B57" i="1"/>
  <c r="T56" i="1"/>
  <c r="S56" i="1"/>
  <c r="R56" i="1"/>
  <c r="Q56" i="1"/>
  <c r="P56" i="1"/>
  <c r="N56" i="1"/>
  <c r="M56" i="1"/>
  <c r="K56" i="1"/>
  <c r="I56" i="1"/>
  <c r="H56" i="1"/>
  <c r="G56" i="1"/>
  <c r="F56" i="1"/>
  <c r="B56" i="1"/>
  <c r="T55" i="1"/>
  <c r="S55" i="1"/>
  <c r="R55" i="1"/>
  <c r="Q55" i="1"/>
  <c r="P55" i="1"/>
  <c r="N55" i="1"/>
  <c r="M55" i="1"/>
  <c r="L55" i="1"/>
  <c r="K55" i="1"/>
  <c r="I55" i="1"/>
  <c r="H55" i="1"/>
  <c r="G55" i="1"/>
  <c r="F55" i="1"/>
  <c r="B55" i="1"/>
  <c r="T54" i="1"/>
  <c r="S54" i="1"/>
  <c r="R54" i="1"/>
  <c r="Q54" i="1"/>
  <c r="P54" i="1"/>
  <c r="N54" i="1"/>
  <c r="M54" i="1"/>
  <c r="L54" i="1"/>
  <c r="K54" i="1"/>
  <c r="J54" i="1"/>
  <c r="I54" i="1"/>
  <c r="H54" i="1"/>
  <c r="G54" i="1"/>
  <c r="B54" i="1"/>
  <c r="T53" i="1"/>
  <c r="S53" i="1"/>
  <c r="R53" i="1"/>
  <c r="Q53" i="1"/>
  <c r="P53" i="1"/>
  <c r="N53" i="1"/>
  <c r="M53" i="1"/>
  <c r="L53" i="1"/>
  <c r="K53" i="1"/>
  <c r="J53" i="1"/>
  <c r="I53" i="1"/>
  <c r="H53" i="1"/>
  <c r="G53" i="1"/>
  <c r="F53" i="1"/>
  <c r="B53" i="1"/>
  <c r="T52" i="1"/>
  <c r="S52" i="1"/>
  <c r="R52" i="1"/>
  <c r="Q52" i="1"/>
  <c r="P52" i="1"/>
  <c r="N52" i="1"/>
  <c r="M52" i="1"/>
  <c r="L52" i="1"/>
  <c r="K52" i="1"/>
  <c r="J52" i="1"/>
  <c r="I52" i="1"/>
  <c r="H52" i="1"/>
  <c r="G52" i="1"/>
  <c r="F52" i="1"/>
  <c r="B52" i="1"/>
  <c r="T51" i="1"/>
  <c r="S51" i="1"/>
  <c r="R51" i="1"/>
  <c r="Q51" i="1"/>
  <c r="P51" i="1"/>
  <c r="N51" i="1"/>
  <c r="M51" i="1"/>
  <c r="L51" i="1"/>
  <c r="K51" i="1"/>
  <c r="I51" i="1"/>
  <c r="H51" i="1"/>
  <c r="G51" i="1"/>
  <c r="F51" i="1"/>
  <c r="B51" i="1"/>
  <c r="T50" i="1"/>
  <c r="S50" i="1"/>
  <c r="R50" i="1"/>
  <c r="Q50" i="1"/>
  <c r="P50" i="1"/>
  <c r="N50" i="1"/>
  <c r="M50" i="1"/>
  <c r="L50" i="1"/>
  <c r="K50" i="1"/>
  <c r="I50" i="1"/>
  <c r="H50" i="1"/>
  <c r="G50" i="1"/>
  <c r="F50" i="1"/>
  <c r="E50" i="1"/>
  <c r="B50" i="1"/>
  <c r="T49" i="1"/>
  <c r="S49" i="1"/>
  <c r="R49" i="1"/>
  <c r="Q49" i="1"/>
  <c r="P49" i="1"/>
  <c r="N49" i="1"/>
  <c r="M49" i="1"/>
  <c r="L49" i="1"/>
  <c r="K49" i="1"/>
  <c r="I49" i="1"/>
  <c r="H49" i="1"/>
  <c r="G49" i="1"/>
  <c r="F49" i="1"/>
  <c r="E49" i="1"/>
  <c r="B49" i="1"/>
  <c r="T48" i="1"/>
  <c r="S48" i="1"/>
  <c r="R48" i="1"/>
  <c r="Q48" i="1"/>
  <c r="P48" i="1"/>
  <c r="N48" i="1"/>
  <c r="M48" i="1"/>
  <c r="L48" i="1"/>
  <c r="K48" i="1"/>
  <c r="I48" i="1"/>
  <c r="H48" i="1"/>
  <c r="G48" i="1"/>
  <c r="F48" i="1"/>
  <c r="B48" i="1"/>
  <c r="T47" i="1"/>
  <c r="S47" i="1"/>
  <c r="R47" i="1"/>
  <c r="Q47" i="1"/>
  <c r="P47" i="1"/>
  <c r="N47" i="1"/>
  <c r="M47" i="1"/>
  <c r="L47" i="1"/>
  <c r="K47" i="1"/>
  <c r="J47" i="1"/>
  <c r="I47" i="1"/>
  <c r="H47" i="1"/>
  <c r="G47" i="1"/>
  <c r="F47" i="1"/>
  <c r="B47" i="1"/>
  <c r="T46" i="1"/>
  <c r="S46" i="1"/>
  <c r="R46" i="1"/>
  <c r="Q46" i="1"/>
  <c r="P46" i="1"/>
  <c r="N46" i="1"/>
  <c r="M46" i="1"/>
  <c r="L46" i="1"/>
  <c r="K46" i="1"/>
  <c r="J46" i="1"/>
  <c r="I46" i="1"/>
  <c r="H46" i="1"/>
  <c r="G46" i="1"/>
  <c r="F46" i="1"/>
  <c r="B46" i="1"/>
  <c r="T45" i="1"/>
  <c r="S45" i="1"/>
  <c r="R45" i="1"/>
  <c r="Q45" i="1"/>
  <c r="P45" i="1"/>
  <c r="N45" i="1"/>
  <c r="M45" i="1"/>
  <c r="L45" i="1"/>
  <c r="K45" i="1"/>
  <c r="J45" i="1"/>
  <c r="I45" i="1"/>
  <c r="H45" i="1"/>
  <c r="G45" i="1"/>
  <c r="F45" i="1"/>
  <c r="B45" i="1"/>
  <c r="T44" i="1"/>
  <c r="S44" i="1"/>
  <c r="R44" i="1"/>
  <c r="Q44" i="1"/>
  <c r="P44" i="1"/>
  <c r="N44" i="1"/>
  <c r="M44" i="1"/>
  <c r="L44" i="1"/>
  <c r="K44" i="1"/>
  <c r="J44" i="1"/>
  <c r="I44" i="1"/>
  <c r="H44" i="1"/>
  <c r="G44" i="1"/>
  <c r="F44" i="1"/>
  <c r="E44" i="1"/>
  <c r="B44" i="1"/>
  <c r="T43" i="1"/>
  <c r="S43" i="1"/>
  <c r="R43" i="1"/>
  <c r="Q43" i="1"/>
  <c r="P43" i="1"/>
  <c r="N43" i="1"/>
  <c r="M43" i="1"/>
  <c r="L43" i="1"/>
  <c r="K43" i="1"/>
  <c r="J43" i="1"/>
  <c r="I43" i="1"/>
  <c r="H43" i="1"/>
  <c r="G43" i="1"/>
  <c r="F43" i="1"/>
  <c r="E43" i="1"/>
  <c r="B43" i="1"/>
  <c r="T42" i="1"/>
  <c r="S42" i="1"/>
  <c r="R42" i="1"/>
  <c r="Q42" i="1"/>
  <c r="P42" i="1"/>
  <c r="N42" i="1"/>
  <c r="M42" i="1"/>
  <c r="L42" i="1"/>
  <c r="K42" i="1"/>
  <c r="J42" i="1"/>
  <c r="I42" i="1"/>
  <c r="H42" i="1"/>
  <c r="G42" i="1"/>
  <c r="F42" i="1"/>
  <c r="E42" i="1"/>
  <c r="B42" i="1"/>
  <c r="T41" i="1"/>
  <c r="S41" i="1"/>
  <c r="R41" i="1"/>
  <c r="Q41" i="1"/>
  <c r="P41" i="1"/>
  <c r="N41" i="1"/>
  <c r="M41" i="1"/>
  <c r="L41" i="1"/>
  <c r="K41" i="1"/>
  <c r="J41" i="1"/>
  <c r="I41" i="1"/>
  <c r="H41" i="1"/>
  <c r="G41" i="1"/>
  <c r="F41" i="1"/>
  <c r="E41" i="1"/>
  <c r="B41" i="1"/>
  <c r="T40" i="1"/>
  <c r="S40" i="1"/>
  <c r="R40" i="1"/>
  <c r="Q40" i="1"/>
  <c r="P40" i="1"/>
  <c r="N40" i="1"/>
  <c r="M40" i="1"/>
  <c r="L40" i="1"/>
  <c r="K40" i="1"/>
  <c r="J40" i="1"/>
  <c r="I40" i="1"/>
  <c r="H40" i="1"/>
  <c r="G40" i="1"/>
  <c r="F40" i="1"/>
  <c r="E40" i="1"/>
  <c r="B40" i="1"/>
  <c r="T39" i="1"/>
  <c r="S39" i="1"/>
  <c r="R39" i="1"/>
  <c r="Q39" i="1"/>
  <c r="P39" i="1"/>
  <c r="N39" i="1"/>
  <c r="M39" i="1"/>
  <c r="L39" i="1"/>
  <c r="K39" i="1"/>
  <c r="J39" i="1"/>
  <c r="I39" i="1"/>
  <c r="H39" i="1"/>
  <c r="G39" i="1"/>
  <c r="F39" i="1"/>
  <c r="E39" i="1"/>
  <c r="B39" i="1"/>
  <c r="T38" i="1"/>
  <c r="S38" i="1"/>
  <c r="R38" i="1"/>
  <c r="Q38" i="1"/>
  <c r="P38" i="1"/>
  <c r="N38" i="1"/>
  <c r="M38" i="1"/>
  <c r="L38" i="1"/>
  <c r="K38" i="1"/>
  <c r="J38" i="1"/>
  <c r="I38" i="1"/>
  <c r="H38" i="1"/>
  <c r="G38" i="1"/>
  <c r="F38" i="1"/>
  <c r="E38" i="1"/>
  <c r="B38" i="1"/>
  <c r="T37" i="1"/>
  <c r="S37" i="1"/>
  <c r="R37" i="1"/>
  <c r="Q37" i="1"/>
  <c r="P37" i="1"/>
  <c r="N37" i="1"/>
  <c r="M37" i="1"/>
  <c r="L37" i="1"/>
  <c r="K37" i="1"/>
  <c r="J37" i="1"/>
  <c r="I37" i="1"/>
  <c r="H37" i="1"/>
  <c r="G37" i="1"/>
  <c r="F37" i="1"/>
  <c r="E37" i="1"/>
  <c r="B37" i="1"/>
  <c r="T36" i="1"/>
  <c r="S36" i="1"/>
  <c r="R36" i="1"/>
  <c r="Q36" i="1"/>
  <c r="P36" i="1"/>
  <c r="N36" i="1"/>
  <c r="M36" i="1"/>
  <c r="L36" i="1"/>
  <c r="K36" i="1"/>
  <c r="J36" i="1"/>
  <c r="I36" i="1"/>
  <c r="H36" i="1"/>
  <c r="G36" i="1"/>
  <c r="F36" i="1"/>
  <c r="E36" i="1"/>
  <c r="B36" i="1"/>
  <c r="T35" i="1"/>
  <c r="S35" i="1"/>
  <c r="R35" i="1"/>
  <c r="Q35" i="1"/>
  <c r="P35" i="1"/>
  <c r="N35" i="1"/>
  <c r="M35" i="1"/>
  <c r="L35" i="1"/>
  <c r="K35" i="1"/>
  <c r="J35" i="1"/>
  <c r="I35" i="1"/>
  <c r="H35" i="1"/>
  <c r="G35" i="1"/>
  <c r="F35" i="1"/>
  <c r="E35" i="1"/>
  <c r="D35" i="1"/>
  <c r="B35" i="1"/>
  <c r="T34" i="1"/>
  <c r="S34" i="1"/>
  <c r="R34" i="1"/>
  <c r="Q34" i="1"/>
  <c r="P34" i="1"/>
  <c r="N34" i="1"/>
  <c r="M34" i="1"/>
  <c r="L34" i="1"/>
  <c r="K34" i="1"/>
  <c r="J34" i="1"/>
  <c r="I34" i="1"/>
  <c r="H34" i="1"/>
  <c r="G34" i="1"/>
  <c r="F34" i="1"/>
  <c r="E34" i="1"/>
  <c r="D34" i="1"/>
  <c r="B34" i="1"/>
  <c r="T33" i="1"/>
  <c r="S33" i="1"/>
  <c r="R33" i="1"/>
  <c r="Q33" i="1"/>
  <c r="P33" i="1"/>
  <c r="N33" i="1"/>
  <c r="M33" i="1"/>
  <c r="L33" i="1"/>
  <c r="K33" i="1"/>
  <c r="J33" i="1"/>
  <c r="I33" i="1"/>
  <c r="H33" i="1"/>
  <c r="G33" i="1"/>
  <c r="F33" i="1"/>
  <c r="E33" i="1"/>
  <c r="D33" i="1"/>
  <c r="B33" i="1"/>
  <c r="T32" i="1"/>
  <c r="S32" i="1"/>
  <c r="R32" i="1"/>
  <c r="Q32" i="1"/>
  <c r="P32" i="1"/>
  <c r="N32" i="1"/>
  <c r="M32" i="1"/>
  <c r="L32" i="1"/>
  <c r="K32" i="1"/>
  <c r="J32" i="1"/>
  <c r="I32" i="1"/>
  <c r="H32" i="1"/>
  <c r="G32" i="1"/>
  <c r="F32" i="1"/>
  <c r="E32" i="1"/>
  <c r="B32" i="1"/>
  <c r="T31" i="1"/>
  <c r="S31" i="1"/>
  <c r="Q31" i="1"/>
  <c r="P31" i="1"/>
  <c r="N31" i="1"/>
  <c r="M31" i="1"/>
  <c r="L31" i="1"/>
  <c r="K31" i="1"/>
  <c r="J31" i="1"/>
  <c r="I31" i="1"/>
  <c r="H31" i="1"/>
  <c r="G31" i="1"/>
  <c r="F31" i="1"/>
  <c r="E31" i="1"/>
  <c r="B31" i="1"/>
  <c r="T30" i="1"/>
  <c r="S30" i="1"/>
  <c r="Q30" i="1"/>
  <c r="P30" i="1"/>
  <c r="N30" i="1"/>
  <c r="M30" i="1"/>
  <c r="L30" i="1"/>
  <c r="K30" i="1"/>
  <c r="J30" i="1"/>
  <c r="I30" i="1"/>
  <c r="H30" i="1"/>
  <c r="G30" i="1"/>
  <c r="F30" i="1"/>
  <c r="E30" i="1"/>
  <c r="B30" i="1"/>
  <c r="T29" i="1"/>
  <c r="S29" i="1"/>
  <c r="Q29" i="1"/>
  <c r="P29" i="1"/>
  <c r="N29" i="1"/>
  <c r="M29" i="1"/>
  <c r="L29" i="1"/>
  <c r="K29" i="1"/>
  <c r="J29" i="1"/>
  <c r="I29" i="1"/>
  <c r="H29" i="1"/>
  <c r="G29" i="1"/>
  <c r="F29" i="1"/>
  <c r="B29" i="1"/>
  <c r="T28" i="1"/>
  <c r="S28" i="1"/>
  <c r="Q28" i="1"/>
  <c r="P28" i="1"/>
  <c r="N28" i="1"/>
  <c r="M28" i="1"/>
  <c r="L28" i="1"/>
  <c r="K28" i="1"/>
  <c r="J28" i="1"/>
  <c r="I28" i="1"/>
  <c r="H28" i="1"/>
  <c r="G28" i="1"/>
  <c r="F28" i="1"/>
  <c r="B28" i="1"/>
  <c r="T27" i="1"/>
  <c r="S27" i="1"/>
  <c r="Q27" i="1"/>
  <c r="P27" i="1"/>
  <c r="N27" i="1"/>
  <c r="M27" i="1"/>
  <c r="L27" i="1"/>
  <c r="K27" i="1"/>
  <c r="J27" i="1"/>
  <c r="I27" i="1"/>
  <c r="H27" i="1"/>
  <c r="G27" i="1"/>
  <c r="F27" i="1"/>
  <c r="B27" i="1"/>
  <c r="T26" i="1"/>
  <c r="S26" i="1"/>
  <c r="Q26" i="1"/>
  <c r="P26" i="1"/>
  <c r="N26" i="1"/>
  <c r="M26" i="1"/>
  <c r="L26" i="1"/>
  <c r="K26" i="1"/>
  <c r="J26" i="1"/>
  <c r="I26" i="1"/>
  <c r="H26" i="1"/>
  <c r="G26" i="1"/>
  <c r="F26" i="1"/>
  <c r="B26" i="1"/>
  <c r="T25" i="1"/>
  <c r="S25" i="1"/>
  <c r="Q25" i="1"/>
  <c r="P25" i="1"/>
  <c r="N25" i="1"/>
  <c r="M25" i="1"/>
  <c r="L25" i="1"/>
  <c r="K25" i="1"/>
  <c r="J25" i="1"/>
  <c r="I25" i="1"/>
  <c r="H25" i="1"/>
  <c r="G25" i="1"/>
  <c r="F25" i="1"/>
  <c r="E25" i="1"/>
  <c r="B25" i="1"/>
  <c r="T24" i="1"/>
  <c r="S24" i="1"/>
  <c r="Q24" i="1"/>
  <c r="P24" i="1"/>
  <c r="O24" i="1"/>
  <c r="N24" i="1"/>
  <c r="M24" i="1"/>
  <c r="L24" i="1"/>
  <c r="K24" i="1"/>
  <c r="J24" i="1"/>
  <c r="I24" i="1"/>
  <c r="H24" i="1"/>
  <c r="G24" i="1"/>
  <c r="F24" i="1"/>
  <c r="E24" i="1"/>
  <c r="B24" i="1"/>
  <c r="T23" i="1"/>
  <c r="S23" i="1"/>
  <c r="Q23" i="1"/>
  <c r="P23" i="1"/>
  <c r="O23" i="1"/>
  <c r="N23" i="1"/>
  <c r="M23" i="1"/>
  <c r="L23" i="1"/>
  <c r="K23" i="1"/>
  <c r="J23" i="1"/>
  <c r="I23" i="1"/>
  <c r="H23" i="1"/>
  <c r="G23" i="1"/>
  <c r="F23" i="1"/>
  <c r="E23" i="1"/>
  <c r="C23" i="1"/>
  <c r="B23" i="1"/>
  <c r="T22" i="1"/>
  <c r="S22" i="1"/>
  <c r="Q22" i="1"/>
  <c r="P22" i="1"/>
  <c r="O22" i="1"/>
  <c r="N22" i="1"/>
  <c r="M22" i="1"/>
  <c r="L22" i="1"/>
  <c r="K22" i="1"/>
  <c r="J22" i="1"/>
  <c r="I22" i="1"/>
  <c r="H22" i="1"/>
  <c r="G22" i="1"/>
  <c r="F22" i="1"/>
  <c r="E22" i="1"/>
  <c r="C22" i="1"/>
  <c r="B22" i="1"/>
  <c r="T21" i="1"/>
  <c r="S21" i="1"/>
  <c r="Q21" i="1"/>
  <c r="P21" i="1"/>
  <c r="O21" i="1"/>
  <c r="N21" i="1"/>
  <c r="M21" i="1"/>
  <c r="L21" i="1"/>
  <c r="K21" i="1"/>
  <c r="J21" i="1"/>
  <c r="I21" i="1"/>
  <c r="H21" i="1"/>
  <c r="G21" i="1"/>
  <c r="F21" i="1"/>
  <c r="E21" i="1"/>
  <c r="B21" i="1"/>
  <c r="T20" i="1"/>
  <c r="S20" i="1"/>
  <c r="R20" i="1"/>
  <c r="Q20" i="1"/>
  <c r="P20" i="1"/>
  <c r="N20" i="1"/>
  <c r="M20" i="1"/>
  <c r="L20" i="1"/>
  <c r="K20" i="1"/>
  <c r="J20" i="1"/>
  <c r="I20" i="1"/>
  <c r="H20" i="1"/>
  <c r="G20" i="1"/>
  <c r="F20" i="1"/>
  <c r="E20" i="1"/>
  <c r="B20" i="1"/>
  <c r="T19" i="1"/>
  <c r="S19" i="1"/>
  <c r="R19" i="1"/>
  <c r="Q19" i="1"/>
  <c r="P19" i="1"/>
  <c r="N19" i="1"/>
  <c r="M19" i="1"/>
  <c r="L19" i="1"/>
  <c r="K19" i="1"/>
  <c r="J19" i="1"/>
  <c r="I19" i="1"/>
  <c r="H19" i="1"/>
  <c r="G19" i="1"/>
  <c r="F19" i="1"/>
  <c r="E19" i="1"/>
  <c r="D19" i="1"/>
  <c r="B19" i="1"/>
  <c r="T18" i="1"/>
  <c r="S18" i="1"/>
  <c r="R18" i="1"/>
  <c r="Q18" i="1"/>
  <c r="P18" i="1"/>
  <c r="O18" i="1"/>
  <c r="N18" i="1"/>
  <c r="M18" i="1"/>
  <c r="L18" i="1"/>
  <c r="K18" i="1"/>
  <c r="J18" i="1"/>
  <c r="I18" i="1"/>
  <c r="H18" i="1"/>
  <c r="G18" i="1"/>
  <c r="F18" i="1"/>
  <c r="E18" i="1"/>
  <c r="D18" i="1"/>
  <c r="B18" i="1"/>
  <c r="T17" i="1"/>
  <c r="S17" i="1"/>
  <c r="R17" i="1"/>
  <c r="Q17" i="1"/>
  <c r="P17" i="1"/>
  <c r="O17" i="1"/>
  <c r="N17" i="1"/>
  <c r="M17" i="1"/>
  <c r="L17" i="1"/>
  <c r="K17" i="1"/>
  <c r="J17" i="1"/>
  <c r="I17" i="1"/>
  <c r="H17" i="1"/>
  <c r="G17" i="1"/>
  <c r="F17" i="1"/>
  <c r="E17" i="1"/>
  <c r="D17" i="1"/>
  <c r="C17" i="1"/>
  <c r="B17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G16" i="1"/>
  <c r="F16" i="1"/>
  <c r="E16" i="1"/>
  <c r="C16" i="1"/>
  <c r="B16" i="1"/>
  <c r="T15" i="1"/>
  <c r="S15" i="1"/>
  <c r="Q15" i="1"/>
  <c r="P15" i="1"/>
  <c r="O15" i="1"/>
  <c r="N15" i="1"/>
  <c r="M15" i="1"/>
  <c r="L15" i="1"/>
  <c r="K15" i="1"/>
  <c r="J15" i="1"/>
  <c r="I15" i="1"/>
  <c r="H15" i="1"/>
  <c r="G15" i="1"/>
  <c r="F15" i="1"/>
  <c r="E15" i="1"/>
  <c r="C15" i="1"/>
  <c r="B15" i="1"/>
  <c r="T14" i="1"/>
  <c r="S14" i="1"/>
  <c r="Q14" i="1"/>
  <c r="P14" i="1"/>
  <c r="O14" i="1"/>
  <c r="N14" i="1"/>
  <c r="M14" i="1"/>
  <c r="L14" i="1"/>
  <c r="K14" i="1"/>
  <c r="J14" i="1"/>
  <c r="I14" i="1"/>
  <c r="H14" i="1"/>
  <c r="G14" i="1"/>
  <c r="F14" i="1"/>
  <c r="E14" i="1"/>
  <c r="C14" i="1"/>
  <c r="B14" i="1"/>
  <c r="T13" i="1"/>
  <c r="S13" i="1"/>
  <c r="Q13" i="1"/>
  <c r="P13" i="1"/>
  <c r="O13" i="1"/>
  <c r="N13" i="1"/>
  <c r="M13" i="1"/>
  <c r="L13" i="1"/>
  <c r="K13" i="1"/>
  <c r="J13" i="1"/>
  <c r="I13" i="1"/>
  <c r="H13" i="1"/>
  <c r="G13" i="1"/>
  <c r="F13" i="1"/>
  <c r="E13" i="1"/>
  <c r="C13" i="1"/>
  <c r="B13" i="1"/>
  <c r="T12" i="1"/>
  <c r="S12" i="1"/>
  <c r="Q12" i="1"/>
  <c r="P12" i="1"/>
  <c r="O12" i="1"/>
  <c r="N12" i="1"/>
  <c r="M12" i="1"/>
  <c r="L12" i="1"/>
  <c r="K12" i="1"/>
  <c r="J12" i="1"/>
  <c r="I12" i="1"/>
  <c r="H12" i="1"/>
  <c r="G12" i="1"/>
  <c r="F12" i="1"/>
  <c r="E12" i="1"/>
  <c r="C12" i="1"/>
  <c r="B12" i="1"/>
  <c r="T11" i="1"/>
  <c r="S11" i="1"/>
  <c r="R11" i="1"/>
  <c r="Q11" i="1"/>
  <c r="P11" i="1"/>
  <c r="O11" i="1"/>
  <c r="N11" i="1"/>
  <c r="M11" i="1"/>
  <c r="L11" i="1"/>
  <c r="K11" i="1"/>
  <c r="J11" i="1"/>
  <c r="I11" i="1"/>
  <c r="H11" i="1"/>
  <c r="G11" i="1"/>
  <c r="F11" i="1"/>
  <c r="E11" i="1"/>
  <c r="C11" i="1"/>
  <c r="B11" i="1"/>
  <c r="T10" i="1"/>
  <c r="S10" i="1"/>
  <c r="R10" i="1"/>
  <c r="Q10" i="1"/>
  <c r="P10" i="1"/>
  <c r="O10" i="1"/>
  <c r="N10" i="1"/>
  <c r="M10" i="1"/>
  <c r="L10" i="1"/>
  <c r="K10" i="1"/>
  <c r="J10" i="1"/>
  <c r="I10" i="1"/>
  <c r="H10" i="1"/>
  <c r="G10" i="1"/>
  <c r="F10" i="1"/>
  <c r="E10" i="1"/>
  <c r="D10" i="1"/>
  <c r="C10" i="1"/>
  <c r="B10" i="1"/>
  <c r="T9" i="1"/>
  <c r="S9" i="1"/>
  <c r="R9" i="1"/>
  <c r="Q9" i="1"/>
  <c r="P9" i="1"/>
  <c r="O9" i="1"/>
  <c r="N9" i="1"/>
  <c r="M9" i="1"/>
  <c r="L9" i="1"/>
  <c r="K9" i="1"/>
  <c r="J9" i="1"/>
  <c r="I9" i="1"/>
  <c r="H9" i="1"/>
  <c r="G9" i="1"/>
  <c r="F9" i="1"/>
  <c r="E9" i="1"/>
  <c r="D9" i="1"/>
  <c r="C9" i="1"/>
  <c r="B9" i="1"/>
  <c r="T8" i="1"/>
  <c r="S8" i="1"/>
  <c r="R8" i="1"/>
  <c r="Q8" i="1"/>
  <c r="P8" i="1"/>
  <c r="O8" i="1"/>
  <c r="N8" i="1"/>
  <c r="M8" i="1"/>
  <c r="L8" i="1"/>
  <c r="K8" i="1"/>
  <c r="J8" i="1"/>
  <c r="I8" i="1"/>
  <c r="H8" i="1"/>
  <c r="G8" i="1"/>
  <c r="F8" i="1"/>
  <c r="E8" i="1"/>
  <c r="D8" i="1"/>
  <c r="C8" i="1"/>
  <c r="B8" i="1"/>
  <c r="T7" i="1"/>
  <c r="S7" i="1"/>
  <c r="R7" i="1"/>
  <c r="Q7" i="1"/>
  <c r="P7" i="1"/>
  <c r="O7" i="1"/>
  <c r="N7" i="1"/>
  <c r="M7" i="1"/>
  <c r="L7" i="1"/>
  <c r="K7" i="1"/>
  <c r="J7" i="1"/>
  <c r="I7" i="1"/>
  <c r="H7" i="1"/>
  <c r="G7" i="1"/>
  <c r="F7" i="1"/>
  <c r="E7" i="1"/>
  <c r="D7" i="1"/>
  <c r="C7" i="1"/>
  <c r="B7" i="1"/>
  <c r="T6" i="1"/>
  <c r="S6" i="1"/>
  <c r="R6" i="1"/>
  <c r="Q6" i="1"/>
  <c r="P6" i="1"/>
  <c r="O6" i="1"/>
  <c r="N6" i="1"/>
  <c r="M6" i="1"/>
  <c r="L6" i="1"/>
  <c r="K6" i="1"/>
  <c r="J6" i="1"/>
  <c r="I6" i="1"/>
  <c r="H6" i="1"/>
  <c r="G6" i="1"/>
  <c r="F6" i="1"/>
  <c r="E6" i="1"/>
  <c r="D6" i="1"/>
  <c r="C6" i="1"/>
  <c r="B6" i="1"/>
  <c r="T5" i="1"/>
  <c r="S5" i="1"/>
  <c r="R5" i="1"/>
  <c r="Q5" i="1"/>
  <c r="P5" i="1"/>
  <c r="O5" i="1"/>
  <c r="N5" i="1"/>
  <c r="M5" i="1"/>
  <c r="L5" i="1"/>
  <c r="K5" i="1"/>
  <c r="J5" i="1"/>
  <c r="I5" i="1"/>
  <c r="H5" i="1"/>
  <c r="G5" i="1"/>
  <c r="F5" i="1"/>
  <c r="E5" i="1"/>
  <c r="D5" i="1"/>
  <c r="C5" i="1"/>
  <c r="B5" i="1"/>
  <c r="T4" i="1"/>
  <c r="S4" i="1"/>
  <c r="R4" i="1"/>
  <c r="Q4" i="1"/>
  <c r="P4" i="1"/>
  <c r="O4" i="1"/>
  <c r="N4" i="1"/>
  <c r="M4" i="1"/>
  <c r="L4" i="1"/>
  <c r="K4" i="1"/>
  <c r="J4" i="1"/>
  <c r="I4" i="1"/>
  <c r="H4" i="1"/>
  <c r="G4" i="1"/>
  <c r="F4" i="1"/>
  <c r="E4" i="1"/>
  <c r="D4" i="1"/>
  <c r="C4" i="1"/>
  <c r="B4" i="1"/>
  <c r="T3" i="1"/>
  <c r="S3" i="1"/>
  <c r="R3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B3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W228" i="2"/>
  <c r="K228" i="2"/>
  <c r="C228" i="2"/>
  <c r="T228" i="2"/>
  <c r="J228" i="2"/>
  <c r="B228" i="2"/>
  <c r="S228" i="2"/>
  <c r="I228" i="2"/>
  <c r="R228" i="2"/>
  <c r="H228" i="2"/>
  <c r="P228" i="2"/>
  <c r="G228" i="2"/>
  <c r="N228" i="2"/>
  <c r="F228" i="2"/>
  <c r="M228" i="2"/>
  <c r="E228" i="2"/>
  <c r="L228" i="2"/>
  <c r="D228" i="2"/>
  <c r="W114" i="2"/>
  <c r="K114" i="2"/>
  <c r="C114" i="2"/>
  <c r="T114" i="2"/>
  <c r="J114" i="2"/>
  <c r="B114" i="2"/>
  <c r="S114" i="2"/>
  <c r="I114" i="2"/>
  <c r="R114" i="2"/>
  <c r="H114" i="2"/>
  <c r="P114" i="2"/>
  <c r="G114" i="2"/>
  <c r="N114" i="2"/>
  <c r="F114" i="2"/>
  <c r="M114" i="2"/>
  <c r="E114" i="2"/>
  <c r="L114" i="2"/>
  <c r="D114" i="2"/>
  <c r="B114" i="5"/>
  <c r="W114" i="6"/>
  <c r="T114" i="6"/>
  <c r="S114" i="6"/>
  <c r="R114" i="6"/>
  <c r="P114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W114" i="5"/>
  <c r="T114" i="5"/>
  <c r="S114" i="5"/>
  <c r="R114" i="5"/>
  <c r="P114" i="5"/>
  <c r="N114" i="5"/>
  <c r="M114" i="5"/>
  <c r="L114" i="5"/>
  <c r="K114" i="5"/>
  <c r="J114" i="5"/>
  <c r="I114" i="5"/>
  <c r="H114" i="5"/>
  <c r="G114" i="5"/>
  <c r="F114" i="5"/>
  <c r="E114" i="5"/>
  <c r="D114" i="5"/>
  <c r="C114" i="5"/>
  <c r="E86" i="6" l="1"/>
  <c r="D228" i="1"/>
  <c r="L228" i="1"/>
  <c r="E228" i="1"/>
  <c r="M228" i="1"/>
  <c r="F228" i="1"/>
  <c r="N228" i="1"/>
  <c r="G228" i="1"/>
  <c r="P228" i="1"/>
  <c r="H228" i="1"/>
  <c r="R228" i="1"/>
  <c r="I228" i="1"/>
  <c r="S228" i="1"/>
  <c r="B228" i="1"/>
  <c r="J228" i="1"/>
  <c r="T228" i="1"/>
  <c r="C228" i="1"/>
  <c r="K228" i="1"/>
  <c r="D114" i="1"/>
  <c r="L114" i="1"/>
  <c r="E114" i="1"/>
  <c r="M114" i="1"/>
  <c r="F114" i="1"/>
  <c r="N114" i="1"/>
  <c r="G114" i="1"/>
  <c r="P114" i="1"/>
  <c r="H114" i="1"/>
  <c r="R114" i="1"/>
  <c r="I114" i="1"/>
  <c r="S114" i="1"/>
  <c r="B114" i="1"/>
  <c r="J114" i="1"/>
  <c r="T114" i="1"/>
  <c r="C114" i="1"/>
  <c r="K114" i="1"/>
  <c r="B113" i="5"/>
  <c r="B113" i="6"/>
  <c r="N99" i="6"/>
  <c r="F100" i="6"/>
  <c r="B109" i="6"/>
  <c r="E112" i="5"/>
  <c r="B112" i="6"/>
  <c r="B111" i="6"/>
  <c r="G89" i="6"/>
  <c r="H102" i="6"/>
  <c r="P102" i="6"/>
  <c r="P104" i="6"/>
  <c r="J104" i="6"/>
  <c r="N111" i="6"/>
  <c r="N105" i="5"/>
  <c r="G112" i="6"/>
  <c r="H106" i="5"/>
  <c r="H107" i="5"/>
  <c r="D111" i="6"/>
  <c r="L111" i="6"/>
  <c r="F101" i="5"/>
  <c r="D99" i="6"/>
  <c r="P101" i="6"/>
  <c r="F80" i="6"/>
  <c r="E83" i="6"/>
  <c r="I84" i="6"/>
  <c r="N88" i="6"/>
  <c r="R108" i="6"/>
  <c r="J79" i="6"/>
  <c r="J193" i="2" s="1"/>
  <c r="J193" i="1" s="1"/>
  <c r="E81" i="6"/>
  <c r="L84" i="6"/>
  <c r="F113" i="5"/>
  <c r="N113" i="5"/>
  <c r="J113" i="6"/>
  <c r="E85" i="6"/>
  <c r="I86" i="6"/>
  <c r="P103" i="6"/>
  <c r="H104" i="6"/>
  <c r="L113" i="6"/>
  <c r="N113" i="6"/>
  <c r="G85" i="6"/>
  <c r="C86" i="6"/>
  <c r="L86" i="6"/>
  <c r="G87" i="6"/>
  <c r="H103" i="6"/>
  <c r="H105" i="6"/>
  <c r="C110" i="6"/>
  <c r="K113" i="6"/>
  <c r="N101" i="6"/>
  <c r="J111" i="6"/>
  <c r="R110" i="6"/>
  <c r="P106" i="6"/>
  <c r="I108" i="6"/>
  <c r="J109" i="6"/>
  <c r="S109" i="6"/>
  <c r="I112" i="6"/>
  <c r="P104" i="5"/>
  <c r="P107" i="5"/>
  <c r="F105" i="5"/>
  <c r="D111" i="5"/>
  <c r="L111" i="5"/>
  <c r="H109" i="5"/>
  <c r="R112" i="6"/>
  <c r="P107" i="6"/>
  <c r="H104" i="5"/>
  <c r="D91" i="6"/>
  <c r="F92" i="6"/>
  <c r="H93" i="6"/>
  <c r="J94" i="6"/>
  <c r="I91" i="5"/>
  <c r="F102" i="6"/>
  <c r="T110" i="5"/>
  <c r="E99" i="6"/>
  <c r="T95" i="5"/>
  <c r="T95" i="2" s="1"/>
  <c r="T95" i="1" s="1"/>
  <c r="N101" i="5"/>
  <c r="N103" i="5"/>
  <c r="F106" i="6"/>
  <c r="L99" i="6"/>
  <c r="F113" i="6"/>
  <c r="P105" i="6"/>
  <c r="H106" i="6"/>
  <c r="H107" i="6"/>
  <c r="T110" i="6"/>
  <c r="C92" i="5"/>
  <c r="C93" i="5"/>
  <c r="L93" i="5"/>
  <c r="E94" i="5"/>
  <c r="D100" i="6"/>
  <c r="L100" i="6"/>
  <c r="N107" i="6"/>
  <c r="H109" i="6"/>
  <c r="L83" i="5"/>
  <c r="N92" i="6"/>
  <c r="F97" i="6"/>
  <c r="D102" i="6"/>
  <c r="C113" i="6"/>
  <c r="J92" i="6"/>
  <c r="D93" i="6"/>
  <c r="F94" i="6"/>
  <c r="E106" i="6"/>
  <c r="E88" i="5"/>
  <c r="C92" i="6"/>
  <c r="N104" i="6"/>
  <c r="J113" i="5"/>
  <c r="H88" i="6"/>
  <c r="P99" i="5"/>
  <c r="P99" i="2" s="1"/>
  <c r="P99" i="1" s="1"/>
  <c r="H105" i="5"/>
  <c r="H111" i="5"/>
  <c r="P111" i="5"/>
  <c r="H110" i="5"/>
  <c r="I87" i="5"/>
  <c r="E92" i="5"/>
  <c r="F107" i="5"/>
  <c r="G88" i="5"/>
  <c r="P106" i="5"/>
  <c r="C96" i="5"/>
  <c r="D79" i="5"/>
  <c r="D82" i="5"/>
  <c r="R108" i="5"/>
  <c r="I85" i="5"/>
  <c r="G94" i="5"/>
  <c r="O108" i="6"/>
  <c r="N82" i="5"/>
  <c r="N79" i="6"/>
  <c r="N193" i="2" s="1"/>
  <c r="N193" i="1" s="1"/>
  <c r="I85" i="6"/>
  <c r="D92" i="6"/>
  <c r="O104" i="6"/>
  <c r="G86" i="5"/>
  <c r="H90" i="6"/>
  <c r="N96" i="6"/>
  <c r="O97" i="6"/>
  <c r="H98" i="6"/>
  <c r="D101" i="5"/>
  <c r="L101" i="5"/>
  <c r="G98" i="6"/>
  <c r="N102" i="6"/>
  <c r="N106" i="6"/>
  <c r="D113" i="6"/>
  <c r="D86" i="5"/>
  <c r="N86" i="5"/>
  <c r="E90" i="5"/>
  <c r="F106" i="5"/>
  <c r="N107" i="5"/>
  <c r="L95" i="5"/>
  <c r="E96" i="5"/>
  <c r="N97" i="5"/>
  <c r="G98" i="5"/>
  <c r="G113" i="6"/>
  <c r="E84" i="5"/>
  <c r="D83" i="5"/>
  <c r="N83" i="5"/>
  <c r="F100" i="5"/>
  <c r="G97" i="5"/>
  <c r="I99" i="5"/>
  <c r="I104" i="6"/>
  <c r="I107" i="6"/>
  <c r="R107" i="6"/>
  <c r="R221" i="2" s="1"/>
  <c r="R221" i="1" s="1"/>
  <c r="S108" i="6"/>
  <c r="C109" i="6"/>
  <c r="D110" i="6"/>
  <c r="M111" i="6"/>
  <c r="J112" i="6"/>
  <c r="H113" i="5"/>
  <c r="J80" i="5"/>
  <c r="H103" i="5"/>
  <c r="P105" i="5"/>
  <c r="P109" i="5"/>
  <c r="G87" i="5"/>
  <c r="O94" i="5"/>
  <c r="H99" i="5"/>
  <c r="P110" i="5"/>
  <c r="I89" i="5"/>
  <c r="I95" i="5"/>
  <c r="P109" i="6"/>
  <c r="N104" i="5"/>
  <c r="G93" i="5"/>
  <c r="E100" i="5"/>
  <c r="M100" i="5"/>
  <c r="E102" i="5"/>
  <c r="M102" i="5"/>
  <c r="R111" i="6"/>
  <c r="D103" i="5"/>
  <c r="L92" i="5"/>
  <c r="F104" i="5"/>
  <c r="N106" i="5"/>
  <c r="E96" i="6"/>
  <c r="G81" i="5"/>
  <c r="D107" i="5"/>
  <c r="I83" i="6"/>
  <c r="I87" i="6"/>
  <c r="G90" i="5"/>
  <c r="I112" i="5"/>
  <c r="O89" i="6"/>
  <c r="O203" i="2" s="1"/>
  <c r="O203" i="1" s="1"/>
  <c r="I93" i="5"/>
  <c r="B99" i="6"/>
  <c r="J99" i="6"/>
  <c r="B109" i="5"/>
  <c r="J109" i="5"/>
  <c r="B111" i="5"/>
  <c r="S111" i="5"/>
  <c r="F111" i="5"/>
  <c r="N109" i="5"/>
  <c r="I81" i="5"/>
  <c r="J88" i="6"/>
  <c r="J90" i="6"/>
  <c r="M98" i="5"/>
  <c r="H100" i="5"/>
  <c r="B98" i="6"/>
  <c r="T98" i="6"/>
  <c r="C99" i="6"/>
  <c r="N93" i="6"/>
  <c r="N97" i="6"/>
  <c r="C90" i="5"/>
  <c r="E98" i="5"/>
  <c r="P113" i="6"/>
  <c r="M95" i="5"/>
  <c r="T113" i="5"/>
  <c r="I89" i="6"/>
  <c r="G110" i="6"/>
  <c r="H99" i="6"/>
  <c r="M105" i="6"/>
  <c r="H110" i="6"/>
  <c r="L88" i="5"/>
  <c r="L90" i="5"/>
  <c r="G91" i="5"/>
  <c r="T92" i="2"/>
  <c r="T92" i="1" s="1"/>
  <c r="I96" i="5"/>
  <c r="D102" i="5"/>
  <c r="L104" i="5"/>
  <c r="L105" i="5"/>
  <c r="D106" i="5"/>
  <c r="G90" i="6"/>
  <c r="I91" i="6"/>
  <c r="T91" i="6"/>
  <c r="T205" i="2" s="1"/>
  <c r="T205" i="1" s="1"/>
  <c r="L92" i="6"/>
  <c r="E93" i="6"/>
  <c r="G94" i="6"/>
  <c r="I95" i="6"/>
  <c r="T95" i="6"/>
  <c r="F107" i="6"/>
  <c r="C84" i="6"/>
  <c r="C89" i="5"/>
  <c r="I100" i="5"/>
  <c r="L110" i="5"/>
  <c r="F79" i="6"/>
  <c r="F193" i="2" s="1"/>
  <c r="F193" i="1" s="1"/>
  <c r="D80" i="6"/>
  <c r="D194" i="2" s="1"/>
  <c r="D194" i="1" s="1"/>
  <c r="N80" i="6"/>
  <c r="I81" i="6"/>
  <c r="F82" i="6"/>
  <c r="C83" i="6"/>
  <c r="L83" i="6"/>
  <c r="C85" i="6"/>
  <c r="G86" i="6"/>
  <c r="N80" i="2"/>
  <c r="N80" i="1" s="1"/>
  <c r="G85" i="5"/>
  <c r="C87" i="5"/>
  <c r="P111" i="6"/>
  <c r="I92" i="5"/>
  <c r="G92" i="5"/>
  <c r="C98" i="5"/>
  <c r="L94" i="5"/>
  <c r="O96" i="5"/>
  <c r="B101" i="5"/>
  <c r="J101" i="5"/>
  <c r="D109" i="5"/>
  <c r="L109" i="5"/>
  <c r="M112" i="6"/>
  <c r="G89" i="5"/>
  <c r="L97" i="5"/>
  <c r="B97" i="5"/>
  <c r="C89" i="6"/>
  <c r="L102" i="6"/>
  <c r="H90" i="5"/>
  <c r="G95" i="5"/>
  <c r="D104" i="5"/>
  <c r="L107" i="5"/>
  <c r="G83" i="6"/>
  <c r="L86" i="5"/>
  <c r="D84" i="5"/>
  <c r="N84" i="5"/>
  <c r="H93" i="5"/>
  <c r="T96" i="5"/>
  <c r="C97" i="5"/>
  <c r="L102" i="5"/>
  <c r="E103" i="6"/>
  <c r="M103" i="6"/>
  <c r="M217" i="2" s="1"/>
  <c r="M217" i="1" s="1"/>
  <c r="E104" i="6"/>
  <c r="M104" i="6"/>
  <c r="E105" i="6"/>
  <c r="M107" i="6"/>
  <c r="F108" i="6"/>
  <c r="N108" i="5"/>
  <c r="G109" i="6"/>
  <c r="I111" i="5"/>
  <c r="F112" i="6"/>
  <c r="N112" i="6"/>
  <c r="L99" i="5"/>
  <c r="B108" i="6"/>
  <c r="F109" i="5"/>
  <c r="J82" i="6"/>
  <c r="E97" i="5"/>
  <c r="N102" i="5"/>
  <c r="O106" i="6"/>
  <c r="E92" i="6"/>
  <c r="E88" i="6"/>
  <c r="D89" i="6"/>
  <c r="D99" i="5"/>
  <c r="I102" i="5"/>
  <c r="C90" i="6"/>
  <c r="L79" i="5"/>
  <c r="C96" i="6"/>
  <c r="J96" i="5"/>
  <c r="E91" i="5"/>
  <c r="M110" i="5"/>
  <c r="G84" i="6"/>
  <c r="L85" i="6"/>
  <c r="C87" i="6"/>
  <c r="L87" i="6"/>
  <c r="J79" i="5"/>
  <c r="G82" i="5"/>
  <c r="B107" i="5"/>
  <c r="O96" i="6"/>
  <c r="C83" i="5"/>
  <c r="D97" i="5"/>
  <c r="D101" i="6"/>
  <c r="L101" i="6"/>
  <c r="F103" i="6"/>
  <c r="N103" i="6"/>
  <c r="F104" i="6"/>
  <c r="F105" i="6"/>
  <c r="N105" i="6"/>
  <c r="G108" i="6"/>
  <c r="I110" i="6"/>
  <c r="B96" i="5"/>
  <c r="M106" i="5"/>
  <c r="L82" i="5"/>
  <c r="I111" i="6"/>
  <c r="E103" i="5"/>
  <c r="J104" i="5"/>
  <c r="D87" i="5"/>
  <c r="N87" i="5"/>
  <c r="I103" i="5"/>
  <c r="J108" i="5"/>
  <c r="E111" i="5"/>
  <c r="H89" i="6"/>
  <c r="L90" i="6"/>
  <c r="E91" i="6"/>
  <c r="L94" i="6"/>
  <c r="E95" i="6"/>
  <c r="T97" i="6"/>
  <c r="C98" i="6"/>
  <c r="L98" i="6"/>
  <c r="P100" i="6"/>
  <c r="H101" i="6"/>
  <c r="I102" i="6"/>
  <c r="J103" i="6"/>
  <c r="B104" i="6"/>
  <c r="J105" i="6"/>
  <c r="J106" i="6"/>
  <c r="S106" i="6"/>
  <c r="C108" i="6"/>
  <c r="D109" i="6"/>
  <c r="L109" i="6"/>
  <c r="E110" i="6"/>
  <c r="T112" i="6"/>
  <c r="E87" i="5"/>
  <c r="L98" i="5"/>
  <c r="E99" i="5"/>
  <c r="N95" i="5"/>
  <c r="B100" i="5"/>
  <c r="B103" i="5"/>
  <c r="B104" i="5"/>
  <c r="B106" i="5"/>
  <c r="J107" i="5"/>
  <c r="E110" i="5"/>
  <c r="D90" i="6"/>
  <c r="N90" i="6"/>
  <c r="N94" i="6"/>
  <c r="B97" i="6"/>
  <c r="J97" i="6"/>
  <c r="D98" i="6"/>
  <c r="F99" i="6"/>
  <c r="P99" i="6"/>
  <c r="H100" i="6"/>
  <c r="B102" i="6"/>
  <c r="M109" i="6"/>
  <c r="B96" i="6"/>
  <c r="E100" i="6"/>
  <c r="G80" i="6"/>
  <c r="I82" i="6"/>
  <c r="F83" i="6"/>
  <c r="J84" i="6"/>
  <c r="F85" i="6"/>
  <c r="J86" i="6"/>
  <c r="F87" i="6"/>
  <c r="J92" i="5"/>
  <c r="D94" i="5"/>
  <c r="T101" i="5"/>
  <c r="C102" i="5"/>
  <c r="D108" i="5"/>
  <c r="O110" i="6"/>
  <c r="H111" i="6"/>
  <c r="E112" i="6"/>
  <c r="T113" i="6"/>
  <c r="C86" i="5"/>
  <c r="M103" i="5"/>
  <c r="F112" i="5"/>
  <c r="B103" i="6"/>
  <c r="M106" i="6"/>
  <c r="B107" i="6"/>
  <c r="P110" i="6"/>
  <c r="F111" i="6"/>
  <c r="L103" i="5"/>
  <c r="D105" i="5"/>
  <c r="E108" i="5"/>
  <c r="L89" i="6"/>
  <c r="J96" i="6"/>
  <c r="D97" i="6"/>
  <c r="N108" i="6"/>
  <c r="O109" i="6"/>
  <c r="D88" i="5"/>
  <c r="N88" i="5"/>
  <c r="H89" i="5"/>
  <c r="D90" i="5"/>
  <c r="N90" i="5"/>
  <c r="H91" i="5"/>
  <c r="M105" i="5"/>
  <c r="E106" i="5"/>
  <c r="E107" i="5"/>
  <c r="E102" i="6"/>
  <c r="S111" i="6"/>
  <c r="N92" i="5"/>
  <c r="H102" i="5"/>
  <c r="E105" i="5"/>
  <c r="M107" i="5"/>
  <c r="F108" i="5"/>
  <c r="M109" i="5"/>
  <c r="H95" i="6"/>
  <c r="G96" i="5"/>
  <c r="B93" i="5"/>
  <c r="O98" i="5"/>
  <c r="E104" i="5"/>
  <c r="D88" i="6"/>
  <c r="O94" i="6"/>
  <c r="D89" i="5"/>
  <c r="N93" i="5"/>
  <c r="N89" i="5"/>
  <c r="D91" i="5"/>
  <c r="B94" i="5"/>
  <c r="B94" i="6"/>
  <c r="F96" i="5"/>
  <c r="I105" i="5"/>
  <c r="I106" i="6"/>
  <c r="I106" i="5"/>
  <c r="I110" i="5"/>
  <c r="B108" i="5"/>
  <c r="S108" i="5"/>
  <c r="S112" i="5"/>
  <c r="G92" i="6"/>
  <c r="I93" i="6"/>
  <c r="T93" i="6"/>
  <c r="C94" i="6"/>
  <c r="G96" i="6"/>
  <c r="S104" i="6"/>
  <c r="S218" i="2" s="1"/>
  <c r="S218" i="1" s="1"/>
  <c r="B105" i="6"/>
  <c r="S105" i="6"/>
  <c r="B106" i="6"/>
  <c r="J107" i="6"/>
  <c r="S107" i="6"/>
  <c r="T108" i="6"/>
  <c r="M110" i="6"/>
  <c r="C112" i="6"/>
  <c r="K112" i="6"/>
  <c r="H113" i="6"/>
  <c r="R113" i="6"/>
  <c r="J102" i="6"/>
  <c r="T112" i="5"/>
  <c r="I84" i="5"/>
  <c r="D95" i="5"/>
  <c r="J111" i="5"/>
  <c r="L113" i="5"/>
  <c r="E87" i="6"/>
  <c r="E201" i="2" s="1"/>
  <c r="E201" i="1" s="1"/>
  <c r="I103" i="6"/>
  <c r="I105" i="6"/>
  <c r="N79" i="2"/>
  <c r="N79" i="1" s="1"/>
  <c r="L85" i="5"/>
  <c r="E95" i="5"/>
  <c r="N100" i="5"/>
  <c r="I108" i="5"/>
  <c r="N89" i="6"/>
  <c r="I99" i="6"/>
  <c r="G83" i="5"/>
  <c r="T97" i="5"/>
  <c r="B100" i="6"/>
  <c r="E93" i="5"/>
  <c r="E89" i="6"/>
  <c r="I94" i="5"/>
  <c r="I90" i="5"/>
  <c r="N91" i="5"/>
  <c r="N99" i="5"/>
  <c r="N95" i="6"/>
  <c r="H101" i="5"/>
  <c r="H97" i="5"/>
  <c r="I98" i="6"/>
  <c r="I98" i="5"/>
  <c r="J100" i="6"/>
  <c r="J100" i="5"/>
  <c r="J103" i="5"/>
  <c r="B105" i="5"/>
  <c r="S109" i="5"/>
  <c r="S105" i="5"/>
  <c r="S105" i="2" s="1"/>
  <c r="S105" i="1" s="1"/>
  <c r="I88" i="6"/>
  <c r="F80" i="5"/>
  <c r="F82" i="2" s="1"/>
  <c r="F82" i="1" s="1"/>
  <c r="H88" i="5"/>
  <c r="I107" i="5"/>
  <c r="S107" i="5"/>
  <c r="N111" i="5"/>
  <c r="D113" i="5"/>
  <c r="D95" i="6"/>
  <c r="J108" i="6"/>
  <c r="T109" i="6"/>
  <c r="C85" i="5"/>
  <c r="C81" i="6"/>
  <c r="J106" i="5"/>
  <c r="C112" i="5"/>
  <c r="O89" i="5"/>
  <c r="O90" i="2" s="1"/>
  <c r="O90" i="1" s="1"/>
  <c r="C94" i="5"/>
  <c r="N96" i="5"/>
  <c r="R107" i="5"/>
  <c r="D110" i="5"/>
  <c r="M111" i="5"/>
  <c r="C113" i="5"/>
  <c r="P113" i="5"/>
  <c r="N91" i="6"/>
  <c r="D93" i="5"/>
  <c r="M99" i="5"/>
  <c r="R111" i="5"/>
  <c r="C81" i="5"/>
  <c r="I88" i="5"/>
  <c r="E89" i="5"/>
  <c r="J112" i="5"/>
  <c r="F96" i="6"/>
  <c r="H97" i="6"/>
  <c r="L110" i="6"/>
  <c r="S112" i="6"/>
  <c r="E85" i="5"/>
  <c r="I104" i="5"/>
  <c r="J105" i="5"/>
  <c r="G113" i="5"/>
  <c r="L81" i="6"/>
  <c r="E111" i="6"/>
  <c r="F91" i="6"/>
  <c r="O91" i="6"/>
  <c r="J93" i="6"/>
  <c r="F95" i="6"/>
  <c r="I101" i="5"/>
  <c r="J102" i="5"/>
  <c r="T102" i="6"/>
  <c r="C104" i="6"/>
  <c r="T104" i="6"/>
  <c r="C105" i="6"/>
  <c r="T106" i="6"/>
  <c r="T107" i="6"/>
  <c r="E109" i="6"/>
  <c r="F110" i="6"/>
  <c r="N110" i="6"/>
  <c r="O111" i="6"/>
  <c r="D112" i="6"/>
  <c r="L112" i="6"/>
  <c r="I113" i="6"/>
  <c r="S113" i="6"/>
  <c r="G79" i="6"/>
  <c r="E80" i="6"/>
  <c r="J81" i="6"/>
  <c r="G82" i="6"/>
  <c r="D83" i="6"/>
  <c r="N83" i="6"/>
  <c r="H84" i="6"/>
  <c r="M104" i="5"/>
  <c r="M108" i="5"/>
  <c r="N112" i="5"/>
  <c r="H91" i="6"/>
  <c r="E107" i="6"/>
  <c r="N94" i="5"/>
  <c r="E82" i="6"/>
  <c r="E198" i="2" s="1"/>
  <c r="E198" i="1" s="1"/>
  <c r="J83" i="5"/>
  <c r="F84" i="6"/>
  <c r="J85" i="6"/>
  <c r="F94" i="5"/>
  <c r="O93" i="5"/>
  <c r="L100" i="5"/>
  <c r="F98" i="5"/>
  <c r="G99" i="5"/>
  <c r="O101" i="5"/>
  <c r="I109" i="5"/>
  <c r="B93" i="6"/>
  <c r="J88" i="5"/>
  <c r="F89" i="5"/>
  <c r="D85" i="6"/>
  <c r="N85" i="6"/>
  <c r="H86" i="6"/>
  <c r="D87" i="6"/>
  <c r="N87" i="6"/>
  <c r="G88" i="6"/>
  <c r="E90" i="6"/>
  <c r="O90" i="6"/>
  <c r="G91" i="6"/>
  <c r="I92" i="6"/>
  <c r="T92" i="6"/>
  <c r="C93" i="6"/>
  <c r="L93" i="6"/>
  <c r="E94" i="6"/>
  <c r="G95" i="6"/>
  <c r="F83" i="5"/>
  <c r="F93" i="5"/>
  <c r="G104" i="5"/>
  <c r="O111" i="5"/>
  <c r="C79" i="6"/>
  <c r="C193" i="2" s="1"/>
  <c r="C193" i="1" s="1"/>
  <c r="L79" i="6"/>
  <c r="L193" i="2" s="1"/>
  <c r="L193" i="1" s="1"/>
  <c r="I80" i="6"/>
  <c r="F81" i="6"/>
  <c r="C82" i="6"/>
  <c r="L82" i="6"/>
  <c r="D84" i="6"/>
  <c r="N84" i="6"/>
  <c r="H85" i="6"/>
  <c r="D86" i="6"/>
  <c r="N86" i="6"/>
  <c r="H87" i="6"/>
  <c r="C88" i="6"/>
  <c r="L88" i="6"/>
  <c r="I90" i="6"/>
  <c r="C91" i="6"/>
  <c r="L91" i="6"/>
  <c r="O92" i="6"/>
  <c r="G93" i="6"/>
  <c r="I94" i="6"/>
  <c r="T94" i="6"/>
  <c r="C95" i="6"/>
  <c r="L95" i="6"/>
  <c r="G97" i="6"/>
  <c r="T94" i="2"/>
  <c r="T94" i="1" s="1"/>
  <c r="T93" i="2"/>
  <c r="T93" i="1" s="1"/>
  <c r="P103" i="2"/>
  <c r="P103" i="1" s="1"/>
  <c r="P101" i="2"/>
  <c r="P101" i="1" s="1"/>
  <c r="P104" i="2"/>
  <c r="P104" i="1" s="1"/>
  <c r="C84" i="5"/>
  <c r="C80" i="5"/>
  <c r="F85" i="5"/>
  <c r="J84" i="5"/>
  <c r="C109" i="5"/>
  <c r="B98" i="5"/>
  <c r="F95" i="5"/>
  <c r="I96" i="6"/>
  <c r="T96" i="6"/>
  <c r="C97" i="6"/>
  <c r="L97" i="6"/>
  <c r="E98" i="6"/>
  <c r="O98" i="6"/>
  <c r="I100" i="6"/>
  <c r="B101" i="6"/>
  <c r="J101" i="6"/>
  <c r="D103" i="6"/>
  <c r="L103" i="6"/>
  <c r="D104" i="6"/>
  <c r="L104" i="6"/>
  <c r="D105" i="6"/>
  <c r="L105" i="6"/>
  <c r="D106" i="6"/>
  <c r="L106" i="6"/>
  <c r="D107" i="6"/>
  <c r="L107" i="6"/>
  <c r="E108" i="6"/>
  <c r="M108" i="6"/>
  <c r="F109" i="6"/>
  <c r="N109" i="6"/>
  <c r="G80" i="5"/>
  <c r="T100" i="5"/>
  <c r="H96" i="5"/>
  <c r="F99" i="5"/>
  <c r="G84" i="5"/>
  <c r="O91" i="5"/>
  <c r="J93" i="5"/>
  <c r="J97" i="5"/>
  <c r="T98" i="5"/>
  <c r="F88" i="5"/>
  <c r="G105" i="5"/>
  <c r="O105" i="5"/>
  <c r="G106" i="5"/>
  <c r="D30" i="3"/>
  <c r="D38" i="3"/>
  <c r="D54" i="3"/>
  <c r="D62" i="3"/>
  <c r="D31" i="3"/>
  <c r="D39" i="3"/>
  <c r="D47" i="3"/>
  <c r="D63" i="3"/>
  <c r="D77" i="3"/>
  <c r="D17" i="3"/>
  <c r="D6" i="3"/>
  <c r="D52" i="3"/>
  <c r="D43" i="3"/>
  <c r="D34" i="3"/>
  <c r="D5" i="3"/>
  <c r="D2" i="3"/>
  <c r="D21" i="3"/>
  <c r="D25" i="3"/>
  <c r="F176" i="2"/>
  <c r="F176" i="1" s="1"/>
  <c r="F175" i="2"/>
  <c r="F175" i="1" s="1"/>
  <c r="W197" i="2"/>
  <c r="W196" i="2"/>
  <c r="B199" i="2"/>
  <c r="B199" i="1" s="1"/>
  <c r="W208" i="2"/>
  <c r="W207" i="2"/>
  <c r="D44" i="3"/>
  <c r="D49" i="3"/>
  <c r="D13" i="5"/>
  <c r="D25" i="5"/>
  <c r="U58" i="5"/>
  <c r="W62" i="5"/>
  <c r="E63" i="5"/>
  <c r="L66" i="5"/>
  <c r="R72" i="5"/>
  <c r="X73" i="5"/>
  <c r="O86" i="5"/>
  <c r="B91" i="5"/>
  <c r="W91" i="5"/>
  <c r="O100" i="5"/>
  <c r="D34" i="6"/>
  <c r="O36" i="6"/>
  <c r="C80" i="6"/>
  <c r="D40" i="3"/>
  <c r="D45" i="3"/>
  <c r="E45" i="5"/>
  <c r="J53" i="5"/>
  <c r="J56" i="2" s="1"/>
  <c r="J56" i="1" s="1"/>
  <c r="E55" i="5"/>
  <c r="F58" i="5"/>
  <c r="F62" i="5"/>
  <c r="F63" i="5"/>
  <c r="R74" i="5"/>
  <c r="H76" i="5"/>
  <c r="B83" i="5"/>
  <c r="F84" i="5"/>
  <c r="J85" i="5"/>
  <c r="I113" i="5"/>
  <c r="E30" i="6"/>
  <c r="O101" i="6"/>
  <c r="D7" i="3"/>
  <c r="D18" i="3"/>
  <c r="D24" i="3"/>
  <c r="D27" i="3"/>
  <c r="D36" i="3"/>
  <c r="D41" i="3"/>
  <c r="D50" i="3"/>
  <c r="D59" i="3"/>
  <c r="E26" i="5"/>
  <c r="E51" i="5"/>
  <c r="X67" i="5"/>
  <c r="Y83" i="5"/>
  <c r="Y87" i="5"/>
  <c r="V5" i="6"/>
  <c r="D10" i="3"/>
  <c r="D32" i="3"/>
  <c r="D37" i="3"/>
  <c r="D46" i="3"/>
  <c r="D55" i="3"/>
  <c r="D64" i="3"/>
  <c r="O40" i="5"/>
  <c r="E75" i="5"/>
  <c r="B85" i="5"/>
  <c r="G101" i="5"/>
  <c r="J83" i="6"/>
  <c r="I109" i="6"/>
  <c r="D4" i="6"/>
  <c r="D121" i="2" s="1"/>
  <c r="D121" i="1" s="1"/>
  <c r="D4" i="5"/>
  <c r="W12" i="5"/>
  <c r="W8" i="5"/>
  <c r="W10" i="6"/>
  <c r="W127" i="2" s="1"/>
  <c r="W10" i="5"/>
  <c r="R12" i="6"/>
  <c r="R12" i="5"/>
  <c r="C14" i="6"/>
  <c r="C18" i="5"/>
  <c r="W16" i="5"/>
  <c r="W16" i="6"/>
  <c r="D18" i="6"/>
  <c r="D22" i="5"/>
  <c r="O19" i="6"/>
  <c r="O19" i="5"/>
  <c r="O20" i="6"/>
  <c r="O24" i="5"/>
  <c r="O21" i="6"/>
  <c r="O25" i="5"/>
  <c r="O21" i="5"/>
  <c r="O22" i="6"/>
  <c r="O26" i="5"/>
  <c r="O22" i="5"/>
  <c r="O23" i="6"/>
  <c r="O140" i="2" s="1"/>
  <c r="O140" i="1" s="1"/>
  <c r="O23" i="5"/>
  <c r="R24" i="5"/>
  <c r="R24" i="6"/>
  <c r="U25" i="5"/>
  <c r="U25" i="6"/>
  <c r="W26" i="6"/>
  <c r="W26" i="5"/>
  <c r="W29" i="2" s="1"/>
  <c r="C28" i="6"/>
  <c r="C32" i="5"/>
  <c r="D29" i="5"/>
  <c r="D29" i="6"/>
  <c r="O31" i="6"/>
  <c r="O31" i="5"/>
  <c r="O35" i="5"/>
  <c r="W32" i="5"/>
  <c r="W36" i="5"/>
  <c r="W32" i="6"/>
  <c r="C39" i="5"/>
  <c r="C39" i="6"/>
  <c r="D46" i="5"/>
  <c r="D42" i="5"/>
  <c r="W43" i="5"/>
  <c r="W43" i="6"/>
  <c r="D49" i="5"/>
  <c r="D45" i="5"/>
  <c r="D45" i="6"/>
  <c r="O50" i="5"/>
  <c r="O46" i="5"/>
  <c r="W51" i="5"/>
  <c r="W47" i="5"/>
  <c r="C49" i="6"/>
  <c r="C49" i="5"/>
  <c r="D54" i="5"/>
  <c r="D50" i="5"/>
  <c r="D50" i="6"/>
  <c r="D52" i="6"/>
  <c r="D52" i="5"/>
  <c r="D55" i="2" s="1"/>
  <c r="D55" i="1" s="1"/>
  <c r="C53" i="6"/>
  <c r="C53" i="5"/>
  <c r="W53" i="6"/>
  <c r="W53" i="5"/>
  <c r="O55" i="6"/>
  <c r="O55" i="5"/>
  <c r="L56" i="5"/>
  <c r="J61" i="5"/>
  <c r="J57" i="6"/>
  <c r="W60" i="5"/>
  <c r="W60" i="6"/>
  <c r="W64" i="5"/>
  <c r="O61" i="6"/>
  <c r="O65" i="5"/>
  <c r="J62" i="6"/>
  <c r="J66" i="5"/>
  <c r="C68" i="5"/>
  <c r="C64" i="6"/>
  <c r="C64" i="5"/>
  <c r="R64" i="6"/>
  <c r="R68" i="5"/>
  <c r="R71" i="2" s="1"/>
  <c r="R71" i="1" s="1"/>
  <c r="R64" i="5"/>
  <c r="J69" i="5"/>
  <c r="J65" i="6"/>
  <c r="J65" i="5"/>
  <c r="E66" i="6"/>
  <c r="E66" i="5"/>
  <c r="E70" i="5"/>
  <c r="W66" i="6"/>
  <c r="W66" i="5"/>
  <c r="O67" i="6"/>
  <c r="O71" i="5"/>
  <c r="F68" i="6"/>
  <c r="F72" i="5"/>
  <c r="F68" i="5"/>
  <c r="X74" i="5"/>
  <c r="X77" i="2" s="1"/>
  <c r="X70" i="5"/>
  <c r="L75" i="5"/>
  <c r="L71" i="5"/>
  <c r="F73" i="5"/>
  <c r="F73" i="6"/>
  <c r="W77" i="5"/>
  <c r="W73" i="5"/>
  <c r="H74" i="6"/>
  <c r="H74" i="5"/>
  <c r="Z74" i="5"/>
  <c r="Z74" i="6"/>
  <c r="I76" i="5"/>
  <c r="I80" i="5"/>
  <c r="I78" i="6"/>
  <c r="I78" i="5"/>
  <c r="I83" i="5"/>
  <c r="I79" i="6"/>
  <c r="Y79" i="6"/>
  <c r="Y79" i="5"/>
  <c r="S80" i="6"/>
  <c r="S197" i="2" s="1"/>
  <c r="S197" i="1" s="1"/>
  <c r="S84" i="5"/>
  <c r="S80" i="5"/>
  <c r="D81" i="6"/>
  <c r="D85" i="5"/>
  <c r="D81" i="5"/>
  <c r="N81" i="6"/>
  <c r="N81" i="5"/>
  <c r="F69" i="6"/>
  <c r="W73" i="6"/>
  <c r="D16" i="3"/>
  <c r="D19" i="3"/>
  <c r="D22" i="3"/>
  <c r="D28" i="3"/>
  <c r="D33" i="3"/>
  <c r="D42" i="3"/>
  <c r="D51" i="3"/>
  <c r="D60" i="3"/>
  <c r="D65" i="3"/>
  <c r="E59" i="5"/>
  <c r="F70" i="5"/>
  <c r="D72" i="5"/>
  <c r="F77" i="5"/>
  <c r="R84" i="5"/>
  <c r="R87" i="2" s="1"/>
  <c r="R87" i="1" s="1"/>
  <c r="O108" i="5"/>
  <c r="U54" i="6"/>
  <c r="Y87" i="6"/>
  <c r="D8" i="3"/>
  <c r="D11" i="3"/>
  <c r="D29" i="3"/>
  <c r="D56" i="3"/>
  <c r="D61" i="3"/>
  <c r="V5" i="5"/>
  <c r="J62" i="5"/>
  <c r="N85" i="5"/>
  <c r="D92" i="5"/>
  <c r="Z102" i="5"/>
  <c r="R15" i="6"/>
  <c r="D57" i="3"/>
  <c r="R21" i="5"/>
  <c r="C28" i="5"/>
  <c r="U33" i="5"/>
  <c r="F54" i="5"/>
  <c r="F54" i="2" s="1"/>
  <c r="F54" i="1" s="1"/>
  <c r="D64" i="5"/>
  <c r="O69" i="5"/>
  <c r="I75" i="5"/>
  <c r="D76" i="5"/>
  <c r="Z82" i="5"/>
  <c r="O104" i="5"/>
  <c r="W20" i="6"/>
  <c r="U29" i="6"/>
  <c r="W47" i="6"/>
  <c r="R86" i="6"/>
  <c r="D23" i="3"/>
  <c r="D53" i="3"/>
  <c r="W7" i="6"/>
  <c r="W11" i="5"/>
  <c r="W7" i="5"/>
  <c r="W9" i="6"/>
  <c r="W13" i="5"/>
  <c r="W9" i="5"/>
  <c r="V11" i="6"/>
  <c r="V11" i="5"/>
  <c r="W14" i="6"/>
  <c r="W14" i="5"/>
  <c r="W17" i="2" s="1"/>
  <c r="D16" i="6"/>
  <c r="D20" i="5"/>
  <c r="W18" i="5"/>
  <c r="W18" i="6"/>
  <c r="W19" i="6"/>
  <c r="W23" i="5"/>
  <c r="W19" i="5"/>
  <c r="W22" i="2" s="1"/>
  <c r="W25" i="5"/>
  <c r="W21" i="5"/>
  <c r="W22" i="6"/>
  <c r="W22" i="5"/>
  <c r="C24" i="6"/>
  <c r="C24" i="5"/>
  <c r="O27" i="5"/>
  <c r="O30" i="2" s="1"/>
  <c r="O30" i="1" s="1"/>
  <c r="O27" i="6"/>
  <c r="R28" i="5"/>
  <c r="R28" i="6"/>
  <c r="W30" i="5"/>
  <c r="W34" i="5"/>
  <c r="D32" i="6"/>
  <c r="D36" i="5"/>
  <c r="O33" i="6"/>
  <c r="O33" i="5"/>
  <c r="O37" i="5"/>
  <c r="C35" i="5"/>
  <c r="C35" i="6"/>
  <c r="D38" i="6"/>
  <c r="D38" i="5"/>
  <c r="W39" i="5"/>
  <c r="W39" i="6"/>
  <c r="C47" i="5"/>
  <c r="C43" i="5"/>
  <c r="O44" i="6"/>
  <c r="O48" i="5"/>
  <c r="O44" i="5"/>
  <c r="W45" i="6"/>
  <c r="W49" i="5"/>
  <c r="W45" i="5"/>
  <c r="D47" i="6"/>
  <c r="D51" i="5"/>
  <c r="D54" i="2" s="1"/>
  <c r="D54" i="1" s="1"/>
  <c r="D47" i="5"/>
  <c r="D50" i="2" s="1"/>
  <c r="D50" i="1" s="1"/>
  <c r="J52" i="5"/>
  <c r="J55" i="2" s="1"/>
  <c r="J55" i="1" s="1"/>
  <c r="J48" i="5"/>
  <c r="O53" i="5"/>
  <c r="O49" i="5"/>
  <c r="O49" i="6"/>
  <c r="O51" i="6"/>
  <c r="O51" i="5"/>
  <c r="O54" i="2" s="1"/>
  <c r="O54" i="1" s="1"/>
  <c r="D56" i="6"/>
  <c r="D56" i="5"/>
  <c r="C57" i="6"/>
  <c r="C57" i="5"/>
  <c r="W57" i="6"/>
  <c r="W61" i="5"/>
  <c r="W64" i="2" s="1"/>
  <c r="W57" i="5"/>
  <c r="O59" i="6"/>
  <c r="O59" i="5"/>
  <c r="J64" i="5"/>
  <c r="J60" i="6"/>
  <c r="J60" i="5"/>
  <c r="F65" i="5"/>
  <c r="F61" i="5"/>
  <c r="D62" i="6"/>
  <c r="D62" i="5"/>
  <c r="O63" i="6"/>
  <c r="O63" i="5"/>
  <c r="H64" i="6"/>
  <c r="H68" i="5"/>
  <c r="D65" i="6"/>
  <c r="D69" i="5"/>
  <c r="U65" i="6"/>
  <c r="U69" i="5"/>
  <c r="F67" i="6"/>
  <c r="F67" i="5"/>
  <c r="O68" i="6"/>
  <c r="O185" i="2" s="1"/>
  <c r="O185" i="1" s="1"/>
  <c r="O72" i="5"/>
  <c r="O70" i="6"/>
  <c r="O187" i="2" s="1"/>
  <c r="O187" i="1" s="1"/>
  <c r="O74" i="5"/>
  <c r="O70" i="5"/>
  <c r="O73" i="2" s="1"/>
  <c r="O73" i="1" s="1"/>
  <c r="F71" i="6"/>
  <c r="F75" i="5"/>
  <c r="F71" i="5"/>
  <c r="F74" i="2" s="1"/>
  <c r="F74" i="1" s="1"/>
  <c r="W71" i="6"/>
  <c r="W71" i="5"/>
  <c r="W75" i="5"/>
  <c r="L77" i="5"/>
  <c r="L73" i="5"/>
  <c r="D78" i="5"/>
  <c r="D74" i="5"/>
  <c r="R75" i="6"/>
  <c r="R79" i="5"/>
  <c r="E76" i="6"/>
  <c r="E76" i="5"/>
  <c r="E80" i="5"/>
  <c r="R76" i="6"/>
  <c r="R76" i="5"/>
  <c r="R80" i="5"/>
  <c r="E77" i="5"/>
  <c r="E81" i="5"/>
  <c r="R77" i="5"/>
  <c r="R81" i="5"/>
  <c r="E78" i="5"/>
  <c r="E78" i="6"/>
  <c r="R82" i="5"/>
  <c r="R78" i="6"/>
  <c r="R195" i="2" s="1"/>
  <c r="R195" i="1" s="1"/>
  <c r="R78" i="5"/>
  <c r="R81" i="2" s="1"/>
  <c r="R81" i="1" s="1"/>
  <c r="E79" i="5"/>
  <c r="E83" i="5"/>
  <c r="E79" i="6"/>
  <c r="O79" i="5"/>
  <c r="O79" i="6"/>
  <c r="L80" i="5"/>
  <c r="L84" i="5"/>
  <c r="L80" i="6"/>
  <c r="Z84" i="5"/>
  <c r="Z80" i="6"/>
  <c r="H81" i="6"/>
  <c r="H85" i="5"/>
  <c r="W85" i="5"/>
  <c r="W81" i="5"/>
  <c r="E86" i="5"/>
  <c r="E82" i="5"/>
  <c r="Y85" i="5"/>
  <c r="Y85" i="6"/>
  <c r="F86" i="5"/>
  <c r="F86" i="6"/>
  <c r="B87" i="6"/>
  <c r="B87" i="5"/>
  <c r="J87" i="5"/>
  <c r="J87" i="6"/>
  <c r="F88" i="6"/>
  <c r="F92" i="5"/>
  <c r="R88" i="6"/>
  <c r="R92" i="5"/>
  <c r="B89" i="5"/>
  <c r="J89" i="5"/>
  <c r="Y89" i="6"/>
  <c r="Y89" i="5"/>
  <c r="F90" i="6"/>
  <c r="F90" i="5"/>
  <c r="R90" i="5"/>
  <c r="R90" i="6"/>
  <c r="R207" i="2" s="1"/>
  <c r="R207" i="1" s="1"/>
  <c r="R94" i="5"/>
  <c r="J91" i="5"/>
  <c r="J91" i="6"/>
  <c r="M92" i="5"/>
  <c r="M96" i="5"/>
  <c r="Y96" i="5"/>
  <c r="Y92" i="6"/>
  <c r="F93" i="6"/>
  <c r="F97" i="5"/>
  <c r="O93" i="6"/>
  <c r="O97" i="5"/>
  <c r="AA97" i="5"/>
  <c r="AA93" i="6"/>
  <c r="AA93" i="5"/>
  <c r="H98" i="5"/>
  <c r="H94" i="6"/>
  <c r="H94" i="5"/>
  <c r="S94" i="6"/>
  <c r="S98" i="5"/>
  <c r="S94" i="5"/>
  <c r="B99" i="5"/>
  <c r="B95" i="6"/>
  <c r="B95" i="5"/>
  <c r="J99" i="5"/>
  <c r="J95" i="6"/>
  <c r="J95" i="5"/>
  <c r="W95" i="6"/>
  <c r="W95" i="5"/>
  <c r="W99" i="5"/>
  <c r="D96" i="6"/>
  <c r="D96" i="5"/>
  <c r="D100" i="5"/>
  <c r="L96" i="6"/>
  <c r="L96" i="5"/>
  <c r="X100" i="5"/>
  <c r="X96" i="6"/>
  <c r="X96" i="5"/>
  <c r="E101" i="5"/>
  <c r="E97" i="6"/>
  <c r="M101" i="5"/>
  <c r="M97" i="5"/>
  <c r="Y97" i="6"/>
  <c r="Y101" i="5"/>
  <c r="Y97" i="5"/>
  <c r="Y100" i="2" s="1"/>
  <c r="F98" i="6"/>
  <c r="F102" i="5"/>
  <c r="N98" i="6"/>
  <c r="N98" i="5"/>
  <c r="O99" i="6"/>
  <c r="O99" i="5"/>
  <c r="Z99" i="6"/>
  <c r="Z99" i="5"/>
  <c r="G100" i="6"/>
  <c r="G100" i="5"/>
  <c r="Z100" i="6"/>
  <c r="Z100" i="5"/>
  <c r="Z101" i="6"/>
  <c r="Z218" i="2" s="1"/>
  <c r="Z101" i="5"/>
  <c r="Z104" i="2" s="1"/>
  <c r="G102" i="6"/>
  <c r="G102" i="5"/>
  <c r="O102" i="6"/>
  <c r="O102" i="5"/>
  <c r="G103" i="6"/>
  <c r="G103" i="5"/>
  <c r="O103" i="6"/>
  <c r="O103" i="5"/>
  <c r="Z103" i="5"/>
  <c r="G104" i="6"/>
  <c r="G108" i="5"/>
  <c r="Z104" i="6"/>
  <c r="Z108" i="5"/>
  <c r="G109" i="5"/>
  <c r="G105" i="6"/>
  <c r="O105" i="6"/>
  <c r="O109" i="5"/>
  <c r="Z105" i="6"/>
  <c r="Z222" i="2" s="1"/>
  <c r="Z109" i="5"/>
  <c r="Z109" i="2" s="1"/>
  <c r="G106" i="6"/>
  <c r="G110" i="5"/>
  <c r="O106" i="5"/>
  <c r="O110" i="5"/>
  <c r="Z106" i="6"/>
  <c r="Z223" i="2" s="1"/>
  <c r="Z106" i="5"/>
  <c r="G107" i="6"/>
  <c r="G107" i="5"/>
  <c r="O107" i="6"/>
  <c r="O107" i="5"/>
  <c r="Z107" i="5"/>
  <c r="Z107" i="6"/>
  <c r="Z224" i="2" s="1"/>
  <c r="H108" i="5"/>
  <c r="H108" i="6"/>
  <c r="P108" i="5"/>
  <c r="P108" i="6"/>
  <c r="AB108" i="5"/>
  <c r="AB108" i="6"/>
  <c r="R109" i="5"/>
  <c r="R109" i="6"/>
  <c r="R113" i="5"/>
  <c r="B110" i="5"/>
  <c r="B110" i="6"/>
  <c r="J110" i="5"/>
  <c r="J110" i="6"/>
  <c r="S110" i="5"/>
  <c r="S110" i="6"/>
  <c r="C111" i="5"/>
  <c r="C111" i="6"/>
  <c r="K111" i="5"/>
  <c r="K111" i="6"/>
  <c r="T111" i="5"/>
  <c r="T111" i="6"/>
  <c r="H112" i="5"/>
  <c r="H112" i="6"/>
  <c r="P112" i="6"/>
  <c r="P112" i="5"/>
  <c r="E113" i="5"/>
  <c r="E113" i="6"/>
  <c r="M113" i="5"/>
  <c r="M113" i="6"/>
  <c r="O69" i="6"/>
  <c r="O186" i="2" s="1"/>
  <c r="O186" i="1" s="1"/>
  <c r="D74" i="6"/>
  <c r="E77" i="6"/>
  <c r="R77" i="6"/>
  <c r="R194" i="2" s="1"/>
  <c r="R194" i="1" s="1"/>
  <c r="I86" i="5"/>
  <c r="D98" i="5"/>
  <c r="B102" i="5"/>
  <c r="T107" i="5"/>
  <c r="Y90" i="6"/>
  <c r="Y207" i="2" s="1"/>
  <c r="D108" i="6"/>
  <c r="AB81" i="5"/>
  <c r="I82" i="5"/>
  <c r="R83" i="5"/>
  <c r="R86" i="2" s="1"/>
  <c r="R86" i="1" s="1"/>
  <c r="AB85" i="5"/>
  <c r="J86" i="5"/>
  <c r="J94" i="5"/>
  <c r="S96" i="5"/>
  <c r="W97" i="5"/>
  <c r="Y98" i="5"/>
  <c r="Y101" i="2" s="1"/>
  <c r="S101" i="5"/>
  <c r="T108" i="5"/>
  <c r="E109" i="5"/>
  <c r="S113" i="5"/>
  <c r="H96" i="6"/>
  <c r="X86" i="5"/>
  <c r="X82" i="6"/>
  <c r="R91" i="5"/>
  <c r="R94" i="2" s="1"/>
  <c r="R94" i="1" s="1"/>
  <c r="R87" i="6"/>
  <c r="R204" i="2" s="1"/>
  <c r="R204" i="1" s="1"/>
  <c r="R89" i="5"/>
  <c r="B90" i="5"/>
  <c r="B90" i="6"/>
  <c r="J90" i="5"/>
  <c r="F91" i="5"/>
  <c r="AA91" i="6"/>
  <c r="AA91" i="5"/>
  <c r="H92" i="6"/>
  <c r="H92" i="5"/>
  <c r="O95" i="6"/>
  <c r="O95" i="5"/>
  <c r="R96" i="5"/>
  <c r="R96" i="6"/>
  <c r="R100" i="5"/>
  <c r="AB96" i="5"/>
  <c r="AB96" i="6"/>
  <c r="I97" i="5"/>
  <c r="I97" i="6"/>
  <c r="J98" i="6"/>
  <c r="J98" i="5"/>
  <c r="T99" i="6"/>
  <c r="T99" i="5"/>
  <c r="C100" i="6"/>
  <c r="C100" i="5"/>
  <c r="K100" i="6"/>
  <c r="K217" i="2" s="1"/>
  <c r="K217" i="1" s="1"/>
  <c r="K100" i="5"/>
  <c r="C101" i="6"/>
  <c r="C101" i="5"/>
  <c r="K101" i="6"/>
  <c r="K101" i="5"/>
  <c r="T102" i="5"/>
  <c r="C103" i="5"/>
  <c r="C103" i="6"/>
  <c r="K103" i="5"/>
  <c r="K103" i="6"/>
  <c r="T103" i="5"/>
  <c r="T103" i="6"/>
  <c r="C104" i="5"/>
  <c r="C108" i="5"/>
  <c r="K104" i="5"/>
  <c r="K104" i="6"/>
  <c r="T105" i="5"/>
  <c r="T105" i="6"/>
  <c r="C110" i="5"/>
  <c r="C106" i="5"/>
  <c r="C106" i="6"/>
  <c r="K106" i="5"/>
  <c r="K106" i="6"/>
  <c r="K223" i="2" s="1"/>
  <c r="K223" i="1" s="1"/>
  <c r="T106" i="5"/>
  <c r="C107" i="6"/>
  <c r="C107" i="5"/>
  <c r="K107" i="5"/>
  <c r="K107" i="6"/>
  <c r="K224" i="2" s="1"/>
  <c r="K224" i="1" s="1"/>
  <c r="L108" i="5"/>
  <c r="L108" i="6"/>
  <c r="Y110" i="5"/>
  <c r="Y110" i="2" s="1"/>
  <c r="Y110" i="6"/>
  <c r="G111" i="6"/>
  <c r="G111" i="5"/>
  <c r="I77" i="6"/>
  <c r="Z77" i="6"/>
  <c r="B89" i="6"/>
  <c r="J89" i="6"/>
  <c r="Z98" i="6"/>
  <c r="G99" i="6"/>
  <c r="T101" i="6"/>
  <c r="C102" i="6"/>
  <c r="K102" i="6"/>
  <c r="AB100" i="5"/>
  <c r="T104" i="5"/>
  <c r="C105" i="5"/>
  <c r="K105" i="5"/>
  <c r="K108" i="5"/>
  <c r="K108" i="2" s="1"/>
  <c r="K108" i="1" s="1"/>
  <c r="N110" i="5"/>
  <c r="W112" i="5"/>
  <c r="W112" i="2" s="1"/>
  <c r="D94" i="6"/>
  <c r="B92" i="5"/>
  <c r="C99" i="5"/>
  <c r="T109" i="5"/>
  <c r="F110" i="5"/>
  <c r="L112" i="5"/>
  <c r="K105" i="6"/>
  <c r="X82" i="5"/>
  <c r="Y86" i="5"/>
  <c r="Y89" i="2" s="1"/>
  <c r="F87" i="5"/>
  <c r="W93" i="5"/>
  <c r="Y94" i="5"/>
  <c r="AA99" i="5"/>
  <c r="D112" i="5"/>
  <c r="Y88" i="6"/>
  <c r="Y205" i="2" s="1"/>
  <c r="F89" i="6"/>
  <c r="R89" i="6"/>
  <c r="R206" i="2" s="1"/>
  <c r="R206" i="1" s="1"/>
  <c r="B113" i="2" l="1"/>
  <c r="P220" i="2"/>
  <c r="P220" i="1" s="1"/>
  <c r="H219" i="2"/>
  <c r="H219" i="1" s="1"/>
  <c r="L93" i="2"/>
  <c r="L93" i="1" s="1"/>
  <c r="P105" i="2"/>
  <c r="P105" i="1" s="1"/>
  <c r="P218" i="2"/>
  <c r="P218" i="1" s="1"/>
  <c r="J194" i="2"/>
  <c r="J194" i="1" s="1"/>
  <c r="L214" i="2"/>
  <c r="L214" i="1" s="1"/>
  <c r="P102" i="2"/>
  <c r="P102" i="1" s="1"/>
  <c r="I200" i="2"/>
  <c r="I200" i="1" s="1"/>
  <c r="H218" i="2"/>
  <c r="H218" i="1" s="1"/>
  <c r="H220" i="2"/>
  <c r="H220" i="1" s="1"/>
  <c r="F216" i="2"/>
  <c r="F216" i="1" s="1"/>
  <c r="N216" i="2"/>
  <c r="N216" i="1" s="1"/>
  <c r="L92" i="2"/>
  <c r="L92" i="1" s="1"/>
  <c r="R222" i="2"/>
  <c r="R222" i="1" s="1"/>
  <c r="P221" i="2"/>
  <c r="P221" i="1" s="1"/>
  <c r="G82" i="2"/>
  <c r="G82" i="1" s="1"/>
  <c r="P100" i="2"/>
  <c r="P100" i="1" s="1"/>
  <c r="C94" i="2"/>
  <c r="C94" i="1" s="1"/>
  <c r="P217" i="2"/>
  <c r="P217" i="1" s="1"/>
  <c r="D216" i="2"/>
  <c r="D216" i="1" s="1"/>
  <c r="P106" i="2"/>
  <c r="P106" i="1" s="1"/>
  <c r="F217" i="2"/>
  <c r="F217" i="1" s="1"/>
  <c r="N194" i="2"/>
  <c r="N194" i="1" s="1"/>
  <c r="G91" i="2"/>
  <c r="G91" i="1" s="1"/>
  <c r="C224" i="2"/>
  <c r="C224" i="1" s="1"/>
  <c r="J83" i="2"/>
  <c r="J83" i="1" s="1"/>
  <c r="R227" i="2"/>
  <c r="R227" i="1" s="1"/>
  <c r="I201" i="2"/>
  <c r="I201" i="1" s="1"/>
  <c r="E200" i="2"/>
  <c r="E200" i="1" s="1"/>
  <c r="H204" i="2"/>
  <c r="H204" i="1" s="1"/>
  <c r="B95" i="2"/>
  <c r="B95" i="1" s="1"/>
  <c r="F107" i="2"/>
  <c r="F107" i="1" s="1"/>
  <c r="D206" i="2"/>
  <c r="D206" i="1" s="1"/>
  <c r="G89" i="2"/>
  <c r="G89" i="1" s="1"/>
  <c r="I95" i="2"/>
  <c r="I95" i="1" s="1"/>
  <c r="L89" i="2"/>
  <c r="L89" i="1" s="1"/>
  <c r="M219" i="2"/>
  <c r="M219" i="1" s="1"/>
  <c r="M218" i="2"/>
  <c r="M218" i="1" s="1"/>
  <c r="G90" i="2"/>
  <c r="G90" i="1" s="1"/>
  <c r="P219" i="2"/>
  <c r="P219" i="1" s="1"/>
  <c r="F108" i="2"/>
  <c r="F108" i="1" s="1"/>
  <c r="N109" i="2"/>
  <c r="N109" i="1" s="1"/>
  <c r="E113" i="2"/>
  <c r="E113" i="1" s="1"/>
  <c r="L216" i="2"/>
  <c r="L216" i="1" s="1"/>
  <c r="L95" i="2"/>
  <c r="L95" i="1" s="1"/>
  <c r="C93" i="2"/>
  <c r="C93" i="1" s="1"/>
  <c r="L217" i="2"/>
  <c r="L217" i="1" s="1"/>
  <c r="M109" i="2"/>
  <c r="M109" i="1" s="1"/>
  <c r="G195" i="2"/>
  <c r="G195" i="1" s="1"/>
  <c r="I203" i="2"/>
  <c r="I203" i="1" s="1"/>
  <c r="M100" i="2"/>
  <c r="M100" i="1" s="1"/>
  <c r="J82" i="2"/>
  <c r="J82" i="1" s="1"/>
  <c r="N205" i="2"/>
  <c r="N205" i="1" s="1"/>
  <c r="G92" i="2"/>
  <c r="G92" i="1" s="1"/>
  <c r="T98" i="2"/>
  <c r="T98" i="1" s="1"/>
  <c r="T96" i="2"/>
  <c r="T96" i="1" s="1"/>
  <c r="I199" i="2"/>
  <c r="I199" i="1" s="1"/>
  <c r="D207" i="2"/>
  <c r="D207" i="1" s="1"/>
  <c r="B222" i="2"/>
  <c r="B222" i="1" s="1"/>
  <c r="C98" i="2"/>
  <c r="C98" i="1" s="1"/>
  <c r="L104" i="2"/>
  <c r="L104" i="1" s="1"/>
  <c r="L102" i="2"/>
  <c r="L102" i="1" s="1"/>
  <c r="E220" i="2"/>
  <c r="E220" i="1" s="1"/>
  <c r="N106" i="2"/>
  <c r="N106" i="1" s="1"/>
  <c r="F218" i="2"/>
  <c r="F218" i="1" s="1"/>
  <c r="G204" i="2"/>
  <c r="G204" i="1" s="1"/>
  <c r="N227" i="2"/>
  <c r="N227" i="1" s="1"/>
  <c r="N105" i="2"/>
  <c r="N105" i="1" s="1"/>
  <c r="N218" i="2"/>
  <c r="N218" i="1" s="1"/>
  <c r="J202" i="2"/>
  <c r="J202" i="1" s="1"/>
  <c r="I220" i="2"/>
  <c r="I220" i="1" s="1"/>
  <c r="I202" i="2"/>
  <c r="I202" i="1" s="1"/>
  <c r="H107" i="2"/>
  <c r="H107" i="1" s="1"/>
  <c r="G93" i="2"/>
  <c r="G93" i="1" s="1"/>
  <c r="H221" i="2"/>
  <c r="H221" i="1" s="1"/>
  <c r="L107" i="2"/>
  <c r="L107" i="1" s="1"/>
  <c r="E95" i="2"/>
  <c r="E95" i="1" s="1"/>
  <c r="B223" i="2"/>
  <c r="B223" i="1" s="1"/>
  <c r="L88" i="2"/>
  <c r="L88" i="1" s="1"/>
  <c r="T97" i="2"/>
  <c r="T97" i="1" s="1"/>
  <c r="F221" i="2"/>
  <c r="F221" i="1" s="1"/>
  <c r="L90" i="2"/>
  <c r="L90" i="1" s="1"/>
  <c r="G224" i="2"/>
  <c r="G224" i="1" s="1"/>
  <c r="B214" i="2"/>
  <c r="B214" i="1" s="1"/>
  <c r="M220" i="2"/>
  <c r="M220" i="1" s="1"/>
  <c r="G88" i="2"/>
  <c r="G88" i="1" s="1"/>
  <c r="I221" i="2"/>
  <c r="I221" i="1" s="1"/>
  <c r="H217" i="2"/>
  <c r="H217" i="1" s="1"/>
  <c r="G94" i="2"/>
  <c r="G94" i="1" s="1"/>
  <c r="F194" i="2"/>
  <c r="F194" i="1" s="1"/>
  <c r="I101" i="2"/>
  <c r="I101" i="1" s="1"/>
  <c r="E92" i="2"/>
  <c r="E92" i="1" s="1"/>
  <c r="L94" i="2"/>
  <c r="L94" i="1" s="1"/>
  <c r="D215" i="2"/>
  <c r="D215" i="1" s="1"/>
  <c r="E94" i="2"/>
  <c r="E94" i="1" s="1"/>
  <c r="H205" i="2"/>
  <c r="H205" i="1" s="1"/>
  <c r="J196" i="2"/>
  <c r="J196" i="1" s="1"/>
  <c r="P107" i="2"/>
  <c r="P107" i="1" s="1"/>
  <c r="N220" i="2"/>
  <c r="N220" i="1" s="1"/>
  <c r="N104" i="2"/>
  <c r="N104" i="1" s="1"/>
  <c r="G95" i="2"/>
  <c r="G95" i="1" s="1"/>
  <c r="H106" i="2"/>
  <c r="H106" i="1" s="1"/>
  <c r="G201" i="2"/>
  <c r="G201" i="1" s="1"/>
  <c r="J102" i="2"/>
  <c r="J102" i="1" s="1"/>
  <c r="F219" i="2"/>
  <c r="F219" i="1" s="1"/>
  <c r="E221" i="2"/>
  <c r="E221" i="1" s="1"/>
  <c r="G199" i="2"/>
  <c r="G199" i="1" s="1"/>
  <c r="J109" i="2"/>
  <c r="J109" i="1" s="1"/>
  <c r="L226" i="2"/>
  <c r="L226" i="1" s="1"/>
  <c r="N211" i="2"/>
  <c r="N211" i="1" s="1"/>
  <c r="H105" i="2"/>
  <c r="H105" i="1" s="1"/>
  <c r="B213" i="2"/>
  <c r="B213" i="1" s="1"/>
  <c r="C89" i="2"/>
  <c r="C89" i="1" s="1"/>
  <c r="I113" i="2"/>
  <c r="I113" i="1" s="1"/>
  <c r="E215" i="2"/>
  <c r="E215" i="1" s="1"/>
  <c r="J84" i="2"/>
  <c r="J84" i="1" s="1"/>
  <c r="G96" i="2"/>
  <c r="G96" i="1" s="1"/>
  <c r="L202" i="2"/>
  <c r="L202" i="1" s="1"/>
  <c r="G200" i="2"/>
  <c r="G200" i="1" s="1"/>
  <c r="L227" i="2"/>
  <c r="L227" i="1" s="1"/>
  <c r="D104" i="2"/>
  <c r="D104" i="1" s="1"/>
  <c r="I208" i="2"/>
  <c r="I208" i="1" s="1"/>
  <c r="F198" i="2"/>
  <c r="F198" i="1" s="1"/>
  <c r="D109" i="2"/>
  <c r="D109" i="1" s="1"/>
  <c r="L91" i="2"/>
  <c r="L91" i="1" s="1"/>
  <c r="N108" i="2"/>
  <c r="N108" i="1" s="1"/>
  <c r="N207" i="2"/>
  <c r="N207" i="1" s="1"/>
  <c r="D106" i="2"/>
  <c r="D106" i="1" s="1"/>
  <c r="H215" i="2"/>
  <c r="H215" i="1" s="1"/>
  <c r="F106" i="2"/>
  <c r="F106" i="1" s="1"/>
  <c r="D108" i="2"/>
  <c r="D108" i="1" s="1"/>
  <c r="N208" i="2"/>
  <c r="N208" i="1" s="1"/>
  <c r="I222" i="2"/>
  <c r="I222" i="1" s="1"/>
  <c r="I197" i="2"/>
  <c r="I197" i="1" s="1"/>
  <c r="F81" i="2"/>
  <c r="F81" i="1" s="1"/>
  <c r="E207" i="2"/>
  <c r="E207" i="1" s="1"/>
  <c r="F109" i="2"/>
  <c r="F109" i="1" s="1"/>
  <c r="I94" i="2"/>
  <c r="I94" i="1" s="1"/>
  <c r="N107" i="2"/>
  <c r="N107" i="1" s="1"/>
  <c r="N221" i="2"/>
  <c r="N221" i="1" s="1"/>
  <c r="C206" i="2"/>
  <c r="C206" i="1" s="1"/>
  <c r="E93" i="2"/>
  <c r="E93" i="1" s="1"/>
  <c r="G97" i="2"/>
  <c r="G97" i="1" s="1"/>
  <c r="F83" i="2"/>
  <c r="F83" i="1" s="1"/>
  <c r="B208" i="2"/>
  <c r="B208" i="1" s="1"/>
  <c r="E219" i="2"/>
  <c r="E219" i="1" s="1"/>
  <c r="I96" i="2"/>
  <c r="I96" i="1" s="1"/>
  <c r="D226" i="2"/>
  <c r="D226" i="1" s="1"/>
  <c r="N222" i="2"/>
  <c r="N222" i="1" s="1"/>
  <c r="H216" i="2"/>
  <c r="H216" i="1" s="1"/>
  <c r="C200" i="2"/>
  <c r="C200" i="1" s="1"/>
  <c r="J219" i="2"/>
  <c r="J219" i="1" s="1"/>
  <c r="L206" i="2"/>
  <c r="L206" i="1" s="1"/>
  <c r="N209" i="2"/>
  <c r="N209" i="1" s="1"/>
  <c r="N90" i="2"/>
  <c r="N90" i="1" s="1"/>
  <c r="D205" i="2"/>
  <c r="D205" i="1" s="1"/>
  <c r="M227" i="2"/>
  <c r="M227" i="1" s="1"/>
  <c r="G198" i="2"/>
  <c r="G198" i="1" s="1"/>
  <c r="H89" i="2"/>
  <c r="H89" i="1" s="1"/>
  <c r="C91" i="2"/>
  <c r="C91" i="1" s="1"/>
  <c r="F206" i="2"/>
  <c r="F206" i="1" s="1"/>
  <c r="G196" i="2"/>
  <c r="G196" i="1" s="1"/>
  <c r="E227" i="2"/>
  <c r="E227" i="1" s="1"/>
  <c r="G98" i="2"/>
  <c r="G98" i="1" s="1"/>
  <c r="L105" i="2"/>
  <c r="L105" i="1" s="1"/>
  <c r="F222" i="2"/>
  <c r="F222" i="1" s="1"/>
  <c r="F220" i="2"/>
  <c r="F220" i="1" s="1"/>
  <c r="N217" i="2"/>
  <c r="N217" i="1" s="1"/>
  <c r="L201" i="2"/>
  <c r="L201" i="1" s="1"/>
  <c r="B108" i="2"/>
  <c r="B108" i="1" s="1"/>
  <c r="E208" i="2"/>
  <c r="E208" i="1" s="1"/>
  <c r="F227" i="2"/>
  <c r="F227" i="1" s="1"/>
  <c r="J104" i="2"/>
  <c r="J104" i="1" s="1"/>
  <c r="D204" i="2"/>
  <c r="D204" i="1" s="1"/>
  <c r="I227" i="2"/>
  <c r="I227" i="1" s="1"/>
  <c r="C92" i="2"/>
  <c r="C92" i="1" s="1"/>
  <c r="J103" i="2"/>
  <c r="J103" i="1" s="1"/>
  <c r="H200" i="2"/>
  <c r="H200" i="1" s="1"/>
  <c r="N89" i="2"/>
  <c r="N89" i="1" s="1"/>
  <c r="I102" i="2"/>
  <c r="I102" i="1" s="1"/>
  <c r="P215" i="2"/>
  <c r="P215" i="1" s="1"/>
  <c r="M112" i="2"/>
  <c r="M112" i="1" s="1"/>
  <c r="M226" i="2"/>
  <c r="M226" i="1" s="1"/>
  <c r="M108" i="2"/>
  <c r="M108" i="1" s="1"/>
  <c r="I198" i="2"/>
  <c r="I198" i="1" s="1"/>
  <c r="E100" i="2"/>
  <c r="E100" i="1" s="1"/>
  <c r="C201" i="2"/>
  <c r="C201" i="1" s="1"/>
  <c r="M221" i="2"/>
  <c r="M221" i="1" s="1"/>
  <c r="N219" i="2"/>
  <c r="N219" i="1" s="1"/>
  <c r="E99" i="2"/>
  <c r="E99" i="1" s="1"/>
  <c r="E218" i="2"/>
  <c r="E218" i="1" s="1"/>
  <c r="J108" i="2"/>
  <c r="J108" i="1" s="1"/>
  <c r="C88" i="2"/>
  <c r="C88" i="1" s="1"/>
  <c r="N91" i="2"/>
  <c r="N91" i="1" s="1"/>
  <c r="G210" i="2"/>
  <c r="G210" i="1" s="1"/>
  <c r="R113" i="2"/>
  <c r="R113" i="1" s="1"/>
  <c r="B107" i="2"/>
  <c r="B107" i="1" s="1"/>
  <c r="G99" i="2"/>
  <c r="G99" i="1" s="1"/>
  <c r="F211" i="2"/>
  <c r="F211" i="1" s="1"/>
  <c r="J221" i="2"/>
  <c r="J221" i="1" s="1"/>
  <c r="L200" i="2"/>
  <c r="L200" i="1" s="1"/>
  <c r="C90" i="2"/>
  <c r="C90" i="1" s="1"/>
  <c r="I210" i="2"/>
  <c r="I210" i="1" s="1"/>
  <c r="S219" i="2"/>
  <c r="S219" i="1" s="1"/>
  <c r="E206" i="2"/>
  <c r="E206" i="1" s="1"/>
  <c r="H214" i="2"/>
  <c r="H214" i="1" s="1"/>
  <c r="L215" i="2"/>
  <c r="L215" i="1" s="1"/>
  <c r="C219" i="2"/>
  <c r="C219" i="1" s="1"/>
  <c r="E91" i="2"/>
  <c r="E91" i="1" s="1"/>
  <c r="M105" i="2"/>
  <c r="M105" i="1" s="1"/>
  <c r="T223" i="2"/>
  <c r="T223" i="1" s="1"/>
  <c r="I105" i="2"/>
  <c r="I105" i="1" s="1"/>
  <c r="D110" i="2"/>
  <c r="D110" i="1" s="1"/>
  <c r="T208" i="2"/>
  <c r="T208" i="1" s="1"/>
  <c r="J105" i="2"/>
  <c r="J105" i="1" s="1"/>
  <c r="N103" i="2"/>
  <c r="N103" i="1" s="1"/>
  <c r="P214" i="2"/>
  <c r="P214" i="1" s="1"/>
  <c r="I107" i="2"/>
  <c r="I107" i="1" s="1"/>
  <c r="S107" i="2"/>
  <c r="S107" i="1" s="1"/>
  <c r="E203" i="2"/>
  <c r="E203" i="1" s="1"/>
  <c r="I219" i="2"/>
  <c r="I219" i="1" s="1"/>
  <c r="L205" i="2"/>
  <c r="L205" i="1" s="1"/>
  <c r="S108" i="2"/>
  <c r="S108" i="1" s="1"/>
  <c r="J195" i="2"/>
  <c r="J195" i="1" s="1"/>
  <c r="S220" i="2"/>
  <c r="S220" i="1" s="1"/>
  <c r="H102" i="2"/>
  <c r="H102" i="1" s="1"/>
  <c r="P213" i="2"/>
  <c r="P213" i="1" s="1"/>
  <c r="P216" i="2"/>
  <c r="P216" i="1" s="1"/>
  <c r="D214" i="2"/>
  <c r="D214" i="1" s="1"/>
  <c r="E216" i="2"/>
  <c r="E216" i="1" s="1"/>
  <c r="E209" i="2"/>
  <c r="E209" i="1" s="1"/>
  <c r="E196" i="2"/>
  <c r="E196" i="1" s="1"/>
  <c r="G105" i="2"/>
  <c r="G105" i="1" s="1"/>
  <c r="C220" i="2"/>
  <c r="C220" i="1" s="1"/>
  <c r="S221" i="2"/>
  <c r="S221" i="1" s="1"/>
  <c r="S222" i="2"/>
  <c r="S222" i="1" s="1"/>
  <c r="M111" i="2"/>
  <c r="M111" i="1" s="1"/>
  <c r="I104" i="2"/>
  <c r="I104" i="1" s="1"/>
  <c r="D111" i="2"/>
  <c r="D111" i="1" s="1"/>
  <c r="B221" i="2"/>
  <c r="B221" i="1" s="1"/>
  <c r="N203" i="2"/>
  <c r="N203" i="1" s="1"/>
  <c r="B219" i="2"/>
  <c r="B219" i="1" s="1"/>
  <c r="L106" i="2"/>
  <c r="L106" i="1" s="1"/>
  <c r="H201" i="2"/>
  <c r="H201" i="1" s="1"/>
  <c r="L103" i="2"/>
  <c r="L103" i="1" s="1"/>
  <c r="N200" i="2"/>
  <c r="N200" i="1" s="1"/>
  <c r="E105" i="2"/>
  <c r="E105" i="1" s="1"/>
  <c r="E197" i="2"/>
  <c r="E197" i="1" s="1"/>
  <c r="E90" i="2"/>
  <c r="E90" i="1" s="1"/>
  <c r="J79" i="2"/>
  <c r="J79" i="1" s="1"/>
  <c r="J80" i="2"/>
  <c r="J80" i="1" s="1"/>
  <c r="J89" i="2"/>
  <c r="J89" i="1" s="1"/>
  <c r="M113" i="2"/>
  <c r="M113" i="1" s="1"/>
  <c r="F101" i="2"/>
  <c r="F101" i="1" s="1"/>
  <c r="N210" i="2"/>
  <c r="N210" i="1" s="1"/>
  <c r="E106" i="2"/>
  <c r="E106" i="1" s="1"/>
  <c r="S223" i="2"/>
  <c r="S223" i="1" s="1"/>
  <c r="F199" i="2"/>
  <c r="F199" i="1" s="1"/>
  <c r="D91" i="2"/>
  <c r="D91" i="1" s="1"/>
  <c r="E108" i="2"/>
  <c r="E108" i="1" s="1"/>
  <c r="J81" i="2"/>
  <c r="J81" i="1" s="1"/>
  <c r="J222" i="2"/>
  <c r="J222" i="1" s="1"/>
  <c r="C107" i="2"/>
  <c r="C107" i="1" s="1"/>
  <c r="C208" i="2"/>
  <c r="C208" i="1" s="1"/>
  <c r="E199" i="2"/>
  <c r="E199" i="1" s="1"/>
  <c r="L207" i="2"/>
  <c r="L207" i="1" s="1"/>
  <c r="G205" i="2"/>
  <c r="G205" i="1" s="1"/>
  <c r="D201" i="2"/>
  <c r="D201" i="1" s="1"/>
  <c r="G207" i="2"/>
  <c r="G207" i="1" s="1"/>
  <c r="E202" i="2"/>
  <c r="E202" i="1" s="1"/>
  <c r="B207" i="2"/>
  <c r="B207" i="1" s="1"/>
  <c r="S113" i="2"/>
  <c r="S113" i="1" s="1"/>
  <c r="L208" i="2"/>
  <c r="L208" i="1" s="1"/>
  <c r="L100" i="2"/>
  <c r="L100" i="1" s="1"/>
  <c r="E217" i="2"/>
  <c r="E217" i="1" s="1"/>
  <c r="G111" i="2"/>
  <c r="G111" i="1" s="1"/>
  <c r="N204" i="2"/>
  <c r="N204" i="1" s="1"/>
  <c r="N102" i="2"/>
  <c r="N102" i="1" s="1"/>
  <c r="J220" i="2"/>
  <c r="J220" i="1" s="1"/>
  <c r="E194" i="2"/>
  <c r="E194" i="1" s="1"/>
  <c r="B109" i="2"/>
  <c r="B109" i="1" s="1"/>
  <c r="E107" i="2"/>
  <c r="E107" i="1" s="1"/>
  <c r="D105" i="2"/>
  <c r="D105" i="1" s="1"/>
  <c r="D107" i="2"/>
  <c r="D107" i="1" s="1"/>
  <c r="M110" i="2"/>
  <c r="M110" i="1" s="1"/>
  <c r="B220" i="2"/>
  <c r="B220" i="1" s="1"/>
  <c r="H91" i="2"/>
  <c r="H91" i="1" s="1"/>
  <c r="B106" i="2"/>
  <c r="B106" i="1" s="1"/>
  <c r="N97" i="2"/>
  <c r="N97" i="1" s="1"/>
  <c r="T224" i="2"/>
  <c r="T224" i="1" s="1"/>
  <c r="N93" i="2"/>
  <c r="N93" i="1" s="1"/>
  <c r="N94" i="2"/>
  <c r="N94" i="1" s="1"/>
  <c r="I103" i="2"/>
  <c r="I103" i="1" s="1"/>
  <c r="G209" i="2"/>
  <c r="G209" i="1" s="1"/>
  <c r="F94" i="2"/>
  <c r="F94" i="1" s="1"/>
  <c r="I196" i="2"/>
  <c r="I196" i="1" s="1"/>
  <c r="G197" i="2"/>
  <c r="G197" i="1" s="1"/>
  <c r="H203" i="2"/>
  <c r="H203" i="1" s="1"/>
  <c r="G206" i="2"/>
  <c r="G206" i="1" s="1"/>
  <c r="I93" i="2"/>
  <c r="I93" i="1" s="1"/>
  <c r="I92" i="2"/>
  <c r="I92" i="1" s="1"/>
  <c r="J223" i="2"/>
  <c r="J223" i="1" s="1"/>
  <c r="O227" i="2"/>
  <c r="O227" i="1" s="1"/>
  <c r="O226" i="2"/>
  <c r="O226" i="1" s="1"/>
  <c r="O225" i="2"/>
  <c r="O225" i="1" s="1"/>
  <c r="I218" i="2"/>
  <c r="I218" i="1" s="1"/>
  <c r="J107" i="2"/>
  <c r="J107" i="1" s="1"/>
  <c r="G107" i="2"/>
  <c r="G107" i="1" s="1"/>
  <c r="G217" i="2"/>
  <c r="G217" i="1" s="1"/>
  <c r="F96" i="2"/>
  <c r="F96" i="1" s="1"/>
  <c r="O206" i="2"/>
  <c r="O206" i="1" s="1"/>
  <c r="D202" i="2"/>
  <c r="D202" i="1" s="1"/>
  <c r="N206" i="2"/>
  <c r="N206" i="1" s="1"/>
  <c r="I110" i="2"/>
  <c r="I110" i="1" s="1"/>
  <c r="D89" i="2"/>
  <c r="D89" i="1" s="1"/>
  <c r="E85" i="2"/>
  <c r="E85" i="1" s="1"/>
  <c r="I195" i="2"/>
  <c r="I195" i="1" s="1"/>
  <c r="D203" i="2"/>
  <c r="D203" i="1" s="1"/>
  <c r="C207" i="2"/>
  <c r="C207" i="1" s="1"/>
  <c r="M107" i="2"/>
  <c r="M107" i="1" s="1"/>
  <c r="I109" i="2"/>
  <c r="I109" i="1" s="1"/>
  <c r="I112" i="2"/>
  <c r="I112" i="1" s="1"/>
  <c r="E96" i="2"/>
  <c r="E96" i="1" s="1"/>
  <c r="I111" i="2"/>
  <c r="I111" i="1" s="1"/>
  <c r="I108" i="2"/>
  <c r="I108" i="1" s="1"/>
  <c r="N92" i="2"/>
  <c r="N92" i="1" s="1"/>
  <c r="H90" i="2"/>
  <c r="H90" i="1" s="1"/>
  <c r="S106" i="2"/>
  <c r="S106" i="1" s="1"/>
  <c r="D227" i="2"/>
  <c r="D227" i="1" s="1"/>
  <c r="M106" i="2"/>
  <c r="M106" i="1" s="1"/>
  <c r="G211" i="2"/>
  <c r="G211" i="1" s="1"/>
  <c r="L209" i="2"/>
  <c r="L209" i="1" s="1"/>
  <c r="G194" i="2"/>
  <c r="G194" i="1" s="1"/>
  <c r="G193" i="2"/>
  <c r="G193" i="1" s="1"/>
  <c r="E226" i="2"/>
  <c r="E226" i="1" s="1"/>
  <c r="I91" i="2"/>
  <c r="I91" i="1" s="1"/>
  <c r="I90" i="2"/>
  <c r="I90" i="1" s="1"/>
  <c r="R107" i="2"/>
  <c r="R107" i="1" s="1"/>
  <c r="R108" i="2"/>
  <c r="R108" i="1" s="1"/>
  <c r="S109" i="2"/>
  <c r="S109" i="1" s="1"/>
  <c r="H103" i="2"/>
  <c r="H103" i="1" s="1"/>
  <c r="H104" i="2"/>
  <c r="H104" i="1" s="1"/>
  <c r="N95" i="2"/>
  <c r="N95" i="1" s="1"/>
  <c r="N96" i="2"/>
  <c r="N96" i="1" s="1"/>
  <c r="E97" i="2"/>
  <c r="E97" i="1" s="1"/>
  <c r="E98" i="2"/>
  <c r="E98" i="1" s="1"/>
  <c r="L101" i="2"/>
  <c r="L101" i="1" s="1"/>
  <c r="I106" i="2"/>
  <c r="I106" i="1" s="1"/>
  <c r="D200" i="2"/>
  <c r="D200" i="1" s="1"/>
  <c r="G208" i="2"/>
  <c r="G208" i="1" s="1"/>
  <c r="C97" i="2"/>
  <c r="C97" i="1" s="1"/>
  <c r="C95" i="2"/>
  <c r="C95" i="1" s="1"/>
  <c r="C96" i="2"/>
  <c r="C96" i="1" s="1"/>
  <c r="J106" i="2"/>
  <c r="J106" i="1" s="1"/>
  <c r="D90" i="2"/>
  <c r="D90" i="1" s="1"/>
  <c r="I209" i="2"/>
  <c r="I209" i="1" s="1"/>
  <c r="N202" i="2"/>
  <c r="N202" i="1" s="1"/>
  <c r="H199" i="2"/>
  <c r="H199" i="1" s="1"/>
  <c r="H202" i="2"/>
  <c r="H202" i="1" s="1"/>
  <c r="O205" i="2"/>
  <c r="O205" i="1" s="1"/>
  <c r="O204" i="2"/>
  <c r="O204" i="1" s="1"/>
  <c r="O106" i="2"/>
  <c r="O106" i="1" s="1"/>
  <c r="J94" i="2"/>
  <c r="J94" i="1" s="1"/>
  <c r="L221" i="2"/>
  <c r="L221" i="1" s="1"/>
  <c r="N201" i="2"/>
  <c r="N201" i="1" s="1"/>
  <c r="N199" i="2"/>
  <c r="N199" i="1" s="1"/>
  <c r="D199" i="2"/>
  <c r="D199" i="1" s="1"/>
  <c r="G212" i="2"/>
  <c r="G212" i="1" s="1"/>
  <c r="E204" i="2"/>
  <c r="E204" i="1" s="1"/>
  <c r="E205" i="2"/>
  <c r="E205" i="1" s="1"/>
  <c r="E195" i="2"/>
  <c r="E195" i="1" s="1"/>
  <c r="I206" i="2"/>
  <c r="I206" i="1" s="1"/>
  <c r="I205" i="2"/>
  <c r="I205" i="1" s="1"/>
  <c r="I207" i="2"/>
  <c r="I207" i="1" s="1"/>
  <c r="I204" i="2"/>
  <c r="I204" i="1" s="1"/>
  <c r="G203" i="2"/>
  <c r="G203" i="1" s="1"/>
  <c r="G202" i="2"/>
  <c r="G202" i="1" s="1"/>
  <c r="L203" i="2"/>
  <c r="L203" i="1" s="1"/>
  <c r="L204" i="2"/>
  <c r="L204" i="1" s="1"/>
  <c r="L199" i="2"/>
  <c r="L199" i="1" s="1"/>
  <c r="L198" i="2"/>
  <c r="L198" i="1" s="1"/>
  <c r="C203" i="2"/>
  <c r="C203" i="1" s="1"/>
  <c r="C205" i="2"/>
  <c r="C205" i="1" s="1"/>
  <c r="C204" i="2"/>
  <c r="C204" i="1" s="1"/>
  <c r="C202" i="2"/>
  <c r="C202" i="1" s="1"/>
  <c r="C198" i="2"/>
  <c r="C198" i="1" s="1"/>
  <c r="C199" i="2"/>
  <c r="C199" i="1" s="1"/>
  <c r="C210" i="2"/>
  <c r="C210" i="1" s="1"/>
  <c r="C209" i="2"/>
  <c r="C209" i="1" s="1"/>
  <c r="F90" i="2"/>
  <c r="F90" i="1" s="1"/>
  <c r="F195" i="2"/>
  <c r="F195" i="1" s="1"/>
  <c r="F196" i="2"/>
  <c r="F196" i="1" s="1"/>
  <c r="F197" i="2"/>
  <c r="F197" i="1" s="1"/>
  <c r="T207" i="2"/>
  <c r="T207" i="1" s="1"/>
  <c r="T206" i="2"/>
  <c r="T206" i="1" s="1"/>
  <c r="T209" i="2"/>
  <c r="T209" i="1" s="1"/>
  <c r="E210" i="2"/>
  <c r="E210" i="1" s="1"/>
  <c r="O92" i="2"/>
  <c r="O92" i="1" s="1"/>
  <c r="O91" i="2"/>
  <c r="O91" i="1" s="1"/>
  <c r="O94" i="2"/>
  <c r="O94" i="1" s="1"/>
  <c r="O93" i="2"/>
  <c r="O93" i="1" s="1"/>
  <c r="D218" i="2"/>
  <c r="D218" i="1" s="1"/>
  <c r="D219" i="2"/>
  <c r="D219" i="1" s="1"/>
  <c r="D220" i="2"/>
  <c r="D220" i="1" s="1"/>
  <c r="T211" i="2"/>
  <c r="T211" i="1" s="1"/>
  <c r="T212" i="2"/>
  <c r="T212" i="1" s="1"/>
  <c r="O110" i="2"/>
  <c r="O110" i="1" s="1"/>
  <c r="G106" i="2"/>
  <c r="G106" i="1" s="1"/>
  <c r="L220" i="2"/>
  <c r="L220" i="1" s="1"/>
  <c r="L218" i="2"/>
  <c r="L218" i="1" s="1"/>
  <c r="C211" i="2"/>
  <c r="C211" i="1" s="1"/>
  <c r="C212" i="2"/>
  <c r="C212" i="1" s="1"/>
  <c r="C213" i="2"/>
  <c r="C213" i="1" s="1"/>
  <c r="F95" i="2"/>
  <c r="F95" i="1" s="1"/>
  <c r="G87" i="2"/>
  <c r="G87" i="1" s="1"/>
  <c r="G85" i="2"/>
  <c r="G85" i="1" s="1"/>
  <c r="G84" i="2"/>
  <c r="G84" i="1" s="1"/>
  <c r="G86" i="2"/>
  <c r="G86" i="1" s="1"/>
  <c r="J217" i="2"/>
  <c r="J217" i="1" s="1"/>
  <c r="J218" i="2"/>
  <c r="J218" i="1" s="1"/>
  <c r="B218" i="2"/>
  <c r="B218" i="1" s="1"/>
  <c r="B216" i="2"/>
  <c r="B216" i="1" s="1"/>
  <c r="B217" i="2"/>
  <c r="B217" i="1" s="1"/>
  <c r="L219" i="2"/>
  <c r="L219" i="1" s="1"/>
  <c r="I217" i="2"/>
  <c r="I217" i="1" s="1"/>
  <c r="I215" i="2"/>
  <c r="I215" i="1" s="1"/>
  <c r="I216" i="2"/>
  <c r="I216" i="1" s="1"/>
  <c r="C82" i="2"/>
  <c r="C82" i="1" s="1"/>
  <c r="C81" i="2"/>
  <c r="C81" i="1" s="1"/>
  <c r="C80" i="2"/>
  <c r="C80" i="1" s="1"/>
  <c r="C83" i="2"/>
  <c r="C83" i="1" s="1"/>
  <c r="E80" i="2"/>
  <c r="E80" i="1" s="1"/>
  <c r="N225" i="2"/>
  <c r="N225" i="1" s="1"/>
  <c r="N223" i="2"/>
  <c r="N223" i="1" s="1"/>
  <c r="N224" i="2"/>
  <c r="N224" i="1" s="1"/>
  <c r="N226" i="2"/>
  <c r="N226" i="1" s="1"/>
  <c r="F225" i="2"/>
  <c r="F225" i="1" s="1"/>
  <c r="F223" i="2"/>
  <c r="F223" i="1" s="1"/>
  <c r="F226" i="2"/>
  <c r="F226" i="1" s="1"/>
  <c r="C85" i="2"/>
  <c r="C85" i="1" s="1"/>
  <c r="C87" i="2"/>
  <c r="C87" i="1" s="1"/>
  <c r="C86" i="2"/>
  <c r="C86" i="1" s="1"/>
  <c r="C84" i="2"/>
  <c r="C84" i="1" s="1"/>
  <c r="M222" i="2"/>
  <c r="M222" i="1" s="1"/>
  <c r="M225" i="2"/>
  <c r="M225" i="1" s="1"/>
  <c r="M223" i="2"/>
  <c r="M223" i="1" s="1"/>
  <c r="M224" i="2"/>
  <c r="M224" i="1" s="1"/>
  <c r="D217" i="2"/>
  <c r="D217" i="1" s="1"/>
  <c r="B93" i="2"/>
  <c r="B93" i="1" s="1"/>
  <c r="G83" i="2"/>
  <c r="G83" i="1" s="1"/>
  <c r="G80" i="2"/>
  <c r="G80" i="1" s="1"/>
  <c r="E223" i="2"/>
  <c r="E223" i="1" s="1"/>
  <c r="E222" i="2"/>
  <c r="E222" i="1" s="1"/>
  <c r="E225" i="2"/>
  <c r="E225" i="1" s="1"/>
  <c r="E224" i="2"/>
  <c r="E224" i="1" s="1"/>
  <c r="D221" i="2"/>
  <c r="D221" i="1" s="1"/>
  <c r="T210" i="2"/>
  <c r="T210" i="1" s="1"/>
  <c r="J216" i="2"/>
  <c r="J216" i="1" s="1"/>
  <c r="F224" i="2"/>
  <c r="F224" i="1" s="1"/>
  <c r="C103" i="2"/>
  <c r="C103" i="1" s="1"/>
  <c r="G81" i="2"/>
  <c r="G81" i="1" s="1"/>
  <c r="B215" i="2"/>
  <c r="B215" i="1" s="1"/>
  <c r="X84" i="2"/>
  <c r="X83" i="2"/>
  <c r="X85" i="2"/>
  <c r="X82" i="2"/>
  <c r="N110" i="2"/>
  <c r="N110" i="1" s="1"/>
  <c r="N111" i="2"/>
  <c r="N111" i="1" s="1"/>
  <c r="N112" i="2"/>
  <c r="N112" i="1" s="1"/>
  <c r="N113" i="2"/>
  <c r="N113" i="1" s="1"/>
  <c r="G225" i="2"/>
  <c r="G225" i="1" s="1"/>
  <c r="G227" i="2"/>
  <c r="G227" i="1" s="1"/>
  <c r="G226" i="2"/>
  <c r="G226" i="1" s="1"/>
  <c r="L113" i="2"/>
  <c r="L113" i="1" s="1"/>
  <c r="L112" i="2"/>
  <c r="L112" i="1" s="1"/>
  <c r="I98" i="2"/>
  <c r="I98" i="1" s="1"/>
  <c r="I100" i="2"/>
  <c r="I100" i="1" s="1"/>
  <c r="I97" i="2"/>
  <c r="I97" i="1" s="1"/>
  <c r="I99" i="2"/>
  <c r="I99" i="1" s="1"/>
  <c r="H93" i="2"/>
  <c r="H93" i="1" s="1"/>
  <c r="H95" i="2"/>
  <c r="H95" i="1" s="1"/>
  <c r="H92" i="2"/>
  <c r="H92" i="1" s="1"/>
  <c r="H94" i="2"/>
  <c r="H94" i="1" s="1"/>
  <c r="R90" i="2"/>
  <c r="R90" i="1" s="1"/>
  <c r="R92" i="2"/>
  <c r="R92" i="1" s="1"/>
  <c r="R89" i="2"/>
  <c r="R89" i="1" s="1"/>
  <c r="R91" i="2"/>
  <c r="R91" i="1" s="1"/>
  <c r="T108" i="2"/>
  <c r="T108" i="1" s="1"/>
  <c r="I87" i="2"/>
  <c r="I87" i="1" s="1"/>
  <c r="I89" i="2"/>
  <c r="I89" i="1" s="1"/>
  <c r="I88" i="2"/>
  <c r="I88" i="1" s="1"/>
  <c r="K111" i="2"/>
  <c r="K111" i="1" s="1"/>
  <c r="K112" i="2"/>
  <c r="K112" i="1" s="1"/>
  <c r="K113" i="2"/>
  <c r="K113" i="1" s="1"/>
  <c r="B111" i="2"/>
  <c r="B111" i="1" s="1"/>
  <c r="B110" i="2"/>
  <c r="B110" i="1" s="1"/>
  <c r="B112" i="2"/>
  <c r="B112" i="1" s="1"/>
  <c r="B113" i="1"/>
  <c r="H222" i="2"/>
  <c r="H222" i="1" s="1"/>
  <c r="H223" i="2"/>
  <c r="H223" i="1" s="1"/>
  <c r="H225" i="2"/>
  <c r="H225" i="1" s="1"/>
  <c r="H224" i="2"/>
  <c r="H224" i="1" s="1"/>
  <c r="O109" i="2"/>
  <c r="O109" i="1" s="1"/>
  <c r="Z106" i="2"/>
  <c r="G218" i="2"/>
  <c r="G218" i="1" s="1"/>
  <c r="G219" i="2"/>
  <c r="G219" i="1" s="1"/>
  <c r="Z216" i="2"/>
  <c r="Y103" i="2"/>
  <c r="Y102" i="2"/>
  <c r="Y104" i="2"/>
  <c r="X103" i="2"/>
  <c r="X102" i="2"/>
  <c r="X101" i="2"/>
  <c r="X100" i="2"/>
  <c r="W212" i="2"/>
  <c r="W209" i="2"/>
  <c r="W210" i="2"/>
  <c r="W211" i="2"/>
  <c r="S101" i="2"/>
  <c r="S101" i="1" s="1"/>
  <c r="S100" i="2"/>
  <c r="S100" i="1" s="1"/>
  <c r="O99" i="2"/>
  <c r="O99" i="1" s="1"/>
  <c r="O100" i="2"/>
  <c r="O100" i="1" s="1"/>
  <c r="J207" i="2"/>
  <c r="J207" i="1" s="1"/>
  <c r="J208" i="2"/>
  <c r="J208" i="1" s="1"/>
  <c r="Y206" i="2"/>
  <c r="J90" i="2"/>
  <c r="J90" i="1" s="1"/>
  <c r="E89" i="2"/>
  <c r="E89" i="1" s="1"/>
  <c r="E88" i="2"/>
  <c r="E88" i="1" s="1"/>
  <c r="E87" i="2"/>
  <c r="E87" i="1" s="1"/>
  <c r="L86" i="2"/>
  <c r="L86" i="1" s="1"/>
  <c r="L85" i="2"/>
  <c r="L85" i="1" s="1"/>
  <c r="L84" i="2"/>
  <c r="L84" i="1" s="1"/>
  <c r="L87" i="2"/>
  <c r="L87" i="1" s="1"/>
  <c r="R83" i="2"/>
  <c r="R83" i="1" s="1"/>
  <c r="D77" i="2"/>
  <c r="D77" i="1" s="1"/>
  <c r="D76" i="2"/>
  <c r="D76" i="1" s="1"/>
  <c r="F78" i="2"/>
  <c r="F78" i="1" s="1"/>
  <c r="F77" i="2"/>
  <c r="F77" i="1" s="1"/>
  <c r="F184" i="2"/>
  <c r="F184" i="1" s="1"/>
  <c r="F183" i="2"/>
  <c r="F183" i="1" s="1"/>
  <c r="F181" i="2"/>
  <c r="F181" i="1" s="1"/>
  <c r="O180" i="2"/>
  <c r="O180" i="1" s="1"/>
  <c r="O179" i="2"/>
  <c r="O179" i="1" s="1"/>
  <c r="O59" i="2"/>
  <c r="O59" i="1" s="1"/>
  <c r="O62" i="2"/>
  <c r="O62" i="1" s="1"/>
  <c r="O61" i="2"/>
  <c r="O61" i="1" s="1"/>
  <c r="O60" i="2"/>
  <c r="O60" i="1" s="1"/>
  <c r="D172" i="2"/>
  <c r="D172" i="1" s="1"/>
  <c r="D170" i="2"/>
  <c r="D170" i="1" s="1"/>
  <c r="D173" i="2"/>
  <c r="D173" i="1" s="1"/>
  <c r="D171" i="2"/>
  <c r="D171" i="1" s="1"/>
  <c r="O158" i="2"/>
  <c r="O158" i="1" s="1"/>
  <c r="O161" i="2"/>
  <c r="O161" i="1" s="1"/>
  <c r="O159" i="2"/>
  <c r="O159" i="1" s="1"/>
  <c r="O160" i="2"/>
  <c r="O160" i="1" s="1"/>
  <c r="C38" i="2"/>
  <c r="C38" i="1" s="1"/>
  <c r="C37" i="2"/>
  <c r="C37" i="1" s="1"/>
  <c r="C36" i="2"/>
  <c r="C36" i="1" s="1"/>
  <c r="R142" i="2"/>
  <c r="R142" i="1" s="1"/>
  <c r="R145" i="2"/>
  <c r="R145" i="1" s="1"/>
  <c r="R143" i="2"/>
  <c r="R143" i="1" s="1"/>
  <c r="R144" i="2"/>
  <c r="R144" i="1" s="1"/>
  <c r="W24" i="2"/>
  <c r="W23" i="2"/>
  <c r="D132" i="2"/>
  <c r="D132" i="1" s="1"/>
  <c r="D131" i="2"/>
  <c r="D131" i="1" s="1"/>
  <c r="D130" i="2"/>
  <c r="D130" i="1" s="1"/>
  <c r="D133" i="2"/>
  <c r="D133" i="1" s="1"/>
  <c r="W8" i="2"/>
  <c r="W7" i="2"/>
  <c r="W10" i="2"/>
  <c r="W9" i="2"/>
  <c r="W137" i="2"/>
  <c r="U33" i="2"/>
  <c r="U36" i="2"/>
  <c r="U35" i="2"/>
  <c r="U34" i="2"/>
  <c r="J65" i="2"/>
  <c r="J65" i="1" s="1"/>
  <c r="U170" i="2"/>
  <c r="U169" i="2"/>
  <c r="U171" i="2"/>
  <c r="U168" i="2"/>
  <c r="W190" i="2"/>
  <c r="W189" i="2"/>
  <c r="I83" i="2"/>
  <c r="I83" i="1" s="1"/>
  <c r="I82" i="2"/>
  <c r="I82" i="1" s="1"/>
  <c r="F190" i="2"/>
  <c r="F190" i="1" s="1"/>
  <c r="F189" i="2"/>
  <c r="F189" i="1" s="1"/>
  <c r="F185" i="2"/>
  <c r="F185" i="1" s="1"/>
  <c r="J68" i="2"/>
  <c r="J68" i="1" s="1"/>
  <c r="C70" i="2"/>
  <c r="C70" i="1" s="1"/>
  <c r="C69" i="2"/>
  <c r="C69" i="1" s="1"/>
  <c r="C68" i="2"/>
  <c r="C68" i="1" s="1"/>
  <c r="C71" i="2"/>
  <c r="C71" i="1" s="1"/>
  <c r="J173" i="2"/>
  <c r="J173" i="1" s="1"/>
  <c r="J174" i="2"/>
  <c r="J174" i="1" s="1"/>
  <c r="J171" i="2"/>
  <c r="J171" i="1" s="1"/>
  <c r="J172" i="2"/>
  <c r="J172" i="1" s="1"/>
  <c r="C170" i="2"/>
  <c r="C170" i="1" s="1"/>
  <c r="C169" i="2"/>
  <c r="C169" i="1" s="1"/>
  <c r="C167" i="2"/>
  <c r="C167" i="1" s="1"/>
  <c r="C168" i="2"/>
  <c r="C168" i="1" s="1"/>
  <c r="W49" i="2"/>
  <c r="W50" i="2"/>
  <c r="W43" i="2"/>
  <c r="W46" i="2"/>
  <c r="W45" i="2"/>
  <c r="W44" i="2"/>
  <c r="O38" i="2"/>
  <c r="O38" i="1" s="1"/>
  <c r="O37" i="2"/>
  <c r="O37" i="1" s="1"/>
  <c r="W140" i="2"/>
  <c r="W142" i="2"/>
  <c r="W141" i="2"/>
  <c r="W143" i="2"/>
  <c r="O29" i="2"/>
  <c r="O29" i="1" s="1"/>
  <c r="O136" i="2"/>
  <c r="O136" i="1" s="1"/>
  <c r="O134" i="2"/>
  <c r="O134" i="1" s="1"/>
  <c r="O135" i="2"/>
  <c r="O135" i="1" s="1"/>
  <c r="R126" i="2"/>
  <c r="R126" i="1" s="1"/>
  <c r="R129" i="2"/>
  <c r="R129" i="1" s="1"/>
  <c r="R128" i="2"/>
  <c r="R128" i="1" s="1"/>
  <c r="J199" i="2"/>
  <c r="J199" i="1" s="1"/>
  <c r="J198" i="2"/>
  <c r="J198" i="1" s="1"/>
  <c r="J197" i="2"/>
  <c r="J197" i="1" s="1"/>
  <c r="J200" i="2"/>
  <c r="J200" i="1" s="1"/>
  <c r="E26" i="2"/>
  <c r="E26" i="1" s="1"/>
  <c r="E29" i="2"/>
  <c r="E29" i="1" s="1"/>
  <c r="E27" i="2"/>
  <c r="E27" i="1" s="1"/>
  <c r="E28" i="2"/>
  <c r="E28" i="1" s="1"/>
  <c r="R77" i="2"/>
  <c r="R77" i="1" s="1"/>
  <c r="R76" i="2"/>
  <c r="R76" i="1" s="1"/>
  <c r="X74" i="2"/>
  <c r="X76" i="2"/>
  <c r="X75" i="2"/>
  <c r="I85" i="2"/>
  <c r="I85" i="1" s="1"/>
  <c r="I84" i="2"/>
  <c r="I84" i="1" s="1"/>
  <c r="P112" i="2"/>
  <c r="P112" i="1" s="1"/>
  <c r="P113" i="2"/>
  <c r="P113" i="1" s="1"/>
  <c r="C227" i="2"/>
  <c r="C227" i="1" s="1"/>
  <c r="C225" i="2"/>
  <c r="C225" i="1" s="1"/>
  <c r="C226" i="2"/>
  <c r="C226" i="1" s="1"/>
  <c r="H109" i="2"/>
  <c r="H109" i="1" s="1"/>
  <c r="H108" i="2"/>
  <c r="H108" i="1" s="1"/>
  <c r="H110" i="2"/>
  <c r="H110" i="1" s="1"/>
  <c r="H111" i="2"/>
  <c r="H111" i="1" s="1"/>
  <c r="O221" i="2"/>
  <c r="O221" i="1" s="1"/>
  <c r="O222" i="2"/>
  <c r="O222" i="1" s="1"/>
  <c r="O102" i="2"/>
  <c r="O102" i="1" s="1"/>
  <c r="O101" i="2"/>
  <c r="O101" i="1" s="1"/>
  <c r="Y214" i="2"/>
  <c r="Y211" i="2"/>
  <c r="Y212" i="2"/>
  <c r="Y213" i="2"/>
  <c r="L97" i="2"/>
  <c r="L97" i="1" s="1"/>
  <c r="L99" i="2"/>
  <c r="L99" i="1" s="1"/>
  <c r="L96" i="2"/>
  <c r="L96" i="1" s="1"/>
  <c r="L98" i="2"/>
  <c r="L98" i="1" s="1"/>
  <c r="J98" i="2"/>
  <c r="J98" i="1" s="1"/>
  <c r="S211" i="2"/>
  <c r="S211" i="1" s="1"/>
  <c r="S208" i="2"/>
  <c r="S208" i="1" s="1"/>
  <c r="S210" i="2"/>
  <c r="S210" i="1" s="1"/>
  <c r="S209" i="2"/>
  <c r="S209" i="1" s="1"/>
  <c r="O208" i="2"/>
  <c r="O208" i="1" s="1"/>
  <c r="O207" i="2"/>
  <c r="O207" i="1" s="1"/>
  <c r="O209" i="2"/>
  <c r="O209" i="1" s="1"/>
  <c r="O210" i="2"/>
  <c r="O210" i="1" s="1"/>
  <c r="J92" i="2"/>
  <c r="J92" i="1" s="1"/>
  <c r="J91" i="2"/>
  <c r="J91" i="1" s="1"/>
  <c r="B90" i="2"/>
  <c r="B90" i="1" s="1"/>
  <c r="B89" i="2"/>
  <c r="B89" i="1" s="1"/>
  <c r="W84" i="2"/>
  <c r="W81" i="2"/>
  <c r="W83" i="2"/>
  <c r="W82" i="2"/>
  <c r="L82" i="2"/>
  <c r="L82" i="1" s="1"/>
  <c r="L81" i="2"/>
  <c r="L81" i="1" s="1"/>
  <c r="L83" i="2"/>
  <c r="L83" i="1" s="1"/>
  <c r="R85" i="2"/>
  <c r="R85" i="1" s="1"/>
  <c r="R79" i="2"/>
  <c r="R79" i="1" s="1"/>
  <c r="R78" i="2"/>
  <c r="R78" i="1" s="1"/>
  <c r="D81" i="2"/>
  <c r="D81" i="1" s="1"/>
  <c r="D80" i="2"/>
  <c r="D80" i="1" s="1"/>
  <c r="F188" i="2"/>
  <c r="F188" i="1" s="1"/>
  <c r="F187" i="2"/>
  <c r="F187" i="1" s="1"/>
  <c r="U72" i="2"/>
  <c r="U69" i="2"/>
  <c r="U71" i="2"/>
  <c r="U70" i="2"/>
  <c r="D65" i="2"/>
  <c r="D65" i="1" s="1"/>
  <c r="D64" i="2"/>
  <c r="D64" i="1" s="1"/>
  <c r="D63" i="2"/>
  <c r="D63" i="1" s="1"/>
  <c r="D62" i="2"/>
  <c r="D62" i="1" s="1"/>
  <c r="O176" i="2"/>
  <c r="O176" i="1" s="1"/>
  <c r="O173" i="2"/>
  <c r="O173" i="1" s="1"/>
  <c r="O174" i="2"/>
  <c r="O174" i="1" s="1"/>
  <c r="O175" i="2"/>
  <c r="O175" i="1" s="1"/>
  <c r="C44" i="2"/>
  <c r="C44" i="1" s="1"/>
  <c r="C43" i="2"/>
  <c r="C43" i="1" s="1"/>
  <c r="C46" i="2"/>
  <c r="C46" i="1" s="1"/>
  <c r="C45" i="2"/>
  <c r="C45" i="1" s="1"/>
  <c r="O39" i="2"/>
  <c r="O39" i="1" s="1"/>
  <c r="O40" i="2"/>
  <c r="O40" i="1" s="1"/>
  <c r="R31" i="2"/>
  <c r="R31" i="1" s="1"/>
  <c r="R28" i="2"/>
  <c r="R28" i="1" s="1"/>
  <c r="R30" i="2"/>
  <c r="R30" i="1" s="1"/>
  <c r="R29" i="2"/>
  <c r="R29" i="1" s="1"/>
  <c r="W27" i="2"/>
  <c r="W28" i="2"/>
  <c r="W14" i="2"/>
  <c r="C31" i="2"/>
  <c r="C31" i="1" s="1"/>
  <c r="C28" i="2"/>
  <c r="C28" i="1" s="1"/>
  <c r="C30" i="2"/>
  <c r="C30" i="1" s="1"/>
  <c r="C29" i="2"/>
  <c r="C29" i="1" s="1"/>
  <c r="V6" i="2"/>
  <c r="V8" i="2"/>
  <c r="V7" i="2"/>
  <c r="O111" i="2"/>
  <c r="O111" i="1" s="1"/>
  <c r="O108" i="2"/>
  <c r="O108" i="1" s="1"/>
  <c r="F186" i="2"/>
  <c r="F186" i="1" s="1"/>
  <c r="I79" i="2"/>
  <c r="I79" i="1" s="1"/>
  <c r="F76" i="2"/>
  <c r="F76" i="1" s="1"/>
  <c r="O74" i="2"/>
  <c r="O74" i="1" s="1"/>
  <c r="J182" i="2"/>
  <c r="J182" i="1" s="1"/>
  <c r="J180" i="2"/>
  <c r="J180" i="1" s="1"/>
  <c r="J181" i="2"/>
  <c r="J181" i="1" s="1"/>
  <c r="J69" i="2"/>
  <c r="J69" i="1" s="1"/>
  <c r="J64" i="2"/>
  <c r="J64" i="1" s="1"/>
  <c r="W54" i="2"/>
  <c r="W53" i="2"/>
  <c r="D44" i="2"/>
  <c r="D44" i="1" s="1"/>
  <c r="D43" i="2"/>
  <c r="D43" i="1" s="1"/>
  <c r="D42" i="2"/>
  <c r="D42" i="1" s="1"/>
  <c r="D45" i="2"/>
  <c r="D45" i="1" s="1"/>
  <c r="O32" i="2"/>
  <c r="O32" i="1" s="1"/>
  <c r="O34" i="2"/>
  <c r="O34" i="1" s="1"/>
  <c r="O31" i="2"/>
  <c r="O31" i="1" s="1"/>
  <c r="O33" i="2"/>
  <c r="O33" i="1" s="1"/>
  <c r="U141" i="2"/>
  <c r="U140" i="2"/>
  <c r="U142" i="2"/>
  <c r="U139" i="2"/>
  <c r="O139" i="2"/>
  <c r="O139" i="1" s="1"/>
  <c r="D25" i="2"/>
  <c r="D25" i="1" s="1"/>
  <c r="D24" i="2"/>
  <c r="D24" i="1" s="1"/>
  <c r="W13" i="2"/>
  <c r="G104" i="2"/>
  <c r="G104" i="1" s="1"/>
  <c r="O217" i="2"/>
  <c r="O217" i="1" s="1"/>
  <c r="O218" i="2"/>
  <c r="O218" i="1" s="1"/>
  <c r="F66" i="2"/>
  <c r="F66" i="1" s="1"/>
  <c r="C195" i="2"/>
  <c r="C195" i="1" s="1"/>
  <c r="C196" i="2"/>
  <c r="C196" i="1" s="1"/>
  <c r="C194" i="2"/>
  <c r="C194" i="1" s="1"/>
  <c r="C197" i="2"/>
  <c r="C197" i="1" s="1"/>
  <c r="R73" i="2"/>
  <c r="R73" i="1" s="1"/>
  <c r="R75" i="2"/>
  <c r="R75" i="1" s="1"/>
  <c r="R72" i="2"/>
  <c r="R72" i="1" s="1"/>
  <c r="R74" i="2"/>
  <c r="R74" i="1" s="1"/>
  <c r="G215" i="2"/>
  <c r="G215" i="1" s="1"/>
  <c r="G213" i="2"/>
  <c r="G213" i="1" s="1"/>
  <c r="G216" i="2"/>
  <c r="G216" i="1" s="1"/>
  <c r="G214" i="2"/>
  <c r="G214" i="1" s="1"/>
  <c r="Y226" i="2"/>
  <c r="Y224" i="2"/>
  <c r="Y225" i="2"/>
  <c r="K221" i="2"/>
  <c r="K221" i="1" s="1"/>
  <c r="C105" i="2"/>
  <c r="C105" i="1" s="1"/>
  <c r="C106" i="2"/>
  <c r="C106" i="1" s="1"/>
  <c r="AB82" i="2"/>
  <c r="AB84" i="2"/>
  <c r="AB81" i="2"/>
  <c r="AB83" i="2"/>
  <c r="P227" i="2"/>
  <c r="P227" i="1" s="1"/>
  <c r="P226" i="2"/>
  <c r="P226" i="1" s="1"/>
  <c r="C111" i="2"/>
  <c r="C111" i="1" s="1"/>
  <c r="R224" i="2"/>
  <c r="R224" i="1" s="1"/>
  <c r="R226" i="2"/>
  <c r="R226" i="1" s="1"/>
  <c r="R223" i="2"/>
  <c r="R223" i="1" s="1"/>
  <c r="R225" i="2"/>
  <c r="R225" i="1" s="1"/>
  <c r="G222" i="2"/>
  <c r="G222" i="1" s="1"/>
  <c r="O220" i="2"/>
  <c r="O220" i="1" s="1"/>
  <c r="O216" i="2"/>
  <c r="O216" i="1" s="1"/>
  <c r="O215" i="2"/>
  <c r="O215" i="1" s="1"/>
  <c r="O214" i="2"/>
  <c r="O214" i="1" s="1"/>
  <c r="O213" i="2"/>
  <c r="O213" i="1" s="1"/>
  <c r="L213" i="2"/>
  <c r="L213" i="1" s="1"/>
  <c r="L210" i="2"/>
  <c r="L210" i="1" s="1"/>
  <c r="L212" i="2"/>
  <c r="L212" i="1" s="1"/>
  <c r="L211" i="2"/>
  <c r="L211" i="1" s="1"/>
  <c r="J211" i="2"/>
  <c r="J211" i="1" s="1"/>
  <c r="J212" i="2"/>
  <c r="J212" i="1" s="1"/>
  <c r="J210" i="2"/>
  <c r="J210" i="1" s="1"/>
  <c r="J209" i="2"/>
  <c r="J209" i="1" s="1"/>
  <c r="H96" i="2"/>
  <c r="H96" i="1" s="1"/>
  <c r="H97" i="2"/>
  <c r="H97" i="1" s="1"/>
  <c r="F99" i="2"/>
  <c r="F99" i="1" s="1"/>
  <c r="F98" i="2"/>
  <c r="F98" i="1" s="1"/>
  <c r="F97" i="2"/>
  <c r="F97" i="1" s="1"/>
  <c r="F100" i="2"/>
  <c r="F100" i="1" s="1"/>
  <c r="R97" i="2"/>
  <c r="R97" i="1" s="1"/>
  <c r="R96" i="2"/>
  <c r="R96" i="1" s="1"/>
  <c r="B92" i="2"/>
  <c r="B92" i="1" s="1"/>
  <c r="B91" i="2"/>
  <c r="B91" i="1" s="1"/>
  <c r="B204" i="2"/>
  <c r="B204" i="1" s="1"/>
  <c r="B201" i="2"/>
  <c r="B201" i="1" s="1"/>
  <c r="B203" i="2"/>
  <c r="B203" i="1" s="1"/>
  <c r="W85" i="2"/>
  <c r="W88" i="2"/>
  <c r="W87" i="2"/>
  <c r="W86" i="2"/>
  <c r="O196" i="2"/>
  <c r="O196" i="1" s="1"/>
  <c r="O195" i="2"/>
  <c r="O195" i="1" s="1"/>
  <c r="O193" i="2"/>
  <c r="O193" i="1" s="1"/>
  <c r="O194" i="2"/>
  <c r="O194" i="1" s="1"/>
  <c r="R193" i="2"/>
  <c r="R193" i="1" s="1"/>
  <c r="L76" i="2"/>
  <c r="L76" i="1" s="1"/>
  <c r="L75" i="2"/>
  <c r="L75" i="1" s="1"/>
  <c r="U181" i="2"/>
  <c r="U179" i="2"/>
  <c r="U182" i="2"/>
  <c r="U180" i="2"/>
  <c r="D178" i="2"/>
  <c r="D178" i="1" s="1"/>
  <c r="D177" i="2"/>
  <c r="D177" i="1" s="1"/>
  <c r="D179" i="2"/>
  <c r="D179" i="1" s="1"/>
  <c r="D176" i="2"/>
  <c r="D176" i="1" s="1"/>
  <c r="W59" i="2"/>
  <c r="W58" i="2"/>
  <c r="W57" i="2"/>
  <c r="W60" i="2"/>
  <c r="O168" i="2"/>
  <c r="O168" i="1" s="1"/>
  <c r="O167" i="2"/>
  <c r="O167" i="1" s="1"/>
  <c r="D164" i="2"/>
  <c r="D164" i="1" s="1"/>
  <c r="D163" i="2"/>
  <c r="D163" i="1" s="1"/>
  <c r="C47" i="2"/>
  <c r="C47" i="1" s="1"/>
  <c r="C50" i="2"/>
  <c r="C50" i="1" s="1"/>
  <c r="C49" i="2"/>
  <c r="C49" i="1" s="1"/>
  <c r="C48" i="2"/>
  <c r="C48" i="1" s="1"/>
  <c r="O35" i="2"/>
  <c r="O35" i="1" s="1"/>
  <c r="O36" i="2"/>
  <c r="O36" i="1" s="1"/>
  <c r="O144" i="2"/>
  <c r="O144" i="1" s="1"/>
  <c r="O142" i="2"/>
  <c r="O142" i="1" s="1"/>
  <c r="O141" i="2"/>
  <c r="O141" i="1" s="1"/>
  <c r="O143" i="2"/>
  <c r="O143" i="1" s="1"/>
  <c r="W131" i="2"/>
  <c r="W130" i="2"/>
  <c r="W129" i="2"/>
  <c r="W128" i="2"/>
  <c r="W121" i="2"/>
  <c r="W123" i="2"/>
  <c r="W122" i="2"/>
  <c r="W124" i="2"/>
  <c r="Z83" i="2"/>
  <c r="Z82" i="2"/>
  <c r="Z85" i="2"/>
  <c r="Z84" i="2"/>
  <c r="R23" i="2"/>
  <c r="R23" i="1" s="1"/>
  <c r="R24" i="2"/>
  <c r="R24" i="1" s="1"/>
  <c r="R22" i="2"/>
  <c r="R22" i="1" s="1"/>
  <c r="R21" i="2"/>
  <c r="R21" i="1" s="1"/>
  <c r="N82" i="2"/>
  <c r="N82" i="1" s="1"/>
  <c r="N84" i="2"/>
  <c r="N84" i="1" s="1"/>
  <c r="N81" i="2"/>
  <c r="N81" i="1" s="1"/>
  <c r="N83" i="2"/>
  <c r="N83" i="1" s="1"/>
  <c r="Y81" i="2"/>
  <c r="Y80" i="2"/>
  <c r="Y79" i="2"/>
  <c r="Y82" i="2"/>
  <c r="Z191" i="2"/>
  <c r="Z190" i="2"/>
  <c r="Z189" i="2"/>
  <c r="Z188" i="2"/>
  <c r="L72" i="2"/>
  <c r="L72" i="1" s="1"/>
  <c r="L71" i="2"/>
  <c r="L71" i="1" s="1"/>
  <c r="L73" i="2"/>
  <c r="L73" i="1" s="1"/>
  <c r="L74" i="2"/>
  <c r="L74" i="1" s="1"/>
  <c r="O184" i="2"/>
  <c r="O184" i="1" s="1"/>
  <c r="O182" i="2"/>
  <c r="O182" i="1" s="1"/>
  <c r="O183" i="2"/>
  <c r="O183" i="1" s="1"/>
  <c r="O181" i="2"/>
  <c r="O181" i="1" s="1"/>
  <c r="J70" i="2"/>
  <c r="J70" i="1" s="1"/>
  <c r="J71" i="2"/>
  <c r="J71" i="1" s="1"/>
  <c r="J72" i="2"/>
  <c r="J72" i="1" s="1"/>
  <c r="J179" i="2"/>
  <c r="J179" i="1" s="1"/>
  <c r="J178" i="2"/>
  <c r="J178" i="1" s="1"/>
  <c r="L57" i="2"/>
  <c r="L57" i="1" s="1"/>
  <c r="L56" i="2"/>
  <c r="L56" i="1" s="1"/>
  <c r="L59" i="2"/>
  <c r="L59" i="1" s="1"/>
  <c r="L58" i="2"/>
  <c r="L58" i="1" s="1"/>
  <c r="D169" i="2"/>
  <c r="D169" i="1" s="1"/>
  <c r="D168" i="2"/>
  <c r="D168" i="1" s="1"/>
  <c r="O49" i="2"/>
  <c r="O49" i="1" s="1"/>
  <c r="O48" i="2"/>
  <c r="O48" i="1" s="1"/>
  <c r="D49" i="2"/>
  <c r="D49" i="1" s="1"/>
  <c r="O148" i="2"/>
  <c r="O148" i="1" s="1"/>
  <c r="O147" i="2"/>
  <c r="O147" i="1" s="1"/>
  <c r="O146" i="2"/>
  <c r="O146" i="1" s="1"/>
  <c r="O145" i="2"/>
  <c r="O145" i="1" s="1"/>
  <c r="U25" i="2"/>
  <c r="U27" i="2"/>
  <c r="U26" i="2"/>
  <c r="U28" i="2"/>
  <c r="D135" i="2"/>
  <c r="D135" i="1" s="1"/>
  <c r="D134" i="2"/>
  <c r="D134" i="1" s="1"/>
  <c r="B87" i="2"/>
  <c r="B87" i="1" s="1"/>
  <c r="B88" i="2"/>
  <c r="B88" i="1" s="1"/>
  <c r="E144" i="2"/>
  <c r="E144" i="1" s="1"/>
  <c r="E147" i="2"/>
  <c r="E147" i="1" s="1"/>
  <c r="E146" i="2"/>
  <c r="E146" i="1" s="1"/>
  <c r="E145" i="2"/>
  <c r="E145" i="1" s="1"/>
  <c r="F65" i="2"/>
  <c r="F65" i="1" s="1"/>
  <c r="O152" i="2"/>
  <c r="O152" i="1" s="1"/>
  <c r="O151" i="2"/>
  <c r="O151" i="1" s="1"/>
  <c r="O153" i="2"/>
  <c r="O153" i="1" s="1"/>
  <c r="L66" i="2"/>
  <c r="L66" i="1" s="1"/>
  <c r="L69" i="2"/>
  <c r="L69" i="1" s="1"/>
  <c r="L68" i="2"/>
  <c r="L68" i="1" s="1"/>
  <c r="L67" i="2"/>
  <c r="L67" i="1" s="1"/>
  <c r="F182" i="2"/>
  <c r="F182" i="1" s="1"/>
  <c r="AB213" i="2"/>
  <c r="AB210" i="2"/>
  <c r="AB211" i="2"/>
  <c r="AB212" i="2"/>
  <c r="H209" i="2"/>
  <c r="H209" i="1" s="1"/>
  <c r="H206" i="2"/>
  <c r="H206" i="1" s="1"/>
  <c r="H207" i="2"/>
  <c r="H207" i="1" s="1"/>
  <c r="H208" i="2"/>
  <c r="H208" i="1" s="1"/>
  <c r="B206" i="2"/>
  <c r="B206" i="1" s="1"/>
  <c r="B205" i="2"/>
  <c r="B205" i="1" s="1"/>
  <c r="L108" i="2"/>
  <c r="L108" i="1" s="1"/>
  <c r="L110" i="2"/>
  <c r="L110" i="1" s="1"/>
  <c r="L109" i="2"/>
  <c r="L109" i="1" s="1"/>
  <c r="L111" i="2"/>
  <c r="L111" i="1" s="1"/>
  <c r="C221" i="2"/>
  <c r="C221" i="1" s="1"/>
  <c r="C222" i="2"/>
  <c r="C222" i="1" s="1"/>
  <c r="C223" i="2"/>
  <c r="C223" i="1" s="1"/>
  <c r="K104" i="2"/>
  <c r="K104" i="1" s="1"/>
  <c r="T100" i="2"/>
  <c r="T100" i="1" s="1"/>
  <c r="T99" i="2"/>
  <c r="T99" i="1" s="1"/>
  <c r="T102" i="2"/>
  <c r="T102" i="1" s="1"/>
  <c r="T101" i="2"/>
  <c r="T101" i="1" s="1"/>
  <c r="R101" i="2"/>
  <c r="R101" i="1" s="1"/>
  <c r="R100" i="2"/>
  <c r="R100" i="1" s="1"/>
  <c r="R102" i="2"/>
  <c r="R102" i="1" s="1"/>
  <c r="R103" i="2"/>
  <c r="R103" i="1" s="1"/>
  <c r="AA208" i="2"/>
  <c r="AA205" i="2"/>
  <c r="AA207" i="2"/>
  <c r="AA206" i="2"/>
  <c r="X198" i="2"/>
  <c r="X196" i="2"/>
  <c r="X199" i="2"/>
  <c r="X197" i="2"/>
  <c r="W99" i="2"/>
  <c r="W100" i="2"/>
  <c r="D225" i="2"/>
  <c r="D225" i="1" s="1"/>
  <c r="D222" i="2"/>
  <c r="D222" i="1" s="1"/>
  <c r="D224" i="2"/>
  <c r="D224" i="1" s="1"/>
  <c r="D223" i="2"/>
  <c r="D223" i="1" s="1"/>
  <c r="D191" i="2"/>
  <c r="D191" i="1" s="1"/>
  <c r="D190" i="2"/>
  <c r="D190" i="1" s="1"/>
  <c r="D189" i="2"/>
  <c r="D189" i="1" s="1"/>
  <c r="D188" i="2"/>
  <c r="D188" i="1" s="1"/>
  <c r="H227" i="2"/>
  <c r="H227" i="1" s="1"/>
  <c r="H226" i="2"/>
  <c r="H226" i="1" s="1"/>
  <c r="S227" i="2"/>
  <c r="S227" i="1" s="1"/>
  <c r="S225" i="2"/>
  <c r="S225" i="1" s="1"/>
  <c r="S226" i="2"/>
  <c r="S226" i="1" s="1"/>
  <c r="S224" i="2"/>
  <c r="S224" i="1" s="1"/>
  <c r="R111" i="2"/>
  <c r="R111" i="1" s="1"/>
  <c r="R112" i="2"/>
  <c r="R112" i="1" s="1"/>
  <c r="R110" i="2"/>
  <c r="R110" i="1" s="1"/>
  <c r="R109" i="2"/>
  <c r="R109" i="1" s="1"/>
  <c r="Z110" i="2"/>
  <c r="Z107" i="2"/>
  <c r="G112" i="2"/>
  <c r="G112" i="1" s="1"/>
  <c r="G109" i="2"/>
  <c r="G109" i="1" s="1"/>
  <c r="Z103" i="2"/>
  <c r="N99" i="2"/>
  <c r="N99" i="1" s="1"/>
  <c r="N98" i="2"/>
  <c r="N98" i="1" s="1"/>
  <c r="N101" i="2"/>
  <c r="N101" i="1" s="1"/>
  <c r="N100" i="2"/>
  <c r="N100" i="1" s="1"/>
  <c r="M104" i="2"/>
  <c r="M104" i="1" s="1"/>
  <c r="M103" i="2"/>
  <c r="M103" i="1" s="1"/>
  <c r="M102" i="2"/>
  <c r="M102" i="1" s="1"/>
  <c r="M101" i="2"/>
  <c r="M101" i="1" s="1"/>
  <c r="D103" i="2"/>
  <c r="D103" i="1" s="1"/>
  <c r="D102" i="2"/>
  <c r="D102" i="1" s="1"/>
  <c r="H211" i="2"/>
  <c r="H211" i="1" s="1"/>
  <c r="H210" i="2"/>
  <c r="H210" i="1" s="1"/>
  <c r="F210" i="2"/>
  <c r="F210" i="1" s="1"/>
  <c r="F209" i="2"/>
  <c r="F209" i="1" s="1"/>
  <c r="F208" i="2"/>
  <c r="F208" i="1" s="1"/>
  <c r="R95" i="2"/>
  <c r="R95" i="1" s="1"/>
  <c r="F202" i="2"/>
  <c r="F202" i="1" s="1"/>
  <c r="F201" i="2"/>
  <c r="F201" i="1" s="1"/>
  <c r="F200" i="2"/>
  <c r="F200" i="1" s="1"/>
  <c r="F203" i="2"/>
  <c r="F203" i="1" s="1"/>
  <c r="H88" i="2"/>
  <c r="H88" i="1" s="1"/>
  <c r="H87" i="2"/>
  <c r="H87" i="1" s="1"/>
  <c r="H86" i="2"/>
  <c r="H86" i="1" s="1"/>
  <c r="H85" i="2"/>
  <c r="H85" i="1" s="1"/>
  <c r="O81" i="2"/>
  <c r="O81" i="1" s="1"/>
  <c r="O80" i="2"/>
  <c r="O80" i="1" s="1"/>
  <c r="O82" i="2"/>
  <c r="O82" i="1" s="1"/>
  <c r="O79" i="2"/>
  <c r="O79" i="1" s="1"/>
  <c r="E81" i="2"/>
  <c r="E81" i="1" s="1"/>
  <c r="E83" i="2"/>
  <c r="E83" i="1" s="1"/>
  <c r="L79" i="2"/>
  <c r="L79" i="1" s="1"/>
  <c r="L80" i="2"/>
  <c r="L80" i="1" s="1"/>
  <c r="O77" i="2"/>
  <c r="O77" i="1" s="1"/>
  <c r="O76" i="2"/>
  <c r="O76" i="1" s="1"/>
  <c r="D69" i="2"/>
  <c r="D69" i="1" s="1"/>
  <c r="D72" i="2"/>
  <c r="D72" i="1" s="1"/>
  <c r="D71" i="2"/>
  <c r="D71" i="1" s="1"/>
  <c r="D70" i="2"/>
  <c r="D70" i="1" s="1"/>
  <c r="F64" i="2"/>
  <c r="F64" i="1" s="1"/>
  <c r="F63" i="2"/>
  <c r="F63" i="1" s="1"/>
  <c r="F62" i="2"/>
  <c r="F62" i="1" s="1"/>
  <c r="O163" i="2"/>
  <c r="O163" i="1" s="1"/>
  <c r="O165" i="2"/>
  <c r="O165" i="1" s="1"/>
  <c r="O164" i="2"/>
  <c r="O164" i="1" s="1"/>
  <c r="O166" i="2"/>
  <c r="O166" i="1" s="1"/>
  <c r="W48" i="2"/>
  <c r="W47" i="2"/>
  <c r="W154" i="2"/>
  <c r="W153" i="2"/>
  <c r="W155" i="2"/>
  <c r="W156" i="2"/>
  <c r="O150" i="2"/>
  <c r="O150" i="1" s="1"/>
  <c r="O149" i="2"/>
  <c r="O149" i="1" s="1"/>
  <c r="W26" i="2"/>
  <c r="V12" i="2"/>
  <c r="V14" i="2"/>
  <c r="V11" i="2"/>
  <c r="V13" i="2"/>
  <c r="D79" i="2"/>
  <c r="D79" i="1" s="1"/>
  <c r="D78" i="2"/>
  <c r="D78" i="1" s="1"/>
  <c r="F80" i="2"/>
  <c r="F80" i="1" s="1"/>
  <c r="F79" i="2"/>
  <c r="F79" i="1" s="1"/>
  <c r="N197" i="2"/>
  <c r="N197" i="1" s="1"/>
  <c r="N196" i="2"/>
  <c r="N196" i="1" s="1"/>
  <c r="N195" i="2"/>
  <c r="N195" i="1" s="1"/>
  <c r="N198" i="2"/>
  <c r="N198" i="1" s="1"/>
  <c r="Y196" i="2"/>
  <c r="Y195" i="2"/>
  <c r="Y194" i="2"/>
  <c r="Y193" i="2"/>
  <c r="Z77" i="2"/>
  <c r="Z76" i="2"/>
  <c r="Z74" i="2"/>
  <c r="Z75" i="2"/>
  <c r="L78" i="2"/>
  <c r="L78" i="1" s="1"/>
  <c r="L77" i="2"/>
  <c r="L77" i="1" s="1"/>
  <c r="W68" i="2"/>
  <c r="W69" i="2"/>
  <c r="R66" i="2"/>
  <c r="R66" i="1" s="1"/>
  <c r="R64" i="2"/>
  <c r="R64" i="1" s="1"/>
  <c r="R65" i="2"/>
  <c r="R65" i="1" s="1"/>
  <c r="O68" i="2"/>
  <c r="O68" i="1" s="1"/>
  <c r="O67" i="2"/>
  <c r="O67" i="1" s="1"/>
  <c r="O58" i="2"/>
  <c r="O58" i="1" s="1"/>
  <c r="O57" i="2"/>
  <c r="O57" i="1" s="1"/>
  <c r="D166" i="2"/>
  <c r="D166" i="1" s="1"/>
  <c r="D165" i="2"/>
  <c r="D165" i="1" s="1"/>
  <c r="D167" i="2"/>
  <c r="D167" i="1" s="1"/>
  <c r="O53" i="2"/>
  <c r="O53" i="1" s="1"/>
  <c r="C155" i="2"/>
  <c r="C155" i="1" s="1"/>
  <c r="C153" i="2"/>
  <c r="C153" i="1" s="1"/>
  <c r="C154" i="2"/>
  <c r="C154" i="1" s="1"/>
  <c r="C156" i="2"/>
  <c r="C156" i="1" s="1"/>
  <c r="D145" i="2"/>
  <c r="D145" i="1" s="1"/>
  <c r="D144" i="2"/>
  <c r="D144" i="1" s="1"/>
  <c r="D143" i="2"/>
  <c r="D143" i="1" s="1"/>
  <c r="D146" i="2"/>
  <c r="D146" i="1" s="1"/>
  <c r="R138" i="2"/>
  <c r="R138" i="1" s="1"/>
  <c r="R141" i="2"/>
  <c r="R141" i="1" s="1"/>
  <c r="R140" i="2"/>
  <c r="R140" i="1" s="1"/>
  <c r="R139" i="2"/>
  <c r="R139" i="1" s="1"/>
  <c r="O28" i="2"/>
  <c r="O28" i="1" s="1"/>
  <c r="W133" i="2"/>
  <c r="W132" i="2"/>
  <c r="W11" i="2"/>
  <c r="E75" i="2"/>
  <c r="E75" i="1" s="1"/>
  <c r="E78" i="2"/>
  <c r="E78" i="1" s="1"/>
  <c r="E77" i="2"/>
  <c r="E77" i="1" s="1"/>
  <c r="E76" i="2"/>
  <c r="E76" i="1" s="1"/>
  <c r="V122" i="2"/>
  <c r="V121" i="2"/>
  <c r="V120" i="2"/>
  <c r="F59" i="2"/>
  <c r="F59" i="1" s="1"/>
  <c r="F60" i="2"/>
  <c r="F60" i="1" s="1"/>
  <c r="F61" i="2"/>
  <c r="F61" i="1" s="1"/>
  <c r="D151" i="2"/>
  <c r="D151" i="1" s="1"/>
  <c r="D150" i="2"/>
  <c r="D150" i="1" s="1"/>
  <c r="E65" i="2"/>
  <c r="E65" i="1" s="1"/>
  <c r="E66" i="2"/>
  <c r="E66" i="1" s="1"/>
  <c r="E63" i="2"/>
  <c r="E63" i="1" s="1"/>
  <c r="E64" i="2"/>
  <c r="E64" i="1" s="1"/>
  <c r="K222" i="2"/>
  <c r="K222" i="1" s="1"/>
  <c r="AA101" i="2"/>
  <c r="AA102" i="2"/>
  <c r="F110" i="2"/>
  <c r="F110" i="1" s="1"/>
  <c r="F111" i="2"/>
  <c r="F111" i="1" s="1"/>
  <c r="F112" i="2"/>
  <c r="F112" i="1" s="1"/>
  <c r="F113" i="2"/>
  <c r="F113" i="1" s="1"/>
  <c r="S103" i="2"/>
  <c r="S103" i="1" s="1"/>
  <c r="S104" i="2"/>
  <c r="S104" i="1" s="1"/>
  <c r="S102" i="2"/>
  <c r="S102" i="1" s="1"/>
  <c r="Y95" i="2"/>
  <c r="Y97" i="2"/>
  <c r="Y94" i="2"/>
  <c r="Y96" i="2"/>
  <c r="T109" i="2"/>
  <c r="T109" i="1" s="1"/>
  <c r="T112" i="2"/>
  <c r="T112" i="1" s="1"/>
  <c r="J206" i="2"/>
  <c r="J206" i="1" s="1"/>
  <c r="J205" i="2"/>
  <c r="J205" i="1" s="1"/>
  <c r="L225" i="2"/>
  <c r="L225" i="1" s="1"/>
  <c r="L222" i="2"/>
  <c r="L222" i="1" s="1"/>
  <c r="L224" i="2"/>
  <c r="L224" i="1" s="1"/>
  <c r="L223" i="2"/>
  <c r="L223" i="1" s="1"/>
  <c r="K109" i="2"/>
  <c r="K109" i="1" s="1"/>
  <c r="C108" i="2"/>
  <c r="C108" i="1" s="1"/>
  <c r="C109" i="2"/>
  <c r="C109" i="1" s="1"/>
  <c r="T219" i="2"/>
  <c r="T219" i="1" s="1"/>
  <c r="T220" i="2"/>
  <c r="T220" i="1" s="1"/>
  <c r="K218" i="2"/>
  <c r="K218" i="1" s="1"/>
  <c r="T215" i="2"/>
  <c r="T215" i="1" s="1"/>
  <c r="T213" i="2"/>
  <c r="T213" i="1" s="1"/>
  <c r="T214" i="2"/>
  <c r="T214" i="1" s="1"/>
  <c r="T216" i="2"/>
  <c r="T216" i="1" s="1"/>
  <c r="R211" i="2"/>
  <c r="R211" i="1" s="1"/>
  <c r="R213" i="2"/>
  <c r="R213" i="1" s="1"/>
  <c r="R210" i="2"/>
  <c r="R210" i="1" s="1"/>
  <c r="R212" i="2"/>
  <c r="R212" i="1" s="1"/>
  <c r="X88" i="2"/>
  <c r="X87" i="2"/>
  <c r="X89" i="2"/>
  <c r="X86" i="2"/>
  <c r="S99" i="2"/>
  <c r="S99" i="1" s="1"/>
  <c r="S98" i="2"/>
  <c r="S98" i="1" s="1"/>
  <c r="H112" i="2"/>
  <c r="H112" i="1" s="1"/>
  <c r="H113" i="2"/>
  <c r="H113" i="1" s="1"/>
  <c r="S111" i="2"/>
  <c r="S111" i="1" s="1"/>
  <c r="S110" i="2"/>
  <c r="S110" i="1" s="1"/>
  <c r="S112" i="2"/>
  <c r="S112" i="1" s="1"/>
  <c r="AB225" i="2"/>
  <c r="AB222" i="2"/>
  <c r="AB223" i="2"/>
  <c r="AB224" i="2"/>
  <c r="O107" i="2"/>
  <c r="O107" i="1" s="1"/>
  <c r="G113" i="2"/>
  <c r="G113" i="1" s="1"/>
  <c r="G110" i="2"/>
  <c r="G110" i="1" s="1"/>
  <c r="Z108" i="2"/>
  <c r="G220" i="2"/>
  <c r="G220" i="1" s="1"/>
  <c r="Z217" i="2"/>
  <c r="N214" i="2"/>
  <c r="N214" i="1" s="1"/>
  <c r="N212" i="2"/>
  <c r="N212" i="1" s="1"/>
  <c r="N215" i="2"/>
  <c r="N215" i="1" s="1"/>
  <c r="N213" i="2"/>
  <c r="N213" i="1" s="1"/>
  <c r="E214" i="2"/>
  <c r="E214" i="1" s="1"/>
  <c r="E213" i="2"/>
  <c r="E213" i="1" s="1"/>
  <c r="E212" i="2"/>
  <c r="E212" i="1" s="1"/>
  <c r="E211" i="2"/>
  <c r="E211" i="1" s="1"/>
  <c r="D97" i="2"/>
  <c r="D97" i="1" s="1"/>
  <c r="D99" i="2"/>
  <c r="D99" i="1" s="1"/>
  <c r="D96" i="2"/>
  <c r="D96" i="1" s="1"/>
  <c r="D98" i="2"/>
  <c r="D98" i="1" s="1"/>
  <c r="B98" i="2"/>
  <c r="B98" i="1" s="1"/>
  <c r="B97" i="2"/>
  <c r="B97" i="1" s="1"/>
  <c r="B96" i="2"/>
  <c r="B96" i="1" s="1"/>
  <c r="H101" i="2"/>
  <c r="H101" i="1" s="1"/>
  <c r="H98" i="2"/>
  <c r="H98" i="1" s="1"/>
  <c r="H100" i="2"/>
  <c r="H100" i="1" s="1"/>
  <c r="H99" i="2"/>
  <c r="H99" i="1" s="1"/>
  <c r="Y209" i="2"/>
  <c r="Y208" i="2"/>
  <c r="R93" i="2"/>
  <c r="R93" i="1" s="1"/>
  <c r="R205" i="2"/>
  <c r="R205" i="1" s="1"/>
  <c r="F88" i="2"/>
  <c r="F88" i="1" s="1"/>
  <c r="F89" i="2"/>
  <c r="F89" i="1" s="1"/>
  <c r="H195" i="2"/>
  <c r="H195" i="1" s="1"/>
  <c r="H197" i="2"/>
  <c r="H197" i="1" s="1"/>
  <c r="H198" i="2"/>
  <c r="H198" i="1" s="1"/>
  <c r="H196" i="2"/>
  <c r="H196" i="1" s="1"/>
  <c r="R84" i="2"/>
  <c r="R84" i="1" s="1"/>
  <c r="E79" i="2"/>
  <c r="E79" i="1" s="1"/>
  <c r="W78" i="2"/>
  <c r="W77" i="2"/>
  <c r="D181" i="2"/>
  <c r="D181" i="1" s="1"/>
  <c r="D182" i="2"/>
  <c r="D182" i="1" s="1"/>
  <c r="D180" i="2"/>
  <c r="D180" i="1" s="1"/>
  <c r="F68" i="2"/>
  <c r="F68" i="1" s="1"/>
  <c r="F67" i="2"/>
  <c r="F67" i="1" s="1"/>
  <c r="W171" i="2"/>
  <c r="W172" i="2"/>
  <c r="W173" i="2"/>
  <c r="W174" i="2"/>
  <c r="O52" i="2"/>
  <c r="O52" i="1" s="1"/>
  <c r="W51" i="2"/>
  <c r="W52" i="2"/>
  <c r="W42" i="2"/>
  <c r="W41" i="2"/>
  <c r="W40" i="2"/>
  <c r="D36" i="2"/>
  <c r="D36" i="1" s="1"/>
  <c r="D37" i="2"/>
  <c r="D37" i="1" s="1"/>
  <c r="D39" i="2"/>
  <c r="D39" i="1" s="1"/>
  <c r="D38" i="2"/>
  <c r="D38" i="1" s="1"/>
  <c r="C27" i="2"/>
  <c r="C27" i="1" s="1"/>
  <c r="C26" i="2"/>
  <c r="C26" i="1" s="1"/>
  <c r="C25" i="2"/>
  <c r="C25" i="1" s="1"/>
  <c r="C24" i="2"/>
  <c r="C24" i="1" s="1"/>
  <c r="W136" i="2"/>
  <c r="V126" i="2"/>
  <c r="V128" i="2"/>
  <c r="V127" i="2"/>
  <c r="V125" i="2"/>
  <c r="I77" i="2"/>
  <c r="I77" i="1" s="1"/>
  <c r="I76" i="2"/>
  <c r="I76" i="1" s="1"/>
  <c r="I75" i="2"/>
  <c r="I75" i="1" s="1"/>
  <c r="I78" i="2"/>
  <c r="I78" i="1" s="1"/>
  <c r="R132" i="2"/>
  <c r="R132" i="1" s="1"/>
  <c r="R130" i="2"/>
  <c r="R130" i="1" s="1"/>
  <c r="R131" i="2"/>
  <c r="R131" i="1" s="1"/>
  <c r="D75" i="2"/>
  <c r="D75" i="1" s="1"/>
  <c r="D74" i="2"/>
  <c r="D74" i="1" s="1"/>
  <c r="D73" i="2"/>
  <c r="D73" i="1" s="1"/>
  <c r="D82" i="2"/>
  <c r="D82" i="1" s="1"/>
  <c r="D84" i="2"/>
  <c r="D84" i="1" s="1"/>
  <c r="D83" i="2"/>
  <c r="D83" i="1" s="1"/>
  <c r="H74" i="2"/>
  <c r="H74" i="1" s="1"/>
  <c r="H77" i="2"/>
  <c r="H77" i="1" s="1"/>
  <c r="H76" i="2"/>
  <c r="H76" i="1" s="1"/>
  <c r="H75" i="2"/>
  <c r="H75" i="1" s="1"/>
  <c r="X71" i="2"/>
  <c r="X73" i="2"/>
  <c r="X72" i="2"/>
  <c r="W180" i="2"/>
  <c r="W182" i="2"/>
  <c r="W183" i="2"/>
  <c r="W181" i="2"/>
  <c r="O178" i="2"/>
  <c r="O178" i="1" s="1"/>
  <c r="O177" i="2"/>
  <c r="O177" i="1" s="1"/>
  <c r="O169" i="2"/>
  <c r="O169" i="1" s="1"/>
  <c r="O172" i="2"/>
  <c r="O172" i="1" s="1"/>
  <c r="O170" i="2"/>
  <c r="O170" i="1" s="1"/>
  <c r="O171" i="2"/>
  <c r="O171" i="1" s="1"/>
  <c r="D53" i="2"/>
  <c r="D53" i="1" s="1"/>
  <c r="D159" i="2"/>
  <c r="D159" i="1" s="1"/>
  <c r="D162" i="2"/>
  <c r="D162" i="1" s="1"/>
  <c r="D160" i="2"/>
  <c r="D160" i="1" s="1"/>
  <c r="D161" i="2"/>
  <c r="D161" i="1" s="1"/>
  <c r="C39" i="2"/>
  <c r="C39" i="1" s="1"/>
  <c r="C41" i="2"/>
  <c r="C41" i="1" s="1"/>
  <c r="C40" i="2"/>
  <c r="C40" i="1" s="1"/>
  <c r="C42" i="2"/>
  <c r="C42" i="1" s="1"/>
  <c r="D31" i="2"/>
  <c r="D31" i="1" s="1"/>
  <c r="D30" i="2"/>
  <c r="D30" i="1" s="1"/>
  <c r="D32" i="2"/>
  <c r="D32" i="1" s="1"/>
  <c r="D29" i="2"/>
  <c r="D29" i="1" s="1"/>
  <c r="R26" i="2"/>
  <c r="R26" i="1" s="1"/>
  <c r="R27" i="2"/>
  <c r="R27" i="1" s="1"/>
  <c r="R25" i="2"/>
  <c r="R25" i="1" s="1"/>
  <c r="O138" i="2"/>
  <c r="O138" i="1" s="1"/>
  <c r="W19" i="2"/>
  <c r="W18" i="2"/>
  <c r="W15" i="2"/>
  <c r="O43" i="2"/>
  <c r="O43" i="1" s="1"/>
  <c r="O42" i="2"/>
  <c r="O42" i="1" s="1"/>
  <c r="O41" i="2"/>
  <c r="O41" i="1" s="1"/>
  <c r="Y90" i="2"/>
  <c r="J87" i="2"/>
  <c r="J87" i="1" s="1"/>
  <c r="J86" i="2"/>
  <c r="J86" i="1" s="1"/>
  <c r="J85" i="2"/>
  <c r="J85" i="1" s="1"/>
  <c r="J88" i="2"/>
  <c r="J88" i="1" s="1"/>
  <c r="E56" i="2"/>
  <c r="E56" i="1" s="1"/>
  <c r="E58" i="2"/>
  <c r="E58" i="1" s="1"/>
  <c r="E57" i="2"/>
  <c r="E57" i="1" s="1"/>
  <c r="E55" i="2"/>
  <c r="E55" i="1" s="1"/>
  <c r="O103" i="2"/>
  <c r="O103" i="1" s="1"/>
  <c r="W65" i="2"/>
  <c r="D113" i="2"/>
  <c r="D113" i="1" s="1"/>
  <c r="D112" i="2"/>
  <c r="D112" i="1" s="1"/>
  <c r="Z214" i="2"/>
  <c r="Z215" i="2"/>
  <c r="Z213" i="2"/>
  <c r="Z212" i="2"/>
  <c r="T104" i="2"/>
  <c r="T104" i="1" s="1"/>
  <c r="T103" i="2"/>
  <c r="T103" i="1" s="1"/>
  <c r="T105" i="2"/>
  <c r="T105" i="1" s="1"/>
  <c r="C215" i="2"/>
  <c r="C215" i="1" s="1"/>
  <c r="C217" i="2"/>
  <c r="C217" i="1" s="1"/>
  <c r="C216" i="2"/>
  <c r="C216" i="1" s="1"/>
  <c r="C214" i="2"/>
  <c r="C214" i="1" s="1"/>
  <c r="AB97" i="2"/>
  <c r="AB99" i="2"/>
  <c r="AB96" i="2"/>
  <c r="AB98" i="2"/>
  <c r="AA92" i="2"/>
  <c r="AA94" i="2"/>
  <c r="AA91" i="2"/>
  <c r="AA93" i="2"/>
  <c r="W96" i="2"/>
  <c r="W95" i="2"/>
  <c r="C100" i="2"/>
  <c r="C100" i="1" s="1"/>
  <c r="C99" i="2"/>
  <c r="C99" i="1" s="1"/>
  <c r="C102" i="2"/>
  <c r="C102" i="1" s="1"/>
  <c r="C101" i="2"/>
  <c r="C101" i="1" s="1"/>
  <c r="AB100" i="2"/>
  <c r="AB103" i="2"/>
  <c r="AB102" i="2"/>
  <c r="AB101" i="2"/>
  <c r="Z194" i="2"/>
  <c r="Z193" i="2"/>
  <c r="Z192" i="2"/>
  <c r="D209" i="2"/>
  <c r="D209" i="1" s="1"/>
  <c r="D208" i="2"/>
  <c r="D208" i="1" s="1"/>
  <c r="D210" i="2"/>
  <c r="D210" i="1" s="1"/>
  <c r="D211" i="2"/>
  <c r="D211" i="1" s="1"/>
  <c r="K219" i="2"/>
  <c r="K219" i="1" s="1"/>
  <c r="I194" i="2"/>
  <c r="I194" i="1" s="1"/>
  <c r="I193" i="2"/>
  <c r="I193" i="1" s="1"/>
  <c r="I192" i="2"/>
  <c r="I192" i="1" s="1"/>
  <c r="K110" i="2"/>
  <c r="K110" i="1" s="1"/>
  <c r="K107" i="2"/>
  <c r="K107" i="1" s="1"/>
  <c r="C110" i="2"/>
  <c r="C110" i="1" s="1"/>
  <c r="C112" i="2"/>
  <c r="C112" i="1" s="1"/>
  <c r="C113" i="2"/>
  <c r="C113" i="1" s="1"/>
  <c r="T106" i="2"/>
  <c r="T106" i="1" s="1"/>
  <c r="C104" i="2"/>
  <c r="C104" i="1" s="1"/>
  <c r="J101" i="2"/>
  <c r="J101" i="1" s="1"/>
  <c r="J100" i="2"/>
  <c r="J100" i="1" s="1"/>
  <c r="J99" i="2"/>
  <c r="J99" i="1" s="1"/>
  <c r="R98" i="2"/>
  <c r="R98" i="1" s="1"/>
  <c r="R99" i="2"/>
  <c r="R99" i="1" s="1"/>
  <c r="J93" i="2"/>
  <c r="J93" i="1" s="1"/>
  <c r="H213" i="2"/>
  <c r="H213" i="1" s="1"/>
  <c r="H212" i="2"/>
  <c r="H212" i="1" s="1"/>
  <c r="J95" i="2"/>
  <c r="J95" i="1" s="1"/>
  <c r="J97" i="2"/>
  <c r="J97" i="1" s="1"/>
  <c r="J96" i="2"/>
  <c r="J96" i="1" s="1"/>
  <c r="T110" i="2"/>
  <c r="T110" i="1" s="1"/>
  <c r="T107" i="2"/>
  <c r="T107" i="1" s="1"/>
  <c r="T225" i="2"/>
  <c r="T225" i="1" s="1"/>
  <c r="T226" i="2"/>
  <c r="T226" i="1" s="1"/>
  <c r="T227" i="2"/>
  <c r="T227" i="1" s="1"/>
  <c r="J224" i="2"/>
  <c r="J224" i="1" s="1"/>
  <c r="J226" i="2"/>
  <c r="J226" i="1" s="1"/>
  <c r="J225" i="2"/>
  <c r="J225" i="1" s="1"/>
  <c r="J227" i="2"/>
  <c r="J227" i="1" s="1"/>
  <c r="AB108" i="2"/>
  <c r="AB110" i="2"/>
  <c r="AB109" i="2"/>
  <c r="O224" i="2"/>
  <c r="O224" i="1" s="1"/>
  <c r="O223" i="2"/>
  <c r="O223" i="1" s="1"/>
  <c r="G223" i="2"/>
  <c r="G223" i="1" s="1"/>
  <c r="Z220" i="2"/>
  <c r="Z219" i="2"/>
  <c r="Z221" i="2"/>
  <c r="O105" i="2"/>
  <c r="O105" i="1" s="1"/>
  <c r="O104" i="2"/>
  <c r="O104" i="1" s="1"/>
  <c r="G103" i="2"/>
  <c r="G103" i="1" s="1"/>
  <c r="G102" i="2"/>
  <c r="G102" i="1" s="1"/>
  <c r="G101" i="2"/>
  <c r="G101" i="1" s="1"/>
  <c r="G100" i="2"/>
  <c r="G100" i="1" s="1"/>
  <c r="F104" i="2"/>
  <c r="F104" i="1" s="1"/>
  <c r="F103" i="2"/>
  <c r="F103" i="1" s="1"/>
  <c r="F102" i="2"/>
  <c r="F102" i="1" s="1"/>
  <c r="F105" i="2"/>
  <c r="F105" i="1" s="1"/>
  <c r="E104" i="2"/>
  <c r="E104" i="1" s="1"/>
  <c r="E103" i="2"/>
  <c r="E103" i="1" s="1"/>
  <c r="E102" i="2"/>
  <c r="E102" i="1" s="1"/>
  <c r="E101" i="2"/>
  <c r="E101" i="1" s="1"/>
  <c r="D213" i="2"/>
  <c r="D213" i="1" s="1"/>
  <c r="D212" i="2"/>
  <c r="D212" i="1" s="1"/>
  <c r="B211" i="2"/>
  <c r="B211" i="1" s="1"/>
  <c r="B212" i="2"/>
  <c r="B212" i="1" s="1"/>
  <c r="B209" i="2"/>
  <c r="B209" i="1" s="1"/>
  <c r="B210" i="2"/>
  <c r="B210" i="1" s="1"/>
  <c r="AA95" i="2"/>
  <c r="AA96" i="2"/>
  <c r="Y98" i="2"/>
  <c r="Y99" i="2"/>
  <c r="F91" i="2"/>
  <c r="F91" i="1" s="1"/>
  <c r="F93" i="2"/>
  <c r="F93" i="1" s="1"/>
  <c r="F92" i="2"/>
  <c r="F92" i="1" s="1"/>
  <c r="Y201" i="2"/>
  <c r="Y200" i="2"/>
  <c r="Y199" i="2"/>
  <c r="Y202" i="2"/>
  <c r="Z197" i="2"/>
  <c r="Z195" i="2"/>
  <c r="Z196" i="2"/>
  <c r="E86" i="2"/>
  <c r="E86" i="1" s="1"/>
  <c r="R80" i="2"/>
  <c r="R80" i="1" s="1"/>
  <c r="E193" i="2"/>
  <c r="E193" i="1" s="1"/>
  <c r="E191" i="2"/>
  <c r="E191" i="1" s="1"/>
  <c r="E190" i="2"/>
  <c r="E190" i="1" s="1"/>
  <c r="E192" i="2"/>
  <c r="E192" i="1" s="1"/>
  <c r="W74" i="2"/>
  <c r="W71" i="2"/>
  <c r="W73" i="2"/>
  <c r="W72" i="2"/>
  <c r="O75" i="2"/>
  <c r="O75" i="1" s="1"/>
  <c r="H71" i="2"/>
  <c r="H71" i="1" s="1"/>
  <c r="H70" i="2"/>
  <c r="H70" i="1" s="1"/>
  <c r="H68" i="2"/>
  <c r="H68" i="1" s="1"/>
  <c r="H69" i="2"/>
  <c r="H69" i="1" s="1"/>
  <c r="J63" i="2"/>
  <c r="J63" i="1" s="1"/>
  <c r="J62" i="2"/>
  <c r="J62" i="1" s="1"/>
  <c r="J61" i="2"/>
  <c r="J61" i="1" s="1"/>
  <c r="J60" i="2"/>
  <c r="J60" i="1" s="1"/>
  <c r="C60" i="2"/>
  <c r="C60" i="1" s="1"/>
  <c r="C57" i="2"/>
  <c r="C57" i="1" s="1"/>
  <c r="C59" i="2"/>
  <c r="C59" i="1" s="1"/>
  <c r="C58" i="2"/>
  <c r="C58" i="1" s="1"/>
  <c r="O55" i="2"/>
  <c r="O55" i="1" s="1"/>
  <c r="O56" i="2"/>
  <c r="O56" i="1" s="1"/>
  <c r="W162" i="2"/>
  <c r="W161" i="2"/>
  <c r="D40" i="2"/>
  <c r="D40" i="1" s="1"/>
  <c r="D41" i="2"/>
  <c r="D41" i="1" s="1"/>
  <c r="D149" i="2"/>
  <c r="D149" i="1" s="1"/>
  <c r="D148" i="2"/>
  <c r="D148" i="1" s="1"/>
  <c r="D147" i="2"/>
  <c r="D147" i="1" s="1"/>
  <c r="C141" i="2"/>
  <c r="C141" i="1" s="1"/>
  <c r="C140" i="2"/>
  <c r="C140" i="1" s="1"/>
  <c r="C139" i="2"/>
  <c r="C139" i="1" s="1"/>
  <c r="C138" i="2"/>
  <c r="C138" i="1" s="1"/>
  <c r="W134" i="2"/>
  <c r="W135" i="2"/>
  <c r="W12" i="2"/>
  <c r="R203" i="2"/>
  <c r="R203" i="1" s="1"/>
  <c r="R202" i="2"/>
  <c r="R202" i="1" s="1"/>
  <c r="R201" i="2"/>
  <c r="R201" i="1" s="1"/>
  <c r="R200" i="2"/>
  <c r="R200" i="1" s="1"/>
  <c r="O71" i="2"/>
  <c r="O71" i="1" s="1"/>
  <c r="O72" i="2"/>
  <c r="O72" i="1" s="1"/>
  <c r="O69" i="2"/>
  <c r="O69" i="1" s="1"/>
  <c r="O70" i="2"/>
  <c r="O70" i="1" s="1"/>
  <c r="Z105" i="2"/>
  <c r="F72" i="2"/>
  <c r="F72" i="1" s="1"/>
  <c r="F73" i="2"/>
  <c r="F73" i="1" s="1"/>
  <c r="D86" i="2"/>
  <c r="D86" i="1" s="1"/>
  <c r="D85" i="2"/>
  <c r="D85" i="1" s="1"/>
  <c r="D88" i="2"/>
  <c r="D88" i="1" s="1"/>
  <c r="D87" i="2"/>
  <c r="D87" i="1" s="1"/>
  <c r="I86" i="2"/>
  <c r="I86" i="1" s="1"/>
  <c r="H191" i="2"/>
  <c r="H191" i="1" s="1"/>
  <c r="H190" i="2"/>
  <c r="H190" i="1" s="1"/>
  <c r="H189" i="2"/>
  <c r="H189" i="1" s="1"/>
  <c r="H188" i="2"/>
  <c r="H188" i="1" s="1"/>
  <c r="E72" i="2"/>
  <c r="E72" i="1" s="1"/>
  <c r="E73" i="2"/>
  <c r="E73" i="1" s="1"/>
  <c r="E71" i="2"/>
  <c r="E71" i="1" s="1"/>
  <c r="E70" i="2"/>
  <c r="E70" i="1" s="1"/>
  <c r="R181" i="2"/>
  <c r="R181" i="1" s="1"/>
  <c r="R180" i="2"/>
  <c r="R180" i="1" s="1"/>
  <c r="W67" i="2"/>
  <c r="W66" i="2"/>
  <c r="W55" i="2"/>
  <c r="W56" i="2"/>
  <c r="D56" i="2"/>
  <c r="D56" i="1" s="1"/>
  <c r="D57" i="2"/>
  <c r="D57" i="1" s="1"/>
  <c r="D47" i="2"/>
  <c r="D47" i="1" s="1"/>
  <c r="D46" i="2"/>
  <c r="D46" i="1" s="1"/>
  <c r="D48" i="2"/>
  <c r="D48" i="1" s="1"/>
  <c r="W148" i="2"/>
  <c r="W147" i="2"/>
  <c r="W146" i="2"/>
  <c r="W149" i="2"/>
  <c r="C34" i="2"/>
  <c r="C34" i="1" s="1"/>
  <c r="C33" i="2"/>
  <c r="C33" i="1" s="1"/>
  <c r="C35" i="2"/>
  <c r="C35" i="1" s="1"/>
  <c r="C32" i="2"/>
  <c r="C32" i="1" s="1"/>
  <c r="O26" i="2"/>
  <c r="O26" i="1" s="1"/>
  <c r="O27" i="2"/>
  <c r="O27" i="1" s="1"/>
  <c r="C18" i="2"/>
  <c r="C18" i="1" s="1"/>
  <c r="C21" i="2"/>
  <c r="C21" i="1" s="1"/>
  <c r="C20" i="2"/>
  <c r="C20" i="1" s="1"/>
  <c r="C19" i="2"/>
  <c r="C19" i="1" s="1"/>
  <c r="Y84" i="2"/>
  <c r="Y83" i="2"/>
  <c r="Y86" i="2"/>
  <c r="Y85" i="2"/>
  <c r="F85" i="2"/>
  <c r="F85" i="1" s="1"/>
  <c r="F84" i="2"/>
  <c r="F84" i="1" s="1"/>
  <c r="F87" i="2"/>
  <c r="F87" i="1" s="1"/>
  <c r="F86" i="2"/>
  <c r="F86" i="1" s="1"/>
  <c r="W91" i="2"/>
  <c r="W93" i="2"/>
  <c r="W92" i="2"/>
  <c r="W94" i="2"/>
  <c r="U61" i="2"/>
  <c r="U60" i="2"/>
  <c r="U59" i="2"/>
  <c r="U58" i="2"/>
  <c r="T222" i="2"/>
  <c r="T222" i="1" s="1"/>
  <c r="T221" i="2"/>
  <c r="T221" i="1" s="1"/>
  <c r="K220" i="2"/>
  <c r="K220" i="1" s="1"/>
  <c r="C218" i="2"/>
  <c r="C218" i="1" s="1"/>
  <c r="J214" i="2"/>
  <c r="J214" i="1" s="1"/>
  <c r="J215" i="2"/>
  <c r="J215" i="1" s="1"/>
  <c r="J213" i="2"/>
  <c r="J213" i="1" s="1"/>
  <c r="O96" i="2"/>
  <c r="O96" i="1" s="1"/>
  <c r="O98" i="2"/>
  <c r="O98" i="1" s="1"/>
  <c r="O95" i="2"/>
  <c r="O95" i="1" s="1"/>
  <c r="O97" i="2"/>
  <c r="O97" i="1" s="1"/>
  <c r="B105" i="2"/>
  <c r="B105" i="1" s="1"/>
  <c r="B104" i="2"/>
  <c r="B104" i="1" s="1"/>
  <c r="B103" i="2"/>
  <c r="B103" i="1" s="1"/>
  <c r="T113" i="2"/>
  <c r="T113" i="1" s="1"/>
  <c r="T111" i="2"/>
  <c r="T111" i="1" s="1"/>
  <c r="J111" i="2"/>
  <c r="J111" i="1" s="1"/>
  <c r="J113" i="2"/>
  <c r="J113" i="1" s="1"/>
  <c r="J110" i="2"/>
  <c r="J110" i="1" s="1"/>
  <c r="J112" i="2"/>
  <c r="J112" i="1" s="1"/>
  <c r="P222" i="2"/>
  <c r="P222" i="1" s="1"/>
  <c r="P223" i="2"/>
  <c r="P223" i="1" s="1"/>
  <c r="P224" i="2"/>
  <c r="P224" i="1" s="1"/>
  <c r="P225" i="2"/>
  <c r="P225" i="1" s="1"/>
  <c r="G108" i="2"/>
  <c r="G108" i="1" s="1"/>
  <c r="O219" i="2"/>
  <c r="O219" i="1" s="1"/>
  <c r="F215" i="2"/>
  <c r="F215" i="1" s="1"/>
  <c r="F212" i="2"/>
  <c r="F212" i="1" s="1"/>
  <c r="F213" i="2"/>
  <c r="F213" i="1" s="1"/>
  <c r="F214" i="2"/>
  <c r="F214" i="1" s="1"/>
  <c r="X96" i="2"/>
  <c r="X98" i="2"/>
  <c r="X97" i="2"/>
  <c r="X99" i="2"/>
  <c r="W102" i="2"/>
  <c r="W101" i="2"/>
  <c r="B101" i="2"/>
  <c r="B101" i="1" s="1"/>
  <c r="B100" i="2"/>
  <c r="B100" i="1" s="1"/>
  <c r="B99" i="2"/>
  <c r="B99" i="1" s="1"/>
  <c r="B102" i="2"/>
  <c r="B102" i="1" s="1"/>
  <c r="AA210" i="2"/>
  <c r="AA209" i="2"/>
  <c r="M97" i="2"/>
  <c r="M97" i="1" s="1"/>
  <c r="M99" i="2"/>
  <c r="M99" i="1" s="1"/>
  <c r="M96" i="2"/>
  <c r="M96" i="1" s="1"/>
  <c r="M98" i="2"/>
  <c r="M98" i="1" s="1"/>
  <c r="F207" i="2"/>
  <c r="F207" i="1" s="1"/>
  <c r="F204" i="2"/>
  <c r="F204" i="1" s="1"/>
  <c r="F205" i="2"/>
  <c r="F205" i="1" s="1"/>
  <c r="Y87" i="2"/>
  <c r="Y88" i="2"/>
  <c r="Z87" i="2"/>
  <c r="Z86" i="2"/>
  <c r="E82" i="2"/>
  <c r="E82" i="1" s="1"/>
  <c r="E84" i="2"/>
  <c r="E84" i="1" s="1"/>
  <c r="R82" i="2"/>
  <c r="R82" i="1" s="1"/>
  <c r="W188" i="2"/>
  <c r="W187" i="2"/>
  <c r="W186" i="2"/>
  <c r="W185" i="2"/>
  <c r="H181" i="2"/>
  <c r="H181" i="1" s="1"/>
  <c r="H180" i="2"/>
  <c r="H180" i="1" s="1"/>
  <c r="H178" i="2"/>
  <c r="H178" i="1" s="1"/>
  <c r="H179" i="2"/>
  <c r="H179" i="1" s="1"/>
  <c r="J176" i="2"/>
  <c r="J176" i="1" s="1"/>
  <c r="J175" i="2"/>
  <c r="J175" i="1" s="1"/>
  <c r="J177" i="2"/>
  <c r="J177" i="1" s="1"/>
  <c r="C172" i="2"/>
  <c r="C172" i="1" s="1"/>
  <c r="C174" i="2"/>
  <c r="C174" i="1" s="1"/>
  <c r="C173" i="2"/>
  <c r="C173" i="1" s="1"/>
  <c r="C171" i="2"/>
  <c r="C171" i="1" s="1"/>
  <c r="J50" i="2"/>
  <c r="J50" i="1" s="1"/>
  <c r="J51" i="2"/>
  <c r="J51" i="1" s="1"/>
  <c r="J48" i="2"/>
  <c r="J48" i="1" s="1"/>
  <c r="J49" i="2"/>
  <c r="J49" i="1" s="1"/>
  <c r="O46" i="2"/>
  <c r="O46" i="1" s="1"/>
  <c r="O45" i="2"/>
  <c r="O45" i="1" s="1"/>
  <c r="O47" i="2"/>
  <c r="O47" i="1" s="1"/>
  <c r="O44" i="2"/>
  <c r="O44" i="1" s="1"/>
  <c r="D155" i="2"/>
  <c r="D155" i="1" s="1"/>
  <c r="D153" i="2"/>
  <c r="D153" i="1" s="1"/>
  <c r="D154" i="2"/>
  <c r="D154" i="1" s="1"/>
  <c r="D152" i="2"/>
  <c r="D152" i="1" s="1"/>
  <c r="W36" i="2"/>
  <c r="W37" i="2"/>
  <c r="W25" i="2"/>
  <c r="W21" i="2"/>
  <c r="W20" i="2"/>
  <c r="W16" i="2"/>
  <c r="W163" i="2"/>
  <c r="W164" i="2"/>
  <c r="D66" i="2"/>
  <c r="D66" i="1" s="1"/>
  <c r="D67" i="2"/>
  <c r="D67" i="1" s="1"/>
  <c r="D92" i="2"/>
  <c r="D92" i="1" s="1"/>
  <c r="D94" i="2"/>
  <c r="D94" i="1" s="1"/>
  <c r="D93" i="2"/>
  <c r="D93" i="1" s="1"/>
  <c r="D95" i="2"/>
  <c r="D95" i="1" s="1"/>
  <c r="E62" i="2"/>
  <c r="E62" i="1" s="1"/>
  <c r="E61" i="2"/>
  <c r="E61" i="1" s="1"/>
  <c r="E60" i="2"/>
  <c r="E60" i="1" s="1"/>
  <c r="E59" i="2"/>
  <c r="E59" i="1" s="1"/>
  <c r="D198" i="2"/>
  <c r="D198" i="1" s="1"/>
  <c r="D197" i="2"/>
  <c r="D197" i="1" s="1"/>
  <c r="D195" i="2"/>
  <c r="D195" i="1" s="1"/>
  <c r="D196" i="2"/>
  <c r="D196" i="1" s="1"/>
  <c r="I81" i="2"/>
  <c r="I81" i="1" s="1"/>
  <c r="I80" i="2"/>
  <c r="I80" i="1" s="1"/>
  <c r="W76" i="2"/>
  <c r="W75" i="2"/>
  <c r="F71" i="2"/>
  <c r="F71" i="1" s="1"/>
  <c r="E69" i="2"/>
  <c r="E69" i="1" s="1"/>
  <c r="E68" i="2"/>
  <c r="E68" i="1" s="1"/>
  <c r="E67" i="2"/>
  <c r="E67" i="1" s="1"/>
  <c r="C66" i="2"/>
  <c r="C66" i="1" s="1"/>
  <c r="C65" i="2"/>
  <c r="C65" i="1" s="1"/>
  <c r="C67" i="2"/>
  <c r="C67" i="1" s="1"/>
  <c r="C64" i="2"/>
  <c r="C64" i="1" s="1"/>
  <c r="W177" i="2"/>
  <c r="W176" i="2"/>
  <c r="W175" i="2"/>
  <c r="W169" i="2"/>
  <c r="W168" i="2"/>
  <c r="W170" i="2"/>
  <c r="W167" i="2"/>
  <c r="C52" i="2"/>
  <c r="C52" i="1" s="1"/>
  <c r="C51" i="2"/>
  <c r="C51" i="1" s="1"/>
  <c r="D52" i="2"/>
  <c r="D52" i="1" s="1"/>
  <c r="D51" i="2"/>
  <c r="D51" i="1" s="1"/>
  <c r="W39" i="2"/>
  <c r="W38" i="2"/>
  <c r="C145" i="2"/>
  <c r="C145" i="1" s="1"/>
  <c r="C144" i="2"/>
  <c r="C144" i="1" s="1"/>
  <c r="C143" i="2"/>
  <c r="C143" i="1" s="1"/>
  <c r="C142" i="2"/>
  <c r="C142" i="1" s="1"/>
  <c r="O137" i="2"/>
  <c r="O137" i="1" s="1"/>
  <c r="C131" i="2"/>
  <c r="C131" i="1" s="1"/>
  <c r="C130" i="2"/>
  <c r="C130" i="1" s="1"/>
  <c r="C129" i="2"/>
  <c r="C129" i="1" s="1"/>
  <c r="C128" i="2"/>
  <c r="C128" i="1" s="1"/>
  <c r="X68" i="2"/>
  <c r="X67" i="2"/>
  <c r="X69" i="2"/>
  <c r="X70" i="2"/>
  <c r="B83" i="2"/>
  <c r="B83" i="1" s="1"/>
  <c r="B86" i="2"/>
  <c r="B86" i="1" s="1"/>
  <c r="B85" i="2"/>
  <c r="B85" i="1" s="1"/>
  <c r="B84" i="2"/>
  <c r="B84" i="1" s="1"/>
  <c r="E47" i="2"/>
  <c r="E47" i="1" s="1"/>
  <c r="E46" i="2"/>
  <c r="E46" i="1" s="1"/>
  <c r="E48" i="2"/>
  <c r="E48" i="1" s="1"/>
  <c r="E45" i="2"/>
  <c r="E45" i="1" s="1"/>
  <c r="B94" i="2"/>
  <c r="B94" i="1" s="1"/>
  <c r="D28" i="2"/>
  <c r="D28" i="1" s="1"/>
  <c r="D27" i="2"/>
  <c r="D27" i="1" s="1"/>
  <c r="D26" i="2"/>
  <c r="D26" i="1" s="1"/>
  <c r="B202" i="2"/>
  <c r="B202" i="1" s="1"/>
  <c r="T218" i="2"/>
  <c r="T218" i="1" s="1"/>
  <c r="T217" i="2"/>
  <c r="T217" i="1" s="1"/>
  <c r="K105" i="2"/>
  <c r="K105" i="1" s="1"/>
  <c r="K106" i="2"/>
  <c r="K106" i="1" s="1"/>
  <c r="K103" i="2"/>
  <c r="K103" i="1" s="1"/>
  <c r="I214" i="2"/>
  <c r="I214" i="1" s="1"/>
  <c r="I211" i="2"/>
  <c r="I211" i="1" s="1"/>
  <c r="I213" i="2"/>
  <c r="I213" i="1" s="1"/>
  <c r="I212" i="2"/>
  <c r="I212" i="1" s="1"/>
  <c r="O212" i="2"/>
  <c r="O212" i="1" s="1"/>
  <c r="O211" i="2"/>
  <c r="O211" i="1" s="1"/>
  <c r="E110" i="2"/>
  <c r="E110" i="1" s="1"/>
  <c r="E109" i="2"/>
  <c r="E109" i="1" s="1"/>
  <c r="E111" i="2"/>
  <c r="E111" i="1" s="1"/>
  <c r="E112" i="2"/>
  <c r="E112" i="1" s="1"/>
  <c r="AB86" i="2"/>
  <c r="AB85" i="2"/>
  <c r="AB88" i="2"/>
  <c r="AB87" i="2"/>
  <c r="D100" i="2"/>
  <c r="D100" i="1" s="1"/>
  <c r="D101" i="2"/>
  <c r="D101" i="1" s="1"/>
  <c r="K227" i="2"/>
  <c r="K227" i="1" s="1"/>
  <c r="K225" i="2"/>
  <c r="K225" i="1" s="1"/>
  <c r="K226" i="2"/>
  <c r="K226" i="1" s="1"/>
  <c r="B224" i="2"/>
  <c r="B224" i="1" s="1"/>
  <c r="B226" i="2"/>
  <c r="B226" i="1" s="1"/>
  <c r="B225" i="2"/>
  <c r="B225" i="1" s="1"/>
  <c r="B227" i="2"/>
  <c r="B227" i="1" s="1"/>
  <c r="P109" i="2"/>
  <c r="P109" i="1" s="1"/>
  <c r="P111" i="2"/>
  <c r="P111" i="1" s="1"/>
  <c r="P110" i="2"/>
  <c r="P110" i="1" s="1"/>
  <c r="P108" i="2"/>
  <c r="P108" i="1" s="1"/>
  <c r="G221" i="2"/>
  <c r="G221" i="1" s="1"/>
  <c r="Z101" i="2"/>
  <c r="Z100" i="2"/>
  <c r="Z99" i="2"/>
  <c r="Z102" i="2"/>
  <c r="X213" i="2"/>
  <c r="X212" i="2"/>
  <c r="X210" i="2"/>
  <c r="X211" i="2"/>
  <c r="W98" i="2"/>
  <c r="W97" i="2"/>
  <c r="S95" i="2"/>
  <c r="S95" i="1" s="1"/>
  <c r="S97" i="2"/>
  <c r="S97" i="1" s="1"/>
  <c r="S94" i="2"/>
  <c r="S94" i="1" s="1"/>
  <c r="S96" i="2"/>
  <c r="S96" i="1" s="1"/>
  <c r="AA100" i="2"/>
  <c r="AA97" i="2"/>
  <c r="AA99" i="2"/>
  <c r="AA98" i="2"/>
  <c r="M94" i="2"/>
  <c r="M94" i="1" s="1"/>
  <c r="M93" i="2"/>
  <c r="M93" i="1" s="1"/>
  <c r="M95" i="2"/>
  <c r="M95" i="1" s="1"/>
  <c r="M92" i="2"/>
  <c r="M92" i="1" s="1"/>
  <c r="Y92" i="2"/>
  <c r="Y91" i="2"/>
  <c r="J204" i="2"/>
  <c r="J204" i="1" s="1"/>
  <c r="J201" i="2"/>
  <c r="J201" i="1" s="1"/>
  <c r="J203" i="2"/>
  <c r="J203" i="1" s="1"/>
  <c r="L195" i="2"/>
  <c r="L195" i="1" s="1"/>
  <c r="L196" i="2"/>
  <c r="L196" i="1" s="1"/>
  <c r="L194" i="2"/>
  <c r="L194" i="1" s="1"/>
  <c r="L197" i="2"/>
  <c r="L197" i="1" s="1"/>
  <c r="R191" i="2"/>
  <c r="R191" i="1" s="1"/>
  <c r="R190" i="2"/>
  <c r="R190" i="1" s="1"/>
  <c r="R189" i="2"/>
  <c r="R189" i="1" s="1"/>
  <c r="R192" i="2"/>
  <c r="R192" i="1" s="1"/>
  <c r="F69" i="2"/>
  <c r="F69" i="1" s="1"/>
  <c r="F70" i="2"/>
  <c r="F70" i="1" s="1"/>
  <c r="O64" i="2"/>
  <c r="O64" i="1" s="1"/>
  <c r="O63" i="2"/>
  <c r="O63" i="1" s="1"/>
  <c r="O65" i="2"/>
  <c r="O65" i="1" s="1"/>
  <c r="O66" i="2"/>
  <c r="O66" i="1" s="1"/>
  <c r="J66" i="2"/>
  <c r="J66" i="1" s="1"/>
  <c r="J67" i="2"/>
  <c r="J67" i="1" s="1"/>
  <c r="D59" i="2"/>
  <c r="D59" i="1" s="1"/>
  <c r="D58" i="2"/>
  <c r="D58" i="1" s="1"/>
  <c r="O51" i="2"/>
  <c r="O51" i="1" s="1"/>
  <c r="O50" i="2"/>
  <c r="O50" i="1" s="1"/>
  <c r="C149" i="2"/>
  <c r="C149" i="1" s="1"/>
  <c r="C152" i="2"/>
  <c r="C152" i="1" s="1"/>
  <c r="C151" i="2"/>
  <c r="C151" i="1" s="1"/>
  <c r="C150" i="2"/>
  <c r="C150" i="1" s="1"/>
  <c r="W33" i="2"/>
  <c r="W32" i="2"/>
  <c r="W31" i="2"/>
  <c r="W30" i="2"/>
  <c r="W139" i="2"/>
  <c r="W138" i="2"/>
  <c r="D22" i="2"/>
  <c r="D22" i="1" s="1"/>
  <c r="D21" i="2"/>
  <c r="D21" i="1" s="1"/>
  <c r="D20" i="2"/>
  <c r="D20" i="1" s="1"/>
  <c r="D23" i="2"/>
  <c r="D23" i="1" s="1"/>
  <c r="W126" i="2"/>
  <c r="W125" i="2"/>
  <c r="U145" i="2"/>
  <c r="U143" i="2"/>
  <c r="U146" i="2"/>
  <c r="U144" i="2"/>
  <c r="N85" i="2"/>
  <c r="N85" i="1" s="1"/>
  <c r="N88" i="2"/>
  <c r="N88" i="1" s="1"/>
  <c r="N87" i="2"/>
  <c r="N87" i="1" s="1"/>
  <c r="N86" i="2"/>
  <c r="N86" i="1" s="1"/>
  <c r="Y203" i="2"/>
  <c r="Y204" i="2"/>
  <c r="S83" i="2"/>
  <c r="S83" i="1" s="1"/>
  <c r="S80" i="2"/>
  <c r="S80" i="1" s="1"/>
  <c r="S82" i="2"/>
  <c r="S82" i="1" s="1"/>
  <c r="S81" i="2"/>
  <c r="S81" i="1" s="1"/>
  <c r="W80" i="2"/>
  <c r="W79" i="2"/>
  <c r="F75" i="2"/>
  <c r="F75" i="1" s="1"/>
  <c r="E183" i="2"/>
  <c r="E183" i="1" s="1"/>
  <c r="E182" i="2"/>
  <c r="E182" i="1" s="1"/>
  <c r="E180" i="2"/>
  <c r="E180" i="1" s="1"/>
  <c r="E181" i="2"/>
  <c r="E181" i="1" s="1"/>
  <c r="C180" i="2"/>
  <c r="C180" i="1" s="1"/>
  <c r="C179" i="2"/>
  <c r="C179" i="1" s="1"/>
  <c r="C178" i="2"/>
  <c r="C178" i="1" s="1"/>
  <c r="C181" i="2"/>
  <c r="C181" i="1" s="1"/>
  <c r="W63" i="2"/>
  <c r="W62" i="2"/>
  <c r="W61" i="2"/>
  <c r="C56" i="2"/>
  <c r="C56" i="1" s="1"/>
  <c r="C55" i="2"/>
  <c r="C55" i="1" s="1"/>
  <c r="C54" i="2"/>
  <c r="C54" i="1" s="1"/>
  <c r="C53" i="2"/>
  <c r="C53" i="1" s="1"/>
  <c r="C165" i="2"/>
  <c r="C165" i="1" s="1"/>
  <c r="C164" i="2"/>
  <c r="C164" i="1" s="1"/>
  <c r="C163" i="2"/>
  <c r="C163" i="1" s="1"/>
  <c r="C166" i="2"/>
  <c r="C166" i="1" s="1"/>
  <c r="W158" i="2"/>
  <c r="W157" i="2"/>
  <c r="W159" i="2"/>
  <c r="W160" i="2"/>
  <c r="W35" i="2"/>
  <c r="W34" i="2"/>
  <c r="O25" i="2"/>
  <c r="O20" i="2"/>
  <c r="O20" i="1" s="1"/>
  <c r="O19" i="2"/>
  <c r="O19" i="1" s="1"/>
  <c r="R13" i="2"/>
  <c r="R13" i="1" s="1"/>
  <c r="R15" i="2"/>
  <c r="R15" i="1" s="1"/>
  <c r="R12" i="2"/>
  <c r="R12" i="1" s="1"/>
  <c r="R14" i="2"/>
  <c r="R14" i="1" s="1"/>
  <c r="I226" i="2"/>
  <c r="I226" i="1" s="1"/>
  <c r="I223" i="2"/>
  <c r="I223" i="1" s="1"/>
  <c r="I225" i="2"/>
  <c r="I225" i="1" s="1"/>
  <c r="I224" i="2"/>
  <c r="I224" i="1" s="1"/>
  <c r="E54" i="2"/>
  <c r="E54" i="1" s="1"/>
  <c r="E53" i="2"/>
  <c r="E53" i="1" s="1"/>
  <c r="E52" i="2"/>
  <c r="E52" i="1" s="1"/>
  <c r="E51" i="2"/>
  <c r="E51" i="1" s="1"/>
  <c r="H79" i="2"/>
  <c r="H79" i="1" s="1"/>
  <c r="H78" i="2"/>
  <c r="H78" i="1" s="1"/>
  <c r="O88" i="2"/>
  <c r="O88" i="1" s="1"/>
  <c r="O87" i="2"/>
  <c r="O87" i="1" s="1"/>
  <c r="O86" i="2"/>
  <c r="O86" i="1" s="1"/>
  <c r="O89" i="2"/>
  <c r="O89" i="1" s="1"/>
  <c r="D13" i="2"/>
  <c r="D15" i="2"/>
  <c r="D15" i="1" s="1"/>
  <c r="D14" i="2"/>
  <c r="D14" i="1" s="1"/>
  <c r="D16" i="2"/>
  <c r="D1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000-000002000000}">
      <text>
        <r>
          <rPr>
            <sz val="10"/>
            <color rgb="FF000000"/>
            <rFont val="Arial"/>
            <family val="2"/>
          </rPr>
          <t>Tripadvisor</t>
        </r>
      </text>
    </comment>
    <comment ref="H1" authorId="0" shapeId="0" xr:uid="{00000000-0006-0000-00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1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1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1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3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3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3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  <comment ref="O21" authorId="0" shapeId="0" xr:uid="{00000000-0006-0000-0300-000004000000}">
      <text>
        <r>
          <rPr>
            <sz val="10"/>
            <color rgb="FF000000"/>
            <rFont val="Arial"/>
            <family val="2"/>
            <scheme val="minor"/>
          </rPr>
          <t>FY ends in June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400-000001000000}">
      <text>
        <r>
          <rPr>
            <sz val="10"/>
            <color rgb="FF000000"/>
            <rFont val="Arial"/>
            <family val="2"/>
          </rPr>
          <t>Trip.com Group</t>
        </r>
      </text>
    </comment>
    <comment ref="F1" authorId="0" shapeId="0" xr:uid="{00000000-0006-0000-04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4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500-000001000000}">
      <text>
        <r>
          <rPr>
            <sz val="10"/>
            <color rgb="FF000000"/>
            <rFont val="Arial"/>
            <family val="2"/>
          </rPr>
          <t>Trip.com Group</t>
        </r>
      </text>
    </comment>
    <comment ref="F1" authorId="0" shapeId="0" xr:uid="{00000000-0006-0000-0500-000002000000}">
      <text>
        <r>
          <rPr>
            <sz val="10"/>
            <color rgb="FF000000"/>
            <rFont val="Arial"/>
            <family val="2"/>
          </rPr>
          <t>Tripadvisor</t>
        </r>
      </text>
    </comment>
    <comment ref="H1" authorId="0" shapeId="0" xr:uid="{00000000-0006-0000-05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6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6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6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  <comment ref="O21" authorId="0" shapeId="0" xr:uid="{00000000-0006-0000-0600-000004000000}">
      <text>
        <r>
          <rPr>
            <sz val="10"/>
            <color rgb="FF000000"/>
            <rFont val="Arial"/>
            <family val="2"/>
            <scheme val="minor"/>
          </rPr>
          <t>FY ends in June</t>
        </r>
      </text>
    </comment>
    <comment ref="O136" authorId="0" shapeId="0" xr:uid="{00000000-0006-0000-0600-000005000000}">
      <text>
        <r>
          <rPr>
            <sz val="10"/>
            <color rgb="FF000000"/>
            <rFont val="Arial"/>
            <family val="2"/>
            <scheme val="minor"/>
          </rPr>
          <t>FY ends in June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7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7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7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  <comment ref="U9" authorId="0" shapeId="0" xr:uid="{00000000-0006-0000-0700-000004000000}">
      <text>
        <r>
          <rPr>
            <sz val="10"/>
            <color rgb="FF000000"/>
            <rFont val="Arial"/>
            <family val="2"/>
            <scheme val="minor"/>
          </rPr>
          <t>154mil from Orbitz Worldwide 10Ks</t>
        </r>
      </text>
    </comment>
    <comment ref="O26" authorId="0" shapeId="0" xr:uid="{00000000-0006-0000-0700-000005000000}">
      <text>
        <r>
          <rPr>
            <sz val="10"/>
            <color rgb="FF000000"/>
            <rFont val="Arial"/>
            <family val="2"/>
            <scheme val="minor"/>
          </rPr>
          <t>updated in June
	-Xiaoxiao (Tucker) Ma</t>
        </r>
      </text>
    </comment>
    <comment ref="O27" authorId="0" shapeId="0" xr:uid="{00000000-0006-0000-0700-000006000000}">
      <text>
        <r>
          <rPr>
            <sz val="10"/>
            <color rgb="FF000000"/>
            <rFont val="Arial"/>
            <family val="2"/>
            <scheme val="minor"/>
          </rPr>
          <t>updated in march
	-Xiaoxiao (Tucker) Ma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8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8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8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  <comment ref="U9" authorId="0" shapeId="0" xr:uid="{00000000-0006-0000-0800-000004000000}">
      <text>
        <r>
          <rPr>
            <sz val="10"/>
            <color rgb="FF000000"/>
            <rFont val="Arial"/>
            <family val="2"/>
            <scheme val="minor"/>
          </rPr>
          <t>-59m from Orbitz Worldwide's 10Ks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E1" authorId="0" shapeId="0" xr:uid="{00000000-0006-0000-0900-000001000000}">
      <text>
        <r>
          <rPr>
            <sz val="10"/>
            <color rgb="FF000000"/>
            <rFont val="Arial"/>
            <family val="2"/>
            <scheme val="minor"/>
          </rPr>
          <t>Trip.com Group</t>
        </r>
      </text>
    </comment>
    <comment ref="F1" authorId="0" shapeId="0" xr:uid="{00000000-0006-0000-0900-000002000000}">
      <text>
        <r>
          <rPr>
            <sz val="10"/>
            <color rgb="FF000000"/>
            <rFont val="Arial"/>
            <family val="2"/>
            <scheme val="minor"/>
          </rPr>
          <t>Tripadvisor</t>
        </r>
      </text>
    </comment>
    <comment ref="H1" authorId="0" shapeId="0" xr:uid="{00000000-0006-0000-0900-000003000000}">
      <text>
        <r>
          <rPr>
            <sz val="10"/>
            <color rgb="FF000000"/>
            <rFont val="Arial"/>
            <family val="2"/>
            <scheme val="minor"/>
          </rPr>
          <t>using EUR-to-USD conversation of 1.1  financial statement published in March annually</t>
        </r>
      </text>
    </comment>
  </commentList>
</comments>
</file>

<file path=xl/sharedStrings.xml><?xml version="1.0" encoding="utf-8"?>
<sst xmlns="http://schemas.openxmlformats.org/spreadsheetml/2006/main" count="4747" uniqueCount="444">
  <si>
    <t>ABNB</t>
  </si>
  <si>
    <t>BKNG</t>
  </si>
  <si>
    <t>EXPE</t>
  </si>
  <si>
    <t>TCOM</t>
  </si>
  <si>
    <t>TRIP</t>
  </si>
  <si>
    <t>TRVG</t>
  </si>
  <si>
    <t>EDR</t>
  </si>
  <si>
    <t>DESP</t>
  </si>
  <si>
    <t>MMYT</t>
  </si>
  <si>
    <t>Ixigo</t>
  </si>
  <si>
    <t>SEERA</t>
  </si>
  <si>
    <t>Almosafer</t>
  </si>
  <si>
    <t>Wego</t>
  </si>
  <si>
    <t>Webjet</t>
  </si>
  <si>
    <t>Webjet OTA</t>
  </si>
  <si>
    <t>Cleartrip Arabia</t>
  </si>
  <si>
    <t>LMN</t>
  </si>
  <si>
    <t>EaseMyTrip</t>
  </si>
  <si>
    <t>Yatra</t>
  </si>
  <si>
    <t>Orbitz</t>
  </si>
  <si>
    <t>Travelocity</t>
  </si>
  <si>
    <t>FLT</t>
  </si>
  <si>
    <t>Skyscanner</t>
  </si>
  <si>
    <t>Etraveli</t>
  </si>
  <si>
    <t>Kiwi</t>
  </si>
  <si>
    <t>Cleartrip</t>
  </si>
  <si>
    <t>Traveloka</t>
  </si>
  <si>
    <t>Revenue Growth YoY</t>
  </si>
  <si>
    <t>1997'Q1</t>
  </si>
  <si>
    <t>1997'Q2</t>
  </si>
  <si>
    <t>1997'Q3</t>
  </si>
  <si>
    <t>1997'Q4</t>
  </si>
  <si>
    <t>1998'Q1</t>
  </si>
  <si>
    <t>1998'Q2</t>
  </si>
  <si>
    <t>1998'Q3</t>
  </si>
  <si>
    <t>1998'Q4</t>
  </si>
  <si>
    <t>1999'Q1</t>
  </si>
  <si>
    <t>1999'Q2</t>
  </si>
  <si>
    <t>1999'Q3</t>
  </si>
  <si>
    <t>1999'Q4</t>
  </si>
  <si>
    <t>2000'Q1</t>
  </si>
  <si>
    <t>2000'Q2</t>
  </si>
  <si>
    <t>2000'Q3</t>
  </si>
  <si>
    <t>2000'Q4</t>
  </si>
  <si>
    <t>2001'Q1</t>
  </si>
  <si>
    <t>2001'Q2</t>
  </si>
  <si>
    <t>2001'Q3</t>
  </si>
  <si>
    <t>2001'Q4</t>
  </si>
  <si>
    <t>2002'Q1</t>
  </si>
  <si>
    <t>2002'Q2</t>
  </si>
  <si>
    <t>2002'Q3</t>
  </si>
  <si>
    <t>2002'Q4</t>
  </si>
  <si>
    <t>2003'Q1</t>
  </si>
  <si>
    <t>2003'Q2</t>
  </si>
  <si>
    <t>2003'Q3</t>
  </si>
  <si>
    <t>2003'Q4</t>
  </si>
  <si>
    <t>2004'Q1</t>
  </si>
  <si>
    <t>2004'Q2</t>
  </si>
  <si>
    <t>2004'Q3</t>
  </si>
  <si>
    <t>2004'Q4</t>
  </si>
  <si>
    <t>2005'Q1</t>
  </si>
  <si>
    <t>2005'Q2</t>
  </si>
  <si>
    <t>2005'Q3</t>
  </si>
  <si>
    <t>2005'Q4</t>
  </si>
  <si>
    <t>2006'Q1</t>
  </si>
  <si>
    <t>2006'Q2</t>
  </si>
  <si>
    <t>2006'Q3</t>
  </si>
  <si>
    <t>2006'Q4</t>
  </si>
  <si>
    <t>2007'Q1</t>
  </si>
  <si>
    <t>2007'Q2</t>
  </si>
  <si>
    <t>2007'Q3</t>
  </si>
  <si>
    <t>2007'Q4</t>
  </si>
  <si>
    <t>2008'Q1</t>
  </si>
  <si>
    <t>2008'Q2</t>
  </si>
  <si>
    <t>2008'Q3</t>
  </si>
  <si>
    <t>2008'Q4</t>
  </si>
  <si>
    <t>2009'Q1</t>
  </si>
  <si>
    <t>2009'Q2</t>
  </si>
  <si>
    <t>2009'Q3</t>
  </si>
  <si>
    <t>2009'Q4</t>
  </si>
  <si>
    <t>2010'Q1</t>
  </si>
  <si>
    <t>2010'Q2</t>
  </si>
  <si>
    <t>2010'Q3</t>
  </si>
  <si>
    <t>2010'Q4</t>
  </si>
  <si>
    <t>2011'Q1</t>
  </si>
  <si>
    <t>2011'Q2</t>
  </si>
  <si>
    <t>2011'Q3</t>
  </si>
  <si>
    <t>2011'Q4</t>
  </si>
  <si>
    <t>2012'Q1</t>
  </si>
  <si>
    <t>2012'Q2</t>
  </si>
  <si>
    <t>2012'Q3</t>
  </si>
  <si>
    <t>2012'Q4</t>
  </si>
  <si>
    <t>2013'Q1</t>
  </si>
  <si>
    <t>2013'Q2</t>
  </si>
  <si>
    <t>2013'Q3</t>
  </si>
  <si>
    <t>2013'Q4</t>
  </si>
  <si>
    <t>2014'Q1</t>
  </si>
  <si>
    <t>2014'Q2</t>
  </si>
  <si>
    <t>2014'Q3</t>
  </si>
  <si>
    <t>2014'Q4</t>
  </si>
  <si>
    <t>2015'Q1</t>
  </si>
  <si>
    <t>2015'Q2</t>
  </si>
  <si>
    <t>2015'Q3</t>
  </si>
  <si>
    <t>2015'Q4</t>
  </si>
  <si>
    <t>2016'Q1</t>
  </si>
  <si>
    <t>2016'Q2</t>
  </si>
  <si>
    <t>2016'Q3</t>
  </si>
  <si>
    <t>2016'Q4</t>
  </si>
  <si>
    <t>2017'Q1</t>
  </si>
  <si>
    <t>2017'Q2</t>
  </si>
  <si>
    <t>2017'Q3</t>
  </si>
  <si>
    <t>2017'Q4</t>
  </si>
  <si>
    <t>2018'Q1</t>
  </si>
  <si>
    <t>2018'Q2</t>
  </si>
  <si>
    <t>2018'Q3</t>
  </si>
  <si>
    <t>2018'Q4</t>
  </si>
  <si>
    <t>2019'Q1</t>
  </si>
  <si>
    <t>2019'Q2</t>
  </si>
  <si>
    <t>2019'Q3</t>
  </si>
  <si>
    <t>2019'Q4</t>
  </si>
  <si>
    <t>2020'Q1</t>
  </si>
  <si>
    <t>2020'Q2</t>
  </si>
  <si>
    <t>2020'Q3</t>
  </si>
  <si>
    <t>2020'Q4</t>
  </si>
  <si>
    <t>2021'Q1</t>
  </si>
  <si>
    <t>2021'Q2</t>
  </si>
  <si>
    <t>2021'Q3</t>
  </si>
  <si>
    <t>2021'Q4</t>
  </si>
  <si>
    <t>2022'Q1</t>
  </si>
  <si>
    <t>2022'Q2</t>
  </si>
  <si>
    <t>2022'Q3</t>
  </si>
  <si>
    <t>2022'Q4</t>
  </si>
  <si>
    <t>2023'Q1</t>
  </si>
  <si>
    <t>2023'Q2</t>
  </si>
  <si>
    <t>2023'Q3</t>
  </si>
  <si>
    <t>2023'Q4</t>
  </si>
  <si>
    <t>2024'Q1</t>
  </si>
  <si>
    <t>2024'Q2</t>
  </si>
  <si>
    <t>2024'Q3</t>
  </si>
  <si>
    <t>2024'Q4</t>
  </si>
  <si>
    <t>EBITDA Margin</t>
  </si>
  <si>
    <t>Month</t>
  </si>
  <si>
    <t>Comment</t>
  </si>
  <si>
    <t>Year</t>
  </si>
  <si>
    <t>Count</t>
  </si>
  <si>
    <t>Global Timeline</t>
  </si>
  <si>
    <t>Years</t>
  </si>
  <si>
    <t>Flags</t>
  </si>
  <si>
    <t>Mar'1999</t>
  </si>
  <si>
    <t>Priceline.com lists on NASDAQ 🇺🇸</t>
  </si>
  <si>
    <t>Dot-com bubble</t>
  </si>
  <si>
    <t>'97-'02</t>
  </si>
  <si>
    <t>🇺🇸🇪🇺🇨🇭🇮🇳🇨🇳🇭🇰🇬🇧🇦🇺🇸🇦🇪🇸</t>
  </si>
  <si>
    <t>Nov'1999</t>
  </si>
  <si>
    <t>Expedia lists on NASDAQ 🇺🇸</t>
  </si>
  <si>
    <t>Dot-com recovery</t>
  </si>
  <si>
    <t>'03-'07</t>
  </si>
  <si>
    <t>Mar'2000</t>
  </si>
  <si>
    <r>
      <rPr>
        <u/>
        <sz val="10"/>
        <color rgb="FF1155CC"/>
        <rFont val="Courier New"/>
        <family val="1"/>
      </rPr>
      <t>Lastminute.com</t>
    </r>
    <r>
      <rPr>
        <sz val="10"/>
        <rFont val="Courier New"/>
        <family val="1"/>
      </rPr>
      <t xml:space="preserve"> lists on LSE 🇪🇺</t>
    </r>
  </si>
  <si>
    <t>Great Recession</t>
  </si>
  <si>
    <t>'08-'09</t>
  </si>
  <si>
    <t>Sabre Holdings merges Travelocity with Preview Travel🇺🇸, owns 70%</t>
  </si>
  <si>
    <t>Rise of smartphones</t>
  </si>
  <si>
    <t>'10-'19</t>
  </si>
  <si>
    <t>Dot-com bubble. NASDAQ peaks in Mar'2000 before falling 78% by Oct'2002</t>
  </si>
  <si>
    <t>COVID-19 pandemic</t>
  </si>
  <si>
    <t>'20-'21</t>
  </si>
  <si>
    <t>May'2000</t>
  </si>
  <si>
    <t>Webjet lists on ASX 🇦🇺</t>
  </si>
  <si>
    <t>Post-pandemic rebound</t>
  </si>
  <si>
    <t>'22-'23</t>
  </si>
  <si>
    <t>Jun'2000</t>
  </si>
  <si>
    <r>
      <rPr>
        <u/>
        <sz val="10"/>
        <color rgb="FF1155CC"/>
        <rFont val="Courier New"/>
        <family val="1"/>
      </rPr>
      <t>Bookings.nl</t>
    </r>
    <r>
      <rPr>
        <sz val="10"/>
        <rFont val="Courier New"/>
        <family val="1"/>
      </rPr>
      <t xml:space="preserve"> merges with Bookings Online, forming </t>
    </r>
    <r>
      <rPr>
        <u/>
        <sz val="10"/>
        <color rgb="FF1155CC"/>
        <rFont val="Courier New"/>
        <family val="1"/>
      </rPr>
      <t>Booking.com</t>
    </r>
  </si>
  <si>
    <t>Present</t>
  </si>
  <si>
    <t>'24 - present</t>
  </si>
  <si>
    <t>Jun'2001</t>
  </si>
  <si>
    <t>Expedia acquires Hotels.com 🇺🇸</t>
  </si>
  <si>
    <t>Missing financials:</t>
  </si>
  <si>
    <t>Sep'2001</t>
  </si>
  <si>
    <t>9/11 Terrorist attack. 20% cutback in air capacity in North America</t>
  </si>
  <si>
    <t>Mar'2002</t>
  </si>
  <si>
    <t>Sabre Holdings reacquires Travelocity's outstanding shares</t>
  </si>
  <si>
    <t>Orbitz LLC (2003 - 2004)</t>
  </si>
  <si>
    <t>ORBITZ LLC (CIK 0001127319)</t>
  </si>
  <si>
    <t>Dec'2003</t>
  </si>
  <si>
    <t>Ctrip lists on NASDAQ 🇨🇳</t>
  </si>
  <si>
    <t>Orbitz Worldwide (2007-2015</t>
  </si>
  <si>
    <t>Orbitz Worldwide, Inc. (CIK 0001394159)</t>
  </si>
  <si>
    <t>Orbitz lists on NYSE 🇺🇸</t>
  </si>
  <si>
    <t>Travelocity (2000-2002)</t>
  </si>
  <si>
    <t>TRAVELOCITY COM INC (CIK 0001104172)</t>
  </si>
  <si>
    <t>Sep'2004</t>
  </si>
  <si>
    <t>Orbitz taken private by Cendant Corp</t>
  </si>
  <si>
    <t>Lastminute (2000-2005)</t>
  </si>
  <si>
    <t>LASTMINUTE COM PLC (CIK 0001108034)</t>
  </si>
  <si>
    <t>(year ends 30 Sept)</t>
  </si>
  <si>
    <t>BvD ID: GB03852152  Orbis ID: 004940235</t>
  </si>
  <si>
    <t>renamed to Laser Holding Limited</t>
  </si>
  <si>
    <t>Priceline.com acquires Active Hotels for $160mil</t>
  </si>
  <si>
    <t>May'2005</t>
  </si>
  <si>
    <r>
      <rPr>
        <sz val="10"/>
        <rFont val="Courier New"/>
        <family val="1"/>
      </rPr>
      <t xml:space="preserve">Sabre Holdings-owned Travelocity takes </t>
    </r>
    <r>
      <rPr>
        <u/>
        <sz val="10"/>
        <color rgb="FF1155CC"/>
        <rFont val="Courier New"/>
        <family val="1"/>
      </rPr>
      <t>lastminute.com</t>
    </r>
    <r>
      <rPr>
        <sz val="10"/>
        <rFont val="Courier New"/>
        <family val="1"/>
      </rPr>
      <t xml:space="preserve"> private for $1.1bn</t>
    </r>
  </si>
  <si>
    <t>Jul'2005</t>
  </si>
  <si>
    <t>Priceline.com acquires Booking.com for $133mil, merging it with Active Hotels</t>
  </si>
  <si>
    <t>Aug'2006</t>
  </si>
  <si>
    <t>Cendant Corp sell Orbitz to Blackstone Group as part of Travelport deal</t>
  </si>
  <si>
    <t>Mar'2007</t>
  </si>
  <si>
    <t>Sabre Holdings taken private by TPG &amp; Silver Lake Partners</t>
  </si>
  <si>
    <t>Jul'2007</t>
  </si>
  <si>
    <t>Orbitz lists on NYSE for the second time 🇺🇸</t>
  </si>
  <si>
    <t>Jan'2008</t>
  </si>
  <si>
    <t>The US housing bubble leads to the Great Recession (2008-2009)</t>
  </si>
  <si>
    <t>Jul'2010</t>
  </si>
  <si>
    <t>ITA Software accepts $700mil acquisition bid by Google</t>
  </si>
  <si>
    <t>Aug'2010</t>
  </si>
  <si>
    <t>MakeMyTrip lists on NASDAQ 🇮🇳</t>
  </si>
  <si>
    <t>Apr'2011</t>
  </si>
  <si>
    <t>US DoJ approves Google's acquisition of ITA Software, Google enters travel</t>
  </si>
  <si>
    <t>Jun'2011</t>
  </si>
  <si>
    <t>eDreams, GO Voyages and Opodo merge, forming eDreams ODIGEO 🇪🇺</t>
  </si>
  <si>
    <t>Dec'2011</t>
  </si>
  <si>
    <t>Expedia spins off Tripadvisor, listing it on NASDAQ 🇺🇸</t>
  </si>
  <si>
    <t>Apr'2012</t>
  </si>
  <si>
    <t>Al Tayyar Travel lists on Saudi Stock Exchange 🇸🇦</t>
  </si>
  <si>
    <t>Sep'2012</t>
  </si>
  <si>
    <t>Traveloka starts as a metasearch, quickly pivots to an OTA model 🇮🇩</t>
  </si>
  <si>
    <t xml:space="preserve">Missing: </t>
  </si>
  <si>
    <t>Dec'2012</t>
  </si>
  <si>
    <t>Expedia Group acquires 62% of Trivago</t>
  </si>
  <si>
    <t>May'2013</t>
  </si>
  <si>
    <r>
      <rPr>
        <u/>
        <sz val="10"/>
        <color rgb="FF1155CC"/>
        <rFont val="Courier New"/>
        <family val="1"/>
      </rPr>
      <t>Priceline.com</t>
    </r>
    <r>
      <rPr>
        <sz val="10"/>
        <rFont val="Courier New"/>
        <family val="1"/>
      </rPr>
      <t xml:space="preserve"> acquires Kayak for $1.8bn</t>
    </r>
  </si>
  <si>
    <t>Apr'2014</t>
  </si>
  <si>
    <t>eDreams ODIGEO lists on Madrid Stock Exchange 🇪🇺</t>
  </si>
  <si>
    <t>Bravofly Rumbo lists on SIX Swiss Echange🇨🇭</t>
  </si>
  <si>
    <r>
      <rPr>
        <u/>
        <sz val="10"/>
        <color rgb="FF1155CC"/>
        <rFont val="Courier New"/>
        <family val="1"/>
      </rPr>
      <t>Priceline.com</t>
    </r>
    <r>
      <rPr>
        <sz val="10"/>
        <rFont val="Courier New"/>
        <family val="1"/>
      </rPr>
      <t xml:space="preserve"> rebrands as The Priceline Group</t>
    </r>
  </si>
  <si>
    <t>Dec'2014</t>
  </si>
  <si>
    <t>Travelocity sells lastminute.com to Bravofly Rumbo</t>
  </si>
  <si>
    <t>Aug'2014</t>
  </si>
  <si>
    <t>ixigo expands to trains</t>
  </si>
  <si>
    <t>Feb'2015</t>
  </si>
  <si>
    <t>Expedia Group acquires Orbitz for $1.6bn &amp; Travelocity for $280mil</t>
  </si>
  <si>
    <t>Mar'2015</t>
  </si>
  <si>
    <t>Edreams ODIGEO faces post-IPO challenges. New CEO restructures the company. Subscriptions launched in 2017</t>
  </si>
  <si>
    <t>May'2015</t>
  </si>
  <si>
    <t>Bravofly Rumbo rebrands as Lastminute Group</t>
  </si>
  <si>
    <t>Oct'2015</t>
  </si>
  <si>
    <t>ProSiebenSat.1 acquires Etraveli for €235mil</t>
  </si>
  <si>
    <t>Nov'2015</t>
  </si>
  <si>
    <t>Expedia Group acquires HomeAway and VRBO for $3.9bn</t>
  </si>
  <si>
    <t>Nov'2016</t>
  </si>
  <si>
    <t>Ctrip acquires Skyscanner for £1.4bn</t>
  </si>
  <si>
    <t>May'2016</t>
  </si>
  <si>
    <r>
      <rPr>
        <sz val="10"/>
        <rFont val="Courier New"/>
        <family val="1"/>
      </rPr>
      <t xml:space="preserve">Skypicker rebrands to </t>
    </r>
    <r>
      <rPr>
        <u/>
        <sz val="10"/>
        <color rgb="FF1155CC"/>
        <rFont val="Courier New"/>
        <family val="1"/>
      </rPr>
      <t>Kiwi.com</t>
    </r>
    <r>
      <rPr>
        <sz val="10"/>
        <rFont val="Courier New"/>
        <family val="1"/>
      </rPr>
      <t xml:space="preserve"> </t>
    </r>
  </si>
  <si>
    <t>Sep'2016</t>
  </si>
  <si>
    <t>Google launches Google Trips</t>
  </si>
  <si>
    <t>Oct'2016</t>
  </si>
  <si>
    <t>Yatra lists on NASDAQ 🇮🇳</t>
  </si>
  <si>
    <t>Dec'2016</t>
  </si>
  <si>
    <t>Trivago lists on NASDAQ 🇪🇺 Expedia maintains majority ownership</t>
  </si>
  <si>
    <t>Jun'2017</t>
  </si>
  <si>
    <t>CVC Capital Partners acquires Etraveli for €508mil</t>
  </si>
  <si>
    <r>
      <rPr>
        <u/>
        <sz val="10"/>
        <color rgb="FF1155CC"/>
        <rFont val="Courier New"/>
        <family val="1"/>
      </rPr>
      <t>Booking.com</t>
    </r>
    <r>
      <rPr>
        <sz val="10"/>
        <rFont val="Courier New"/>
        <family val="1"/>
      </rPr>
      <t xml:space="preserve"> pulls out of Trivago. Trivago shares drop 80% in the next 12 months</t>
    </r>
  </si>
  <si>
    <t>Jul'2017</t>
  </si>
  <si>
    <t>Expedia leads $350mil Series C funding for Traveloka</t>
  </si>
  <si>
    <t>Sep'2017</t>
  </si>
  <si>
    <t>Despegar lists on NASDAQ</t>
  </si>
  <si>
    <t>Feb'2018</t>
  </si>
  <si>
    <t>The Priceline Group rebrands to Booking Holdings</t>
  </si>
  <si>
    <t>Nov'2018</t>
  </si>
  <si>
    <t>Webjet acquires Destinations of the World, boosting its bedbank business</t>
  </si>
  <si>
    <t>Mar'2019</t>
  </si>
  <si>
    <t>Airbnb acquires HotelTonight for $400m</t>
  </si>
  <si>
    <t>Apr'2019</t>
  </si>
  <si>
    <t>Al Tayyar Travel rebrands as SEERA Group</t>
  </si>
  <si>
    <t>May'2019</t>
  </si>
  <si>
    <t>Google consolidates Flights, Hotel Finder &amp; Trips products under one interface</t>
  </si>
  <si>
    <t>Aug'2019</t>
  </si>
  <si>
    <t>Google sunsets Trips app</t>
  </si>
  <si>
    <t>Sep'2019</t>
  </si>
  <si>
    <r>
      <rPr>
        <sz val="10"/>
        <rFont val="Courier New"/>
        <family val="1"/>
      </rPr>
      <t xml:space="preserve">Ctrip rebrands as </t>
    </r>
    <r>
      <rPr>
        <u/>
        <sz val="10"/>
        <color rgb="FF1155CC"/>
        <rFont val="Courier New"/>
        <family val="1"/>
      </rPr>
      <t>Trip.com</t>
    </r>
    <r>
      <rPr>
        <sz val="10"/>
        <rFont val="Courier New"/>
        <family val="1"/>
      </rPr>
      <t xml:space="preserve"> Group</t>
    </r>
  </si>
  <si>
    <t>Feb'2020</t>
  </si>
  <si>
    <t>Start of COVID-19 pandemic. Severe travel restrictions worldwide (2000-2002)</t>
  </si>
  <si>
    <t>Dec'2020</t>
  </si>
  <si>
    <t>Airbnb lists on NASDAQ 🇺🇸</t>
  </si>
  <si>
    <t>Mar'2021</t>
  </si>
  <si>
    <t>EaseMyTrip lists on Bombay Stock Exchange 🇮🇳</t>
  </si>
  <si>
    <t>Nov'2021</t>
  </si>
  <si>
    <t>Etraveli Group accepts Booking Holdings' €1.6bn takeover bid 🇪🇺</t>
  </si>
  <si>
    <t>Sep'2023</t>
  </si>
  <si>
    <t>EC blocks Booking Holdings-Etraveli merger 🇪🇺</t>
  </si>
  <si>
    <t>May'2024</t>
  </si>
  <si>
    <t>EC designates Booking Holdings, Google Shopping a 'gatekeeper' status</t>
  </si>
  <si>
    <t>Jun'2024</t>
  </si>
  <si>
    <t>ixigo lists on Bombay Stock Exchange 🇮🇳</t>
  </si>
  <si>
    <t>Aug'2024</t>
  </si>
  <si>
    <t>US DoJ rules Google a monopoly in search and advertising</t>
  </si>
  <si>
    <t>Sep'2024</t>
  </si>
  <si>
    <t>Webjet's demerger splits its wholesale and consumer business</t>
  </si>
  <si>
    <t>Other notable events (won't be showing these)</t>
  </si>
  <si>
    <r>
      <rPr>
        <u/>
        <sz val="10"/>
        <color rgb="FF1155CC"/>
        <rFont val="Open Sans"/>
      </rPr>
      <t>Charter.se</t>
    </r>
    <r>
      <rPr>
        <sz val="10"/>
        <rFont val="Open Sans"/>
      </rPr>
      <t xml:space="preserve"> rebrands to Etraveli</t>
    </r>
  </si>
  <si>
    <t>Rentalcars acquired by Priceline</t>
  </si>
  <si>
    <t>OpenTable acquired by Priceline</t>
  </si>
  <si>
    <t>TheForm acquired by TripAdvisor</t>
  </si>
  <si>
    <t>Mar'2014</t>
  </si>
  <si>
    <t>American Express divests travel division forming Amex GBT</t>
  </si>
  <si>
    <t>SAP acquires Concur for 8.3bn</t>
  </si>
  <si>
    <t>Amex GBT acquires KDS and SMT</t>
  </si>
  <si>
    <t>Concur acquires Hipmunk</t>
  </si>
  <si>
    <t>Viajar acquired by Despegar</t>
  </si>
  <si>
    <t>Amex GBT acquires HRG</t>
  </si>
  <si>
    <t>Musement acquired by GetYourGuide</t>
  </si>
  <si>
    <t>Amex GBT acquires Kanoo Travel and DER</t>
  </si>
  <si>
    <t>Jan'2021</t>
  </si>
  <si>
    <t>TripActions valuation reaches $5bn</t>
  </si>
  <si>
    <t>Apr'2021</t>
  </si>
  <si>
    <t>TravelPerk valuation reaches $1bn</t>
  </si>
  <si>
    <t>May'2021</t>
  </si>
  <si>
    <t>Amex GBT acquires Egencia from Expedia</t>
  </si>
  <si>
    <t>Feb'2023</t>
  </si>
  <si>
    <t>TripActions rebrands to Navan</t>
  </si>
  <si>
    <t>Mar'2024</t>
  </si>
  <si>
    <t>Amex GBT acquires CWT</t>
  </si>
  <si>
    <t>Revenue</t>
  </si>
  <si>
    <t>EBITDA</t>
  </si>
  <si>
    <r>
      <rPr>
        <b/>
        <sz val="10"/>
        <color theme="1"/>
        <rFont val="Open Sans"/>
      </rPr>
      <t xml:space="preserve">MMYT
</t>
    </r>
    <r>
      <rPr>
        <sz val="10"/>
        <color theme="1"/>
        <rFont val="Open Sans"/>
      </rPr>
      <t>FY ends in 'Mar</t>
    </r>
  </si>
  <si>
    <r>
      <rPr>
        <b/>
        <sz val="10"/>
        <color rgb="FF0000FF"/>
        <rFont val="Open Sans"/>
      </rPr>
      <t xml:space="preserve">Ixigo
</t>
    </r>
    <r>
      <rPr>
        <sz val="10"/>
        <color rgb="FF000000"/>
        <rFont val="Open Sans"/>
      </rPr>
      <t>FY ends in 'Mar</t>
    </r>
  </si>
  <si>
    <r>
      <rPr>
        <b/>
        <sz val="10"/>
        <color theme="1"/>
        <rFont val="Open Sans"/>
      </rPr>
      <t xml:space="preserve">Webjet
</t>
    </r>
    <r>
      <rPr>
        <sz val="10"/>
        <color theme="1"/>
        <rFont val="Open Sans"/>
      </rPr>
      <t>FY ends in June until '21</t>
    </r>
  </si>
  <si>
    <r>
      <rPr>
        <b/>
        <sz val="10"/>
        <color rgb="FF0000FF"/>
        <rFont val="Open Sans"/>
      </rPr>
      <t xml:space="preserve">EaseMyTrip
</t>
    </r>
    <r>
      <rPr>
        <sz val="10"/>
        <color rgb="FF000000"/>
        <rFont val="Open Sans"/>
      </rPr>
      <t>FY ends in 'Mar</t>
    </r>
  </si>
  <si>
    <r>
      <rPr>
        <b/>
        <sz val="10"/>
        <color theme="1"/>
        <rFont val="Open Sans"/>
      </rPr>
      <t xml:space="preserve">Yatra
</t>
    </r>
    <r>
      <rPr>
        <sz val="10"/>
        <color theme="1"/>
        <rFont val="Open Sans"/>
      </rPr>
      <t>FY ends in 'Mar</t>
    </r>
  </si>
  <si>
    <t>n.a.</t>
  </si>
  <si>
    <t>Cleartrip ME &amp; Flyin</t>
  </si>
  <si>
    <t>2020</t>
  </si>
  <si>
    <t>EBITDA Margin (%)</t>
  </si>
  <si>
    <t>Company</t>
  </si>
  <si>
    <t>Revenue Growth (%)</t>
  </si>
  <si>
    <t>Q1'1997</t>
  </si>
  <si>
    <t>Q2'1997</t>
  </si>
  <si>
    <t>Q3'1997</t>
  </si>
  <si>
    <t>Q4'1997</t>
  </si>
  <si>
    <t>Q1'1998</t>
  </si>
  <si>
    <t>Q2'1998</t>
  </si>
  <si>
    <t>Q3'1998</t>
  </si>
  <si>
    <t>Q4'1998</t>
  </si>
  <si>
    <t>Q1'1999</t>
  </si>
  <si>
    <t>Q2'1999</t>
  </si>
  <si>
    <t>Q3'1999</t>
  </si>
  <si>
    <t>Q4'1999</t>
  </si>
  <si>
    <t>Q1'2000</t>
  </si>
  <si>
    <t>Q2'2000</t>
  </si>
  <si>
    <t>Q3'2000</t>
  </si>
  <si>
    <t>Q4'2000</t>
  </si>
  <si>
    <t>Q1'2001</t>
  </si>
  <si>
    <t>Q2'2001</t>
  </si>
  <si>
    <t>Q3'2001</t>
  </si>
  <si>
    <t>Q4'2001</t>
  </si>
  <si>
    <t>Q1'2002</t>
  </si>
  <si>
    <t>Q2'2002</t>
  </si>
  <si>
    <t>Q3'2002</t>
  </si>
  <si>
    <t>Q4'2002</t>
  </si>
  <si>
    <t>Q1'2003</t>
  </si>
  <si>
    <t>Q2'2003</t>
  </si>
  <si>
    <t>Q3'2003</t>
  </si>
  <si>
    <t>Q4'2003</t>
  </si>
  <si>
    <t>Q1'2004</t>
  </si>
  <si>
    <t>Q2'2004</t>
  </si>
  <si>
    <t>Q3'2004</t>
  </si>
  <si>
    <t>Q4'2004</t>
  </si>
  <si>
    <t>Q1'2005</t>
  </si>
  <si>
    <t>Q2'2005</t>
  </si>
  <si>
    <t>Q3'2005</t>
  </si>
  <si>
    <t>Q4'2005</t>
  </si>
  <si>
    <t>Q1'2006</t>
  </si>
  <si>
    <t>Q2'2006</t>
  </si>
  <si>
    <t>Q3'2006</t>
  </si>
  <si>
    <t>Q4'2006</t>
  </si>
  <si>
    <t>Q1'2007</t>
  </si>
  <si>
    <t>Q2'2007</t>
  </si>
  <si>
    <t>Q3'2007</t>
  </si>
  <si>
    <t>Q4'2007</t>
  </si>
  <si>
    <t>Q1'2008</t>
  </si>
  <si>
    <t>Q2'2008</t>
  </si>
  <si>
    <t>Q3'2008</t>
  </si>
  <si>
    <t>Q4'2008</t>
  </si>
  <si>
    <t>Q1'2009</t>
  </si>
  <si>
    <t>Q2'2009</t>
  </si>
  <si>
    <t>Q3'2009</t>
  </si>
  <si>
    <t>Q4'2009</t>
  </si>
  <si>
    <t>Q1'2010</t>
  </si>
  <si>
    <t>Q2'2010</t>
  </si>
  <si>
    <t>Q3'2010</t>
  </si>
  <si>
    <t>Q4'2010</t>
  </si>
  <si>
    <t>Q1'2011</t>
  </si>
  <si>
    <t>Q2'2011</t>
  </si>
  <si>
    <t>Q3'2011</t>
  </si>
  <si>
    <t>Q4'2011</t>
  </si>
  <si>
    <t>Q1'2012</t>
  </si>
  <si>
    <t>Q2'2012</t>
  </si>
  <si>
    <t>Q3'2012</t>
  </si>
  <si>
    <t>Q4'2012</t>
  </si>
  <si>
    <t>Q1'2013</t>
  </si>
  <si>
    <t>Q2'2013</t>
  </si>
  <si>
    <t>Q3'2013</t>
  </si>
  <si>
    <t>Q4'2013</t>
  </si>
  <si>
    <t>Q1'2014</t>
  </si>
  <si>
    <t>Q2'2014</t>
  </si>
  <si>
    <t>Q3'2014</t>
  </si>
  <si>
    <t>Q4'2014</t>
  </si>
  <si>
    <t>Q1'2015</t>
  </si>
  <si>
    <t>Q2'2015</t>
  </si>
  <si>
    <t>Q3'2015</t>
  </si>
  <si>
    <t>Q4'2015</t>
  </si>
  <si>
    <t>Q1'2016</t>
  </si>
  <si>
    <t>Q2'2016</t>
  </si>
  <si>
    <t>Q3'2016</t>
  </si>
  <si>
    <t>Q4'2016</t>
  </si>
  <si>
    <t>Q1'2017</t>
  </si>
  <si>
    <t>Q2'2017</t>
  </si>
  <si>
    <t>Q3'2017</t>
  </si>
  <si>
    <t>Q4'2017</t>
  </si>
  <si>
    <t>Q1'2018</t>
  </si>
  <si>
    <t>Q2'2018</t>
  </si>
  <si>
    <t>Q3'2018</t>
  </si>
  <si>
    <t>Q4'2018</t>
  </si>
  <si>
    <t>Q1'2019</t>
  </si>
  <si>
    <t>Q2'2019</t>
  </si>
  <si>
    <t>Q3'2019</t>
  </si>
  <si>
    <t>Q4'2019</t>
  </si>
  <si>
    <t>Q1'2020</t>
  </si>
  <si>
    <t>Q2'2020</t>
  </si>
  <si>
    <t>Q3'2020</t>
  </si>
  <si>
    <t>Q4'2020</t>
  </si>
  <si>
    <t>Q1'2021</t>
  </si>
  <si>
    <t>Q2'2021</t>
  </si>
  <si>
    <t>Q3'2021</t>
  </si>
  <si>
    <t>Q4'2021</t>
  </si>
  <si>
    <t>Q1'2022</t>
  </si>
  <si>
    <t>Q2'2022</t>
  </si>
  <si>
    <t>Q3'2022</t>
  </si>
  <si>
    <t>Q4'2022</t>
  </si>
  <si>
    <t>Q1'2023</t>
  </si>
  <si>
    <t>Q2'2023</t>
  </si>
  <si>
    <t>Q3'2023</t>
  </si>
  <si>
    <t>Q4'2023</t>
  </si>
  <si>
    <t>Q1'2024</t>
  </si>
  <si>
    <t>Q2'2024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</si>
</sst>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164" formatCode="0.0%"/>
    <numFmt numFmtId="165" formatCode="\$#,##0.0,\ "/>
    <numFmt numFmtId="166" formatCode="\$#,##0,\ "/>
    <numFmt numFmtId="167" formatCode="\$#,##0.00,\ "/>
    <numFmt numFmtId="168" formatCode="&quot;$&quot;#,##0"/>
    <numFmt numFmtId="169" formatCode="&quot;$&quot;#,##0.0"/>
    <numFmt numFmtId="170" formatCode="0.0"/>
    <numFmt numFmtId="171" formatCode="\$#,##0.000,\ "/>
    <numFmt numFmtId="172" formatCode="\$#,##0.0000000000,\ "/>
    <numFmt numFmtId="173" formatCode="&quot;$&quot;#,##0.00"/>
    <numFmt numFmtId="174" formatCode="#,##0,\ &quot;M&quot;"/>
  </numFmts>
  <fonts count="24">
    <font>
      <sz val="10"/>
      <color rgb="FF000000"/>
      <name val="Arial"/>
      <scheme val="minor"/>
    </font>
    <font>
      <b/>
      <sz val="10"/>
      <color rgb="FF0000FF"/>
      <name val="Open Sans"/>
    </font>
    <font>
      <b/>
      <sz val="10"/>
      <color theme="1"/>
      <name val="Open Sans"/>
    </font>
    <font>
      <b/>
      <sz val="10"/>
      <color rgb="FF000000"/>
      <name val="Open Sans"/>
    </font>
    <font>
      <b/>
      <sz val="10"/>
      <color rgb="FF274E13"/>
      <name val="Open Sans"/>
    </font>
    <font>
      <sz val="10"/>
      <color theme="1"/>
      <name val="Open Sans"/>
    </font>
    <font>
      <sz val="10"/>
      <color theme="1"/>
      <name val="Courier New"/>
      <family val="1"/>
    </font>
    <font>
      <u/>
      <sz val="10"/>
      <color rgb="FF0000FF"/>
      <name val="Courier New"/>
      <family val="1"/>
    </font>
    <font>
      <sz val="10"/>
      <color rgb="FF333333"/>
      <name val="Inherit"/>
    </font>
    <font>
      <sz val="10"/>
      <name val="Arial"/>
      <family val="2"/>
    </font>
    <font>
      <sz val="10"/>
      <color rgb="FF333333"/>
      <name val="&quot;Open Sans&quot;"/>
    </font>
    <font>
      <u/>
      <sz val="10"/>
      <color rgb="FF0000FF"/>
      <name val="Open Sans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FF00FF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rgb="FF999999"/>
      <name val="Open Sans"/>
    </font>
    <font>
      <sz val="12"/>
      <color rgb="FF000000"/>
      <name val="Calibri"/>
      <family val="2"/>
    </font>
    <font>
      <u/>
      <sz val="10"/>
      <color rgb="FF1155CC"/>
      <name val="Courier New"/>
      <family val="1"/>
    </font>
    <font>
      <sz val="10"/>
      <name val="Courier New"/>
      <family val="1"/>
    </font>
    <font>
      <u/>
      <sz val="10"/>
      <color rgb="FF1155CC"/>
      <name val="Open Sans"/>
    </font>
    <font>
      <sz val="10"/>
      <name val="Open Sans"/>
    </font>
    <font>
      <sz val="10"/>
      <color rgb="FF000000"/>
      <name val="Open Sans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00FF"/>
        <bgColor rgb="FFFF00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 style="thin">
        <color rgb="FFD6DDE4"/>
      </top>
      <bottom style="thin">
        <color rgb="FFFFFFFF"/>
      </bottom>
      <diagonal/>
    </border>
    <border>
      <left/>
      <right style="thin">
        <color rgb="FFFFFFFF"/>
      </right>
      <top style="thin">
        <color rgb="FFD6DDE4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5" fillId="0" borderId="1" xfId="0" applyFont="1" applyBorder="1"/>
    <xf numFmtId="0" fontId="2" fillId="0" borderId="1" xfId="0" applyFont="1" applyBorder="1" applyAlignment="1">
      <alignment horizontal="center" wrapText="1"/>
    </xf>
    <xf numFmtId="9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9" fontId="5" fillId="0" borderId="1" xfId="0" applyNumberFormat="1" applyFont="1" applyBorder="1"/>
    <xf numFmtId="164" fontId="5" fillId="0" borderId="1" xfId="0" applyNumberFormat="1" applyFont="1" applyBorder="1" applyAlignment="1">
      <alignment horizontal="center"/>
    </xf>
    <xf numFmtId="0" fontId="2" fillId="0" borderId="1" xfId="0" applyFont="1" applyBorder="1" applyAlignment="1">
      <alignment horizontal="left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/>
    </xf>
    <xf numFmtId="0" fontId="6" fillId="0" borderId="1" xfId="0" quotePrefix="1" applyFont="1" applyBorder="1"/>
    <xf numFmtId="0" fontId="7" fillId="0" borderId="1" xfId="0" applyFont="1" applyBorder="1"/>
    <xf numFmtId="0" fontId="2" fillId="0" borderId="1" xfId="0" applyFont="1" applyBorder="1"/>
    <xf numFmtId="0" fontId="6" fillId="0" borderId="1" xfId="0" applyFont="1" applyBorder="1" applyAlignment="1">
      <alignment vertical="center"/>
    </xf>
    <xf numFmtId="0" fontId="10" fillId="4" borderId="0" xfId="0" applyFont="1" applyFill="1"/>
    <xf numFmtId="0" fontId="11" fillId="0" borderId="1" xfId="0" applyFont="1" applyBorder="1"/>
    <xf numFmtId="0" fontId="2" fillId="4" borderId="1" xfId="0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3" fillId="0" borderId="1" xfId="0" applyFont="1" applyBorder="1"/>
    <xf numFmtId="0" fontId="13" fillId="4" borderId="1" xfId="0" applyFont="1" applyFill="1" applyBorder="1"/>
    <xf numFmtId="165" fontId="13" fillId="0" borderId="1" xfId="0" applyNumberFormat="1" applyFont="1" applyBorder="1" applyAlignment="1">
      <alignment horizontal="center"/>
    </xf>
    <xf numFmtId="166" fontId="13" fillId="0" borderId="1" xfId="0" applyNumberFormat="1" applyFont="1" applyBorder="1" applyAlignment="1">
      <alignment horizontal="center"/>
    </xf>
    <xf numFmtId="165" fontId="13" fillId="4" borderId="1" xfId="0" applyNumberFormat="1" applyFont="1" applyFill="1" applyBorder="1" applyAlignment="1">
      <alignment horizontal="center"/>
    </xf>
    <xf numFmtId="167" fontId="13" fillId="4" borderId="1" xfId="0" applyNumberFormat="1" applyFont="1" applyFill="1" applyBorder="1" applyAlignment="1">
      <alignment horizontal="center"/>
    </xf>
    <xf numFmtId="166" fontId="13" fillId="4" borderId="1" xfId="0" applyNumberFormat="1" applyFont="1" applyFill="1" applyBorder="1" applyAlignment="1">
      <alignment horizontal="center"/>
    </xf>
    <xf numFmtId="168" fontId="14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169" fontId="15" fillId="4" borderId="1" xfId="0" applyNumberFormat="1" applyFont="1" applyFill="1" applyBorder="1" applyAlignment="1">
      <alignment horizontal="center"/>
    </xf>
    <xf numFmtId="168" fontId="13" fillId="0" borderId="1" xfId="0" applyNumberFormat="1" applyFont="1" applyBorder="1" applyAlignment="1">
      <alignment horizontal="center"/>
    </xf>
    <xf numFmtId="169" fontId="14" fillId="4" borderId="1" xfId="0" applyNumberFormat="1" applyFont="1" applyFill="1" applyBorder="1" applyAlignment="1">
      <alignment horizontal="center"/>
    </xf>
    <xf numFmtId="0" fontId="14" fillId="0" borderId="1" xfId="0" applyFont="1" applyBorder="1" applyAlignment="1">
      <alignment horizontal="center"/>
    </xf>
    <xf numFmtId="170" fontId="13" fillId="0" borderId="1" xfId="0" applyNumberFormat="1" applyFont="1" applyBorder="1" applyAlignment="1">
      <alignment horizontal="center"/>
    </xf>
    <xf numFmtId="170" fontId="14" fillId="0" borderId="1" xfId="0" applyNumberFormat="1" applyFont="1" applyBorder="1" applyAlignment="1">
      <alignment horizontal="center"/>
    </xf>
    <xf numFmtId="166" fontId="14" fillId="0" borderId="1" xfId="0" applyNumberFormat="1" applyFont="1" applyBorder="1" applyAlignment="1">
      <alignment horizontal="center"/>
    </xf>
    <xf numFmtId="168" fontId="13" fillId="0" borderId="1" xfId="0" applyNumberFormat="1" applyFont="1" applyBorder="1"/>
    <xf numFmtId="164" fontId="13" fillId="0" borderId="1" xfId="0" applyNumberFormat="1" applyFont="1" applyBorder="1"/>
    <xf numFmtId="164" fontId="13" fillId="0" borderId="1" xfId="0" applyNumberFormat="1" applyFont="1" applyBorder="1" applyAlignment="1">
      <alignment horizontal="center"/>
    </xf>
    <xf numFmtId="164" fontId="13" fillId="4" borderId="1" xfId="0" applyNumberFormat="1" applyFont="1" applyFill="1" applyBorder="1"/>
    <xf numFmtId="164" fontId="13" fillId="4" borderId="1" xfId="0" applyNumberFormat="1" applyFont="1" applyFill="1" applyBorder="1" applyAlignment="1">
      <alignment horizontal="center"/>
    </xf>
    <xf numFmtId="171" fontId="13" fillId="0" borderId="1" xfId="0" applyNumberFormat="1" applyFont="1" applyBorder="1" applyAlignment="1">
      <alignment horizontal="center"/>
    </xf>
    <xf numFmtId="165" fontId="14" fillId="0" borderId="1" xfId="0" applyNumberFormat="1" applyFont="1" applyBorder="1" applyAlignment="1">
      <alignment horizontal="center"/>
    </xf>
    <xf numFmtId="10" fontId="14" fillId="0" borderId="1" xfId="0" applyNumberFormat="1" applyFont="1" applyBorder="1" applyAlignment="1">
      <alignment horizontal="center"/>
    </xf>
    <xf numFmtId="172" fontId="13" fillId="4" borderId="1" xfId="0" applyNumberFormat="1" applyFont="1" applyFill="1" applyBorder="1" applyAlignment="1">
      <alignment horizontal="center"/>
    </xf>
    <xf numFmtId="0" fontId="12" fillId="5" borderId="1" xfId="0" applyFont="1" applyFill="1" applyBorder="1" applyAlignment="1">
      <alignment horizontal="center"/>
    </xf>
    <xf numFmtId="166" fontId="13" fillId="5" borderId="1" xfId="0" applyNumberFormat="1" applyFont="1" applyFill="1" applyBorder="1" applyAlignment="1">
      <alignment horizontal="center"/>
    </xf>
    <xf numFmtId="168" fontId="14" fillId="5" borderId="1" xfId="0" applyNumberFormat="1" applyFont="1" applyFill="1" applyBorder="1" applyAlignment="1">
      <alignment horizontal="center"/>
    </xf>
    <xf numFmtId="169" fontId="14" fillId="5" borderId="1" xfId="0" applyNumberFormat="1" applyFont="1" applyFill="1" applyBorder="1" applyAlignment="1">
      <alignment horizontal="center"/>
    </xf>
    <xf numFmtId="165" fontId="15" fillId="5" borderId="1" xfId="0" applyNumberFormat="1" applyFont="1" applyFill="1" applyBorder="1" applyAlignment="1">
      <alignment horizontal="center"/>
    </xf>
    <xf numFmtId="169" fontId="13" fillId="5" borderId="1" xfId="0" applyNumberFormat="1" applyFont="1" applyFill="1" applyBorder="1" applyAlignment="1">
      <alignment horizontal="center"/>
    </xf>
    <xf numFmtId="0" fontId="13" fillId="5" borderId="1" xfId="0" applyFont="1" applyFill="1" applyBorder="1"/>
    <xf numFmtId="169" fontId="15" fillId="5" borderId="1" xfId="0" applyNumberFormat="1" applyFont="1" applyFill="1" applyBorder="1" applyAlignment="1">
      <alignment horizontal="center"/>
    </xf>
    <xf numFmtId="165" fontId="13" fillId="5" borderId="1" xfId="0" applyNumberFormat="1" applyFont="1" applyFill="1" applyBorder="1" applyAlignment="1">
      <alignment horizontal="center"/>
    </xf>
    <xf numFmtId="168" fontId="15" fillId="0" borderId="1" xfId="0" applyNumberFormat="1" applyFont="1" applyBorder="1" applyAlignment="1">
      <alignment horizontal="center"/>
    </xf>
    <xf numFmtId="169" fontId="13" fillId="0" borderId="1" xfId="0" applyNumberFormat="1" applyFont="1" applyBorder="1" applyAlignment="1">
      <alignment horizontal="center"/>
    </xf>
    <xf numFmtId="173" fontId="13" fillId="0" borderId="1" xfId="0" applyNumberFormat="1" applyFont="1" applyBorder="1" applyAlignment="1">
      <alignment horizontal="center"/>
    </xf>
    <xf numFmtId="0" fontId="4" fillId="3" borderId="1" xfId="0" applyFont="1" applyFill="1" applyBorder="1" applyAlignment="1">
      <alignment horizontal="center" vertical="center" wrapText="1"/>
    </xf>
    <xf numFmtId="174" fontId="5" fillId="0" borderId="1" xfId="0" applyNumberFormat="1" applyFont="1" applyBorder="1" applyAlignment="1">
      <alignment horizontal="center"/>
    </xf>
    <xf numFmtId="174" fontId="13" fillId="0" borderId="1" xfId="0" applyNumberFormat="1" applyFont="1" applyBorder="1" applyAlignment="1">
      <alignment horizontal="center"/>
    </xf>
    <xf numFmtId="168" fontId="5" fillId="0" borderId="1" xfId="0" applyNumberFormat="1" applyFont="1" applyBorder="1"/>
    <xf numFmtId="10" fontId="5" fillId="0" borderId="1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6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2" fillId="0" borderId="0" xfId="0" applyFont="1" applyAlignment="1">
      <alignment horizontal="center"/>
    </xf>
    <xf numFmtId="174" fontId="13" fillId="0" borderId="0" xfId="0" applyNumberFormat="1" applyFont="1" applyAlignment="1">
      <alignment horizontal="center"/>
    </xf>
    <xf numFmtId="0" fontId="12" fillId="0" borderId="0" xfId="0" quotePrefix="1" applyFont="1" applyAlignment="1">
      <alignment horizontal="center"/>
    </xf>
    <xf numFmtId="168" fontId="13" fillId="0" borderId="0" xfId="0" applyNumberFormat="1" applyFont="1"/>
    <xf numFmtId="10" fontId="13" fillId="0" borderId="0" xfId="0" applyNumberFormat="1" applyFont="1" applyAlignment="1">
      <alignment horizontal="center"/>
    </xf>
    <xf numFmtId="0" fontId="17" fillId="0" borderId="0" xfId="0" applyFont="1"/>
    <xf numFmtId="10" fontId="17" fillId="0" borderId="0" xfId="0" applyNumberFormat="1" applyFont="1"/>
    <xf numFmtId="0" fontId="13" fillId="0" borderId="0" xfId="0" applyFont="1"/>
    <xf numFmtId="10" fontId="13" fillId="0" borderId="0" xfId="0" applyNumberFormat="1" applyFont="1"/>
    <xf numFmtId="4" fontId="13" fillId="0" borderId="0" xfId="0" applyNumberFormat="1" applyFont="1"/>
    <xf numFmtId="173" fontId="13" fillId="0" borderId="0" xfId="0" applyNumberFormat="1" applyFont="1"/>
    <xf numFmtId="0" fontId="8" fillId="4" borderId="2" xfId="0" applyFont="1" applyFill="1" applyBorder="1"/>
    <xf numFmtId="0" fontId="9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trip.com/" TargetMode="External"/><Relationship Id="rId3" Type="http://schemas.openxmlformats.org/officeDocument/2006/relationships/hyperlink" Target="http://lastminute.com/" TargetMode="External"/><Relationship Id="rId7" Type="http://schemas.openxmlformats.org/officeDocument/2006/relationships/hyperlink" Target="http://booking.com/" TargetMode="External"/><Relationship Id="rId2" Type="http://schemas.openxmlformats.org/officeDocument/2006/relationships/hyperlink" Target="http://bookings.nl/" TargetMode="External"/><Relationship Id="rId1" Type="http://schemas.openxmlformats.org/officeDocument/2006/relationships/hyperlink" Target="http://lastminute.com/" TargetMode="External"/><Relationship Id="rId6" Type="http://schemas.openxmlformats.org/officeDocument/2006/relationships/hyperlink" Target="http://kiwi.com/" TargetMode="External"/><Relationship Id="rId5" Type="http://schemas.openxmlformats.org/officeDocument/2006/relationships/hyperlink" Target="http://priceline.com/" TargetMode="External"/><Relationship Id="rId4" Type="http://schemas.openxmlformats.org/officeDocument/2006/relationships/hyperlink" Target="http://priceline.com/" TargetMode="External"/><Relationship Id="rId9" Type="http://schemas.openxmlformats.org/officeDocument/2006/relationships/hyperlink" Target="http://charter.se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U1000"/>
  <sheetViews>
    <sheetView tabSelected="1" zoomScale="91" workbookViewId="0">
      <pane xSplit="1" ySplit="1" topLeftCell="K190" activePane="bottomRight" state="frozen"/>
      <selection pane="topRight" activeCell="B1" sqref="B1"/>
      <selection pane="bottomLeft" activeCell="A2" sqref="A2"/>
      <selection pane="bottomRight" activeCell="AB1" sqref="U1:AB1048576"/>
    </sheetView>
  </sheetViews>
  <sheetFormatPr baseColWidth="10" defaultColWidth="12.6640625" defaultRowHeight="15.75" customHeight="1"/>
  <cols>
    <col min="1" max="1" width="12.33203125" customWidth="1"/>
  </cols>
  <sheetData>
    <row r="1" spans="1:21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5" t="s">
        <v>12</v>
      </c>
      <c r="O1" s="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11"/>
    </row>
    <row r="2" spans="1:21" ht="30">
      <c r="A2" s="12" t="s">
        <v>27</v>
      </c>
      <c r="B2" s="13" t="str">
        <f t="shared" ref="B2:T2" si="0">IFERROR(AVERAGE(#REF!),"")</f>
        <v/>
      </c>
      <c r="C2" s="13" t="str">
        <f t="shared" si="0"/>
        <v/>
      </c>
      <c r="D2" s="13" t="str">
        <f t="shared" si="0"/>
        <v/>
      </c>
      <c r="E2" s="13" t="str">
        <f t="shared" si="0"/>
        <v/>
      </c>
      <c r="F2" s="13" t="str">
        <f t="shared" si="0"/>
        <v/>
      </c>
      <c r="G2" s="13" t="str">
        <f t="shared" si="0"/>
        <v/>
      </c>
      <c r="H2" s="13" t="str">
        <f t="shared" si="0"/>
        <v/>
      </c>
      <c r="I2" s="13" t="str">
        <f t="shared" si="0"/>
        <v/>
      </c>
      <c r="J2" s="13" t="str">
        <f t="shared" si="0"/>
        <v/>
      </c>
      <c r="K2" s="13" t="str">
        <f t="shared" si="0"/>
        <v/>
      </c>
      <c r="L2" s="13" t="str">
        <f t="shared" si="0"/>
        <v/>
      </c>
      <c r="M2" s="13" t="str">
        <f t="shared" si="0"/>
        <v/>
      </c>
      <c r="N2" s="13" t="str">
        <f t="shared" si="0"/>
        <v/>
      </c>
      <c r="O2" s="13" t="str">
        <f t="shared" si="0"/>
        <v/>
      </c>
      <c r="P2" s="13" t="str">
        <f t="shared" si="0"/>
        <v/>
      </c>
      <c r="Q2" s="13" t="str">
        <f t="shared" si="0"/>
        <v/>
      </c>
      <c r="R2" s="13" t="str">
        <f t="shared" si="0"/>
        <v/>
      </c>
      <c r="S2" s="13" t="str">
        <f t="shared" si="0"/>
        <v/>
      </c>
      <c r="T2" s="13" t="str">
        <f t="shared" si="0"/>
        <v/>
      </c>
      <c r="U2" s="11"/>
    </row>
    <row r="3" spans="1:21" ht="14">
      <c r="A3" s="14" t="s">
        <v>28</v>
      </c>
      <c r="B3" s="13" t="str">
        <f>IF(TTM!B3="","",IFERROR(MAX(MIN(TTM!B3,1),-0.3),""))</f>
        <v/>
      </c>
      <c r="C3" s="13" t="str">
        <f>IF(TTM!C3="","",IFERROR(MAX(MIN(TTM!C3,1),-0.3),""))</f>
        <v/>
      </c>
      <c r="D3" s="13" t="str">
        <f>IF(TTM!D3="","",IFERROR(MAX(MIN(TTM!D3,1),-0.3),""))</f>
        <v/>
      </c>
      <c r="E3" s="13" t="str">
        <f>IF(TTM!E3="","",IFERROR(MAX(MIN(TTM!E3,1),-0.3),""))</f>
        <v/>
      </c>
      <c r="F3" s="13" t="str">
        <f>IF(TTM!F3="","",IFERROR(MAX(MIN(TTM!F3,1),-0.3),""))</f>
        <v/>
      </c>
      <c r="G3" s="13" t="str">
        <f>IF(TTM!G3="","",IFERROR(MAX(MIN(TTM!G3,1),-0.3),""))</f>
        <v/>
      </c>
      <c r="H3" s="13" t="str">
        <f>IF(TTM!H3="","",IFERROR(MAX(MIN(TTM!H3,1),-0.3),""))</f>
        <v/>
      </c>
      <c r="I3" s="13" t="str">
        <f>IF(TTM!I3="","",IFERROR(MAX(MIN(TTM!I3,1),-0.3),""))</f>
        <v/>
      </c>
      <c r="J3" s="13" t="str">
        <f>IF(TTM!J3="","",IFERROR(MAX(MIN(TTM!J3,1),-0.3),""))</f>
        <v/>
      </c>
      <c r="K3" s="13" t="str">
        <f>IF(TTM!K3="","",IFERROR(MAX(MIN(TTM!K3,1),-0.3),""))</f>
        <v/>
      </c>
      <c r="L3" s="13" t="str">
        <f>IF(TTM!L3="","",IFERROR(MAX(MIN(TTM!L3,1),-0.3),""))</f>
        <v/>
      </c>
      <c r="M3" s="13" t="str">
        <f>IF(TTM!M3="","",IFERROR(MAX(MIN(TTM!M3,1),-0.3),""))</f>
        <v/>
      </c>
      <c r="N3" s="13" t="str">
        <f>IF(TTM!N3="","",IFERROR(MAX(MIN(TTM!N3,1),-0.3),""))</f>
        <v/>
      </c>
      <c r="O3" s="13" t="str">
        <f>IF(TTM!O3="","",IFERROR(MAX(MIN(TTM!O3,1),-0.3),""))</f>
        <v/>
      </c>
      <c r="P3" s="13" t="str">
        <f>IF(TTM!P3="","",IFERROR(MAX(MIN(TTM!P3,1),-0.3),""))</f>
        <v/>
      </c>
      <c r="Q3" s="13" t="str">
        <f>IF(TTM!Q3="","",IFERROR(MAX(MIN(TTM!Q3,1),-0.3),""))</f>
        <v/>
      </c>
      <c r="R3" s="13" t="str">
        <f>IF(TTM!R3="","",IFERROR(MAX(MIN(TTM!R3,1),-0.3),""))</f>
        <v/>
      </c>
      <c r="S3" s="13" t="str">
        <f>IF(TTM!S3="","",IFERROR(MAX(MIN(TTM!S3,1),-0.3),""))</f>
        <v/>
      </c>
      <c r="T3" s="13" t="str">
        <f>IF(TTM!T3="","",IFERROR(MAX(MIN(TTM!T3,1),-0.3),""))</f>
        <v/>
      </c>
      <c r="U3" s="11"/>
    </row>
    <row r="4" spans="1:21" ht="14">
      <c r="A4" s="14" t="s">
        <v>29</v>
      </c>
      <c r="B4" s="13" t="str">
        <f>IF(TTM!B4="","",IFERROR(MAX(MIN(TTM!B4,1),-0.3),""))</f>
        <v/>
      </c>
      <c r="C4" s="13" t="str">
        <f>IF(TTM!C4="","",IFERROR(MAX(MIN(TTM!C4,1),-0.3),""))</f>
        <v/>
      </c>
      <c r="D4" s="13" t="str">
        <f>IF(TTM!D4="","",IFERROR(MAX(MIN(TTM!D4,1),-0.3),""))</f>
        <v/>
      </c>
      <c r="E4" s="13" t="str">
        <f>IF(TTM!E4="","",IFERROR(MAX(MIN(TTM!E4,1),-0.3),""))</f>
        <v/>
      </c>
      <c r="F4" s="13" t="str">
        <f>IF(TTM!F4="","",IFERROR(MAX(MIN(TTM!F4,1),-0.3),""))</f>
        <v/>
      </c>
      <c r="G4" s="13" t="str">
        <f>IF(TTM!G4="","",IFERROR(MAX(MIN(TTM!G4,1),-0.3),""))</f>
        <v/>
      </c>
      <c r="H4" s="13" t="str">
        <f>IF(TTM!H4="","",IFERROR(MAX(MIN(TTM!H4,1),-0.3),""))</f>
        <v/>
      </c>
      <c r="I4" s="13" t="str">
        <f>IF(TTM!I4="","",IFERROR(MAX(MIN(TTM!I4,1),-0.3),""))</f>
        <v/>
      </c>
      <c r="J4" s="13" t="str">
        <f>IF(TTM!J4="","",IFERROR(MAX(MIN(TTM!J4,1),-0.3),""))</f>
        <v/>
      </c>
      <c r="K4" s="13" t="str">
        <f>IF(TTM!K4="","",IFERROR(MAX(MIN(TTM!K4,1),-0.3),""))</f>
        <v/>
      </c>
      <c r="L4" s="13" t="str">
        <f>IF(TTM!L4="","",IFERROR(MAX(MIN(TTM!L4,1),-0.3),""))</f>
        <v/>
      </c>
      <c r="M4" s="13" t="str">
        <f>IF(TTM!M4="","",IFERROR(MAX(MIN(TTM!M4,1),-0.3),""))</f>
        <v/>
      </c>
      <c r="N4" s="13" t="str">
        <f>IF(TTM!N4="","",IFERROR(MAX(MIN(TTM!N4,1),-0.3),""))</f>
        <v/>
      </c>
      <c r="O4" s="13" t="str">
        <f>IF(TTM!O4="","",IFERROR(MAX(MIN(TTM!O4,1),-0.3),""))</f>
        <v/>
      </c>
      <c r="P4" s="13" t="str">
        <f>IF(TTM!P4="","",IFERROR(MAX(MIN(TTM!P4,1),-0.3),""))</f>
        <v/>
      </c>
      <c r="Q4" s="13" t="str">
        <f>IF(TTM!Q4="","",IFERROR(MAX(MIN(TTM!Q4,1),-0.3),""))</f>
        <v/>
      </c>
      <c r="R4" s="13" t="str">
        <f>IF(TTM!R4="","",IFERROR(MAX(MIN(TTM!R4,1),-0.3),""))</f>
        <v/>
      </c>
      <c r="S4" s="13" t="str">
        <f>IF(TTM!S4="","",IFERROR(MAX(MIN(TTM!S4,1),-0.3),""))</f>
        <v/>
      </c>
      <c r="T4" s="13" t="str">
        <f>IF(TTM!T4="","",IFERROR(MAX(MIN(TTM!T4,1),-0.3),""))</f>
        <v/>
      </c>
      <c r="U4" s="11"/>
    </row>
    <row r="5" spans="1:21" ht="14">
      <c r="A5" s="14" t="s">
        <v>30</v>
      </c>
      <c r="B5" s="13" t="str">
        <f>IF(TTM!B5="","",IFERROR(MAX(MIN(TTM!B5,1),-0.3),""))</f>
        <v/>
      </c>
      <c r="C5" s="13" t="str">
        <f>IF(TTM!C5="","",IFERROR(MAX(MIN(TTM!C5,1),-0.3),""))</f>
        <v/>
      </c>
      <c r="D5" s="13" t="str">
        <f>IF(TTM!D5="","",IFERROR(MAX(MIN(TTM!D5,1),-0.3),""))</f>
        <v/>
      </c>
      <c r="E5" s="13" t="str">
        <f>IF(TTM!E5="","",IFERROR(MAX(MIN(TTM!E5,1),-0.3),""))</f>
        <v/>
      </c>
      <c r="F5" s="13" t="str">
        <f>IF(TTM!F5="","",IFERROR(MAX(MIN(TTM!F5,1),-0.3),""))</f>
        <v/>
      </c>
      <c r="G5" s="13" t="str">
        <f>IF(TTM!G5="","",IFERROR(MAX(MIN(TTM!G5,1),-0.3),""))</f>
        <v/>
      </c>
      <c r="H5" s="13" t="str">
        <f>IF(TTM!H5="","",IFERROR(MAX(MIN(TTM!H5,1),-0.3),""))</f>
        <v/>
      </c>
      <c r="I5" s="13" t="str">
        <f>IF(TTM!I5="","",IFERROR(MAX(MIN(TTM!I5,1),-0.3),""))</f>
        <v/>
      </c>
      <c r="J5" s="13" t="str">
        <f>IF(TTM!J5="","",IFERROR(MAX(MIN(TTM!J5,1),-0.3),""))</f>
        <v/>
      </c>
      <c r="K5" s="13" t="str">
        <f>IF(TTM!K5="","",IFERROR(MAX(MIN(TTM!K5,1),-0.3),""))</f>
        <v/>
      </c>
      <c r="L5" s="13" t="str">
        <f>IF(TTM!L5="","",IFERROR(MAX(MIN(TTM!L5,1),-0.3),""))</f>
        <v/>
      </c>
      <c r="M5" s="13" t="str">
        <f>IF(TTM!M5="","",IFERROR(MAX(MIN(TTM!M5,1),-0.3),""))</f>
        <v/>
      </c>
      <c r="N5" s="13" t="str">
        <f>IF(TTM!N5="","",IFERROR(MAX(MIN(TTM!N5,1),-0.3),""))</f>
        <v/>
      </c>
      <c r="O5" s="13" t="str">
        <f>IF(TTM!O5="","",IFERROR(MAX(MIN(TTM!O5,1),-0.3),""))</f>
        <v/>
      </c>
      <c r="P5" s="13" t="str">
        <f>IF(TTM!P5="","",IFERROR(MAX(MIN(TTM!P5,1),-0.3),""))</f>
        <v/>
      </c>
      <c r="Q5" s="13" t="str">
        <f>IF(TTM!Q5="","",IFERROR(MAX(MIN(TTM!Q5,1),-0.3),""))</f>
        <v/>
      </c>
      <c r="R5" s="13" t="str">
        <f>IF(TTM!R5="","",IFERROR(MAX(MIN(TTM!R5,1),-0.3),""))</f>
        <v/>
      </c>
      <c r="S5" s="13" t="str">
        <f>IF(TTM!S5="","",IFERROR(MAX(MIN(TTM!S5,1),-0.3),""))</f>
        <v/>
      </c>
      <c r="T5" s="13" t="str">
        <f>IF(TTM!T5="","",IFERROR(MAX(MIN(TTM!T5,1),-0.3),""))</f>
        <v/>
      </c>
      <c r="U5" s="11"/>
    </row>
    <row r="6" spans="1:21" ht="14">
      <c r="A6" s="14" t="s">
        <v>31</v>
      </c>
      <c r="B6" s="13" t="str">
        <f>IF(TTM!B6="","",IFERROR(MAX(MIN(TTM!B6,1),-0.3),""))</f>
        <v/>
      </c>
      <c r="C6" s="13" t="str">
        <f>IF(TTM!C6="","",IFERROR(MAX(MIN(TTM!C6,1),-0.3),""))</f>
        <v/>
      </c>
      <c r="D6" s="13" t="str">
        <f>IF(TTM!D6="","",IFERROR(MAX(MIN(TTM!D6,1),-0.3),""))</f>
        <v/>
      </c>
      <c r="E6" s="13" t="str">
        <f>IF(TTM!E6="","",IFERROR(MAX(MIN(TTM!E6,1),-0.3),""))</f>
        <v/>
      </c>
      <c r="F6" s="13" t="str">
        <f>IF(TTM!F6="","",IFERROR(MAX(MIN(TTM!F6,1),-0.3),""))</f>
        <v/>
      </c>
      <c r="G6" s="13" t="str">
        <f>IF(TTM!G6="","",IFERROR(MAX(MIN(TTM!G6,1),-0.3),""))</f>
        <v/>
      </c>
      <c r="H6" s="13" t="str">
        <f>IF(TTM!H6="","",IFERROR(MAX(MIN(TTM!H6,1),-0.3),""))</f>
        <v/>
      </c>
      <c r="I6" s="13" t="str">
        <f>IF(TTM!I6="","",IFERROR(MAX(MIN(TTM!I6,1),-0.3),""))</f>
        <v/>
      </c>
      <c r="J6" s="13" t="str">
        <f>IF(TTM!J6="","",IFERROR(MAX(MIN(TTM!J6,1),-0.3),""))</f>
        <v/>
      </c>
      <c r="K6" s="13" t="str">
        <f>IF(TTM!K6="","",IFERROR(MAX(MIN(TTM!K6,1),-0.3),""))</f>
        <v/>
      </c>
      <c r="L6" s="13" t="str">
        <f>IF(TTM!L6="","",IFERROR(MAX(MIN(TTM!L6,1),-0.3),""))</f>
        <v/>
      </c>
      <c r="M6" s="13" t="str">
        <f>IF(TTM!M6="","",IFERROR(MAX(MIN(TTM!M6,1),-0.3),""))</f>
        <v/>
      </c>
      <c r="N6" s="13" t="str">
        <f>IF(TTM!N6="","",IFERROR(MAX(MIN(TTM!N6,1),-0.3),""))</f>
        <v/>
      </c>
      <c r="O6" s="13" t="str">
        <f>IF(TTM!O6="","",IFERROR(MAX(MIN(TTM!O6,1),-0.3),""))</f>
        <v/>
      </c>
      <c r="P6" s="13" t="str">
        <f>IF(TTM!P6="","",IFERROR(MAX(MIN(TTM!P6,1),-0.3),""))</f>
        <v/>
      </c>
      <c r="Q6" s="13" t="str">
        <f>IF(TTM!Q6="","",IFERROR(MAX(MIN(TTM!Q6,1),-0.3),""))</f>
        <v/>
      </c>
      <c r="R6" s="13" t="str">
        <f>IF(TTM!R6="","",IFERROR(MAX(MIN(TTM!R6,1),-0.3),""))</f>
        <v/>
      </c>
      <c r="S6" s="13" t="str">
        <f>IF(TTM!S6="","",IFERROR(MAX(MIN(TTM!S6,1),-0.3),""))</f>
        <v/>
      </c>
      <c r="T6" s="13" t="str">
        <f>IF(TTM!T6="","",IFERROR(MAX(MIN(TTM!T6,1),-0.3),""))</f>
        <v/>
      </c>
      <c r="U6" s="11"/>
    </row>
    <row r="7" spans="1:21" ht="14">
      <c r="A7" s="14" t="s">
        <v>32</v>
      </c>
      <c r="B7" s="13" t="str">
        <f>IF(TTM!B7="","",IFERROR(MAX(MIN(TTM!B7,1),-0.3),""))</f>
        <v/>
      </c>
      <c r="C7" s="13" t="str">
        <f>IF(TTM!C7="","",IFERROR(MAX(MIN(TTM!C7,1),-0.3),""))</f>
        <v/>
      </c>
      <c r="D7" s="13" t="str">
        <f>IF(TTM!D7="","",IFERROR(MAX(MIN(TTM!D7,1),-0.3),""))</f>
        <v/>
      </c>
      <c r="E7" s="13" t="str">
        <f>IF(TTM!E7="","",IFERROR(MAX(MIN(TTM!E7,1),-0.3),""))</f>
        <v/>
      </c>
      <c r="F7" s="13" t="str">
        <f>IF(TTM!F7="","",IFERROR(MAX(MIN(TTM!F7,1),-0.3),""))</f>
        <v/>
      </c>
      <c r="G7" s="13" t="str">
        <f>IF(TTM!G7="","",IFERROR(MAX(MIN(TTM!G7,1),-0.3),""))</f>
        <v/>
      </c>
      <c r="H7" s="13" t="str">
        <f>IF(TTM!H7="","",IFERROR(MAX(MIN(TTM!H7,1),-0.3),""))</f>
        <v/>
      </c>
      <c r="I7" s="13" t="str">
        <f>IF(TTM!I7="","",IFERROR(MAX(MIN(TTM!I7,1),-0.3),""))</f>
        <v/>
      </c>
      <c r="J7" s="13" t="str">
        <f>IF(TTM!J7="","",IFERROR(MAX(MIN(TTM!J7,1),-0.3),""))</f>
        <v/>
      </c>
      <c r="K7" s="13" t="str">
        <f>IF(TTM!K7="","",IFERROR(MAX(MIN(TTM!K7,1),-0.3),""))</f>
        <v/>
      </c>
      <c r="L7" s="13" t="str">
        <f>IF(TTM!L7="","",IFERROR(MAX(MIN(TTM!L7,1),-0.3),""))</f>
        <v/>
      </c>
      <c r="M7" s="13" t="str">
        <f>IF(TTM!M7="","",IFERROR(MAX(MIN(TTM!M7,1),-0.3),""))</f>
        <v/>
      </c>
      <c r="N7" s="13" t="str">
        <f>IF(TTM!N7="","",IFERROR(MAX(MIN(TTM!N7,1),-0.3),""))</f>
        <v/>
      </c>
      <c r="O7" s="13" t="str">
        <f>IF(TTM!O7="","",IFERROR(MAX(MIN(TTM!O7,1),-0.3),""))</f>
        <v/>
      </c>
      <c r="P7" s="13" t="str">
        <f>IF(TTM!P7="","",IFERROR(MAX(MIN(TTM!P7,1),-0.3),""))</f>
        <v/>
      </c>
      <c r="Q7" s="13" t="str">
        <f>IF(TTM!Q7="","",IFERROR(MAX(MIN(TTM!Q7,1),-0.3),""))</f>
        <v/>
      </c>
      <c r="R7" s="13" t="str">
        <f>IF(TTM!R7="","",IFERROR(MAX(MIN(TTM!R7,1),-0.3),""))</f>
        <v/>
      </c>
      <c r="S7" s="13" t="str">
        <f>IF(TTM!S7="","",IFERROR(MAX(MIN(TTM!S7,1),-0.3),""))</f>
        <v/>
      </c>
      <c r="T7" s="13" t="str">
        <f>IF(TTM!T7="","",IFERROR(MAX(MIN(TTM!T7,1),-0.3),""))</f>
        <v/>
      </c>
      <c r="U7" s="11"/>
    </row>
    <row r="8" spans="1:21" ht="14">
      <c r="A8" s="14" t="s">
        <v>33</v>
      </c>
      <c r="B8" s="13" t="str">
        <f>IF(TTM!B8="","",IFERROR(MAX(MIN(TTM!B8,1),-0.3),""))</f>
        <v/>
      </c>
      <c r="C8" s="13" t="str">
        <f>IF(TTM!C8="","",IFERROR(MAX(MIN(TTM!C8,1),-0.3),""))</f>
        <v/>
      </c>
      <c r="D8" s="13" t="str">
        <f>IF(TTM!D8="","",IFERROR(MAX(MIN(TTM!D8,1),-0.3),""))</f>
        <v/>
      </c>
      <c r="E8" s="13" t="str">
        <f>IF(TTM!E8="","",IFERROR(MAX(MIN(TTM!E8,1),-0.3),""))</f>
        <v/>
      </c>
      <c r="F8" s="13" t="str">
        <f>IF(TTM!F8="","",IFERROR(MAX(MIN(TTM!F8,1),-0.3),""))</f>
        <v/>
      </c>
      <c r="G8" s="13" t="str">
        <f>IF(TTM!G8="","",IFERROR(MAX(MIN(TTM!G8,1),-0.3),""))</f>
        <v/>
      </c>
      <c r="H8" s="13" t="str">
        <f>IF(TTM!H8="","",IFERROR(MAX(MIN(TTM!H8,1),-0.3),""))</f>
        <v/>
      </c>
      <c r="I8" s="13" t="str">
        <f>IF(TTM!I8="","",IFERROR(MAX(MIN(TTM!I8,1),-0.3),""))</f>
        <v/>
      </c>
      <c r="J8" s="13" t="str">
        <f>IF(TTM!J8="","",IFERROR(MAX(MIN(TTM!J8,1),-0.3),""))</f>
        <v/>
      </c>
      <c r="K8" s="13" t="str">
        <f>IF(TTM!K8="","",IFERROR(MAX(MIN(TTM!K8,1),-0.3),""))</f>
        <v/>
      </c>
      <c r="L8" s="13" t="str">
        <f>IF(TTM!L8="","",IFERROR(MAX(MIN(TTM!L8,1),-0.3),""))</f>
        <v/>
      </c>
      <c r="M8" s="13" t="str">
        <f>IF(TTM!M8="","",IFERROR(MAX(MIN(TTM!M8,1),-0.3),""))</f>
        <v/>
      </c>
      <c r="N8" s="13" t="str">
        <f>IF(TTM!N8="","",IFERROR(MAX(MIN(TTM!N8,1),-0.3),""))</f>
        <v/>
      </c>
      <c r="O8" s="13" t="str">
        <f>IF(TTM!O8="","",IFERROR(MAX(MIN(TTM!O8,1),-0.3),""))</f>
        <v/>
      </c>
      <c r="P8" s="13" t="str">
        <f>IF(TTM!P8="","",IFERROR(MAX(MIN(TTM!P8,1),-0.3),""))</f>
        <v/>
      </c>
      <c r="Q8" s="13" t="str">
        <f>IF(TTM!Q8="","",IFERROR(MAX(MIN(TTM!Q8,1),-0.3),""))</f>
        <v/>
      </c>
      <c r="R8" s="13" t="str">
        <f>IF(TTM!R8="","",IFERROR(MAX(MIN(TTM!R8,1),-0.3),""))</f>
        <v/>
      </c>
      <c r="S8" s="13" t="str">
        <f>IF(TTM!S8="","",IFERROR(MAX(MIN(TTM!S8,1),-0.3),""))</f>
        <v/>
      </c>
      <c r="T8" s="13" t="str">
        <f>IF(TTM!T8="","",IFERROR(MAX(MIN(TTM!T8,1),-0.3),""))</f>
        <v/>
      </c>
      <c r="U8" s="11"/>
    </row>
    <row r="9" spans="1:21" ht="14">
      <c r="A9" s="14" t="s">
        <v>34</v>
      </c>
      <c r="B9" s="13" t="str">
        <f>IF(TTM!B9="","",IFERROR(MAX(MIN(TTM!B9,1),-0.3),""))</f>
        <v/>
      </c>
      <c r="C9" s="13" t="str">
        <f>IF(TTM!C9="","",IFERROR(MAX(MIN(TTM!C9,1),-0.3),""))</f>
        <v/>
      </c>
      <c r="D9" s="13" t="str">
        <f>IF(TTM!D9="","",IFERROR(MAX(MIN(TTM!D9,1),-0.3),""))</f>
        <v/>
      </c>
      <c r="E9" s="13" t="str">
        <f>IF(TTM!E9="","",IFERROR(MAX(MIN(TTM!E9,1),-0.3),""))</f>
        <v/>
      </c>
      <c r="F9" s="13" t="str">
        <f>IF(TTM!F9="","",IFERROR(MAX(MIN(TTM!F9,1),-0.3),""))</f>
        <v/>
      </c>
      <c r="G9" s="13" t="str">
        <f>IF(TTM!G9="","",IFERROR(MAX(MIN(TTM!G9,1),-0.3),""))</f>
        <v/>
      </c>
      <c r="H9" s="13" t="str">
        <f>IF(TTM!H9="","",IFERROR(MAX(MIN(TTM!H9,1),-0.3),""))</f>
        <v/>
      </c>
      <c r="I9" s="13" t="str">
        <f>IF(TTM!I9="","",IFERROR(MAX(MIN(TTM!I9,1),-0.3),""))</f>
        <v/>
      </c>
      <c r="J9" s="13" t="str">
        <f>IF(TTM!J9="","",IFERROR(MAX(MIN(TTM!J9,1),-0.3),""))</f>
        <v/>
      </c>
      <c r="K9" s="13" t="str">
        <f>IF(TTM!K9="","",IFERROR(MAX(MIN(TTM!K9,1),-0.3),""))</f>
        <v/>
      </c>
      <c r="L9" s="13" t="str">
        <f>IF(TTM!L9="","",IFERROR(MAX(MIN(TTM!L9,1),-0.3),""))</f>
        <v/>
      </c>
      <c r="M9" s="13" t="str">
        <f>IF(TTM!M9="","",IFERROR(MAX(MIN(TTM!M9,1),-0.3),""))</f>
        <v/>
      </c>
      <c r="N9" s="13" t="str">
        <f>IF(TTM!N9="","",IFERROR(MAX(MIN(TTM!N9,1),-0.3),""))</f>
        <v/>
      </c>
      <c r="O9" s="13" t="str">
        <f>IF(TTM!O9="","",IFERROR(MAX(MIN(TTM!O9,1),-0.3),""))</f>
        <v/>
      </c>
      <c r="P9" s="13" t="str">
        <f>IF(TTM!P9="","",IFERROR(MAX(MIN(TTM!P9,1),-0.3),""))</f>
        <v/>
      </c>
      <c r="Q9" s="13" t="str">
        <f>IF(TTM!Q9="","",IFERROR(MAX(MIN(TTM!Q9,1),-0.3),""))</f>
        <v/>
      </c>
      <c r="R9" s="13" t="str">
        <f>IF(TTM!R9="","",IFERROR(MAX(MIN(TTM!R9,1),-0.3),""))</f>
        <v/>
      </c>
      <c r="S9" s="13" t="str">
        <f>IF(TTM!S9="","",IFERROR(MAX(MIN(TTM!S9,1),-0.3),""))</f>
        <v/>
      </c>
      <c r="T9" s="13" t="str">
        <f>IF(TTM!T9="","",IFERROR(MAX(MIN(TTM!T9,1),-0.3),""))</f>
        <v/>
      </c>
      <c r="U9" s="11"/>
    </row>
    <row r="10" spans="1:21" ht="14">
      <c r="A10" s="14" t="s">
        <v>35</v>
      </c>
      <c r="B10" s="13" t="str">
        <f>IF(TTM!B10="","",IFERROR(MAX(MIN(TTM!B10,1),-0.3),""))</f>
        <v/>
      </c>
      <c r="C10" s="13" t="str">
        <f>IF(TTM!C10="","",IFERROR(MAX(MIN(TTM!C10,1),-0.3),""))</f>
        <v/>
      </c>
      <c r="D10" s="13" t="str">
        <f>IF(TTM!D10="","",IFERROR(MAX(MIN(TTM!D10,1),-0.3),""))</f>
        <v/>
      </c>
      <c r="E10" s="13" t="str">
        <f>IF(TTM!E10="","",IFERROR(MAX(MIN(TTM!E10,1),-0.3),""))</f>
        <v/>
      </c>
      <c r="F10" s="13" t="str">
        <f>IF(TTM!F10="","",IFERROR(MAX(MIN(TTM!F10,1),-0.3),""))</f>
        <v/>
      </c>
      <c r="G10" s="13" t="str">
        <f>IF(TTM!G10="","",IFERROR(MAX(MIN(TTM!G10,1),-0.3),""))</f>
        <v/>
      </c>
      <c r="H10" s="13" t="str">
        <f>IF(TTM!H10="","",IFERROR(MAX(MIN(TTM!H10,1),-0.3),""))</f>
        <v/>
      </c>
      <c r="I10" s="13" t="str">
        <f>IF(TTM!I10="","",IFERROR(MAX(MIN(TTM!I10,1),-0.3),""))</f>
        <v/>
      </c>
      <c r="J10" s="13" t="str">
        <f>IF(TTM!J10="","",IFERROR(MAX(MIN(TTM!J10,1),-0.3),""))</f>
        <v/>
      </c>
      <c r="K10" s="13" t="str">
        <f>IF(TTM!K10="","",IFERROR(MAX(MIN(TTM!K10,1),-0.3),""))</f>
        <v/>
      </c>
      <c r="L10" s="13" t="str">
        <f>IF(TTM!L10="","",IFERROR(MAX(MIN(TTM!L10,1),-0.3),""))</f>
        <v/>
      </c>
      <c r="M10" s="13" t="str">
        <f>IF(TTM!M10="","",IFERROR(MAX(MIN(TTM!M10,1),-0.3),""))</f>
        <v/>
      </c>
      <c r="N10" s="13" t="str">
        <f>IF(TTM!N10="","",IFERROR(MAX(MIN(TTM!N10,1),-0.3),""))</f>
        <v/>
      </c>
      <c r="O10" s="13" t="str">
        <f>IF(TTM!O10="","",IFERROR(MAX(MIN(TTM!O10,1),-0.3),""))</f>
        <v/>
      </c>
      <c r="P10" s="13" t="str">
        <f>IF(TTM!P10="","",IFERROR(MAX(MIN(TTM!P10,1),-0.3),""))</f>
        <v/>
      </c>
      <c r="Q10" s="13" t="str">
        <f>IF(TTM!Q10="","",IFERROR(MAX(MIN(TTM!Q10,1),-0.3),""))</f>
        <v/>
      </c>
      <c r="R10" s="13" t="str">
        <f>IF(TTM!R10="","",IFERROR(MAX(MIN(TTM!R10,1),-0.3),""))</f>
        <v/>
      </c>
      <c r="S10" s="13" t="str">
        <f>IF(TTM!S10="","",IFERROR(MAX(MIN(TTM!S10,1),-0.3),""))</f>
        <v/>
      </c>
      <c r="T10" s="13" t="str">
        <f>IF(TTM!T10="","",IFERROR(MAX(MIN(TTM!T10,1),-0.3),""))</f>
        <v/>
      </c>
      <c r="U10" s="11"/>
    </row>
    <row r="11" spans="1:21" ht="14">
      <c r="A11" s="14" t="s">
        <v>36</v>
      </c>
      <c r="B11" s="13" t="str">
        <f>IF(TTM!B11="","",IFERROR(MAX(MIN(TTM!B11,1),-0.3),""))</f>
        <v/>
      </c>
      <c r="C11" s="13" t="str">
        <f>IF(TTM!C11="","",IFERROR(MAX(MIN(TTM!C11,1),-0.3),""))</f>
        <v/>
      </c>
      <c r="D11" s="13"/>
      <c r="E11" s="13" t="str">
        <f>IF(TTM!E11="","",IFERROR(MAX(MIN(TTM!E11,1),-0.3),""))</f>
        <v/>
      </c>
      <c r="F11" s="13" t="str">
        <f>IF(TTM!F11="","",IFERROR(MAX(MIN(TTM!F11,1),-0.3),""))</f>
        <v/>
      </c>
      <c r="G11" s="13" t="str">
        <f>IF(TTM!G11="","",IFERROR(MAX(MIN(TTM!G11,1),-0.3),""))</f>
        <v/>
      </c>
      <c r="H11" s="13" t="str">
        <f>IF(TTM!H11="","",IFERROR(MAX(MIN(TTM!H11,1),-0.3),""))</f>
        <v/>
      </c>
      <c r="I11" s="13" t="str">
        <f>IF(TTM!I11="","",IFERROR(MAX(MIN(TTM!I11,1),-0.3),""))</f>
        <v/>
      </c>
      <c r="J11" s="13" t="str">
        <f>IF(TTM!J11="","",IFERROR(MAX(MIN(TTM!J11,1),-0.3),""))</f>
        <v/>
      </c>
      <c r="K11" s="13" t="str">
        <f>IF(TTM!K11="","",IFERROR(MAX(MIN(TTM!K11,1),-0.3),""))</f>
        <v/>
      </c>
      <c r="L11" s="13" t="str">
        <f>IF(TTM!L11="","",IFERROR(MAX(MIN(TTM!L11,1),-0.3),""))</f>
        <v/>
      </c>
      <c r="M11" s="13" t="str">
        <f>IF(TTM!M11="","",IFERROR(MAX(MIN(TTM!M11,1),-0.3),""))</f>
        <v/>
      </c>
      <c r="N11" s="13" t="str">
        <f>IF(TTM!N11="","",IFERROR(MAX(MIN(TTM!N11,1),-0.3),""))</f>
        <v/>
      </c>
      <c r="O11" s="13" t="str">
        <f>IF(TTM!O11="","",IFERROR(MAX(MIN(TTM!O11,1),-0.3),""))</f>
        <v/>
      </c>
      <c r="P11" s="13" t="str">
        <f>IF(TTM!P11="","",IFERROR(MAX(MIN(TTM!P11,1),-0.3),""))</f>
        <v/>
      </c>
      <c r="Q11" s="13" t="str">
        <f>IF(TTM!Q11="","",IFERROR(MAX(MIN(TTM!Q11,1),-0.3),""))</f>
        <v/>
      </c>
      <c r="R11" s="13" t="str">
        <f>IF(TTM!R11="","",IFERROR(MAX(MIN(TTM!R11,1),-0.3),""))</f>
        <v/>
      </c>
      <c r="S11" s="13" t="str">
        <f>IF(TTM!S11="","",IFERROR(MAX(MIN(TTM!S11,1),-0.3),""))</f>
        <v/>
      </c>
      <c r="T11" s="13" t="str">
        <f>IF(TTM!T11="","",IFERROR(MAX(MIN(TTM!T11,1),-0.3),""))</f>
        <v/>
      </c>
      <c r="U11" s="11"/>
    </row>
    <row r="12" spans="1:21" ht="14">
      <c r="A12" s="14" t="s">
        <v>37</v>
      </c>
      <c r="B12" s="13" t="str">
        <f>IF(TTM!B12="","",IFERROR(MAX(MIN(TTM!B12,1),-0.3),""))</f>
        <v/>
      </c>
      <c r="C12" s="13" t="str">
        <f>IF(TTM!C12="","",IFERROR(MAX(MIN(TTM!C12,1),-0.3),""))</f>
        <v/>
      </c>
      <c r="D12" s="13"/>
      <c r="E12" s="13" t="str">
        <f>IF(TTM!E12="","",IFERROR(MAX(MIN(TTM!E12,1),-0.3),""))</f>
        <v/>
      </c>
      <c r="F12" s="13" t="str">
        <f>IF(TTM!F12="","",IFERROR(MAX(MIN(TTM!F12,1),-0.3),""))</f>
        <v/>
      </c>
      <c r="G12" s="13" t="str">
        <f>IF(TTM!G12="","",IFERROR(MAX(MIN(TTM!G12,1),-0.3),""))</f>
        <v/>
      </c>
      <c r="H12" s="13" t="str">
        <f>IF(TTM!H12="","",IFERROR(MAX(MIN(TTM!H12,1),-0.3),""))</f>
        <v/>
      </c>
      <c r="I12" s="13" t="str">
        <f>IF(TTM!I12="","",IFERROR(MAX(MIN(TTM!I12,1),-0.3),""))</f>
        <v/>
      </c>
      <c r="J12" s="13" t="str">
        <f>IF(TTM!J12="","",IFERROR(MAX(MIN(TTM!J12,1),-0.3),""))</f>
        <v/>
      </c>
      <c r="K12" s="13" t="str">
        <f>IF(TTM!K12="","",IFERROR(MAX(MIN(TTM!K12,1),-0.3),""))</f>
        <v/>
      </c>
      <c r="L12" s="13" t="str">
        <f>IF(TTM!L12="","",IFERROR(MAX(MIN(TTM!L12,1),-0.3),""))</f>
        <v/>
      </c>
      <c r="M12" s="13" t="str">
        <f>IF(TTM!M12="","",IFERROR(MAX(MIN(TTM!M12,1),-0.3),""))</f>
        <v/>
      </c>
      <c r="N12" s="13" t="str">
        <f>IF(TTM!N12="","",IFERROR(MAX(MIN(TTM!N12,1),-0.3),""))</f>
        <v/>
      </c>
      <c r="O12" s="13" t="str">
        <f>IF(TTM!O12="","",IFERROR(MAX(MIN(TTM!O12,1),-0.3),""))</f>
        <v/>
      </c>
      <c r="P12" s="13" t="str">
        <f>IF(TTM!P12="","",IFERROR(MAX(MIN(TTM!P12,1),-0.3),""))</f>
        <v/>
      </c>
      <c r="Q12" s="13" t="str">
        <f>IF(TTM!Q12="","",IFERROR(MAX(MIN(TTM!Q12,1),-0.3),""))</f>
        <v/>
      </c>
      <c r="R12" s="13" t="str">
        <f>IF(TTM!R12="","",IFERROR(MAX(MIN(TTM!R12,1),-0.3),""))</f>
        <v/>
      </c>
      <c r="S12" s="13" t="str">
        <f>IF(TTM!S12="","",IFERROR(MAX(MIN(TTM!S12,1),-0.3),""))</f>
        <v/>
      </c>
      <c r="T12" s="13" t="str">
        <f>IF(TTM!T12="","",IFERROR(MAX(MIN(TTM!T12,1),-0.3),""))</f>
        <v/>
      </c>
      <c r="U12" s="11"/>
    </row>
    <row r="13" spans="1:21" ht="14">
      <c r="A13" s="14" t="s">
        <v>38</v>
      </c>
      <c r="B13" s="13" t="str">
        <f>IF(TTM!B13="","",IFERROR(MAX(MIN(TTM!B13,1),-0.3),""))</f>
        <v/>
      </c>
      <c r="C13" s="13" t="str">
        <f>IF(TTM!C13="","",IFERROR(MAX(MIN(TTM!C13,1),-0.3),""))</f>
        <v/>
      </c>
      <c r="D13" s="13"/>
      <c r="E13" s="13" t="str">
        <f>IF(TTM!E13="","",IFERROR(MAX(MIN(TTM!E13,1),-0.3),""))</f>
        <v/>
      </c>
      <c r="F13" s="13" t="str">
        <f>IF(TTM!F13="","",IFERROR(MAX(MIN(TTM!F13,1),-0.3),""))</f>
        <v/>
      </c>
      <c r="G13" s="13" t="str">
        <f>IF(TTM!G13="","",IFERROR(MAX(MIN(TTM!G13,1),-0.3),""))</f>
        <v/>
      </c>
      <c r="H13" s="13" t="str">
        <f>IF(TTM!H13="","",IFERROR(MAX(MIN(TTM!H13,1),-0.3),""))</f>
        <v/>
      </c>
      <c r="I13" s="13" t="str">
        <f>IF(TTM!I13="","",IFERROR(MAX(MIN(TTM!I13,1),-0.3),""))</f>
        <v/>
      </c>
      <c r="J13" s="13" t="str">
        <f>IF(TTM!J13="","",IFERROR(MAX(MIN(TTM!J13,1),-0.3),""))</f>
        <v/>
      </c>
      <c r="K13" s="13" t="str">
        <f>IF(TTM!K13="","",IFERROR(MAX(MIN(TTM!K13,1),-0.3),""))</f>
        <v/>
      </c>
      <c r="L13" s="13" t="str">
        <f>IF(TTM!L13="","",IFERROR(MAX(MIN(TTM!L13,1),-0.3),""))</f>
        <v/>
      </c>
      <c r="M13" s="13" t="str">
        <f>IF(TTM!M13="","",IFERROR(MAX(MIN(TTM!M13,1),-0.3),""))</f>
        <v/>
      </c>
      <c r="N13" s="13" t="str">
        <f>IF(TTM!N13="","",IFERROR(MAX(MIN(TTM!N13,1),-0.3),""))</f>
        <v/>
      </c>
      <c r="O13" s="13" t="str">
        <f>IF(TTM!O13="","",IFERROR(MAX(MIN(TTM!O13,1),-0.3),""))</f>
        <v/>
      </c>
      <c r="P13" s="13" t="str">
        <f>IF(TTM!P13="","",IFERROR(MAX(MIN(TTM!P13,1),-0.3),""))</f>
        <v/>
      </c>
      <c r="Q13" s="13" t="str">
        <f>IF(TTM!Q13="","",IFERROR(MAX(MIN(TTM!Q13,1),-0.3),""))</f>
        <v/>
      </c>
      <c r="R13" s="13" t="str">
        <f>IF(TTM!R13="","",IFERROR(MAX(MIN(TTM!R13,1),-0.3),""))</f>
        <v/>
      </c>
      <c r="S13" s="13" t="str">
        <f>IF(TTM!S13="","",IFERROR(MAX(MIN(TTM!S13,1),-0.3),""))</f>
        <v/>
      </c>
      <c r="T13" s="13" t="str">
        <f>IF(TTM!T13="","",IFERROR(MAX(MIN(TTM!T13,1),-0.3),""))</f>
        <v/>
      </c>
      <c r="U13" s="11"/>
    </row>
    <row r="14" spans="1:21" ht="14">
      <c r="A14" s="14" t="s">
        <v>39</v>
      </c>
      <c r="B14" s="13" t="str">
        <f>IF(TTM!B14="","",IFERROR(MAX(MIN(TTM!B14,1),-0.3),""))</f>
        <v/>
      </c>
      <c r="C14" s="13" t="str">
        <f>IF(TTM!C14="","",IFERROR(MAX(MIN(TTM!C14,1),-0.3),""))</f>
        <v/>
      </c>
      <c r="D14" s="13">
        <f>IF(TTM!D14="","",IFERROR(MAX(MIN(TTM!D14,1),-0.3),""))</f>
        <v>1</v>
      </c>
      <c r="E14" s="13" t="str">
        <f>IF(TTM!E14="","",IFERROR(MAX(MIN(TTM!E14,1),-0.3),""))</f>
        <v/>
      </c>
      <c r="F14" s="13" t="str">
        <f>IF(TTM!F14="","",IFERROR(MAX(MIN(TTM!F14,1),-0.3),""))</f>
        <v/>
      </c>
      <c r="G14" s="13" t="str">
        <f>IF(TTM!G14="","",IFERROR(MAX(MIN(TTM!G14,1),-0.3),""))</f>
        <v/>
      </c>
      <c r="H14" s="13" t="str">
        <f>IF(TTM!H14="","",IFERROR(MAX(MIN(TTM!H14,1),-0.3),""))</f>
        <v/>
      </c>
      <c r="I14" s="13" t="str">
        <f>IF(TTM!I14="","",IFERROR(MAX(MIN(TTM!I14,1),-0.3),""))</f>
        <v/>
      </c>
      <c r="J14" s="13" t="str">
        <f>IF(TTM!J14="","",IFERROR(MAX(MIN(TTM!J14,1),-0.3),""))</f>
        <v/>
      </c>
      <c r="K14" s="13" t="str">
        <f>IF(TTM!K14="","",IFERROR(MAX(MIN(TTM!K14,1),-0.3),""))</f>
        <v/>
      </c>
      <c r="L14" s="13" t="str">
        <f>IF(TTM!L14="","",IFERROR(MAX(MIN(TTM!L14,1),-0.3),""))</f>
        <v/>
      </c>
      <c r="M14" s="13" t="str">
        <f>IF(TTM!M14="","",IFERROR(MAX(MIN(TTM!M14,1),-0.3),""))</f>
        <v/>
      </c>
      <c r="N14" s="13" t="str">
        <f>IF(TTM!N14="","",IFERROR(MAX(MIN(TTM!N14,1),-0.3),""))</f>
        <v/>
      </c>
      <c r="O14" s="13" t="str">
        <f>IF(TTM!O14="","",IFERROR(MAX(MIN(TTM!O14,1),-0.3),""))</f>
        <v/>
      </c>
      <c r="P14" s="13" t="str">
        <f>IF(TTM!P14="","",IFERROR(MAX(MIN(TTM!P14,1),-0.3),""))</f>
        <v/>
      </c>
      <c r="Q14" s="13" t="str">
        <f>IF(TTM!Q14="","",IFERROR(MAX(MIN(TTM!Q14,1),-0.3),""))</f>
        <v/>
      </c>
      <c r="R14" s="13" t="str">
        <f>IF(TTM!R14="","",IFERROR(MAX(MIN(TTM!R14,1),-0.3),""))</f>
        <v/>
      </c>
      <c r="S14" s="13" t="str">
        <f>IF(TTM!S14="","",IFERROR(MAX(MIN(TTM!S14,1),-0.3),""))</f>
        <v/>
      </c>
      <c r="T14" s="13" t="str">
        <f>IF(TTM!T14="","",IFERROR(MAX(MIN(TTM!T14,1),-0.3),""))</f>
        <v/>
      </c>
      <c r="U14" s="11"/>
    </row>
    <row r="15" spans="1:21" ht="14">
      <c r="A15" s="14" t="s">
        <v>40</v>
      </c>
      <c r="B15" s="13" t="str">
        <f>IF(TTM!B15="","",IFERROR(MAX(MIN(TTM!B15,1),-0.3),""))</f>
        <v/>
      </c>
      <c r="C15" s="13">
        <f>IF(TTM!C15="","",IFERROR(MAX(MIN(TTM!C15,1),-0.3),""))</f>
        <v>1</v>
      </c>
      <c r="D15" s="13">
        <f>IF(TTM!D15="","",IFERROR(MAX(MIN(TTM!D15,1),-0.3),""))</f>
        <v>1</v>
      </c>
      <c r="E15" s="13" t="str">
        <f>IF(TTM!E15="","",IFERROR(MAX(MIN(TTM!E15,1),-0.3),""))</f>
        <v/>
      </c>
      <c r="F15" s="13" t="str">
        <f>IF(TTM!F15="","",IFERROR(MAX(MIN(TTM!F15,1),-0.3),""))</f>
        <v/>
      </c>
      <c r="G15" s="13" t="str">
        <f>IF(TTM!G15="","",IFERROR(MAX(MIN(TTM!G15,1),-0.3),""))</f>
        <v/>
      </c>
      <c r="H15" s="13" t="str">
        <f>IF(TTM!H15="","",IFERROR(MAX(MIN(TTM!H15,1),-0.3),""))</f>
        <v/>
      </c>
      <c r="I15" s="13" t="str">
        <f>IF(TTM!I15="","",IFERROR(MAX(MIN(TTM!I15,1),-0.3),""))</f>
        <v/>
      </c>
      <c r="J15" s="13" t="str">
        <f>IF(TTM!J15="","",IFERROR(MAX(MIN(TTM!J15,1),-0.3),""))</f>
        <v/>
      </c>
      <c r="K15" s="13" t="str">
        <f>IF(TTM!K15="","",IFERROR(MAX(MIN(TTM!K15,1),-0.3),""))</f>
        <v/>
      </c>
      <c r="L15" s="13" t="str">
        <f>IF(TTM!L15="","",IFERROR(MAX(MIN(TTM!L15,1),-0.3),""))</f>
        <v/>
      </c>
      <c r="M15" s="13" t="str">
        <f>IF(TTM!M15="","",IFERROR(MAX(MIN(TTM!M15,1),-0.3),""))</f>
        <v/>
      </c>
      <c r="N15" s="13" t="str">
        <f>IF(TTM!N15="","",IFERROR(MAX(MIN(TTM!N15,1),-0.3),""))</f>
        <v/>
      </c>
      <c r="O15" s="13" t="str">
        <f>IF(TTM!O15="","",IFERROR(MAX(MIN(TTM!O15,1),-0.3),""))</f>
        <v/>
      </c>
      <c r="P15" s="13" t="str">
        <f>IF(TTM!P15="","",IFERROR(MAX(MIN(TTM!P15,1),-0.3),""))</f>
        <v/>
      </c>
      <c r="Q15" s="13" t="str">
        <f>IF(TTM!Q15="","",IFERROR(MAX(MIN(TTM!Q15,1),-0.3),""))</f>
        <v/>
      </c>
      <c r="R15" s="13" t="str">
        <f>IF(TTM!R15="","",IFERROR(MAX(MIN(TTM!R15,1),-0.3),""))</f>
        <v/>
      </c>
      <c r="S15" s="13" t="str">
        <f>IF(TTM!S15="","",IFERROR(MAX(MIN(TTM!S15,1),-0.3),""))</f>
        <v/>
      </c>
      <c r="T15" s="13" t="str">
        <f>IF(TTM!T15="","",IFERROR(MAX(MIN(TTM!T15,1),-0.3),""))</f>
        <v/>
      </c>
      <c r="U15" s="11"/>
    </row>
    <row r="16" spans="1:21" ht="14">
      <c r="A16" s="14" t="s">
        <v>41</v>
      </c>
      <c r="B16" s="13" t="str">
        <f>IF(TTM!B16="","",IFERROR(MAX(MIN(TTM!B16,1),-0.3),""))</f>
        <v/>
      </c>
      <c r="C16" s="13">
        <f>IF(TTM!C16="","",IFERROR(MAX(MIN(TTM!C16,1),-0.3),""))</f>
        <v>1</v>
      </c>
      <c r="D16" s="13">
        <f>IF(TTM!D16="","",IFERROR(MAX(MIN(TTM!D16,1),-0.3),""))</f>
        <v>1</v>
      </c>
      <c r="E16" s="13" t="str">
        <f>IF(TTM!E16="","",IFERROR(MAX(MIN(TTM!E16,1),-0.3),""))</f>
        <v/>
      </c>
      <c r="F16" s="13" t="str">
        <f>IF(TTM!F16="","",IFERROR(MAX(MIN(TTM!F16,1),-0.3),""))</f>
        <v/>
      </c>
      <c r="G16" s="13" t="str">
        <f>IF(TTM!G16="","",IFERROR(MAX(MIN(TTM!G16,1),-0.3),""))</f>
        <v/>
      </c>
      <c r="H16" s="13" t="str">
        <f>IF(TTM!H16="","",IFERROR(MAX(MIN(TTM!H16,1),-0.3),""))</f>
        <v/>
      </c>
      <c r="I16" s="13" t="str">
        <f>IF(TTM!I16="","",IFERROR(MAX(MIN(TTM!I16,1),-0.3),""))</f>
        <v/>
      </c>
      <c r="J16" s="13" t="str">
        <f>IF(TTM!J16="","",IFERROR(MAX(MIN(TTM!J16,1),-0.3),""))</f>
        <v/>
      </c>
      <c r="K16" s="13" t="str">
        <f>IF(TTM!K16="","",IFERROR(MAX(MIN(TTM!K16,1),-0.3),""))</f>
        <v/>
      </c>
      <c r="L16" s="13" t="str">
        <f>IF(TTM!L16="","",IFERROR(MAX(MIN(TTM!L16,1),-0.3),""))</f>
        <v/>
      </c>
      <c r="M16" s="13" t="str">
        <f>IF(TTM!M16="","",IFERROR(MAX(MIN(TTM!M16,1),-0.3),""))</f>
        <v/>
      </c>
      <c r="N16" s="13" t="str">
        <f>IF(TTM!N16="","",IFERROR(MAX(MIN(TTM!N16,1),-0.3),""))</f>
        <v/>
      </c>
      <c r="O16" s="13" t="str">
        <f>IF(TTM!O16="","",IFERROR(MAX(MIN(TTM!O16,1),-0.3),""))</f>
        <v/>
      </c>
      <c r="P16" s="13" t="str">
        <f>IF(TTM!P16="","",IFERROR(MAX(MIN(TTM!P16,1),-0.3),""))</f>
        <v/>
      </c>
      <c r="Q16" s="13" t="str">
        <f>IF(TTM!Q16="","",IFERROR(MAX(MIN(TTM!Q16,1),-0.3),""))</f>
        <v/>
      </c>
      <c r="R16" s="13" t="str">
        <f>IF(TTM!R16="","",IFERROR(MAX(MIN(TTM!R16,1),-0.3),""))</f>
        <v/>
      </c>
      <c r="S16" s="13" t="str">
        <f>IF(TTM!S16="","",IFERROR(MAX(MIN(TTM!S16,1),-0.3),""))</f>
        <v/>
      </c>
      <c r="T16" s="13" t="str">
        <f>IF(TTM!T16="","",IFERROR(MAX(MIN(TTM!T16,1),-0.3),""))</f>
        <v/>
      </c>
      <c r="U16" s="11"/>
    </row>
    <row r="17" spans="1:21" ht="14">
      <c r="A17" s="14" t="s">
        <v>42</v>
      </c>
      <c r="B17" s="13" t="str">
        <f>IF(TTM!B17="","",IFERROR(MAX(MIN(TTM!B17,1),-0.3),""))</f>
        <v/>
      </c>
      <c r="C17" s="13">
        <f>IF(TTM!C17="","",IFERROR(MAX(MIN(TTM!C17,1),-0.3),""))</f>
        <v>1</v>
      </c>
      <c r="D17" s="13">
        <f>IF(TTM!D17="","",IFERROR(MAX(MIN(TTM!D17,1),-0.3),""))</f>
        <v>1</v>
      </c>
      <c r="E17" s="13" t="str">
        <f>IF(TTM!E17="","",IFERROR(MAX(MIN(TTM!E17,1),-0.3),""))</f>
        <v/>
      </c>
      <c r="F17" s="13" t="str">
        <f>IF(TTM!F17="","",IFERROR(MAX(MIN(TTM!F17,1),-0.3),""))</f>
        <v/>
      </c>
      <c r="G17" s="13" t="str">
        <f>IF(TTM!G17="","",IFERROR(MAX(MIN(TTM!G17,1),-0.3),""))</f>
        <v/>
      </c>
      <c r="H17" s="13" t="str">
        <f>IF(TTM!H17="","",IFERROR(MAX(MIN(TTM!H17,1),-0.3),""))</f>
        <v/>
      </c>
      <c r="I17" s="13" t="str">
        <f>IF(TTM!I17="","",IFERROR(MAX(MIN(TTM!I17,1),-0.3),""))</f>
        <v/>
      </c>
      <c r="J17" s="13" t="str">
        <f>IF(TTM!J17="","",IFERROR(MAX(MIN(TTM!J17,1),-0.3),""))</f>
        <v/>
      </c>
      <c r="K17" s="13" t="str">
        <f>IF(TTM!K17="","",IFERROR(MAX(MIN(TTM!K17,1),-0.3),""))</f>
        <v/>
      </c>
      <c r="L17" s="13" t="str">
        <f>IF(TTM!L17="","",IFERROR(MAX(MIN(TTM!L17,1),-0.3),""))</f>
        <v/>
      </c>
      <c r="M17" s="13" t="str">
        <f>IF(TTM!M17="","",IFERROR(MAX(MIN(TTM!M17,1),-0.3),""))</f>
        <v/>
      </c>
      <c r="N17" s="13" t="str">
        <f>IF(TTM!N17="","",IFERROR(MAX(MIN(TTM!N17,1),-0.3),""))</f>
        <v/>
      </c>
      <c r="O17" s="13" t="str">
        <f>IF(TTM!O17="","",IFERROR(MAX(MIN(TTM!O17,1),-0.3),""))</f>
        <v/>
      </c>
      <c r="P17" s="13" t="str">
        <f>IF(TTM!P17="","",IFERROR(MAX(MIN(TTM!P17,1),-0.3),""))</f>
        <v/>
      </c>
      <c r="Q17" s="13" t="str">
        <f>IF(TTM!Q17="","",IFERROR(MAX(MIN(TTM!Q17,1),-0.3),""))</f>
        <v/>
      </c>
      <c r="R17" s="13" t="str">
        <f>IF(TTM!R17="","",IFERROR(MAX(MIN(TTM!R17,1),-0.3),""))</f>
        <v/>
      </c>
      <c r="S17" s="13" t="str">
        <f>IF(TTM!S17="","",IFERROR(MAX(MIN(TTM!S17,1),-0.3),""))</f>
        <v/>
      </c>
      <c r="T17" s="13" t="str">
        <f>IF(TTM!T17="","",IFERROR(MAX(MIN(TTM!T17,1),-0.3),""))</f>
        <v/>
      </c>
      <c r="U17" s="11"/>
    </row>
    <row r="18" spans="1:21" ht="14">
      <c r="A18" s="14" t="s">
        <v>43</v>
      </c>
      <c r="B18" s="13" t="str">
        <f>IF(TTM!B18="","",IFERROR(MAX(MIN(TTM!B18,1),-0.3),""))</f>
        <v/>
      </c>
      <c r="C18" s="13">
        <f>IF(TTM!C18="","",IFERROR(MAX(MIN(TTM!C18,1),-0.3),""))</f>
        <v>1</v>
      </c>
      <c r="D18" s="13">
        <f>IF(TTM!D18="","",IFERROR(MAX(MIN(TTM!D18,1),-0.3),""))</f>
        <v>1</v>
      </c>
      <c r="E18" s="13" t="str">
        <f>IF(TTM!E18="","",IFERROR(MAX(MIN(TTM!E18,1),-0.3),""))</f>
        <v/>
      </c>
      <c r="F18" s="13" t="str">
        <f>IF(TTM!F18="","",IFERROR(MAX(MIN(TTM!F18,1),-0.3),""))</f>
        <v/>
      </c>
      <c r="G18" s="13" t="str">
        <f>IF(TTM!G18="","",IFERROR(MAX(MIN(TTM!G18,1),-0.3),""))</f>
        <v/>
      </c>
      <c r="H18" s="13" t="str">
        <f>IF(TTM!H18="","",IFERROR(MAX(MIN(TTM!H18,1),-0.3),""))</f>
        <v/>
      </c>
      <c r="I18" s="13" t="str">
        <f>IF(TTM!I18="","",IFERROR(MAX(MIN(TTM!I18,1),-0.3),""))</f>
        <v/>
      </c>
      <c r="J18" s="13" t="str">
        <f>IF(TTM!J18="","",IFERROR(MAX(MIN(TTM!J18,1),-0.3),""))</f>
        <v/>
      </c>
      <c r="K18" s="13" t="str">
        <f>IF(TTM!K18="","",IFERROR(MAX(MIN(TTM!K18,1),-0.3),""))</f>
        <v/>
      </c>
      <c r="L18" s="13" t="str">
        <f>IF(TTM!L18="","",IFERROR(MAX(MIN(TTM!L18,1),-0.3),""))</f>
        <v/>
      </c>
      <c r="M18" s="13" t="str">
        <f>IF(TTM!M18="","",IFERROR(MAX(MIN(TTM!M18,1),-0.3),""))</f>
        <v/>
      </c>
      <c r="N18" s="13" t="str">
        <f>IF(TTM!N18="","",IFERROR(MAX(MIN(TTM!N18,1),-0.3),""))</f>
        <v/>
      </c>
      <c r="O18" s="13" t="str">
        <f>IF(TTM!O18="","",IFERROR(MAX(MIN(TTM!O18,1),-0.3),""))</f>
        <v/>
      </c>
      <c r="P18" s="13" t="str">
        <f>IF(TTM!P18="","",IFERROR(MAX(MIN(TTM!P18,1),-0.3),""))</f>
        <v/>
      </c>
      <c r="Q18" s="13" t="str">
        <f>IF(TTM!Q18="","",IFERROR(MAX(MIN(TTM!Q18,1),-0.3),""))</f>
        <v/>
      </c>
      <c r="R18" s="13" t="str">
        <f>IF(TTM!R18="","",IFERROR(MAX(MIN(TTM!R18,1),-0.3),""))</f>
        <v/>
      </c>
      <c r="S18" s="13" t="str">
        <f>IF(TTM!S18="","",IFERROR(MAX(MIN(TTM!S18,1),-0.3),""))</f>
        <v/>
      </c>
      <c r="T18" s="13" t="str">
        <f>IF(TTM!T18="","",IFERROR(MAX(MIN(TTM!T18,1),-0.3),""))</f>
        <v/>
      </c>
      <c r="U18" s="11"/>
    </row>
    <row r="19" spans="1:21" ht="14">
      <c r="A19" s="14" t="s">
        <v>44</v>
      </c>
      <c r="B19" s="13" t="str">
        <f>IF(TTM!B19="","",IFERROR(MAX(MIN(TTM!B19,1),-0.3),""))</f>
        <v/>
      </c>
      <c r="C19" s="13">
        <f>IF(TTM!C19="","",IFERROR(MAX(MIN(TTM!C19,1),-0.3),""))</f>
        <v>1</v>
      </c>
      <c r="D19" s="13">
        <f>IF(TTM!D19="","",IFERROR(MAX(MIN(TTM!D19,1),-0.3),""))</f>
        <v>1</v>
      </c>
      <c r="E19" s="13" t="str">
        <f>IF(TTM!E19="","",IFERROR(MAX(MIN(TTM!E19,1),-0.3),""))</f>
        <v/>
      </c>
      <c r="F19" s="13" t="str">
        <f>IF(TTM!F19="","",IFERROR(MAX(MIN(TTM!F19,1),-0.3),""))</f>
        <v/>
      </c>
      <c r="G19" s="13" t="str">
        <f>IF(TTM!G19="","",IFERROR(MAX(MIN(TTM!G19,1),-0.3),""))</f>
        <v/>
      </c>
      <c r="H19" s="13" t="str">
        <f>IF(TTM!H19="","",IFERROR(MAX(MIN(TTM!H19,1),-0.3),""))</f>
        <v/>
      </c>
      <c r="I19" s="13" t="str">
        <f>IF(TTM!I19="","",IFERROR(MAX(MIN(TTM!I19,1),-0.3),""))</f>
        <v/>
      </c>
      <c r="J19" s="13" t="str">
        <f>IF(TTM!J19="","",IFERROR(MAX(MIN(TTM!J19,1),-0.3),""))</f>
        <v/>
      </c>
      <c r="K19" s="13" t="str">
        <f>IF(TTM!K19="","",IFERROR(MAX(MIN(TTM!K19,1),-0.3),""))</f>
        <v/>
      </c>
      <c r="L19" s="13" t="str">
        <f>IF(TTM!L19="","",IFERROR(MAX(MIN(TTM!L19,1),-0.3),""))</f>
        <v/>
      </c>
      <c r="M19" s="13" t="str">
        <f>IF(TTM!M19="","",IFERROR(MAX(MIN(TTM!M19,1),-0.3),""))</f>
        <v/>
      </c>
      <c r="N19" s="13" t="str">
        <f>IF(TTM!N19="","",IFERROR(MAX(MIN(TTM!N19,1),-0.3),""))</f>
        <v/>
      </c>
      <c r="O19" s="13" t="str">
        <f>IF(TTM!O19="","",IFERROR(MAX(MIN(TTM!O19,1),-0.3),""))</f>
        <v/>
      </c>
      <c r="P19" s="13" t="str">
        <f>IF(TTM!P19="","",IFERROR(MAX(MIN(TTM!P19,1),-0.3),""))</f>
        <v/>
      </c>
      <c r="Q19" s="13" t="str">
        <f>IF(TTM!Q19="","",IFERROR(MAX(MIN(TTM!Q19,1),-0.3),""))</f>
        <v/>
      </c>
      <c r="R19" s="13">
        <f>IF(TTM!R19="","",IFERROR(MAX(MIN(TTM!R19,1),-0.3),""))</f>
        <v>1</v>
      </c>
      <c r="S19" s="13" t="str">
        <f>IF(TTM!S19="","",IFERROR(MAX(MIN(TTM!S19,1),-0.3),""))</f>
        <v/>
      </c>
      <c r="T19" s="13" t="str">
        <f>IF(TTM!T19="","",IFERROR(MAX(MIN(TTM!T19,1),-0.3),""))</f>
        <v/>
      </c>
      <c r="U19" s="11"/>
    </row>
    <row r="20" spans="1:21" ht="14">
      <c r="A20" s="14" t="s">
        <v>45</v>
      </c>
      <c r="B20" s="13" t="str">
        <f>IF(TTM!B20="","",IFERROR(MAX(MIN(TTM!B20,1),-0.3),""))</f>
        <v/>
      </c>
      <c r="C20" s="13">
        <f>IF(TTM!C20="","",IFERROR(MAX(MIN(TTM!C20,1),-0.3),""))</f>
        <v>0.75468381024910891</v>
      </c>
      <c r="D20" s="13">
        <f>IF(TTM!D20="","",IFERROR(MAX(MIN(TTM!D20,1),-0.3),""))</f>
        <v>1</v>
      </c>
      <c r="E20" s="13" t="str">
        <f>IF(TTM!E20="","",IFERROR(MAX(MIN(TTM!E20,1),-0.3),""))</f>
        <v/>
      </c>
      <c r="F20" s="13" t="str">
        <f>IF(TTM!F20="","",IFERROR(MAX(MIN(TTM!F20,1),-0.3),""))</f>
        <v/>
      </c>
      <c r="G20" s="13" t="str">
        <f>IF(TTM!G20="","",IFERROR(MAX(MIN(TTM!G20,1),-0.3),""))</f>
        <v/>
      </c>
      <c r="H20" s="13" t="str">
        <f>IF(TTM!H20="","",IFERROR(MAX(MIN(TTM!H20,1),-0.3),""))</f>
        <v/>
      </c>
      <c r="I20" s="13" t="str">
        <f>IF(TTM!I20="","",IFERROR(MAX(MIN(TTM!I20,1),-0.3),""))</f>
        <v/>
      </c>
      <c r="J20" s="13" t="str">
        <f>IF(TTM!J20="","",IFERROR(MAX(MIN(TTM!J20,1),-0.3),""))</f>
        <v/>
      </c>
      <c r="K20" s="13" t="str">
        <f>IF(TTM!K20="","",IFERROR(MAX(MIN(TTM!K20,1),-0.3),""))</f>
        <v/>
      </c>
      <c r="L20" s="13" t="str">
        <f>IF(TTM!L20="","",IFERROR(MAX(MIN(TTM!L20,1),-0.3),""))</f>
        <v/>
      </c>
      <c r="M20" s="13" t="str">
        <f>IF(TTM!M20="","",IFERROR(MAX(MIN(TTM!M20,1),-0.3),""))</f>
        <v/>
      </c>
      <c r="N20" s="13" t="str">
        <f>IF(TTM!N20="","",IFERROR(MAX(MIN(TTM!N20,1),-0.3),""))</f>
        <v/>
      </c>
      <c r="O20" s="13" t="str">
        <f>IF(TTM!O20="","",IFERROR(MAX(MIN(TTM!O20,1),-0.3),""))</f>
        <v/>
      </c>
      <c r="P20" s="13" t="str">
        <f>IF(TTM!P20="","",IFERROR(MAX(MIN(TTM!P20,1),-0.3),""))</f>
        <v/>
      </c>
      <c r="Q20" s="13" t="str">
        <f>IF(TTM!Q20="","",IFERROR(MAX(MIN(TTM!Q20,1),-0.3),""))</f>
        <v/>
      </c>
      <c r="R20" s="13">
        <f>IF(TTM!R20="","",IFERROR(MAX(MIN(TTM!R20,1),-0.3),""))</f>
        <v>1</v>
      </c>
      <c r="S20" s="13" t="str">
        <f>IF(TTM!S20="","",IFERROR(MAX(MIN(TTM!S20,1),-0.3),""))</f>
        <v/>
      </c>
      <c r="T20" s="13" t="str">
        <f>IF(TTM!T20="","",IFERROR(MAX(MIN(TTM!T20,1),-0.3),""))</f>
        <v/>
      </c>
      <c r="U20" s="11"/>
    </row>
    <row r="21" spans="1:21" ht="14">
      <c r="A21" s="14" t="s">
        <v>46</v>
      </c>
      <c r="B21" s="13" t="str">
        <f>IF(TTM!B21="","",IFERROR(MAX(MIN(TTM!B21,1),-0.3),""))</f>
        <v/>
      </c>
      <c r="C21" s="13">
        <f>IF(TTM!C21="","",IFERROR(MAX(MIN(TTM!C21,1),-0.3),""))</f>
        <v>0.35158376765284494</v>
      </c>
      <c r="D21" s="13">
        <f>IF(TTM!D21="","",IFERROR(MAX(MIN(TTM!D21,1),-0.3),""))</f>
        <v>1</v>
      </c>
      <c r="E21" s="13" t="str">
        <f>IF(TTM!E21="","",IFERROR(MAX(MIN(TTM!E21,1),-0.3),""))</f>
        <v/>
      </c>
      <c r="F21" s="13" t="str">
        <f>IF(TTM!F21="","",IFERROR(MAX(MIN(TTM!F21,1),-0.3),""))</f>
        <v/>
      </c>
      <c r="G21" s="13" t="str">
        <f>IF(TTM!G21="","",IFERROR(MAX(MIN(TTM!G21,1),-0.3),""))</f>
        <v/>
      </c>
      <c r="H21" s="13" t="str">
        <f>IF(TTM!H21="","",IFERROR(MAX(MIN(TTM!H21,1),-0.3),""))</f>
        <v/>
      </c>
      <c r="I21" s="13" t="str">
        <f>IF(TTM!I21="","",IFERROR(MAX(MIN(TTM!I21,1),-0.3),""))</f>
        <v/>
      </c>
      <c r="J21" s="13" t="str">
        <f>IF(TTM!J21="","",IFERROR(MAX(MIN(TTM!J21,1),-0.3),""))</f>
        <v/>
      </c>
      <c r="K21" s="13" t="str">
        <f>IF(TTM!K21="","",IFERROR(MAX(MIN(TTM!K21,1),-0.3),""))</f>
        <v/>
      </c>
      <c r="L21" s="13" t="str">
        <f>IF(TTM!L21="","",IFERROR(MAX(MIN(TTM!L21,1),-0.3),""))</f>
        <v/>
      </c>
      <c r="M21" s="13" t="str">
        <f>IF(TTM!M21="","",IFERROR(MAX(MIN(TTM!M21,1),-0.3),""))</f>
        <v/>
      </c>
      <c r="N21" s="13" t="str">
        <f>IF(TTM!N21="","",IFERROR(MAX(MIN(TTM!N21,1),-0.3),""))</f>
        <v/>
      </c>
      <c r="O21" s="13" t="str">
        <f>IF(TTM!O21="","",IFERROR(MAX(MIN(TTM!O21,1),-0.3),""))</f>
        <v/>
      </c>
      <c r="P21" s="13" t="str">
        <f>IF(TTM!P21="","",IFERROR(MAX(MIN(TTM!P21,1),-0.3),""))</f>
        <v/>
      </c>
      <c r="Q21" s="13" t="str">
        <f>IF(TTM!Q21="","",IFERROR(MAX(MIN(TTM!Q21,1),-0.3),""))</f>
        <v/>
      </c>
      <c r="R21" s="13">
        <f>IF(TTM!R21="","",IFERROR(MAX(MIN(TTM!R21,1),-0.3),""))</f>
        <v>1</v>
      </c>
      <c r="S21" s="13" t="str">
        <f>IF(TTM!S21="","",IFERROR(MAX(MIN(TTM!S21,1),-0.3),""))</f>
        <v/>
      </c>
      <c r="T21" s="13" t="str">
        <f>IF(TTM!T21="","",IFERROR(MAX(MIN(TTM!T21,1),-0.3),""))</f>
        <v/>
      </c>
      <c r="U21" s="11"/>
    </row>
    <row r="22" spans="1:21" ht="14">
      <c r="A22" s="14" t="s">
        <v>47</v>
      </c>
      <c r="B22" s="13" t="str">
        <f>IF(TTM!B22="","",IFERROR(MAX(MIN(TTM!B22,1),-0.3),""))</f>
        <v/>
      </c>
      <c r="C22" s="13">
        <f>IF(TTM!C22="","",IFERROR(MAX(MIN(TTM!C22,1),-0.3),""))</f>
        <v>-5.1516274943418927E-2</v>
      </c>
      <c r="D22" s="13">
        <f>IF(TTM!D22="","",IFERROR(MAX(MIN(TTM!D22,1),-0.3),""))</f>
        <v>1</v>
      </c>
      <c r="E22" s="13">
        <f>IF(TTM!E22="","",IFERROR(MAX(MIN(TTM!E22,1),-0.3),""))</f>
        <v>1</v>
      </c>
      <c r="F22" s="13" t="str">
        <f>IF(TTM!F22="","",IFERROR(MAX(MIN(TTM!F22,1),-0.3),""))</f>
        <v/>
      </c>
      <c r="G22" s="13" t="str">
        <f>IF(TTM!G22="","",IFERROR(MAX(MIN(TTM!G22,1),-0.3),""))</f>
        <v/>
      </c>
      <c r="H22" s="13" t="str">
        <f>IF(TTM!H22="","",IFERROR(MAX(MIN(TTM!H22,1),-0.3),""))</f>
        <v/>
      </c>
      <c r="I22" s="13" t="str">
        <f>IF(TTM!I22="","",IFERROR(MAX(MIN(TTM!I22,1),-0.3),""))</f>
        <v/>
      </c>
      <c r="J22" s="13" t="str">
        <f>IF(TTM!J22="","",IFERROR(MAX(MIN(TTM!J22,1),-0.3),""))</f>
        <v/>
      </c>
      <c r="K22" s="13" t="str">
        <f>IF(TTM!K22="","",IFERROR(MAX(MIN(TTM!K22,1),-0.3),""))</f>
        <v/>
      </c>
      <c r="L22" s="13" t="str">
        <f>IF(TTM!L22="","",IFERROR(MAX(MIN(TTM!L22,1),-0.3),""))</f>
        <v/>
      </c>
      <c r="M22" s="13" t="str">
        <f>IF(TTM!M22="","",IFERROR(MAX(MIN(TTM!M22,1),-0.3),""))</f>
        <v/>
      </c>
      <c r="N22" s="13" t="str">
        <f>IF(TTM!N22="","",IFERROR(MAX(MIN(TTM!N22,1),-0.3),""))</f>
        <v/>
      </c>
      <c r="O22" s="13" t="str">
        <f>IF(TTM!O22="","",IFERROR(MAX(MIN(TTM!O22,1),-0.3),""))</f>
        <v/>
      </c>
      <c r="P22" s="13" t="str">
        <f>IF(TTM!P22="","",IFERROR(MAX(MIN(TTM!P22,1),-0.3),""))</f>
        <v/>
      </c>
      <c r="Q22" s="13" t="str">
        <f>IF(TTM!Q22="","",IFERROR(MAX(MIN(TTM!Q22,1),-0.3),""))</f>
        <v/>
      </c>
      <c r="R22" s="13">
        <f>IF(TTM!R22="","",IFERROR(MAX(MIN(TTM!R22,1),-0.3),""))</f>
        <v>1</v>
      </c>
      <c r="S22" s="13" t="str">
        <f>IF(TTM!S22="","",IFERROR(MAX(MIN(TTM!S22,1),-0.3),""))</f>
        <v/>
      </c>
      <c r="T22" s="13" t="str">
        <f>IF(TTM!T22="","",IFERROR(MAX(MIN(TTM!T22,1),-0.3),""))</f>
        <v/>
      </c>
      <c r="U22" s="11"/>
    </row>
    <row r="23" spans="1:21" ht="14">
      <c r="A23" s="14" t="s">
        <v>48</v>
      </c>
      <c r="B23" s="13" t="str">
        <f>IF(TTM!B23="","",IFERROR(MAX(MIN(TTM!B23,1),-0.3),""))</f>
        <v/>
      </c>
      <c r="C23" s="13">
        <f>IF(TTM!C23="","",IFERROR(MAX(MIN(TTM!C23,1),-0.3),""))</f>
        <v>-7.4512301044103973E-2</v>
      </c>
      <c r="D23" s="13">
        <f>IF(TTM!D23="","",IFERROR(MAX(MIN(TTM!D23,1),-0.3),""))</f>
        <v>1</v>
      </c>
      <c r="E23" s="13">
        <f>IF(TTM!E23="","",IFERROR(MAX(MIN(TTM!E23,1),-0.3),""))</f>
        <v>1</v>
      </c>
      <c r="F23" s="13" t="str">
        <f>IF(TTM!F23="","",IFERROR(MAX(MIN(TTM!F23,1),-0.3),""))</f>
        <v/>
      </c>
      <c r="G23" s="13" t="str">
        <f>IF(TTM!G23="","",IFERROR(MAX(MIN(TTM!G23,1),-0.3),""))</f>
        <v/>
      </c>
      <c r="H23" s="13" t="str">
        <f>IF(TTM!H23="","",IFERROR(MAX(MIN(TTM!H23,1),-0.3),""))</f>
        <v/>
      </c>
      <c r="I23" s="13" t="str">
        <f>IF(TTM!I23="","",IFERROR(MAX(MIN(TTM!I23,1),-0.3),""))</f>
        <v/>
      </c>
      <c r="J23" s="13" t="str">
        <f>IF(TTM!J23="","",IFERROR(MAX(MIN(TTM!J23,1),-0.3),""))</f>
        <v/>
      </c>
      <c r="K23" s="13" t="str">
        <f>IF(TTM!K23="","",IFERROR(MAX(MIN(TTM!K23,1),-0.3),""))</f>
        <v/>
      </c>
      <c r="L23" s="13" t="str">
        <f>IF(TTM!L23="","",IFERROR(MAX(MIN(TTM!L23,1),-0.3),""))</f>
        <v/>
      </c>
      <c r="M23" s="13" t="str">
        <f>IF(TTM!M23="","",IFERROR(MAX(MIN(TTM!M23,1),-0.3),""))</f>
        <v/>
      </c>
      <c r="N23" s="13" t="str">
        <f>IF(TTM!N23="","",IFERROR(MAX(MIN(TTM!N23,1),-0.3),""))</f>
        <v/>
      </c>
      <c r="O23" s="13" t="str">
        <f>IF(TTM!O23="","",IFERROR(MAX(MIN(TTM!O23,1),-0.3),""))</f>
        <v/>
      </c>
      <c r="P23" s="13" t="str">
        <f>IF(TTM!P23="","",IFERROR(MAX(MIN(TTM!P23,1),-0.3),""))</f>
        <v/>
      </c>
      <c r="Q23" s="13" t="str">
        <f>IF(TTM!Q23="","",IFERROR(MAX(MIN(TTM!Q23,1),-0.3),""))</f>
        <v/>
      </c>
      <c r="R23" s="13">
        <f>IF(TTM!R23="","",IFERROR(MAX(MIN(TTM!R23,1),-0.3),""))</f>
        <v>1</v>
      </c>
      <c r="S23" s="13" t="str">
        <f>IF(TTM!S23="","",IFERROR(MAX(MIN(TTM!S23,1),-0.3),""))</f>
        <v/>
      </c>
      <c r="T23" s="13" t="str">
        <f>IF(TTM!T23="","",IFERROR(MAX(MIN(TTM!T23,1),-0.3),""))</f>
        <v/>
      </c>
      <c r="U23" s="11"/>
    </row>
    <row r="24" spans="1:21" ht="14">
      <c r="A24" s="14" t="s">
        <v>49</v>
      </c>
      <c r="B24" s="13" t="str">
        <f>IF(TTM!B24="","",IFERROR(MAX(MIN(TTM!B24,1),-0.3),""))</f>
        <v/>
      </c>
      <c r="C24" s="13">
        <f>IF(TTM!C24="","",IFERROR(MAX(MIN(TTM!C24,1),-0.3),""))</f>
        <v>-9.750832714478902E-2</v>
      </c>
      <c r="D24" s="13">
        <f>IF(TTM!D24="","",IFERROR(MAX(MIN(TTM!D24,1),-0.3),""))</f>
        <v>1</v>
      </c>
      <c r="E24" s="13">
        <f>IF(TTM!E24="","",IFERROR(MAX(MIN(TTM!E24,1),-0.3),""))</f>
        <v>1</v>
      </c>
      <c r="F24" s="13" t="str">
        <f>IF(TTM!F24="","",IFERROR(MAX(MIN(TTM!F24,1),-0.3),""))</f>
        <v/>
      </c>
      <c r="G24" s="13" t="str">
        <f>IF(TTM!G24="","",IFERROR(MAX(MIN(TTM!G24,1),-0.3),""))</f>
        <v/>
      </c>
      <c r="H24" s="13" t="str">
        <f>IF(TTM!H24="","",IFERROR(MAX(MIN(TTM!H24,1),-0.3),""))</f>
        <v/>
      </c>
      <c r="I24" s="13" t="str">
        <f>IF(TTM!I24="","",IFERROR(MAX(MIN(TTM!I24,1),-0.3),""))</f>
        <v/>
      </c>
      <c r="J24" s="13" t="str">
        <f>IF(TTM!J24="","",IFERROR(MAX(MIN(TTM!J24,1),-0.3),""))</f>
        <v/>
      </c>
      <c r="K24" s="13" t="str">
        <f>IF(TTM!K24="","",IFERROR(MAX(MIN(TTM!K24,1),-0.3),""))</f>
        <v/>
      </c>
      <c r="L24" s="13" t="str">
        <f>IF(TTM!L24="","",IFERROR(MAX(MIN(TTM!L24,1),-0.3),""))</f>
        <v/>
      </c>
      <c r="M24" s="13" t="str">
        <f>IF(TTM!M24="","",IFERROR(MAX(MIN(TTM!M24,1),-0.3),""))</f>
        <v/>
      </c>
      <c r="N24" s="13" t="str">
        <f>IF(TTM!N24="","",IFERROR(MAX(MIN(TTM!N24,1),-0.3),""))</f>
        <v/>
      </c>
      <c r="O24" s="13" t="str">
        <f>IF(TTM!O24="","",IFERROR(MAX(MIN(TTM!O24,1),-0.3),""))</f>
        <v/>
      </c>
      <c r="P24" s="13" t="str">
        <f>IF(TTM!P24="","",IFERROR(MAX(MIN(TTM!P24,1),-0.3),""))</f>
        <v/>
      </c>
      <c r="Q24" s="13" t="str">
        <f>IF(TTM!Q24="","",IFERROR(MAX(MIN(TTM!Q24,1),-0.3),""))</f>
        <v/>
      </c>
      <c r="R24" s="13">
        <f>IF(TTM!R24="","",IFERROR(MAX(MIN(TTM!R24,1),-0.3),""))</f>
        <v>1</v>
      </c>
      <c r="S24" s="13" t="str">
        <f>IF(TTM!S24="","",IFERROR(MAX(MIN(TTM!S24,1),-0.3),""))</f>
        <v/>
      </c>
      <c r="T24" s="13" t="str">
        <f>IF(TTM!T24="","",IFERROR(MAX(MIN(TTM!T24,1),-0.3),""))</f>
        <v/>
      </c>
      <c r="U24" s="11"/>
    </row>
    <row r="25" spans="1:21" ht="14">
      <c r="A25" s="14" t="s">
        <v>50</v>
      </c>
      <c r="B25" s="13" t="str">
        <f>IF(TTM!B25="","",IFERROR(MAX(MIN(TTM!B25,1),-0.3),""))</f>
        <v/>
      </c>
      <c r="C25" s="13">
        <f>IF(TTM!C25="","",IFERROR(MAX(MIN(TTM!C25,1),-0.3),""))</f>
        <v>-0.12050435324547407</v>
      </c>
      <c r="D25" s="13">
        <f>IF(TTM!D25="","",IFERROR(MAX(MIN(TTM!D25,1),-0.3),""))</f>
        <v>1</v>
      </c>
      <c r="E25" s="13">
        <f>IF(TTM!E25="","",IFERROR(MAX(MIN(TTM!E25,1),-0.3),""))</f>
        <v>1</v>
      </c>
      <c r="F25" s="13" t="str">
        <f>IF(TTM!F25="","",IFERROR(MAX(MIN(TTM!F25,1),-0.3),""))</f>
        <v/>
      </c>
      <c r="G25" s="13" t="str">
        <f>IF(TTM!G25="","",IFERROR(MAX(MIN(TTM!G25,1),-0.3),""))</f>
        <v/>
      </c>
      <c r="H25" s="13" t="str">
        <f>IF(TTM!H25="","",IFERROR(MAX(MIN(TTM!H25,1),-0.3),""))</f>
        <v/>
      </c>
      <c r="I25" s="13" t="str">
        <f>IF(TTM!I25="","",IFERROR(MAX(MIN(TTM!I25,1),-0.3),""))</f>
        <v/>
      </c>
      <c r="J25" s="13" t="str">
        <f>IF(TTM!J25="","",IFERROR(MAX(MIN(TTM!J25,1),-0.3),""))</f>
        <v/>
      </c>
      <c r="K25" s="13" t="str">
        <f>IF(TTM!K25="","",IFERROR(MAX(MIN(TTM!K25,1),-0.3),""))</f>
        <v/>
      </c>
      <c r="L25" s="13" t="str">
        <f>IF(TTM!L25="","",IFERROR(MAX(MIN(TTM!L25,1),-0.3),""))</f>
        <v/>
      </c>
      <c r="M25" s="13" t="str">
        <f>IF(TTM!M25="","",IFERROR(MAX(MIN(TTM!M25,1),-0.3),""))</f>
        <v/>
      </c>
      <c r="N25" s="13" t="str">
        <f>IF(TTM!N25="","",IFERROR(MAX(MIN(TTM!N25,1),-0.3),""))</f>
        <v/>
      </c>
      <c r="O25" s="13">
        <f>IF(TTM!O25="","",IFERROR(MAX(MIN(TTM!O25,1),-0.3),""))</f>
        <v>1</v>
      </c>
      <c r="P25" s="13" t="str">
        <f>IF(TTM!P25="","",IFERROR(MAX(MIN(TTM!P25,1),-0.3),""))</f>
        <v/>
      </c>
      <c r="Q25" s="13" t="str">
        <f>IF(TTM!Q25="","",IFERROR(MAX(MIN(TTM!Q25,1),-0.3),""))</f>
        <v/>
      </c>
      <c r="R25" s="13">
        <f>IF(TTM!R25="","",IFERROR(MAX(MIN(TTM!R25,1),-0.3),""))</f>
        <v>1</v>
      </c>
      <c r="S25" s="13" t="str">
        <f>IF(TTM!S25="","",IFERROR(MAX(MIN(TTM!S25,1),-0.3),""))</f>
        <v/>
      </c>
      <c r="T25" s="13" t="str">
        <f>IF(TTM!T25="","",IFERROR(MAX(MIN(TTM!T25,1),-0.3),""))</f>
        <v/>
      </c>
      <c r="U25" s="11"/>
    </row>
    <row r="26" spans="1:21" ht="14">
      <c r="A26" s="14" t="s">
        <v>51</v>
      </c>
      <c r="B26" s="13" t="str">
        <f>IF(TTM!B26="","",IFERROR(MAX(MIN(TTM!B26,1),-0.3),""))</f>
        <v/>
      </c>
      <c r="C26" s="13">
        <f>IF(TTM!C26="","",IFERROR(MAX(MIN(TTM!C26,1),-0.3),""))</f>
        <v>-0.14350037934615911</v>
      </c>
      <c r="D26" s="13">
        <f>IF(TTM!D26="","",IFERROR(MAX(MIN(TTM!D26,1),-0.3),""))</f>
        <v>1</v>
      </c>
      <c r="E26" s="13">
        <f>IF(TTM!E26="","",IFERROR(MAX(MIN(TTM!E26,1),-0.3),""))</f>
        <v>1</v>
      </c>
      <c r="F26" s="13" t="str">
        <f>IF(TTM!F26="","",IFERROR(MAX(MIN(TTM!F26,1),-0.3),""))</f>
        <v/>
      </c>
      <c r="G26" s="13" t="str">
        <f>IF(TTM!G26="","",IFERROR(MAX(MIN(TTM!G26,1),-0.3),""))</f>
        <v/>
      </c>
      <c r="H26" s="13" t="str">
        <f>IF(TTM!H26="","",IFERROR(MAX(MIN(TTM!H26,1),-0.3),""))</f>
        <v/>
      </c>
      <c r="I26" s="13" t="str">
        <f>IF(TTM!I26="","",IFERROR(MAX(MIN(TTM!I26,1),-0.3),""))</f>
        <v/>
      </c>
      <c r="J26" s="13" t="str">
        <f>IF(TTM!J26="","",IFERROR(MAX(MIN(TTM!J26,1),-0.3),""))</f>
        <v/>
      </c>
      <c r="K26" s="13" t="str">
        <f>IF(TTM!K26="","",IFERROR(MAX(MIN(TTM!K26,1),-0.3),""))</f>
        <v/>
      </c>
      <c r="L26" s="13" t="str">
        <f>IF(TTM!L26="","",IFERROR(MAX(MIN(TTM!L26,1),-0.3),""))</f>
        <v/>
      </c>
      <c r="M26" s="13" t="str">
        <f>IF(TTM!M26="","",IFERROR(MAX(MIN(TTM!M26,1),-0.3),""))</f>
        <v/>
      </c>
      <c r="N26" s="13" t="str">
        <f>IF(TTM!N26="","",IFERROR(MAX(MIN(TTM!N26,1),-0.3),""))</f>
        <v/>
      </c>
      <c r="O26" s="13">
        <f>IF(TTM!O26="","",IFERROR(MAX(MIN(TTM!O26,1),-0.3),""))</f>
        <v>1</v>
      </c>
      <c r="P26" s="13" t="str">
        <f>IF(TTM!P26="","",IFERROR(MAX(MIN(TTM!P26,1),-0.3),""))</f>
        <v/>
      </c>
      <c r="Q26" s="13" t="str">
        <f>IF(TTM!Q26="","",IFERROR(MAX(MIN(TTM!Q26,1),-0.3),""))</f>
        <v/>
      </c>
      <c r="R26" s="13">
        <f>IF(TTM!R26="","",IFERROR(MAX(MIN(TTM!R26,1),-0.3),""))</f>
        <v>1</v>
      </c>
      <c r="S26" s="13" t="str">
        <f>IF(TTM!S26="","",IFERROR(MAX(MIN(TTM!S26,1),-0.3),""))</f>
        <v/>
      </c>
      <c r="T26" s="13" t="str">
        <f>IF(TTM!T26="","",IFERROR(MAX(MIN(TTM!T26,1),-0.3),""))</f>
        <v/>
      </c>
      <c r="U26" s="11"/>
    </row>
    <row r="27" spans="1:21" ht="14">
      <c r="A27" s="14" t="s">
        <v>52</v>
      </c>
      <c r="B27" s="13" t="str">
        <f>IF(TTM!B27="","",IFERROR(MAX(MIN(TTM!B27,1),-0.3),""))</f>
        <v/>
      </c>
      <c r="C27" s="13">
        <f>IF(TTM!C27="","",IFERROR(MAX(MIN(TTM!C27,1),-0.3),""))</f>
        <v>-0.14248582739198551</v>
      </c>
      <c r="D27" s="13">
        <f>IF(TTM!D27="","",IFERROR(MAX(MIN(TTM!D27,1),-0.3),""))</f>
        <v>1</v>
      </c>
      <c r="E27" s="13">
        <f>IF(TTM!E27="","",IFERROR(MAX(MIN(TTM!E27,1),-0.3),""))</f>
        <v>1</v>
      </c>
      <c r="F27" s="13" t="str">
        <f>IF(TTM!F27="","",IFERROR(MAX(MIN(TTM!F27,1),-0.3),""))</f>
        <v/>
      </c>
      <c r="G27" s="13" t="str">
        <f>IF(TTM!G27="","",IFERROR(MAX(MIN(TTM!G27,1),-0.3),""))</f>
        <v/>
      </c>
      <c r="H27" s="13" t="str">
        <f>IF(TTM!H27="","",IFERROR(MAX(MIN(TTM!H27,1),-0.3),""))</f>
        <v/>
      </c>
      <c r="I27" s="13" t="str">
        <f>IF(TTM!I27="","",IFERROR(MAX(MIN(TTM!I27,1),-0.3),""))</f>
        <v/>
      </c>
      <c r="J27" s="13" t="str">
        <f>IF(TTM!J27="","",IFERROR(MAX(MIN(TTM!J27,1),-0.3),""))</f>
        <v/>
      </c>
      <c r="K27" s="13" t="str">
        <f>IF(TTM!K27="","",IFERROR(MAX(MIN(TTM!K27,1),-0.3),""))</f>
        <v/>
      </c>
      <c r="L27" s="13" t="str">
        <f>IF(TTM!L27="","",IFERROR(MAX(MIN(TTM!L27,1),-0.3),""))</f>
        <v/>
      </c>
      <c r="M27" s="13" t="str">
        <f>IF(TTM!M27="","",IFERROR(MAX(MIN(TTM!M27,1),-0.3),""))</f>
        <v/>
      </c>
      <c r="N27" s="13" t="str">
        <f>IF(TTM!N27="","",IFERROR(MAX(MIN(TTM!N27,1),-0.3),""))</f>
        <v/>
      </c>
      <c r="O27" s="13">
        <f>IF(TTM!O27="","",IFERROR(MAX(MIN(TTM!O27,1),-0.3),""))</f>
        <v>1</v>
      </c>
      <c r="P27" s="13" t="str">
        <f>IF(TTM!P27="","",IFERROR(MAX(MIN(TTM!P27,1),-0.3),""))</f>
        <v/>
      </c>
      <c r="Q27" s="13" t="str">
        <f>IF(TTM!Q27="","",IFERROR(MAX(MIN(TTM!Q27,1),-0.3),""))</f>
        <v/>
      </c>
      <c r="R27" s="13">
        <f>IF(TTM!R27="","",IFERROR(MAX(MIN(TTM!R27,1),-0.3),""))</f>
        <v>1</v>
      </c>
      <c r="S27" s="13" t="str">
        <f>IF(TTM!S27="","",IFERROR(MAX(MIN(TTM!S27,1),-0.3),""))</f>
        <v/>
      </c>
      <c r="T27" s="13" t="str">
        <f>IF(TTM!T27="","",IFERROR(MAX(MIN(TTM!T27,1),-0.3),""))</f>
        <v/>
      </c>
      <c r="U27" s="11"/>
    </row>
    <row r="28" spans="1:21" ht="14">
      <c r="A28" s="14" t="s">
        <v>53</v>
      </c>
      <c r="B28" s="13" t="str">
        <f>IF(TTM!B28="","",IFERROR(MAX(MIN(TTM!B28,1),-0.3),""))</f>
        <v/>
      </c>
      <c r="C28" s="13">
        <f>IF(TTM!C28="","",IFERROR(MAX(MIN(TTM!C28,1),-0.3),""))</f>
        <v>-0.14147127543781191</v>
      </c>
      <c r="D28" s="13">
        <f>IF(TTM!D28="","",IFERROR(MAX(MIN(TTM!D28,1),-0.3),""))</f>
        <v>1</v>
      </c>
      <c r="E28" s="13">
        <f>IF(TTM!E28="","",IFERROR(MAX(MIN(TTM!E28,1),-0.3),""))</f>
        <v>1</v>
      </c>
      <c r="F28" s="13" t="str">
        <f>IF(TTM!F28="","",IFERROR(MAX(MIN(TTM!F28,1),-0.3),""))</f>
        <v/>
      </c>
      <c r="G28" s="13" t="str">
        <f>IF(TTM!G28="","",IFERROR(MAX(MIN(TTM!G28,1),-0.3),""))</f>
        <v/>
      </c>
      <c r="H28" s="13" t="str">
        <f>IF(TTM!H28="","",IFERROR(MAX(MIN(TTM!H28,1),-0.3),""))</f>
        <v/>
      </c>
      <c r="I28" s="13" t="str">
        <f>IF(TTM!I28="","",IFERROR(MAX(MIN(TTM!I28,1),-0.3),""))</f>
        <v/>
      </c>
      <c r="J28" s="13" t="str">
        <f>IF(TTM!J28="","",IFERROR(MAX(MIN(TTM!J28,1),-0.3),""))</f>
        <v/>
      </c>
      <c r="K28" s="13" t="str">
        <f>IF(TTM!K28="","",IFERROR(MAX(MIN(TTM!K28,1),-0.3),""))</f>
        <v/>
      </c>
      <c r="L28" s="13" t="str">
        <f>IF(TTM!L28="","",IFERROR(MAX(MIN(TTM!L28,1),-0.3),""))</f>
        <v/>
      </c>
      <c r="M28" s="13" t="str">
        <f>IF(TTM!M28="","",IFERROR(MAX(MIN(TTM!M28,1),-0.3),""))</f>
        <v/>
      </c>
      <c r="N28" s="13" t="str">
        <f>IF(TTM!N28="","",IFERROR(MAX(MIN(TTM!N28,1),-0.3),""))</f>
        <v/>
      </c>
      <c r="O28" s="13">
        <f>IF(TTM!O28="","",IFERROR(MAX(MIN(TTM!O28,1),-0.3),""))</f>
        <v>0.73847601128880536</v>
      </c>
      <c r="P28" s="13" t="str">
        <f>IF(TTM!P28="","",IFERROR(MAX(MIN(TTM!P28,1),-0.3),""))</f>
        <v/>
      </c>
      <c r="Q28" s="13" t="str">
        <f>IF(TTM!Q28="","",IFERROR(MAX(MIN(TTM!Q28,1),-0.3),""))</f>
        <v/>
      </c>
      <c r="R28" s="13">
        <f>IF(TTM!R28="","",IFERROR(MAX(MIN(TTM!R28,1),-0.3),""))</f>
        <v>1</v>
      </c>
      <c r="S28" s="13" t="str">
        <f>IF(TTM!S28="","",IFERROR(MAX(MIN(TTM!S28,1),-0.3),""))</f>
        <v/>
      </c>
      <c r="T28" s="13" t="str">
        <f>IF(TTM!T28="","",IFERROR(MAX(MIN(TTM!T28,1),-0.3),""))</f>
        <v/>
      </c>
      <c r="U28" s="11"/>
    </row>
    <row r="29" spans="1:21" ht="14">
      <c r="A29" s="14" t="s">
        <v>54</v>
      </c>
      <c r="B29" s="13" t="str">
        <f>IF(TTM!B29="","",IFERROR(MAX(MIN(TTM!B29,1),-0.3),""))</f>
        <v/>
      </c>
      <c r="C29" s="13">
        <f>IF(TTM!C29="","",IFERROR(MAX(MIN(TTM!C29,1),-0.3),""))</f>
        <v>-0.1404567234836383</v>
      </c>
      <c r="D29" s="13">
        <f>IF(TTM!D29="","",IFERROR(MAX(MIN(TTM!D29,1),-0.3),""))</f>
        <v>1</v>
      </c>
      <c r="E29" s="13">
        <f>IF(TTM!E29="","",IFERROR(MAX(MIN(TTM!E29,1),-0.3),""))</f>
        <v>0.89721474219968789</v>
      </c>
      <c r="F29" s="13" t="str">
        <f>IF(TTM!F29="","",IFERROR(MAX(MIN(TTM!F29,1),-0.3),""))</f>
        <v/>
      </c>
      <c r="G29" s="13" t="str">
        <f>IF(TTM!G29="","",IFERROR(MAX(MIN(TTM!G29,1),-0.3),""))</f>
        <v/>
      </c>
      <c r="H29" s="13" t="str">
        <f>IF(TTM!H29="","",IFERROR(MAX(MIN(TTM!H29,1),-0.3),""))</f>
        <v/>
      </c>
      <c r="I29" s="13" t="str">
        <f>IF(TTM!I29="","",IFERROR(MAX(MIN(TTM!I29,1),-0.3),""))</f>
        <v/>
      </c>
      <c r="J29" s="13" t="str">
        <f>IF(TTM!J29="","",IFERROR(MAX(MIN(TTM!J29,1),-0.3),""))</f>
        <v/>
      </c>
      <c r="K29" s="13" t="str">
        <f>IF(TTM!K29="","",IFERROR(MAX(MIN(TTM!K29,1),-0.3),""))</f>
        <v/>
      </c>
      <c r="L29" s="13" t="str">
        <f>IF(TTM!L29="","",IFERROR(MAX(MIN(TTM!L29,1),-0.3),""))</f>
        <v/>
      </c>
      <c r="M29" s="13" t="str">
        <f>IF(TTM!M29="","",IFERROR(MAX(MIN(TTM!M29,1),-0.3),""))</f>
        <v/>
      </c>
      <c r="N29" s="13" t="str">
        <f>IF(TTM!N29="","",IFERROR(MAX(MIN(TTM!N29,1),-0.3),""))</f>
        <v/>
      </c>
      <c r="O29" s="13">
        <f>IF(TTM!O29="","",IFERROR(MAX(MIN(TTM!O29,1),-0.3),""))</f>
        <v>0.57198471409430962</v>
      </c>
      <c r="P29" s="13" t="str">
        <f>IF(TTM!P29="","",IFERROR(MAX(MIN(TTM!P29,1),-0.3),""))</f>
        <v/>
      </c>
      <c r="Q29" s="13" t="str">
        <f>IF(TTM!Q29="","",IFERROR(MAX(MIN(TTM!Q29,1),-0.3),""))</f>
        <v/>
      </c>
      <c r="R29" s="13">
        <f>IF(TTM!R29="","",IFERROR(MAX(MIN(TTM!R29,1),-0.3),""))</f>
        <v>1</v>
      </c>
      <c r="S29" s="13" t="str">
        <f>IF(TTM!S29="","",IFERROR(MAX(MIN(TTM!S29,1),-0.3),""))</f>
        <v/>
      </c>
      <c r="T29" s="13" t="str">
        <f>IF(TTM!T29="","",IFERROR(MAX(MIN(TTM!T29,1),-0.3),""))</f>
        <v/>
      </c>
      <c r="U29" s="11"/>
    </row>
    <row r="30" spans="1:21" ht="14">
      <c r="A30" s="14" t="s">
        <v>55</v>
      </c>
      <c r="B30" s="13" t="str">
        <f>IF(TTM!B30="","",IFERROR(MAX(MIN(TTM!B30,1),-0.3),""))</f>
        <v/>
      </c>
      <c r="C30" s="13">
        <f>IF(TTM!C30="","",IFERROR(MAX(MIN(TTM!C30,1),-0.3),""))</f>
        <v>-0.1394421715294647</v>
      </c>
      <c r="D30" s="13">
        <f>IF(TTM!D30="","",IFERROR(MAX(MIN(TTM!D30,1),-0.3),""))</f>
        <v>0.56083785000750463</v>
      </c>
      <c r="E30" s="13">
        <f>IF(TTM!E30="","",IFERROR(MAX(MIN(TTM!E30,1),-0.3),""))</f>
        <v>0.76371826371826379</v>
      </c>
      <c r="F30" s="13" t="str">
        <f>IF(TTM!F30="","",IFERROR(MAX(MIN(TTM!F30,1),-0.3),""))</f>
        <v/>
      </c>
      <c r="G30" s="13" t="str">
        <f>IF(TTM!G30="","",IFERROR(MAX(MIN(TTM!G30,1),-0.3),""))</f>
        <v/>
      </c>
      <c r="H30" s="13" t="str">
        <f>IF(TTM!H30="","",IFERROR(MAX(MIN(TTM!H30,1),-0.3),""))</f>
        <v/>
      </c>
      <c r="I30" s="13" t="str">
        <f>IF(TTM!I30="","",IFERROR(MAX(MIN(TTM!I30,1),-0.3),""))</f>
        <v/>
      </c>
      <c r="J30" s="13" t="str">
        <f>IF(TTM!J30="","",IFERROR(MAX(MIN(TTM!J30,1),-0.3),""))</f>
        <v/>
      </c>
      <c r="K30" s="13" t="str">
        <f>IF(TTM!K30="","",IFERROR(MAX(MIN(TTM!K30,1),-0.3),""))</f>
        <v/>
      </c>
      <c r="L30" s="13" t="str">
        <f>IF(TTM!L30="","",IFERROR(MAX(MIN(TTM!L30,1),-0.3),""))</f>
        <v/>
      </c>
      <c r="M30" s="13" t="str">
        <f>IF(TTM!M30="","",IFERROR(MAX(MIN(TTM!M30,1),-0.3),""))</f>
        <v/>
      </c>
      <c r="N30" s="13" t="str">
        <f>IF(TTM!N30="","",IFERROR(MAX(MIN(TTM!N30,1),-0.3),""))</f>
        <v/>
      </c>
      <c r="O30" s="13">
        <f>IF(TTM!O30="","",IFERROR(MAX(MIN(TTM!O30,1),-0.3),""))</f>
        <v>0.40549341689981389</v>
      </c>
      <c r="P30" s="13" t="str">
        <f>IF(TTM!P30="","",IFERROR(MAX(MIN(TTM!P30,1),-0.3),""))</f>
        <v/>
      </c>
      <c r="Q30" s="13" t="str">
        <f>IF(TTM!Q30="","",IFERROR(MAX(MIN(TTM!Q30,1),-0.3),""))</f>
        <v/>
      </c>
      <c r="R30" s="13">
        <f>IF(TTM!R30="","",IFERROR(MAX(MIN(TTM!R30,1),-0.3),""))</f>
        <v>1</v>
      </c>
      <c r="S30" s="13" t="str">
        <f>IF(TTM!S30="","",IFERROR(MAX(MIN(TTM!S30,1),-0.3),""))</f>
        <v/>
      </c>
      <c r="T30" s="13" t="str">
        <f>IF(TTM!T30="","",IFERROR(MAX(MIN(TTM!T30,1),-0.3),""))</f>
        <v/>
      </c>
      <c r="U30" s="11"/>
    </row>
    <row r="31" spans="1:21" ht="14">
      <c r="A31" s="14" t="s">
        <v>56</v>
      </c>
      <c r="B31" s="13" t="str">
        <f>IF(TTM!B31="","",IFERROR(MAX(MIN(TTM!B31,1),-0.3),""))</f>
        <v/>
      </c>
      <c r="C31" s="13">
        <f>IF(TTM!C31="","",IFERROR(MAX(MIN(TTM!C31,1),-0.3),""))</f>
        <v>-8.9902547387206044E-2</v>
      </c>
      <c r="D31" s="13">
        <f>IF(TTM!D31="","",IFERROR(MAX(MIN(TTM!D31,1),-0.3),""))</f>
        <v>0.36754722247235444</v>
      </c>
      <c r="E31" s="13">
        <f>IF(TTM!E31="","",IFERROR(MAX(MIN(TTM!E31,1),-0.3),""))</f>
        <v>0.79728370591500375</v>
      </c>
      <c r="F31" s="13" t="str">
        <f>IF(TTM!F31="","",IFERROR(MAX(MIN(TTM!F31,1),-0.3),""))</f>
        <v/>
      </c>
      <c r="G31" s="13" t="str">
        <f>IF(TTM!G31="","",IFERROR(MAX(MIN(TTM!G31,1),-0.3),""))</f>
        <v/>
      </c>
      <c r="H31" s="13" t="str">
        <f>IF(TTM!H31="","",IFERROR(MAX(MIN(TTM!H31,1),-0.3),""))</f>
        <v/>
      </c>
      <c r="I31" s="13" t="str">
        <f>IF(TTM!I31="","",IFERROR(MAX(MIN(TTM!I31,1),-0.3),""))</f>
        <v/>
      </c>
      <c r="J31" s="13" t="str">
        <f>IF(TTM!J31="","",IFERROR(MAX(MIN(TTM!J31,1),-0.3),""))</f>
        <v/>
      </c>
      <c r="K31" s="13" t="str">
        <f>IF(TTM!K31="","",IFERROR(MAX(MIN(TTM!K31,1),-0.3),""))</f>
        <v/>
      </c>
      <c r="L31" s="13" t="str">
        <f>IF(TTM!L31="","",IFERROR(MAX(MIN(TTM!L31,1),-0.3),""))</f>
        <v/>
      </c>
      <c r="M31" s="13" t="str">
        <f>IF(TTM!M31="","",IFERROR(MAX(MIN(TTM!M31,1),-0.3),""))</f>
        <v/>
      </c>
      <c r="N31" s="13" t="str">
        <f>IF(TTM!N31="","",IFERROR(MAX(MIN(TTM!N31,1),-0.3),""))</f>
        <v/>
      </c>
      <c r="O31" s="13">
        <f>IF(TTM!O31="","",IFERROR(MAX(MIN(TTM!O31,1),-0.3),""))</f>
        <v>0.23900211970531815</v>
      </c>
      <c r="P31" s="13" t="str">
        <f>IF(TTM!P31="","",IFERROR(MAX(MIN(TTM!P31,1),-0.3),""))</f>
        <v/>
      </c>
      <c r="Q31" s="13" t="str">
        <f>IF(TTM!Q31="","",IFERROR(MAX(MIN(TTM!Q31,1),-0.3),""))</f>
        <v/>
      </c>
      <c r="R31" s="13">
        <f>IF(TTM!R31="","",IFERROR(MAX(MIN(TTM!R31,1),-0.3),""))</f>
        <v>1</v>
      </c>
      <c r="S31" s="13" t="str">
        <f>IF(TTM!S31="","",IFERROR(MAX(MIN(TTM!S31,1),-0.3),""))</f>
        <v/>
      </c>
      <c r="T31" s="13" t="str">
        <f>IF(TTM!T31="","",IFERROR(MAX(MIN(TTM!T31,1),-0.3),""))</f>
        <v/>
      </c>
      <c r="U31" s="11"/>
    </row>
    <row r="32" spans="1:21" ht="14">
      <c r="A32" s="14" t="s">
        <v>57</v>
      </c>
      <c r="B32" s="13" t="str">
        <f>IF(TTM!B32="","",IFERROR(MAX(MIN(TTM!B32,1),-0.3),""))</f>
        <v/>
      </c>
      <c r="C32" s="13">
        <f>IF(TTM!C32="","",IFERROR(MAX(MIN(TTM!C32,1),-0.3),""))</f>
        <v>-4.0362923244947391E-2</v>
      </c>
      <c r="D32" s="13">
        <f>IF(TTM!D32="","",IFERROR(MAX(MIN(TTM!D32,1),-0.3),""))</f>
        <v>0.17425659493720425</v>
      </c>
      <c r="E32" s="13">
        <f>IF(TTM!E32="","",IFERROR(MAX(MIN(TTM!E32,1),-0.3),""))</f>
        <v>0.83084914811174393</v>
      </c>
      <c r="F32" s="13" t="str">
        <f>IF(TTM!F32="","",IFERROR(MAX(MIN(TTM!F32,1),-0.3),""))</f>
        <v/>
      </c>
      <c r="G32" s="13" t="str">
        <f>IF(TTM!G32="","",IFERROR(MAX(MIN(TTM!G32,1),-0.3),""))</f>
        <v/>
      </c>
      <c r="H32" s="13" t="str">
        <f>IF(TTM!H32="","",IFERROR(MAX(MIN(TTM!H32,1),-0.3),""))</f>
        <v/>
      </c>
      <c r="I32" s="13" t="str">
        <f>IF(TTM!I32="","",IFERROR(MAX(MIN(TTM!I32,1),-0.3),""))</f>
        <v/>
      </c>
      <c r="J32" s="13" t="str">
        <f>IF(TTM!J32="","",IFERROR(MAX(MIN(TTM!J32,1),-0.3),""))</f>
        <v/>
      </c>
      <c r="K32" s="13" t="str">
        <f>IF(TTM!K32="","",IFERROR(MAX(MIN(TTM!K32,1),-0.3),""))</f>
        <v/>
      </c>
      <c r="L32" s="13" t="str">
        <f>IF(TTM!L32="","",IFERROR(MAX(MIN(TTM!L32,1),-0.3),""))</f>
        <v/>
      </c>
      <c r="M32" s="13" t="str">
        <f>IF(TTM!M32="","",IFERROR(MAX(MIN(TTM!M32,1),-0.3),""))</f>
        <v/>
      </c>
      <c r="N32" s="13" t="str">
        <f>IF(TTM!N32="","",IFERROR(MAX(MIN(TTM!N32,1),-0.3),""))</f>
        <v/>
      </c>
      <c r="O32" s="13">
        <f>IF(TTM!O32="","",IFERROR(MAX(MIN(TTM!O32,1),-0.3),""))</f>
        <v>7.2510822510822415E-2</v>
      </c>
      <c r="P32" s="13" t="str">
        <f>IF(TTM!P32="","",IFERROR(MAX(MIN(TTM!P32,1),-0.3),""))</f>
        <v/>
      </c>
      <c r="Q32" s="13" t="str">
        <f>IF(TTM!Q32="","",IFERROR(MAX(MIN(TTM!Q32,1),-0.3),""))</f>
        <v/>
      </c>
      <c r="R32" s="13">
        <f>IF(TTM!R32="","",IFERROR(MAX(MIN(TTM!R32,1),-0.3),""))</f>
        <v>1</v>
      </c>
      <c r="S32" s="13" t="str">
        <f>IF(TTM!S32="","",IFERROR(MAX(MIN(TTM!S32,1),-0.3),""))</f>
        <v/>
      </c>
      <c r="T32" s="13" t="str">
        <f>IF(TTM!T32="","",IFERROR(MAX(MIN(TTM!T32,1),-0.3),""))</f>
        <v/>
      </c>
      <c r="U32" s="11"/>
    </row>
    <row r="33" spans="1:21" ht="14">
      <c r="A33" s="14" t="s">
        <v>58</v>
      </c>
      <c r="B33" s="13" t="str">
        <f>IF(TTM!B33="","",IFERROR(MAX(MIN(TTM!B33,1),-0.3),""))</f>
        <v/>
      </c>
      <c r="C33" s="13">
        <f>IF(TTM!C33="","",IFERROR(MAX(MIN(TTM!C33,1),-0.3),""))</f>
        <v>9.1767008973112629E-3</v>
      </c>
      <c r="D33" s="13">
        <f>IF(TTM!D33="","",IFERROR(MAX(MIN(TTM!D33,1),-0.3),""))</f>
        <v>-1.9034032597945949E-2</v>
      </c>
      <c r="E33" s="13">
        <f>IF(TTM!E33="","",IFERROR(MAX(MIN(TTM!E33,1),-0.3),""))</f>
        <v>0.86441459030848389</v>
      </c>
      <c r="F33" s="13" t="str">
        <f>IF(TTM!F33="","",IFERROR(MAX(MIN(TTM!F33,1),-0.3),""))</f>
        <v/>
      </c>
      <c r="G33" s="13" t="str">
        <f>IF(TTM!G33="","",IFERROR(MAX(MIN(TTM!G33,1),-0.3),""))</f>
        <v/>
      </c>
      <c r="H33" s="13" t="str">
        <f>IF(TTM!H33="","",IFERROR(MAX(MIN(TTM!H33,1),-0.3),""))</f>
        <v/>
      </c>
      <c r="I33" s="13" t="str">
        <f>IF(TTM!I33="","",IFERROR(MAX(MIN(TTM!I33,1),-0.3),""))</f>
        <v/>
      </c>
      <c r="J33" s="13" t="str">
        <f>IF(TTM!J33="","",IFERROR(MAX(MIN(TTM!J33,1),-0.3),""))</f>
        <v/>
      </c>
      <c r="K33" s="13" t="str">
        <f>IF(TTM!K33="","",IFERROR(MAX(MIN(TTM!K33,1),-0.3),""))</f>
        <v/>
      </c>
      <c r="L33" s="13" t="str">
        <f>IF(TTM!L33="","",IFERROR(MAX(MIN(TTM!L33,1),-0.3),""))</f>
        <v/>
      </c>
      <c r="M33" s="13" t="str">
        <f>IF(TTM!M33="","",IFERROR(MAX(MIN(TTM!M33,1),-0.3),""))</f>
        <v/>
      </c>
      <c r="N33" s="13" t="str">
        <f>IF(TTM!N33="","",IFERROR(MAX(MIN(TTM!N33,1),-0.3),""))</f>
        <v/>
      </c>
      <c r="O33" s="13">
        <f>IF(TTM!O33="","",IFERROR(MAX(MIN(TTM!O33,1),-0.3),""))</f>
        <v>0.8109421481646506</v>
      </c>
      <c r="P33" s="13" t="str">
        <f>IF(TTM!P33="","",IFERROR(MAX(MIN(TTM!P33,1),-0.3),""))</f>
        <v/>
      </c>
      <c r="Q33" s="13" t="str">
        <f>IF(TTM!Q33="","",IFERROR(MAX(MIN(TTM!Q33,1),-0.3),""))</f>
        <v/>
      </c>
      <c r="R33" s="13">
        <f>IF(TTM!R33="","",IFERROR(MAX(MIN(TTM!R33,1),-0.3),""))</f>
        <v>1</v>
      </c>
      <c r="S33" s="13" t="str">
        <f>IF(TTM!S33="","",IFERROR(MAX(MIN(TTM!S33,1),-0.3),""))</f>
        <v/>
      </c>
      <c r="T33" s="13" t="str">
        <f>IF(TTM!T33="","",IFERROR(MAX(MIN(TTM!T33,1),-0.3),""))</f>
        <v/>
      </c>
      <c r="U33" s="11"/>
    </row>
    <row r="34" spans="1:21" ht="14">
      <c r="A34" s="14" t="s">
        <v>59</v>
      </c>
      <c r="B34" s="13" t="str">
        <f>IF(TTM!B34="","",IFERROR(MAX(MIN(TTM!B34,1),-0.3),""))</f>
        <v/>
      </c>
      <c r="C34" s="13">
        <f>IF(TTM!C34="","",IFERROR(MAX(MIN(TTM!C34,1),-0.3),""))</f>
        <v>5.8716325039569917E-2</v>
      </c>
      <c r="D34" s="13">
        <f>IF(TTM!D34="","",IFERROR(MAX(MIN(TTM!D34,1),-0.3),""))</f>
        <v>-0.21232466013309614</v>
      </c>
      <c r="E34" s="13">
        <f>IF(TTM!E34="","",IFERROR(MAX(MIN(TTM!E34,1),-0.3),""))</f>
        <v>0.89798003250522407</v>
      </c>
      <c r="F34" s="13" t="str">
        <f>IF(TTM!F34="","",IFERROR(MAX(MIN(TTM!F34,1),-0.3),""))</f>
        <v/>
      </c>
      <c r="G34" s="13" t="str">
        <f>IF(TTM!G34="","",IFERROR(MAX(MIN(TTM!G34,1),-0.3),""))</f>
        <v/>
      </c>
      <c r="H34" s="13" t="str">
        <f>IF(TTM!H34="","",IFERROR(MAX(MIN(TTM!H34,1),-0.3),""))</f>
        <v/>
      </c>
      <c r="I34" s="13" t="str">
        <f>IF(TTM!I34="","",IFERROR(MAX(MIN(TTM!I34,1),-0.3),""))</f>
        <v/>
      </c>
      <c r="J34" s="13" t="str">
        <f>IF(TTM!J34="","",IFERROR(MAX(MIN(TTM!J34,1),-0.3),""))</f>
        <v/>
      </c>
      <c r="K34" s="13" t="str">
        <f>IF(TTM!K34="","",IFERROR(MAX(MIN(TTM!K34,1),-0.3),""))</f>
        <v/>
      </c>
      <c r="L34" s="13" t="str">
        <f>IF(TTM!L34="","",IFERROR(MAX(MIN(TTM!L34,1),-0.3),""))</f>
        <v/>
      </c>
      <c r="M34" s="13" t="str">
        <f>IF(TTM!M34="","",IFERROR(MAX(MIN(TTM!M34,1),-0.3),""))</f>
        <v/>
      </c>
      <c r="N34" s="13" t="str">
        <f>IF(TTM!N34="","",IFERROR(MAX(MIN(TTM!N34,1),-0.3),""))</f>
        <v/>
      </c>
      <c r="O34" s="13">
        <f>IF(TTM!O34="","",IFERROR(MAX(MIN(TTM!O34,1),-0.3),""))</f>
        <v>1</v>
      </c>
      <c r="P34" s="13" t="str">
        <f>IF(TTM!P34="","",IFERROR(MAX(MIN(TTM!P34,1),-0.3),""))</f>
        <v/>
      </c>
      <c r="Q34" s="13" t="str">
        <f>IF(TTM!Q34="","",IFERROR(MAX(MIN(TTM!Q34,1),-0.3),""))</f>
        <v/>
      </c>
      <c r="R34" s="13" t="str">
        <f>IF(TTM!R34="","",IFERROR(MAX(MIN(TTM!R34,1),-0.3),""))</f>
        <v/>
      </c>
      <c r="S34" s="13" t="str">
        <f>IF(TTM!S34="","",IFERROR(MAX(MIN(TTM!S34,1),-0.3),""))</f>
        <v/>
      </c>
      <c r="T34" s="13" t="str">
        <f>IF(TTM!T34="","",IFERROR(MAX(MIN(TTM!T34,1),-0.3),""))</f>
        <v/>
      </c>
      <c r="U34" s="11"/>
    </row>
    <row r="35" spans="1:21" ht="14">
      <c r="A35" s="14" t="s">
        <v>60</v>
      </c>
      <c r="B35" s="13" t="str">
        <f>IF(TTM!B35="","",IFERROR(MAX(MIN(TTM!B35,1),-0.3),""))</f>
        <v/>
      </c>
      <c r="C35" s="13">
        <f>IF(TTM!C35="","",IFERROR(MAX(MIN(TTM!C35,1),-0.3),""))</f>
        <v>5.7239747793361162E-2</v>
      </c>
      <c r="D35" s="13">
        <f>IF(TTM!D35="","",IFERROR(MAX(MIN(TTM!D35,1),-0.3),""))</f>
        <v>-0.12174484479187531</v>
      </c>
      <c r="E35" s="13">
        <f>IF(TTM!E35="","",IFERROR(MAX(MIN(TTM!E35,1),-0.3),""))</f>
        <v>0.83590887386390822</v>
      </c>
      <c r="F35" s="13" t="str">
        <f>IF(TTM!F35="","",IFERROR(MAX(MIN(TTM!F35,1),-0.3),""))</f>
        <v/>
      </c>
      <c r="G35" s="13" t="str">
        <f>IF(TTM!G35="","",IFERROR(MAX(MIN(TTM!G35,1),-0.3),""))</f>
        <v/>
      </c>
      <c r="H35" s="13" t="str">
        <f>IF(TTM!H35="","",IFERROR(MAX(MIN(TTM!H35,1),-0.3),""))</f>
        <v/>
      </c>
      <c r="I35" s="13" t="str">
        <f>IF(TTM!I35="","",IFERROR(MAX(MIN(TTM!I35,1),-0.3),""))</f>
        <v/>
      </c>
      <c r="J35" s="13" t="str">
        <f>IF(TTM!J35="","",IFERROR(MAX(MIN(TTM!J35,1),-0.3),""))</f>
        <v/>
      </c>
      <c r="K35" s="13" t="str">
        <f>IF(TTM!K35="","",IFERROR(MAX(MIN(TTM!K35,1),-0.3),""))</f>
        <v/>
      </c>
      <c r="L35" s="13" t="str">
        <f>IF(TTM!L35="","",IFERROR(MAX(MIN(TTM!L35,1),-0.3),""))</f>
        <v/>
      </c>
      <c r="M35" s="13" t="str">
        <f>IF(TTM!M35="","",IFERROR(MAX(MIN(TTM!M35,1),-0.3),""))</f>
        <v/>
      </c>
      <c r="N35" s="13" t="str">
        <f>IF(TTM!N35="","",IFERROR(MAX(MIN(TTM!N35,1),-0.3),""))</f>
        <v/>
      </c>
      <c r="O35" s="13">
        <f>IF(TTM!O35="","",IFERROR(MAX(MIN(TTM!O35,1),-0.3),""))</f>
        <v>1</v>
      </c>
      <c r="P35" s="13" t="str">
        <f>IF(TTM!P35="","",IFERROR(MAX(MIN(TTM!P35,1),-0.3),""))</f>
        <v/>
      </c>
      <c r="Q35" s="13" t="str">
        <f>IF(TTM!Q35="","",IFERROR(MAX(MIN(TTM!Q35,1),-0.3),""))</f>
        <v/>
      </c>
      <c r="R35" s="13" t="str">
        <f>IF(TTM!R35="","",IFERROR(MAX(MIN(TTM!R35,1),-0.3),""))</f>
        <v/>
      </c>
      <c r="S35" s="13" t="str">
        <f>IF(TTM!S35="","",IFERROR(MAX(MIN(TTM!S35,1),-0.3),""))</f>
        <v/>
      </c>
      <c r="T35" s="13" t="str">
        <f>IF(TTM!T35="","",IFERROR(MAX(MIN(TTM!T35,1),-0.3),""))</f>
        <v/>
      </c>
      <c r="U35" s="11"/>
    </row>
    <row r="36" spans="1:21" ht="14">
      <c r="A36" s="14" t="s">
        <v>61</v>
      </c>
      <c r="B36" s="13" t="str">
        <f>IF(TTM!B36="","",IFERROR(MAX(MIN(TTM!B36,1),-0.3),""))</f>
        <v/>
      </c>
      <c r="C36" s="13">
        <f>IF(TTM!C36="","",IFERROR(MAX(MIN(TTM!C36,1),-0.3),""))</f>
        <v>5.5763170547152408E-2</v>
      </c>
      <c r="D36" s="13">
        <f>IF(TTM!D36="","",IFERROR(MAX(MIN(TTM!D36,1),-0.3),""))</f>
        <v>-3.1165029450654469E-2</v>
      </c>
      <c r="E36" s="13">
        <f>IF(TTM!E36="","",IFERROR(MAX(MIN(TTM!E36,1),-0.3),""))</f>
        <v>0.77383771522259226</v>
      </c>
      <c r="F36" s="13" t="str">
        <f>IF(TTM!F36="","",IFERROR(MAX(MIN(TTM!F36,1),-0.3),""))</f>
        <v/>
      </c>
      <c r="G36" s="13" t="str">
        <f>IF(TTM!G36="","",IFERROR(MAX(MIN(TTM!G36,1),-0.3),""))</f>
        <v/>
      </c>
      <c r="H36" s="13" t="str">
        <f>IF(TTM!H36="","",IFERROR(MAX(MIN(TTM!H36,1),-0.3),""))</f>
        <v/>
      </c>
      <c r="I36" s="13" t="str">
        <f>IF(TTM!I36="","",IFERROR(MAX(MIN(TTM!I36,1),-0.3),""))</f>
        <v/>
      </c>
      <c r="J36" s="13" t="str">
        <f>IF(TTM!J36="","",IFERROR(MAX(MIN(TTM!J36,1),-0.3),""))</f>
        <v/>
      </c>
      <c r="K36" s="13" t="str">
        <f>IF(TTM!K36="","",IFERROR(MAX(MIN(TTM!K36,1),-0.3),""))</f>
        <v/>
      </c>
      <c r="L36" s="13" t="str">
        <f>IF(TTM!L36="","",IFERROR(MAX(MIN(TTM!L36,1),-0.3),""))</f>
        <v/>
      </c>
      <c r="M36" s="13" t="str">
        <f>IF(TTM!M36="","",IFERROR(MAX(MIN(TTM!M36,1),-0.3),""))</f>
        <v/>
      </c>
      <c r="N36" s="13" t="str">
        <f>IF(TTM!N36="","",IFERROR(MAX(MIN(TTM!N36,1),-0.3),""))</f>
        <v/>
      </c>
      <c r="O36" s="13">
        <f>IF(TTM!O36="","",IFERROR(MAX(MIN(TTM!O36,1),-0.3),""))</f>
        <v>1</v>
      </c>
      <c r="P36" s="13" t="str">
        <f>IF(TTM!P36="","",IFERROR(MAX(MIN(TTM!P36,1),-0.3),""))</f>
        <v/>
      </c>
      <c r="Q36" s="13" t="str">
        <f>IF(TTM!Q36="","",IFERROR(MAX(MIN(TTM!Q36,1),-0.3),""))</f>
        <v/>
      </c>
      <c r="R36" s="13" t="str">
        <f>IF(TTM!R36="","",IFERROR(MAX(MIN(TTM!R36,1),-0.3),""))</f>
        <v/>
      </c>
      <c r="S36" s="13" t="str">
        <f>IF(TTM!S36="","",IFERROR(MAX(MIN(TTM!S36,1),-0.3),""))</f>
        <v/>
      </c>
      <c r="T36" s="13" t="str">
        <f>IF(TTM!T36="","",IFERROR(MAX(MIN(TTM!T36,1),-0.3),""))</f>
        <v/>
      </c>
      <c r="U36" s="11"/>
    </row>
    <row r="37" spans="1:21" ht="14">
      <c r="A37" s="14" t="s">
        <v>62</v>
      </c>
      <c r="B37" s="13" t="str">
        <f>IF(TTM!B37="","",IFERROR(MAX(MIN(TTM!B37,1),-0.3),""))</f>
        <v/>
      </c>
      <c r="C37" s="13">
        <f>IF(TTM!C37="","",IFERROR(MAX(MIN(TTM!C37,1),-0.3),""))</f>
        <v>5.4286593300943653E-2</v>
      </c>
      <c r="D37" s="13">
        <f>IF(TTM!D37="","",IFERROR(MAX(MIN(TTM!D37,1),-0.3),""))</f>
        <v>5.9414785890566368E-2</v>
      </c>
      <c r="E37" s="13">
        <f>IF(TTM!E37="","",IFERROR(MAX(MIN(TTM!E37,1),-0.3),""))</f>
        <v>0.7117665565812763</v>
      </c>
      <c r="F37" s="13" t="str">
        <f>IF(TTM!F37="","",IFERROR(MAX(MIN(TTM!F37,1),-0.3),""))</f>
        <v/>
      </c>
      <c r="G37" s="13" t="str">
        <f>IF(TTM!G37="","",IFERROR(MAX(MIN(TTM!G37,1),-0.3),""))</f>
        <v/>
      </c>
      <c r="H37" s="13" t="str">
        <f>IF(TTM!H37="","",IFERROR(MAX(MIN(TTM!H37,1),-0.3),""))</f>
        <v/>
      </c>
      <c r="I37" s="13" t="str">
        <f>IF(TTM!I37="","",IFERROR(MAX(MIN(TTM!I37,1),-0.3),""))</f>
        <v/>
      </c>
      <c r="J37" s="13" t="str">
        <f>IF(TTM!J37="","",IFERROR(MAX(MIN(TTM!J37,1),-0.3),""))</f>
        <v/>
      </c>
      <c r="K37" s="13" t="str">
        <f>IF(TTM!K37="","",IFERROR(MAX(MIN(TTM!K37,1),-0.3),""))</f>
        <v/>
      </c>
      <c r="L37" s="13" t="str">
        <f>IF(TTM!L37="","",IFERROR(MAX(MIN(TTM!L37,1),-0.3),""))</f>
        <v/>
      </c>
      <c r="M37" s="13" t="str">
        <f>IF(TTM!M37="","",IFERROR(MAX(MIN(TTM!M37,1),-0.3),""))</f>
        <v/>
      </c>
      <c r="N37" s="13" t="str">
        <f>IF(TTM!N37="","",IFERROR(MAX(MIN(TTM!N37,1),-0.3),""))</f>
        <v/>
      </c>
      <c r="O37" s="13">
        <f>IF(TTM!O37="","",IFERROR(MAX(MIN(TTM!O37,1),-0.3),""))</f>
        <v>1</v>
      </c>
      <c r="P37" s="13" t="str">
        <f>IF(TTM!P37="","",IFERROR(MAX(MIN(TTM!P37,1),-0.3),""))</f>
        <v/>
      </c>
      <c r="Q37" s="13" t="str">
        <f>IF(TTM!Q37="","",IFERROR(MAX(MIN(TTM!Q37,1),-0.3),""))</f>
        <v/>
      </c>
      <c r="R37" s="13" t="str">
        <f>IF(TTM!R37="","",IFERROR(MAX(MIN(TTM!R37,1),-0.3),""))</f>
        <v/>
      </c>
      <c r="S37" s="13" t="str">
        <f>IF(TTM!S37="","",IFERROR(MAX(MIN(TTM!S37,1),-0.3),""))</f>
        <v/>
      </c>
      <c r="T37" s="13" t="str">
        <f>IF(TTM!T37="","",IFERROR(MAX(MIN(TTM!T37,1),-0.3),""))</f>
        <v/>
      </c>
      <c r="U37" s="11"/>
    </row>
    <row r="38" spans="1:21" ht="14">
      <c r="A38" s="14" t="s">
        <v>63</v>
      </c>
      <c r="B38" s="13" t="str">
        <f>IF(TTM!B38="","",IFERROR(MAX(MIN(TTM!B38,1),-0.3),""))</f>
        <v/>
      </c>
      <c r="C38" s="13">
        <f>IF(TTM!C38="","",IFERROR(MAX(MIN(TTM!C38,1),-0.3),""))</f>
        <v>5.2810016054734898E-2</v>
      </c>
      <c r="D38" s="13">
        <f>IF(TTM!D38="","",IFERROR(MAX(MIN(TTM!D38,1),-0.3),""))</f>
        <v>0.14999460123178721</v>
      </c>
      <c r="E38" s="13">
        <f>IF(TTM!E38="","",IFERROR(MAX(MIN(TTM!E38,1),-0.3),""))</f>
        <v>0.64969539793996045</v>
      </c>
      <c r="F38" s="13" t="str">
        <f>IF(TTM!F38="","",IFERROR(MAX(MIN(TTM!F38,1),-0.3),""))</f>
        <v/>
      </c>
      <c r="G38" s="13" t="str">
        <f>IF(TTM!G38="","",IFERROR(MAX(MIN(TTM!G38,1),-0.3),""))</f>
        <v/>
      </c>
      <c r="H38" s="13" t="str">
        <f>IF(TTM!H38="","",IFERROR(MAX(MIN(TTM!H38,1),-0.3),""))</f>
        <v/>
      </c>
      <c r="I38" s="13" t="str">
        <f>IF(TTM!I38="","",IFERROR(MAX(MIN(TTM!I38,1),-0.3),""))</f>
        <v/>
      </c>
      <c r="J38" s="13" t="str">
        <f>IF(TTM!J38="","",IFERROR(MAX(MIN(TTM!J38,1),-0.3),""))</f>
        <v/>
      </c>
      <c r="K38" s="13" t="str">
        <f>IF(TTM!K38="","",IFERROR(MAX(MIN(TTM!K38,1),-0.3),""))</f>
        <v/>
      </c>
      <c r="L38" s="13" t="str">
        <f>IF(TTM!L38="","",IFERROR(MAX(MIN(TTM!L38,1),-0.3),""))</f>
        <v/>
      </c>
      <c r="M38" s="13" t="str">
        <f>IF(TTM!M38="","",IFERROR(MAX(MIN(TTM!M38,1),-0.3),""))</f>
        <v/>
      </c>
      <c r="N38" s="13" t="str">
        <f>IF(TTM!N38="","",IFERROR(MAX(MIN(TTM!N38,1),-0.3),""))</f>
        <v/>
      </c>
      <c r="O38" s="13">
        <f>IF(TTM!O38="","",IFERROR(MAX(MIN(TTM!O38,1),-0.3),""))</f>
        <v>1</v>
      </c>
      <c r="P38" s="13" t="str">
        <f>IF(TTM!P38="","",IFERROR(MAX(MIN(TTM!P38,1),-0.3),""))</f>
        <v/>
      </c>
      <c r="Q38" s="13" t="str">
        <f>IF(TTM!Q38="","",IFERROR(MAX(MIN(TTM!Q38,1),-0.3),""))</f>
        <v/>
      </c>
      <c r="R38" s="13" t="str">
        <f>IF(TTM!R38="","",IFERROR(MAX(MIN(TTM!R38,1),-0.3),""))</f>
        <v/>
      </c>
      <c r="S38" s="13" t="str">
        <f>IF(TTM!S38="","",IFERROR(MAX(MIN(TTM!S38,1),-0.3),""))</f>
        <v/>
      </c>
      <c r="T38" s="13" t="str">
        <f>IF(TTM!T38="","",IFERROR(MAX(MIN(TTM!T38,1),-0.3),""))</f>
        <v/>
      </c>
      <c r="U38" s="11"/>
    </row>
    <row r="39" spans="1:21" ht="14">
      <c r="A39" s="14" t="s">
        <v>64</v>
      </c>
      <c r="B39" s="13" t="str">
        <f>IF(TTM!B39="","",IFERROR(MAX(MIN(TTM!B39,1),-0.3),""))</f>
        <v/>
      </c>
      <c r="C39" s="13">
        <f>IF(TTM!C39="","",IFERROR(MAX(MIN(TTM!C39,1),-0.3),""))</f>
        <v>8.1274092142021415E-2</v>
      </c>
      <c r="D39" s="13">
        <f>IF(TTM!D39="","",IFERROR(MAX(MIN(TTM!D39,1),-0.3),""))</f>
        <v>0.12643007549831825</v>
      </c>
      <c r="E39" s="13">
        <f>IF(TTM!E39="","",IFERROR(MAX(MIN(TTM!E39,1),-0.3),""))</f>
        <v>0.61291297338230022</v>
      </c>
      <c r="F39" s="13" t="str">
        <f>IF(TTM!F39="","",IFERROR(MAX(MIN(TTM!F39,1),-0.3),""))</f>
        <v/>
      </c>
      <c r="G39" s="13" t="str">
        <f>IF(TTM!G39="","",IFERROR(MAX(MIN(TTM!G39,1),-0.3),""))</f>
        <v/>
      </c>
      <c r="H39" s="13" t="str">
        <f>IF(TTM!H39="","",IFERROR(MAX(MIN(TTM!H39,1),-0.3),""))</f>
        <v/>
      </c>
      <c r="I39" s="13" t="str">
        <f>IF(TTM!I39="","",IFERROR(MAX(MIN(TTM!I39,1),-0.3),""))</f>
        <v/>
      </c>
      <c r="J39" s="13" t="str">
        <f>IF(TTM!J39="","",IFERROR(MAX(MIN(TTM!J39,1),-0.3),""))</f>
        <v/>
      </c>
      <c r="K39" s="13" t="str">
        <f>IF(TTM!K39="","",IFERROR(MAX(MIN(TTM!K39,1),-0.3),""))</f>
        <v/>
      </c>
      <c r="L39" s="13" t="str">
        <f>IF(TTM!L39="","",IFERROR(MAX(MIN(TTM!L39,1),-0.3),""))</f>
        <v/>
      </c>
      <c r="M39" s="13" t="str">
        <f>IF(TTM!M39="","",IFERROR(MAX(MIN(TTM!M39,1),-0.3),""))</f>
        <v/>
      </c>
      <c r="N39" s="13" t="str">
        <f>IF(TTM!N39="","",IFERROR(MAX(MIN(TTM!N39,1),-0.3),""))</f>
        <v/>
      </c>
      <c r="O39" s="13">
        <f>IF(TTM!O39="","",IFERROR(MAX(MIN(TTM!O39,1),-0.3),""))</f>
        <v>1</v>
      </c>
      <c r="P39" s="13" t="str">
        <f>IF(TTM!P39="","",IFERROR(MAX(MIN(TTM!P39,1),-0.3),""))</f>
        <v/>
      </c>
      <c r="Q39" s="13" t="str">
        <f>IF(TTM!Q39="","",IFERROR(MAX(MIN(TTM!Q39,1),-0.3),""))</f>
        <v/>
      </c>
      <c r="R39" s="13" t="str">
        <f>IF(TTM!R39="","",IFERROR(MAX(MIN(TTM!R39,1),-0.3),""))</f>
        <v/>
      </c>
      <c r="S39" s="13" t="str">
        <f>IF(TTM!S39="","",IFERROR(MAX(MIN(TTM!S39,1),-0.3),""))</f>
        <v/>
      </c>
      <c r="T39" s="13" t="str">
        <f>IF(TTM!T39="","",IFERROR(MAX(MIN(TTM!T39,1),-0.3),""))</f>
        <v/>
      </c>
      <c r="U39" s="11"/>
    </row>
    <row r="40" spans="1:21" ht="14">
      <c r="A40" s="14" t="s">
        <v>65</v>
      </c>
      <c r="B40" s="13" t="str">
        <f>IF(TTM!B40="","",IFERROR(MAX(MIN(TTM!B40,1),-0.3),""))</f>
        <v/>
      </c>
      <c r="C40" s="13">
        <f>IF(TTM!C40="","",IFERROR(MAX(MIN(TTM!C40,1),-0.3),""))</f>
        <v>0.10973816822930793</v>
      </c>
      <c r="D40" s="13">
        <f>IF(TTM!D40="","",IFERROR(MAX(MIN(TTM!D40,1),-0.3),""))</f>
        <v>0.1028655497648493</v>
      </c>
      <c r="E40" s="13">
        <f>IF(TTM!E40="","",IFERROR(MAX(MIN(TTM!E40,1),-0.3),""))</f>
        <v>0.57613054882463999</v>
      </c>
      <c r="F40" s="13" t="str">
        <f>IF(TTM!F40="","",IFERROR(MAX(MIN(TTM!F40,1),-0.3),""))</f>
        <v/>
      </c>
      <c r="G40" s="13" t="str">
        <f>IF(TTM!G40="","",IFERROR(MAX(MIN(TTM!G40,1),-0.3),""))</f>
        <v/>
      </c>
      <c r="H40" s="13" t="str">
        <f>IF(TTM!H40="","",IFERROR(MAX(MIN(TTM!H40,1),-0.3),""))</f>
        <v/>
      </c>
      <c r="I40" s="13" t="str">
        <f>IF(TTM!I40="","",IFERROR(MAX(MIN(TTM!I40,1),-0.3),""))</f>
        <v/>
      </c>
      <c r="J40" s="13" t="str">
        <f>IF(TTM!J40="","",IFERROR(MAX(MIN(TTM!J40,1),-0.3),""))</f>
        <v/>
      </c>
      <c r="K40" s="13" t="str">
        <f>IF(TTM!K40="","",IFERROR(MAX(MIN(TTM!K40,1),-0.3),""))</f>
        <v/>
      </c>
      <c r="L40" s="13" t="str">
        <f>IF(TTM!L40="","",IFERROR(MAX(MIN(TTM!L40,1),-0.3),""))</f>
        <v/>
      </c>
      <c r="M40" s="13" t="str">
        <f>IF(TTM!M40="","",IFERROR(MAX(MIN(TTM!M40,1),-0.3),""))</f>
        <v/>
      </c>
      <c r="N40" s="13" t="str">
        <f>IF(TTM!N40="","",IFERROR(MAX(MIN(TTM!N40,1),-0.3),""))</f>
        <v/>
      </c>
      <c r="O40" s="13">
        <f>IF(TTM!O40="","",IFERROR(MAX(MIN(TTM!O40,1),-0.3),""))</f>
        <v>1</v>
      </c>
      <c r="P40" s="13" t="str">
        <f>IF(TTM!P40="","",IFERROR(MAX(MIN(TTM!P40,1),-0.3),""))</f>
        <v/>
      </c>
      <c r="Q40" s="13" t="str">
        <f>IF(TTM!Q40="","",IFERROR(MAX(MIN(TTM!Q40,1),-0.3),""))</f>
        <v/>
      </c>
      <c r="R40" s="13" t="str">
        <f>IF(TTM!R40="","",IFERROR(MAX(MIN(TTM!R40,1),-0.3),""))</f>
        <v/>
      </c>
      <c r="S40" s="13" t="str">
        <f>IF(TTM!S40="","",IFERROR(MAX(MIN(TTM!S40,1),-0.3),""))</f>
        <v/>
      </c>
      <c r="T40" s="13" t="str">
        <f>IF(TTM!T40="","",IFERROR(MAX(MIN(TTM!T40,1),-0.3),""))</f>
        <v/>
      </c>
      <c r="U40" s="11"/>
    </row>
    <row r="41" spans="1:21" ht="14">
      <c r="A41" s="14" t="s">
        <v>66</v>
      </c>
      <c r="B41" s="13" t="str">
        <f>IF(TTM!B41="","",IFERROR(MAX(MIN(TTM!B41,1),-0.3),""))</f>
        <v/>
      </c>
      <c r="C41" s="13">
        <f>IF(TTM!C41="","",IFERROR(MAX(MIN(TTM!C41,1),-0.3),""))</f>
        <v>0.13820224431659445</v>
      </c>
      <c r="D41" s="13">
        <f>IF(TTM!D41="","",IFERROR(MAX(MIN(TTM!D41,1),-0.3),""))</f>
        <v>7.9301024031380341E-2</v>
      </c>
      <c r="E41" s="13">
        <f>IF(TTM!E41="","",IFERROR(MAX(MIN(TTM!E41,1),-0.3),""))</f>
        <v>0.53934812426697976</v>
      </c>
      <c r="F41" s="13" t="str">
        <f>IF(TTM!F41="","",IFERROR(MAX(MIN(TTM!F41,1),-0.3),""))</f>
        <v/>
      </c>
      <c r="G41" s="13" t="str">
        <f>IF(TTM!G41="","",IFERROR(MAX(MIN(TTM!G41,1),-0.3),""))</f>
        <v/>
      </c>
      <c r="H41" s="13" t="str">
        <f>IF(TTM!H41="","",IFERROR(MAX(MIN(TTM!H41,1),-0.3),""))</f>
        <v/>
      </c>
      <c r="I41" s="13" t="str">
        <f>IF(TTM!I41="","",IFERROR(MAX(MIN(TTM!I41,1),-0.3),""))</f>
        <v/>
      </c>
      <c r="J41" s="13" t="str">
        <f>IF(TTM!J41="","",IFERROR(MAX(MIN(TTM!J41,1),-0.3),""))</f>
        <v/>
      </c>
      <c r="K41" s="13" t="str">
        <f>IF(TTM!K41="","",IFERROR(MAX(MIN(TTM!K41,1),-0.3),""))</f>
        <v/>
      </c>
      <c r="L41" s="13" t="str">
        <f>IF(TTM!L41="","",IFERROR(MAX(MIN(TTM!L41,1),-0.3),""))</f>
        <v/>
      </c>
      <c r="M41" s="13" t="str">
        <f>IF(TTM!M41="","",IFERROR(MAX(MIN(TTM!M41,1),-0.3),""))</f>
        <v/>
      </c>
      <c r="N41" s="13" t="str">
        <f>IF(TTM!N41="","",IFERROR(MAX(MIN(TTM!N41,1),-0.3),""))</f>
        <v/>
      </c>
      <c r="O41" s="13">
        <f>IF(TTM!O41="","",IFERROR(MAX(MIN(TTM!O41,1),-0.3),""))</f>
        <v>1</v>
      </c>
      <c r="P41" s="13" t="str">
        <f>IF(TTM!P41="","",IFERROR(MAX(MIN(TTM!P41,1),-0.3),""))</f>
        <v/>
      </c>
      <c r="Q41" s="13" t="str">
        <f>IF(TTM!Q41="","",IFERROR(MAX(MIN(TTM!Q41,1),-0.3),""))</f>
        <v/>
      </c>
      <c r="R41" s="13" t="str">
        <f>IF(TTM!R41="","",IFERROR(MAX(MIN(TTM!R41,1),-0.3),""))</f>
        <v/>
      </c>
      <c r="S41" s="13" t="str">
        <f>IF(TTM!S41="","",IFERROR(MAX(MIN(TTM!S41,1),-0.3),""))</f>
        <v/>
      </c>
      <c r="T41" s="13" t="str">
        <f>IF(TTM!T41="","",IFERROR(MAX(MIN(TTM!T41,1),-0.3),""))</f>
        <v/>
      </c>
      <c r="U41" s="11"/>
    </row>
    <row r="42" spans="1:21" ht="14">
      <c r="A42" s="14" t="s">
        <v>67</v>
      </c>
      <c r="B42" s="13" t="str">
        <f>IF(TTM!B42="","",IFERROR(MAX(MIN(TTM!B42,1),-0.3),""))</f>
        <v/>
      </c>
      <c r="C42" s="13">
        <f>IF(TTM!C42="","",IFERROR(MAX(MIN(TTM!C42,1),-0.3),""))</f>
        <v>0.16666632040388096</v>
      </c>
      <c r="D42" s="13">
        <f>IF(TTM!D42="","",IFERROR(MAX(MIN(TTM!D42,1),-0.3),""))</f>
        <v>5.5736498297911385E-2</v>
      </c>
      <c r="E42" s="13">
        <f>IF(TTM!E42="","",IFERROR(MAX(MIN(TTM!E42,1),-0.3),""))</f>
        <v>0.50256569970931952</v>
      </c>
      <c r="F42" s="13" t="str">
        <f>IF(TTM!F42="","",IFERROR(MAX(MIN(TTM!F42,1),-0.3),""))</f>
        <v/>
      </c>
      <c r="G42" s="13" t="str">
        <f>IF(TTM!G42="","",IFERROR(MAX(MIN(TTM!G42,1),-0.3),""))</f>
        <v/>
      </c>
      <c r="H42" s="13" t="str">
        <f>IF(TTM!H42="","",IFERROR(MAX(MIN(TTM!H42,1),-0.3),""))</f>
        <v/>
      </c>
      <c r="I42" s="13" t="str">
        <f>IF(TTM!I42="","",IFERROR(MAX(MIN(TTM!I42,1),-0.3),""))</f>
        <v/>
      </c>
      <c r="J42" s="13" t="str">
        <f>IF(TTM!J42="","",IFERROR(MAX(MIN(TTM!J42,1),-0.3),""))</f>
        <v/>
      </c>
      <c r="K42" s="13" t="str">
        <f>IF(TTM!K42="","",IFERROR(MAX(MIN(TTM!K42,1),-0.3),""))</f>
        <v/>
      </c>
      <c r="L42" s="13" t="str">
        <f>IF(TTM!L42="","",IFERROR(MAX(MIN(TTM!L42,1),-0.3),""))</f>
        <v/>
      </c>
      <c r="M42" s="13" t="str">
        <f>IF(TTM!M42="","",IFERROR(MAX(MIN(TTM!M42,1),-0.3),""))</f>
        <v/>
      </c>
      <c r="N42" s="13" t="str">
        <f>IF(TTM!N42="","",IFERROR(MAX(MIN(TTM!N42,1),-0.3),""))</f>
        <v/>
      </c>
      <c r="O42" s="13">
        <f>IF(TTM!O42="","",IFERROR(MAX(MIN(TTM!O42,1),-0.3),""))</f>
        <v>0.8548529486982761</v>
      </c>
      <c r="P42" s="13" t="str">
        <f>IF(TTM!P42="","",IFERROR(MAX(MIN(TTM!P42,1),-0.3),""))</f>
        <v/>
      </c>
      <c r="Q42" s="13" t="str">
        <f>IF(TTM!Q42="","",IFERROR(MAX(MIN(TTM!Q42,1),-0.3),""))</f>
        <v/>
      </c>
      <c r="R42" s="13" t="str">
        <f>IF(TTM!R42="","",IFERROR(MAX(MIN(TTM!R42,1),-0.3),""))</f>
        <v/>
      </c>
      <c r="S42" s="13" t="str">
        <f>IF(TTM!S42="","",IFERROR(MAX(MIN(TTM!S42,1),-0.3),""))</f>
        <v/>
      </c>
      <c r="T42" s="13" t="str">
        <f>IF(TTM!T42="","",IFERROR(MAX(MIN(TTM!T42,1),-0.3),""))</f>
        <v/>
      </c>
      <c r="U42" s="11"/>
    </row>
    <row r="43" spans="1:21" ht="14">
      <c r="A43" s="14" t="s">
        <v>68</v>
      </c>
      <c r="B43" s="13" t="str">
        <f>IF(TTM!B43="","",IFERROR(MAX(MIN(TTM!B43,1),-0.3),""))</f>
        <v/>
      </c>
      <c r="C43" s="13">
        <f>IF(TTM!C43="","",IFERROR(MAX(MIN(TTM!C43,1),-0.3),""))</f>
        <v>0.1887307605210029</v>
      </c>
      <c r="D43" s="13">
        <f>IF(TTM!D43="","",IFERROR(MAX(MIN(TTM!D43,1),-0.3),""))</f>
        <v>8.95933860018443E-2</v>
      </c>
      <c r="E43" s="13">
        <f>IF(TTM!E43="","",IFERROR(MAX(MIN(TTM!E43,1),-0.3),""))</f>
        <v>0.54391830330688729</v>
      </c>
      <c r="F43" s="13" t="str">
        <f>IF(TTM!F43="","",IFERROR(MAX(MIN(TTM!F43,1),-0.3),""))</f>
        <v/>
      </c>
      <c r="G43" s="13" t="str">
        <f>IF(TTM!G43="","",IFERROR(MAX(MIN(TTM!G43,1),-0.3),""))</f>
        <v/>
      </c>
      <c r="H43" s="13" t="str">
        <f>IF(TTM!H43="","",IFERROR(MAX(MIN(TTM!H43,1),-0.3),""))</f>
        <v/>
      </c>
      <c r="I43" s="13" t="str">
        <f>IF(TTM!I43="","",IFERROR(MAX(MIN(TTM!I43,1),-0.3),""))</f>
        <v/>
      </c>
      <c r="J43" s="13" t="str">
        <f>IF(TTM!J43="","",IFERROR(MAX(MIN(TTM!J43,1),-0.3),""))</f>
        <v/>
      </c>
      <c r="K43" s="13" t="str">
        <f>IF(TTM!K43="","",IFERROR(MAX(MIN(TTM!K43,1),-0.3),""))</f>
        <v/>
      </c>
      <c r="L43" s="13" t="str">
        <f>IF(TTM!L43="","",IFERROR(MAX(MIN(TTM!L43,1),-0.3),""))</f>
        <v/>
      </c>
      <c r="M43" s="13" t="str">
        <f>IF(TTM!M43="","",IFERROR(MAX(MIN(TTM!M43,1),-0.3),""))</f>
        <v/>
      </c>
      <c r="N43" s="13" t="str">
        <f>IF(TTM!N43="","",IFERROR(MAX(MIN(TTM!N43,1),-0.3),""))</f>
        <v/>
      </c>
      <c r="O43" s="13">
        <f>IF(TTM!O43="","",IFERROR(MAX(MIN(TTM!O43,1),-0.3),""))</f>
        <v>0.70771801953864255</v>
      </c>
      <c r="P43" s="13" t="str">
        <f>IF(TTM!P43="","",IFERROR(MAX(MIN(TTM!P43,1),-0.3),""))</f>
        <v/>
      </c>
      <c r="Q43" s="13" t="str">
        <f>IF(TTM!Q43="","",IFERROR(MAX(MIN(TTM!Q43,1),-0.3),""))</f>
        <v/>
      </c>
      <c r="R43" s="13" t="str">
        <f>IF(TTM!R43="","",IFERROR(MAX(MIN(TTM!R43,1),-0.3),""))</f>
        <v/>
      </c>
      <c r="S43" s="13" t="str">
        <f>IF(TTM!S43="","",IFERROR(MAX(MIN(TTM!S43,1),-0.3),""))</f>
        <v/>
      </c>
      <c r="T43" s="13" t="str">
        <f>IF(TTM!T43="","",IFERROR(MAX(MIN(TTM!T43,1),-0.3),""))</f>
        <v/>
      </c>
      <c r="U43" s="11"/>
    </row>
    <row r="44" spans="1:21" ht="14">
      <c r="A44" s="14" t="s">
        <v>69</v>
      </c>
      <c r="B44" s="13" t="str">
        <f>IF(TTM!B44="","",IFERROR(MAX(MIN(TTM!B44,1),-0.3),""))</f>
        <v/>
      </c>
      <c r="C44" s="13">
        <f>IF(TTM!C44="","",IFERROR(MAX(MIN(TTM!C44,1),-0.3),""))</f>
        <v>0.21079520063812485</v>
      </c>
      <c r="D44" s="13">
        <f>IF(TTM!D44="","",IFERROR(MAX(MIN(TTM!D44,1),-0.3),""))</f>
        <v>0.12345027370577721</v>
      </c>
      <c r="E44" s="13">
        <f>IF(TTM!E44="","",IFERROR(MAX(MIN(TTM!E44,1),-0.3),""))</f>
        <v>0.58527090690445494</v>
      </c>
      <c r="F44" s="13" t="str">
        <f>IF(TTM!F44="","",IFERROR(MAX(MIN(TTM!F44,1),-0.3),""))</f>
        <v/>
      </c>
      <c r="G44" s="13" t="str">
        <f>IF(TTM!G44="","",IFERROR(MAX(MIN(TTM!G44,1),-0.3),""))</f>
        <v/>
      </c>
      <c r="H44" s="13" t="str">
        <f>IF(TTM!H44="","",IFERROR(MAX(MIN(TTM!H44,1),-0.3),""))</f>
        <v/>
      </c>
      <c r="I44" s="13" t="str">
        <f>IF(TTM!I44="","",IFERROR(MAX(MIN(TTM!I44,1),-0.3),""))</f>
        <v/>
      </c>
      <c r="J44" s="13" t="str">
        <f>IF(TTM!J44="","",IFERROR(MAX(MIN(TTM!J44,1),-0.3),""))</f>
        <v/>
      </c>
      <c r="K44" s="13" t="str">
        <f>IF(TTM!K44="","",IFERROR(MAX(MIN(TTM!K44,1),-0.3),""))</f>
        <v/>
      </c>
      <c r="L44" s="13" t="str">
        <f>IF(TTM!L44="","",IFERROR(MAX(MIN(TTM!L44,1),-0.3),""))</f>
        <v/>
      </c>
      <c r="M44" s="13" t="str">
        <f>IF(TTM!M44="","",IFERROR(MAX(MIN(TTM!M44,1),-0.3),""))</f>
        <v/>
      </c>
      <c r="N44" s="13" t="str">
        <f>IF(TTM!N44="","",IFERROR(MAX(MIN(TTM!N44,1),-0.3),""))</f>
        <v/>
      </c>
      <c r="O44" s="13">
        <f>IF(TTM!O44="","",IFERROR(MAX(MIN(TTM!O44,1),-0.3),""))</f>
        <v>0.56058309037900877</v>
      </c>
      <c r="P44" s="13" t="str">
        <f>IF(TTM!P44="","",IFERROR(MAX(MIN(TTM!P44,1),-0.3),""))</f>
        <v/>
      </c>
      <c r="Q44" s="13" t="str">
        <f>IF(TTM!Q44="","",IFERROR(MAX(MIN(TTM!Q44,1),-0.3),""))</f>
        <v/>
      </c>
      <c r="R44" s="13" t="str">
        <f>IF(TTM!R44="","",IFERROR(MAX(MIN(TTM!R44,1),-0.3),""))</f>
        <v/>
      </c>
      <c r="S44" s="13" t="str">
        <f>IF(TTM!S44="","",IFERROR(MAX(MIN(TTM!S44,1),-0.3),""))</f>
        <v/>
      </c>
      <c r="T44" s="13" t="str">
        <f>IF(TTM!T44="","",IFERROR(MAX(MIN(TTM!T44,1),-0.3),""))</f>
        <v/>
      </c>
      <c r="U44" s="11"/>
    </row>
    <row r="45" spans="1:21" ht="14">
      <c r="A45" s="14" t="s">
        <v>70</v>
      </c>
      <c r="B45" s="13" t="str">
        <f>IF(TTM!B45="","",IFERROR(MAX(MIN(TTM!B45,1),-0.3),""))</f>
        <v/>
      </c>
      <c r="C45" s="13">
        <f>IF(TTM!C45="","",IFERROR(MAX(MIN(TTM!C45,1),-0.3),""))</f>
        <v>0.23285964075524679</v>
      </c>
      <c r="D45" s="13">
        <f>IF(TTM!D45="","",IFERROR(MAX(MIN(TTM!D45,1),-0.3),""))</f>
        <v>0.15730716140971013</v>
      </c>
      <c r="E45" s="13">
        <f>IF(TTM!E45="","",IFERROR(MAX(MIN(TTM!E45,1),-0.3),""))</f>
        <v>0.62662351050202258</v>
      </c>
      <c r="F45" s="13" t="str">
        <f>IF(TTM!F45="","",IFERROR(MAX(MIN(TTM!F45,1),-0.3),""))</f>
        <v/>
      </c>
      <c r="G45" s="13" t="str">
        <f>IF(TTM!G45="","",IFERROR(MAX(MIN(TTM!G45,1),-0.3),""))</f>
        <v/>
      </c>
      <c r="H45" s="13" t="str">
        <f>IF(TTM!H45="","",IFERROR(MAX(MIN(TTM!H45,1),-0.3),""))</f>
        <v/>
      </c>
      <c r="I45" s="13" t="str">
        <f>IF(TTM!I45="","",IFERROR(MAX(MIN(TTM!I45,1),-0.3),""))</f>
        <v/>
      </c>
      <c r="J45" s="13" t="str">
        <f>IF(TTM!J45="","",IFERROR(MAX(MIN(TTM!J45,1),-0.3),""))</f>
        <v/>
      </c>
      <c r="K45" s="13" t="str">
        <f>IF(TTM!K45="","",IFERROR(MAX(MIN(TTM!K45,1),-0.3),""))</f>
        <v/>
      </c>
      <c r="L45" s="13" t="str">
        <f>IF(TTM!L45="","",IFERROR(MAX(MIN(TTM!L45,1),-0.3),""))</f>
        <v/>
      </c>
      <c r="M45" s="13" t="str">
        <f>IF(TTM!M45="","",IFERROR(MAX(MIN(TTM!M45,1),-0.3),""))</f>
        <v/>
      </c>
      <c r="N45" s="13" t="str">
        <f>IF(TTM!N45="","",IFERROR(MAX(MIN(TTM!N45,1),-0.3),""))</f>
        <v/>
      </c>
      <c r="O45" s="13">
        <f>IF(TTM!O45="","",IFERROR(MAX(MIN(TTM!O45,1),-0.3),""))</f>
        <v>0.59346825486391586</v>
      </c>
      <c r="P45" s="13" t="str">
        <f>IF(TTM!P45="","",IFERROR(MAX(MIN(TTM!P45,1),-0.3),""))</f>
        <v/>
      </c>
      <c r="Q45" s="13" t="str">
        <f>IF(TTM!Q45="","",IFERROR(MAX(MIN(TTM!Q45,1),-0.3),""))</f>
        <v/>
      </c>
      <c r="R45" s="13" t="str">
        <f>IF(TTM!R45="","",IFERROR(MAX(MIN(TTM!R45,1),-0.3),""))</f>
        <v/>
      </c>
      <c r="S45" s="13" t="str">
        <f>IF(TTM!S45="","",IFERROR(MAX(MIN(TTM!S45,1),-0.3),""))</f>
        <v/>
      </c>
      <c r="T45" s="13" t="str">
        <f>IF(TTM!T45="","",IFERROR(MAX(MIN(TTM!T45,1),-0.3),""))</f>
        <v/>
      </c>
      <c r="U45" s="11"/>
    </row>
    <row r="46" spans="1:21" ht="14">
      <c r="A46" s="14" t="s">
        <v>71</v>
      </c>
      <c r="B46" s="13" t="str">
        <f>IF(TTM!B46="","",IFERROR(MAX(MIN(TTM!B46,1),-0.3),""))</f>
        <v/>
      </c>
      <c r="C46" s="13">
        <f>IF(TTM!C46="","",IFERROR(MAX(MIN(TTM!C46,1),-0.3),""))</f>
        <v>0.25492408087236873</v>
      </c>
      <c r="D46" s="13">
        <f>IF(TTM!D46="","",IFERROR(MAX(MIN(TTM!D46,1),-0.3),""))</f>
        <v>0.19116404911364304</v>
      </c>
      <c r="E46" s="13">
        <f>IF(TTM!E46="","",IFERROR(MAX(MIN(TTM!E46,1),-0.3),""))</f>
        <v>0.66797611409959035</v>
      </c>
      <c r="F46" s="13" t="str">
        <f>IF(TTM!F46="","",IFERROR(MAX(MIN(TTM!F46,1),-0.3),""))</f>
        <v/>
      </c>
      <c r="G46" s="13" t="str">
        <f>IF(TTM!G46="","",IFERROR(MAX(MIN(TTM!G46,1),-0.3),""))</f>
        <v/>
      </c>
      <c r="H46" s="13" t="str">
        <f>IF(TTM!H46="","",IFERROR(MAX(MIN(TTM!H46,1),-0.3),""))</f>
        <v/>
      </c>
      <c r="I46" s="13" t="str">
        <f>IF(TTM!I46="","",IFERROR(MAX(MIN(TTM!I46,1),-0.3),""))</f>
        <v/>
      </c>
      <c r="J46" s="13" t="str">
        <f>IF(TTM!J46="","",IFERROR(MAX(MIN(TTM!J46,1),-0.3),""))</f>
        <v/>
      </c>
      <c r="K46" s="13" t="str">
        <f>IF(TTM!K46="","",IFERROR(MAX(MIN(TTM!K46,1),-0.3),""))</f>
        <v/>
      </c>
      <c r="L46" s="13" t="str">
        <f>IF(TTM!L46="","",IFERROR(MAX(MIN(TTM!L46,1),-0.3),""))</f>
        <v/>
      </c>
      <c r="M46" s="13" t="str">
        <f>IF(TTM!M46="","",IFERROR(MAX(MIN(TTM!M46,1),-0.3),""))</f>
        <v/>
      </c>
      <c r="N46" s="13" t="str">
        <f>IF(TTM!N46="","",IFERROR(MAX(MIN(TTM!N46,1),-0.3),""))</f>
        <v/>
      </c>
      <c r="O46" s="13">
        <f>IF(TTM!O46="","",IFERROR(MAX(MIN(TTM!O46,1),-0.3),""))</f>
        <v>0.62635341934882283</v>
      </c>
      <c r="P46" s="13" t="str">
        <f>IF(TTM!P46="","",IFERROR(MAX(MIN(TTM!P46,1),-0.3),""))</f>
        <v/>
      </c>
      <c r="Q46" s="13" t="str">
        <f>IF(TTM!Q46="","",IFERROR(MAX(MIN(TTM!Q46,1),-0.3),""))</f>
        <v/>
      </c>
      <c r="R46" s="13" t="str">
        <f>IF(TTM!R46="","",IFERROR(MAX(MIN(TTM!R46,1),-0.3),""))</f>
        <v/>
      </c>
      <c r="S46" s="13" t="str">
        <f>IF(TTM!S46="","",IFERROR(MAX(MIN(TTM!S46,1),-0.3),""))</f>
        <v/>
      </c>
      <c r="T46" s="13" t="str">
        <f>IF(TTM!T46="","",IFERROR(MAX(MIN(TTM!T46,1),-0.3),""))</f>
        <v/>
      </c>
      <c r="U46" s="11"/>
    </row>
    <row r="47" spans="1:21" ht="14">
      <c r="A47" s="14" t="s">
        <v>72</v>
      </c>
      <c r="B47" s="13" t="str">
        <f>IF(TTM!B47="","",IFERROR(MAX(MIN(TTM!B47,1),-0.3),""))</f>
        <v/>
      </c>
      <c r="C47" s="13">
        <f>IF(TTM!C47="","",IFERROR(MAX(MIN(TTM!C47,1),-0.3),""))</f>
        <v>0.27551865386391267</v>
      </c>
      <c r="D47" s="13">
        <f>IF(TTM!D47="","",IFERROR(MAX(MIN(TTM!D47,1),-0.3),""))</f>
        <v>0.16885588475061392</v>
      </c>
      <c r="E47" s="13">
        <f>IF(TTM!E47="","",IFERROR(MAX(MIN(TTM!E47,1),-0.3),""))</f>
        <v>0.58365956544048436</v>
      </c>
      <c r="F47" s="13" t="str">
        <f>IF(TTM!F47="","",IFERROR(MAX(MIN(TTM!F47,1),-0.3),""))</f>
        <v/>
      </c>
      <c r="G47" s="13" t="str">
        <f>IF(TTM!G47="","",IFERROR(MAX(MIN(TTM!G47,1),-0.3),""))</f>
        <v/>
      </c>
      <c r="H47" s="13" t="str">
        <f>IF(TTM!H47="","",IFERROR(MAX(MIN(TTM!H47,1),-0.3),""))</f>
        <v/>
      </c>
      <c r="I47" s="13" t="str">
        <f>IF(TTM!I47="","",IFERROR(MAX(MIN(TTM!I47,1),-0.3),""))</f>
        <v/>
      </c>
      <c r="J47" s="13" t="str">
        <f>IF(TTM!J47="","",IFERROR(MAX(MIN(TTM!J47,1),-0.3),""))</f>
        <v/>
      </c>
      <c r="K47" s="13" t="str">
        <f>IF(TTM!K47="","",IFERROR(MAX(MIN(TTM!K47,1),-0.3),""))</f>
        <v/>
      </c>
      <c r="L47" s="13" t="str">
        <f>IF(TTM!L47="","",IFERROR(MAX(MIN(TTM!L47,1),-0.3),""))</f>
        <v/>
      </c>
      <c r="M47" s="13" t="str">
        <f>IF(TTM!M47="","",IFERROR(MAX(MIN(TTM!M47,1),-0.3),""))</f>
        <v/>
      </c>
      <c r="N47" s="13" t="str">
        <f>IF(TTM!N47="","",IFERROR(MAX(MIN(TTM!N47,1),-0.3),""))</f>
        <v/>
      </c>
      <c r="O47" s="13">
        <f>IF(TTM!O47="","",IFERROR(MAX(MIN(TTM!O47,1),-0.3),""))</f>
        <v>0.6592385838337298</v>
      </c>
      <c r="P47" s="13" t="str">
        <f>IF(TTM!P47="","",IFERROR(MAX(MIN(TTM!P47,1),-0.3),""))</f>
        <v/>
      </c>
      <c r="Q47" s="13" t="str">
        <f>IF(TTM!Q47="","",IFERROR(MAX(MIN(TTM!Q47,1),-0.3),""))</f>
        <v/>
      </c>
      <c r="R47" s="13" t="str">
        <f>IF(TTM!R47="","",IFERROR(MAX(MIN(TTM!R47,1),-0.3),""))</f>
        <v/>
      </c>
      <c r="S47" s="13" t="str">
        <f>IF(TTM!S47="","",IFERROR(MAX(MIN(TTM!S47,1),-0.3),""))</f>
        <v/>
      </c>
      <c r="T47" s="13" t="str">
        <f>IF(TTM!T47="","",IFERROR(MAX(MIN(TTM!T47,1),-0.3),""))</f>
        <v/>
      </c>
      <c r="U47" s="11"/>
    </row>
    <row r="48" spans="1:21" ht="14">
      <c r="A48" s="14" t="s">
        <v>73</v>
      </c>
      <c r="B48" s="13" t="str">
        <f>IF(TTM!B48="","",IFERROR(MAX(MIN(TTM!B48,1),-0.3),""))</f>
        <v/>
      </c>
      <c r="C48" s="13">
        <f>IF(TTM!C48="","",IFERROR(MAX(MIN(TTM!C48,1),-0.3),""))</f>
        <v>0.2961132268554566</v>
      </c>
      <c r="D48" s="13">
        <f>IF(TTM!D48="","",IFERROR(MAX(MIN(TTM!D48,1),-0.3),""))</f>
        <v>0.14654772038758479</v>
      </c>
      <c r="E48" s="13">
        <f>IF(TTM!E48="","",IFERROR(MAX(MIN(TTM!E48,1),-0.3),""))</f>
        <v>0.49934301678137849</v>
      </c>
      <c r="F48" s="13" t="str">
        <f>IF(TTM!F48="","",IFERROR(MAX(MIN(TTM!F48,1),-0.3),""))</f>
        <v/>
      </c>
      <c r="G48" s="13" t="str">
        <f>IF(TTM!G48="","",IFERROR(MAX(MIN(TTM!G48,1),-0.3),""))</f>
        <v/>
      </c>
      <c r="H48" s="13" t="str">
        <f>IF(TTM!H48="","",IFERROR(MAX(MIN(TTM!H48,1),-0.3),""))</f>
        <v/>
      </c>
      <c r="I48" s="13" t="str">
        <f>IF(TTM!I48="","",IFERROR(MAX(MIN(TTM!I48,1),-0.3),""))</f>
        <v/>
      </c>
      <c r="J48" s="13" t="str">
        <f>IF(TTM!J48="","",IFERROR(MAX(MIN(TTM!J48,1),-0.3),""))</f>
        <v/>
      </c>
      <c r="K48" s="13" t="str">
        <f>IF(TTM!K48="","",IFERROR(MAX(MIN(TTM!K48,1),-0.3),""))</f>
        <v/>
      </c>
      <c r="L48" s="13" t="str">
        <f>IF(TTM!L48="","",IFERROR(MAX(MIN(TTM!L48,1),-0.3),""))</f>
        <v/>
      </c>
      <c r="M48" s="13" t="str">
        <f>IF(TTM!M48="","",IFERROR(MAX(MIN(TTM!M48,1),-0.3),""))</f>
        <v/>
      </c>
      <c r="N48" s="13" t="str">
        <f>IF(TTM!N48="","",IFERROR(MAX(MIN(TTM!N48,1),-0.3),""))</f>
        <v/>
      </c>
      <c r="O48" s="13">
        <f>IF(TTM!O48="","",IFERROR(MAX(MIN(TTM!O48,1),-0.3),""))</f>
        <v>0.69212374831863688</v>
      </c>
      <c r="P48" s="13" t="str">
        <f>IF(TTM!P48="","",IFERROR(MAX(MIN(TTM!P48,1),-0.3),""))</f>
        <v/>
      </c>
      <c r="Q48" s="13" t="str">
        <f>IF(TTM!Q48="","",IFERROR(MAX(MIN(TTM!Q48,1),-0.3),""))</f>
        <v/>
      </c>
      <c r="R48" s="13" t="str">
        <f>IF(TTM!R48="","",IFERROR(MAX(MIN(TTM!R48,1),-0.3),""))</f>
        <v/>
      </c>
      <c r="S48" s="13" t="str">
        <f>IF(TTM!S48="","",IFERROR(MAX(MIN(TTM!S48,1),-0.3),""))</f>
        <v/>
      </c>
      <c r="T48" s="13" t="str">
        <f>IF(TTM!T48="","",IFERROR(MAX(MIN(TTM!T48,1),-0.3),""))</f>
        <v/>
      </c>
      <c r="U48" s="11"/>
    </row>
    <row r="49" spans="1:21" ht="14">
      <c r="A49" s="14" t="s">
        <v>74</v>
      </c>
      <c r="B49" s="13" t="str">
        <f>IF(TTM!B49="","",IFERROR(MAX(MIN(TTM!B49,1),-0.3),""))</f>
        <v/>
      </c>
      <c r="C49" s="13">
        <f>IF(TTM!C49="","",IFERROR(MAX(MIN(TTM!C49,1),-0.3),""))</f>
        <v>0.31670779984700054</v>
      </c>
      <c r="D49" s="13">
        <f>IF(TTM!D49="","",IFERROR(MAX(MIN(TTM!D49,1),-0.3),""))</f>
        <v>0.12423955602455566</v>
      </c>
      <c r="E49" s="13">
        <f>IF(TTM!E49="","",IFERROR(MAX(MIN(TTM!E49,1),-0.3),""))</f>
        <v>0.41502646812227256</v>
      </c>
      <c r="F49" s="13" t="str">
        <f>IF(TTM!F49="","",IFERROR(MAX(MIN(TTM!F49,1),-0.3),""))</f>
        <v/>
      </c>
      <c r="G49" s="13" t="str">
        <f>IF(TTM!G49="","",IFERROR(MAX(MIN(TTM!G49,1),-0.3),""))</f>
        <v/>
      </c>
      <c r="H49" s="13" t="str">
        <f>IF(TTM!H49="","",IFERROR(MAX(MIN(TTM!H49,1),-0.3),""))</f>
        <v/>
      </c>
      <c r="I49" s="13" t="str">
        <f>IF(TTM!I49="","",IFERROR(MAX(MIN(TTM!I49,1),-0.3),""))</f>
        <v/>
      </c>
      <c r="J49" s="13" t="str">
        <f>IF(TTM!J49="","",IFERROR(MAX(MIN(TTM!J49,1),-0.3),""))</f>
        <v/>
      </c>
      <c r="K49" s="13" t="str">
        <f>IF(TTM!K49="","",IFERROR(MAX(MIN(TTM!K49,1),-0.3),""))</f>
        <v/>
      </c>
      <c r="L49" s="13" t="str">
        <f>IF(TTM!L49="","",IFERROR(MAX(MIN(TTM!L49,1),-0.3),""))</f>
        <v/>
      </c>
      <c r="M49" s="13" t="str">
        <f>IF(TTM!M49="","",IFERROR(MAX(MIN(TTM!M49,1),-0.3),""))</f>
        <v/>
      </c>
      <c r="N49" s="13" t="str">
        <f>IF(TTM!N49="","",IFERROR(MAX(MIN(TTM!N49,1),-0.3),""))</f>
        <v/>
      </c>
      <c r="O49" s="13">
        <f>IF(TTM!O49="","",IFERROR(MAX(MIN(TTM!O49,1),-0.3),""))</f>
        <v>0.52299009087155146</v>
      </c>
      <c r="P49" s="13" t="str">
        <f>IF(TTM!P49="","",IFERROR(MAX(MIN(TTM!P49,1),-0.3),""))</f>
        <v/>
      </c>
      <c r="Q49" s="13" t="str">
        <f>IF(TTM!Q49="","",IFERROR(MAX(MIN(TTM!Q49,1),-0.3),""))</f>
        <v/>
      </c>
      <c r="R49" s="13" t="str">
        <f>IF(TTM!R49="","",IFERROR(MAX(MIN(TTM!R49,1),-0.3),""))</f>
        <v/>
      </c>
      <c r="S49" s="13" t="str">
        <f>IF(TTM!S49="","",IFERROR(MAX(MIN(TTM!S49,1),-0.3),""))</f>
        <v/>
      </c>
      <c r="T49" s="13" t="str">
        <f>IF(TTM!T49="","",IFERROR(MAX(MIN(TTM!T49,1),-0.3),""))</f>
        <v/>
      </c>
      <c r="U49" s="11"/>
    </row>
    <row r="50" spans="1:21" ht="14">
      <c r="A50" s="14" t="s">
        <v>75</v>
      </c>
      <c r="B50" s="13" t="str">
        <f>IF(TTM!B50="","",IFERROR(MAX(MIN(TTM!B50,1),-0.3),""))</f>
        <v/>
      </c>
      <c r="C50" s="13">
        <f>IF(TTM!C50="","",IFERROR(MAX(MIN(TTM!C50,1),-0.3),""))</f>
        <v>0.33730237283854447</v>
      </c>
      <c r="D50" s="13">
        <f>IF(TTM!D50="","",IFERROR(MAX(MIN(TTM!D50,1),-0.3),""))</f>
        <v>0.10193139166152654</v>
      </c>
      <c r="E50" s="13">
        <f>IF(TTM!E50="","",IFERROR(MAX(MIN(TTM!E50,1),-0.3),""))</f>
        <v>0.33070991946316664</v>
      </c>
      <c r="F50" s="13" t="str">
        <f>IF(TTM!F50="","",IFERROR(MAX(MIN(TTM!F50,1),-0.3),""))</f>
        <v/>
      </c>
      <c r="G50" s="13" t="str">
        <f>IF(TTM!G50="","",IFERROR(MAX(MIN(TTM!G50,1),-0.3),""))</f>
        <v/>
      </c>
      <c r="H50" s="13" t="str">
        <f>IF(TTM!H50="","",IFERROR(MAX(MIN(TTM!H50,1),-0.3),""))</f>
        <v/>
      </c>
      <c r="I50" s="13" t="str">
        <f>IF(TTM!I50="","",IFERROR(MAX(MIN(TTM!I50,1),-0.3),""))</f>
        <v/>
      </c>
      <c r="J50" s="13" t="str">
        <f>IF(TTM!J50="","",IFERROR(MAX(MIN(TTM!J50,1),-0.3),""))</f>
        <v/>
      </c>
      <c r="K50" s="13" t="str">
        <f>IF(TTM!K50="","",IFERROR(MAX(MIN(TTM!K50,1),-0.3),""))</f>
        <v/>
      </c>
      <c r="L50" s="13" t="str">
        <f>IF(TTM!L50="","",IFERROR(MAX(MIN(TTM!L50,1),-0.3),""))</f>
        <v/>
      </c>
      <c r="M50" s="13" t="str">
        <f>IF(TTM!M50="","",IFERROR(MAX(MIN(TTM!M50,1),-0.3),""))</f>
        <v/>
      </c>
      <c r="N50" s="13" t="str">
        <f>IF(TTM!N50="","",IFERROR(MAX(MIN(TTM!N50,1),-0.3),""))</f>
        <v/>
      </c>
      <c r="O50" s="13">
        <f>IF(TTM!O50="","",IFERROR(MAX(MIN(TTM!O50,1),-0.3),""))</f>
        <v>0.35385643342446593</v>
      </c>
      <c r="P50" s="13" t="str">
        <f>IF(TTM!P50="","",IFERROR(MAX(MIN(TTM!P50,1),-0.3),""))</f>
        <v/>
      </c>
      <c r="Q50" s="13" t="str">
        <f>IF(TTM!Q50="","",IFERROR(MAX(MIN(TTM!Q50,1),-0.3),""))</f>
        <v/>
      </c>
      <c r="R50" s="13" t="str">
        <f>IF(TTM!R50="","",IFERROR(MAX(MIN(TTM!R50,1),-0.3),""))</f>
        <v/>
      </c>
      <c r="S50" s="13" t="str">
        <f>IF(TTM!S50="","",IFERROR(MAX(MIN(TTM!S50,1),-0.3),""))</f>
        <v/>
      </c>
      <c r="T50" s="13" t="str">
        <f>IF(TTM!T50="","",IFERROR(MAX(MIN(TTM!T50,1),-0.3),""))</f>
        <v/>
      </c>
      <c r="U50" s="11"/>
    </row>
    <row r="51" spans="1:21" ht="14">
      <c r="A51" s="14" t="s">
        <v>76</v>
      </c>
      <c r="B51" s="13" t="str">
        <f>IF(TTM!B51="","",IFERROR(MAX(MIN(TTM!B51,1),-0.3),""))</f>
        <v/>
      </c>
      <c r="C51" s="13">
        <f>IF(TTM!C51="","",IFERROR(MAX(MIN(TTM!C51,1),-0.3),""))</f>
        <v>0.3131163908143566</v>
      </c>
      <c r="D51" s="13">
        <f>IF(TTM!D51="","",IFERROR(MAX(MIN(TTM!D51,1),-0.3),""))</f>
        <v>5.9938402320145079E-2</v>
      </c>
      <c r="E51" s="13">
        <f>IF(TTM!E51="","",IFERROR(MAX(MIN(TTM!E51,1),-0.3),""))</f>
        <v>0.33160330913552455</v>
      </c>
      <c r="F51" s="13" t="str">
        <f>IF(TTM!F51="","",IFERROR(MAX(MIN(TTM!F51,1),-0.3),""))</f>
        <v/>
      </c>
      <c r="G51" s="13" t="str">
        <f>IF(TTM!G51="","",IFERROR(MAX(MIN(TTM!G51,1),-0.3),""))</f>
        <v/>
      </c>
      <c r="H51" s="13" t="str">
        <f>IF(TTM!H51="","",IFERROR(MAX(MIN(TTM!H51,1),-0.3),""))</f>
        <v/>
      </c>
      <c r="I51" s="13" t="str">
        <f>IF(TTM!I51="","",IFERROR(MAX(MIN(TTM!I51,1),-0.3),""))</f>
        <v/>
      </c>
      <c r="J51" s="13" t="str">
        <f>IF(TTM!J51="","",IFERROR(MAX(MIN(TTM!J51,1),-0.3),""))</f>
        <v/>
      </c>
      <c r="K51" s="13" t="str">
        <f>IF(TTM!K51="","",IFERROR(MAX(MIN(TTM!K51,1),-0.3),""))</f>
        <v/>
      </c>
      <c r="L51" s="13" t="str">
        <f>IF(TTM!L51="","",IFERROR(MAX(MIN(TTM!L51,1),-0.3),""))</f>
        <v/>
      </c>
      <c r="M51" s="13" t="str">
        <f>IF(TTM!M51="","",IFERROR(MAX(MIN(TTM!M51,1),-0.3),""))</f>
        <v/>
      </c>
      <c r="N51" s="13" t="str">
        <f>IF(TTM!N51="","",IFERROR(MAX(MIN(TTM!N51,1),-0.3),""))</f>
        <v/>
      </c>
      <c r="O51" s="13">
        <f>IF(TTM!O51="","",IFERROR(MAX(MIN(TTM!O51,1),-0.3),""))</f>
        <v>0.18472277597738046</v>
      </c>
      <c r="P51" s="13" t="str">
        <f>IF(TTM!P51="","",IFERROR(MAX(MIN(TTM!P51,1),-0.3),""))</f>
        <v/>
      </c>
      <c r="Q51" s="13" t="str">
        <f>IF(TTM!Q51="","",IFERROR(MAX(MIN(TTM!Q51,1),-0.3),""))</f>
        <v/>
      </c>
      <c r="R51" s="13" t="str">
        <f>IF(TTM!R51="","",IFERROR(MAX(MIN(TTM!R51,1),-0.3),""))</f>
        <v/>
      </c>
      <c r="S51" s="13" t="str">
        <f>IF(TTM!S51="","",IFERROR(MAX(MIN(TTM!S51,1),-0.3),""))</f>
        <v/>
      </c>
      <c r="T51" s="13" t="str">
        <f>IF(TTM!T51="","",IFERROR(MAX(MIN(TTM!T51,1),-0.3),""))</f>
        <v/>
      </c>
      <c r="U51" s="11"/>
    </row>
    <row r="52" spans="1:21" ht="14">
      <c r="A52" s="14" t="s">
        <v>77</v>
      </c>
      <c r="B52" s="13" t="str">
        <f>IF(TTM!B52="","",IFERROR(MAX(MIN(TTM!B52,1),-0.3),""))</f>
        <v/>
      </c>
      <c r="C52" s="13">
        <f>IF(TTM!C52="","",IFERROR(MAX(MIN(TTM!C52,1),-0.3),""))</f>
        <v>0.28893040879016874</v>
      </c>
      <c r="D52" s="13">
        <f>IF(TTM!D52="","",IFERROR(MAX(MIN(TTM!D52,1),-0.3),""))</f>
        <v>1.794541297876362E-2</v>
      </c>
      <c r="E52" s="13">
        <f>IF(TTM!E52="","",IFERROR(MAX(MIN(TTM!E52,1),-0.3),""))</f>
        <v>0.33249669880788246</v>
      </c>
      <c r="F52" s="13" t="str">
        <f>IF(TTM!F52="","",IFERROR(MAX(MIN(TTM!F52,1),-0.3),""))</f>
        <v/>
      </c>
      <c r="G52" s="13" t="str">
        <f>IF(TTM!G52="","",IFERROR(MAX(MIN(TTM!G52,1),-0.3),""))</f>
        <v/>
      </c>
      <c r="H52" s="13" t="str">
        <f>IF(TTM!H52="","",IFERROR(MAX(MIN(TTM!H52,1),-0.3),""))</f>
        <v/>
      </c>
      <c r="I52" s="13" t="str">
        <f>IF(TTM!I52="","",IFERROR(MAX(MIN(TTM!I52,1),-0.3),""))</f>
        <v/>
      </c>
      <c r="J52" s="13" t="str">
        <f>IF(TTM!J52="","",IFERROR(MAX(MIN(TTM!J52,1),-0.3),""))</f>
        <v/>
      </c>
      <c r="K52" s="13" t="str">
        <f>IF(TTM!K52="","",IFERROR(MAX(MIN(TTM!K52,1),-0.3),""))</f>
        <v/>
      </c>
      <c r="L52" s="13" t="str">
        <f>IF(TTM!L52="","",IFERROR(MAX(MIN(TTM!L52,1),-0.3),""))</f>
        <v/>
      </c>
      <c r="M52" s="13" t="str">
        <f>IF(TTM!M52="","",IFERROR(MAX(MIN(TTM!M52,1),-0.3),""))</f>
        <v/>
      </c>
      <c r="N52" s="13" t="str">
        <f>IF(TTM!N52="","",IFERROR(MAX(MIN(TTM!N52,1),-0.3),""))</f>
        <v/>
      </c>
      <c r="O52" s="13">
        <f>IF(TTM!O52="","",IFERROR(MAX(MIN(TTM!O52,1),-0.3),""))</f>
        <v>1.5589118530294988E-2</v>
      </c>
      <c r="P52" s="13" t="str">
        <f>IF(TTM!P52="","",IFERROR(MAX(MIN(TTM!P52,1),-0.3),""))</f>
        <v/>
      </c>
      <c r="Q52" s="13" t="str">
        <f>IF(TTM!Q52="","",IFERROR(MAX(MIN(TTM!Q52,1),-0.3),""))</f>
        <v/>
      </c>
      <c r="R52" s="13" t="str">
        <f>IF(TTM!R52="","",IFERROR(MAX(MIN(TTM!R52,1),-0.3),""))</f>
        <v/>
      </c>
      <c r="S52" s="13" t="str">
        <f>IF(TTM!S52="","",IFERROR(MAX(MIN(TTM!S52,1),-0.3),""))</f>
        <v/>
      </c>
      <c r="T52" s="13" t="str">
        <f>IF(TTM!T52="","",IFERROR(MAX(MIN(TTM!T52,1),-0.3),""))</f>
        <v/>
      </c>
      <c r="U52" s="11"/>
    </row>
    <row r="53" spans="1:21" ht="14">
      <c r="A53" s="14" t="s">
        <v>78</v>
      </c>
      <c r="B53" s="13" t="str">
        <f>IF(TTM!B53="","",IFERROR(MAX(MIN(TTM!B53,1),-0.3),""))</f>
        <v/>
      </c>
      <c r="C53" s="13">
        <f>IF(TTM!C53="","",IFERROR(MAX(MIN(TTM!C53,1),-0.3),""))</f>
        <v>0.26474442676598087</v>
      </c>
      <c r="D53" s="13">
        <f>IF(TTM!D53="","",IFERROR(MAX(MIN(TTM!D53,1),-0.3),""))</f>
        <v>-2.404757636261784E-2</v>
      </c>
      <c r="E53" s="13">
        <f>IF(TTM!E53="","",IFERROR(MAX(MIN(TTM!E53,1),-0.3),""))</f>
        <v>0.33339008848024038</v>
      </c>
      <c r="F53" s="13" t="str">
        <f>IF(TTM!F53="","",IFERROR(MAX(MIN(TTM!F53,1),-0.3),""))</f>
        <v/>
      </c>
      <c r="G53" s="13" t="str">
        <f>IF(TTM!G53="","",IFERROR(MAX(MIN(TTM!G53,1),-0.3),""))</f>
        <v/>
      </c>
      <c r="H53" s="13" t="str">
        <f>IF(TTM!H53="","",IFERROR(MAX(MIN(TTM!H53,1),-0.3),""))</f>
        <v/>
      </c>
      <c r="I53" s="13" t="str">
        <f>IF(TTM!I53="","",IFERROR(MAX(MIN(TTM!I53,1),-0.3),""))</f>
        <v/>
      </c>
      <c r="J53" s="13" t="str">
        <f>IF(TTM!J53="","",IFERROR(MAX(MIN(TTM!J53,1),-0.3),""))</f>
        <v/>
      </c>
      <c r="K53" s="13" t="str">
        <f>IF(TTM!K53="","",IFERROR(MAX(MIN(TTM!K53,1),-0.3),""))</f>
        <v/>
      </c>
      <c r="L53" s="13" t="str">
        <f>IF(TTM!L53="","",IFERROR(MAX(MIN(TTM!L53,1),-0.3),""))</f>
        <v/>
      </c>
      <c r="M53" s="13" t="str">
        <f>IF(TTM!M53="","",IFERROR(MAX(MIN(TTM!M53,1),-0.3),""))</f>
        <v/>
      </c>
      <c r="N53" s="13" t="str">
        <f>IF(TTM!N53="","",IFERROR(MAX(MIN(TTM!N53,1),-0.3),""))</f>
        <v/>
      </c>
      <c r="O53" s="13">
        <f>IF(TTM!O53="","",IFERROR(MAX(MIN(TTM!O53,1),-0.3),""))</f>
        <v>0.10579106923211268</v>
      </c>
      <c r="P53" s="13" t="str">
        <f>IF(TTM!P53="","",IFERROR(MAX(MIN(TTM!P53,1),-0.3),""))</f>
        <v/>
      </c>
      <c r="Q53" s="13" t="str">
        <f>IF(TTM!Q53="","",IFERROR(MAX(MIN(TTM!Q53,1),-0.3),""))</f>
        <v/>
      </c>
      <c r="R53" s="13" t="str">
        <f>IF(TTM!R53="","",IFERROR(MAX(MIN(TTM!R53,1),-0.3),""))</f>
        <v/>
      </c>
      <c r="S53" s="13" t="str">
        <f>IF(TTM!S53="","",IFERROR(MAX(MIN(TTM!S53,1),-0.3),""))</f>
        <v/>
      </c>
      <c r="T53" s="13" t="str">
        <f>IF(TTM!T53="","",IFERROR(MAX(MIN(TTM!T53,1),-0.3),""))</f>
        <v/>
      </c>
      <c r="U53" s="11"/>
    </row>
    <row r="54" spans="1:21" ht="14">
      <c r="A54" s="14" t="s">
        <v>79</v>
      </c>
      <c r="B54" s="13" t="str">
        <f>IF(TTM!B54="","",IFERROR(MAX(MIN(TTM!B54,1),-0.3),""))</f>
        <v/>
      </c>
      <c r="C54" s="13">
        <f>IF(TTM!C54="","",IFERROR(MAX(MIN(TTM!C54,1),-0.3),""))</f>
        <v>0.240558444741793</v>
      </c>
      <c r="D54" s="13">
        <f>IF(TTM!D54="","",IFERROR(MAX(MIN(TTM!D54,1),-0.3),""))</f>
        <v>-6.6040565703999299E-2</v>
      </c>
      <c r="E54" s="13">
        <f>IF(TTM!E54="","",IFERROR(MAX(MIN(TTM!E54,1),-0.3),""))</f>
        <v>0.33428347815259829</v>
      </c>
      <c r="F54" s="13" t="str">
        <f>IF(TTM!F54="","",IFERROR(MAX(MIN(TTM!F54,1),-0.3),""))</f>
        <v/>
      </c>
      <c r="G54" s="13" t="str">
        <f>IF(TTM!G54="","",IFERROR(MAX(MIN(TTM!G54,1),-0.3),""))</f>
        <v/>
      </c>
      <c r="H54" s="13" t="str">
        <f>IF(TTM!H54="","",IFERROR(MAX(MIN(TTM!H54,1),-0.3),""))</f>
        <v/>
      </c>
      <c r="I54" s="13" t="str">
        <f>IF(TTM!I54="","",IFERROR(MAX(MIN(TTM!I54,1),-0.3),""))</f>
        <v/>
      </c>
      <c r="J54" s="13" t="str">
        <f>IF(TTM!J54="","",IFERROR(MAX(MIN(TTM!J54,1),-0.3),""))</f>
        <v/>
      </c>
      <c r="K54" s="13" t="str">
        <f>IF(TTM!K54="","",IFERROR(MAX(MIN(TTM!K54,1),-0.3),""))</f>
        <v/>
      </c>
      <c r="L54" s="13" t="str">
        <f>IF(TTM!L54="","",IFERROR(MAX(MIN(TTM!L54,1),-0.3),""))</f>
        <v/>
      </c>
      <c r="M54" s="13" t="str">
        <f>IF(TTM!M54="","",IFERROR(MAX(MIN(TTM!M54,1),-0.3),""))</f>
        <v/>
      </c>
      <c r="N54" s="13" t="str">
        <f>IF(TTM!N54="","",IFERROR(MAX(MIN(TTM!N54,1),-0.3),""))</f>
        <v/>
      </c>
      <c r="O54" s="13">
        <f>IF(TTM!O54="","",IFERROR(MAX(MIN(TTM!O54,1),-0.3),""))</f>
        <v>0.19599301993393037</v>
      </c>
      <c r="P54" s="13" t="str">
        <f>IF(TTM!P54="","",IFERROR(MAX(MIN(TTM!P54,1),-0.3),""))</f>
        <v/>
      </c>
      <c r="Q54" s="13" t="str">
        <f>IF(TTM!Q54="","",IFERROR(MAX(MIN(TTM!Q54,1),-0.3),""))</f>
        <v/>
      </c>
      <c r="R54" s="13" t="str">
        <f>IF(TTM!R54="","",IFERROR(MAX(MIN(TTM!R54,1),-0.3),""))</f>
        <v/>
      </c>
      <c r="S54" s="13" t="str">
        <f>IF(TTM!S54="","",IFERROR(MAX(MIN(TTM!S54,1),-0.3),""))</f>
        <v/>
      </c>
      <c r="T54" s="13" t="str">
        <f>IF(TTM!T54="","",IFERROR(MAX(MIN(TTM!T54,1),-0.3),""))</f>
        <v/>
      </c>
      <c r="U54" s="11"/>
    </row>
    <row r="55" spans="1:21" ht="14">
      <c r="A55" s="14" t="s">
        <v>80</v>
      </c>
      <c r="B55" s="13" t="str">
        <f>IF(TTM!B55="","",IFERROR(MAX(MIN(TTM!B55,1),-0.3),""))</f>
        <v/>
      </c>
      <c r="C55" s="13">
        <f>IF(TTM!C55="","",IFERROR(MAX(MIN(TTM!C55,1),-0.3),""))</f>
        <v>0.26025472953155998</v>
      </c>
      <c r="D55" s="13">
        <f>IF(TTM!D55="","",IFERROR(MAX(MIN(TTM!D55,1),-0.3),""))</f>
        <v>-2.3045863837818092E-2</v>
      </c>
      <c r="E55" s="13">
        <f>IF(TTM!E55="","",IFERROR(MAX(MIN(TTM!E55,1),-0.3),""))</f>
        <v>0.37564970264179742</v>
      </c>
      <c r="F55" s="13" t="str">
        <f>IF(TTM!F55="","",IFERROR(MAX(MIN(TTM!F55,1),-0.3),""))</f>
        <v/>
      </c>
      <c r="G55" s="13" t="str">
        <f>IF(TTM!G55="","",IFERROR(MAX(MIN(TTM!G55,1),-0.3),""))</f>
        <v/>
      </c>
      <c r="H55" s="13" t="str">
        <f>IF(TTM!H55="","",IFERROR(MAX(MIN(TTM!H55,1),-0.3),""))</f>
        <v/>
      </c>
      <c r="I55" s="13" t="str">
        <f>IF(TTM!I55="","",IFERROR(MAX(MIN(TTM!I55,1),-0.3),""))</f>
        <v/>
      </c>
      <c r="J55" s="13">
        <f>IF(TTM!J55="","",IFERROR(MAX(MIN(TTM!J55,1),-0.3),""))</f>
        <v>0.21892869646399804</v>
      </c>
      <c r="K55" s="13" t="str">
        <f>IF(TTM!K55="","",IFERROR(MAX(MIN(TTM!K55,1),-0.3),""))</f>
        <v/>
      </c>
      <c r="L55" s="13">
        <f>IF(TTM!L55="","",IFERROR(MAX(MIN(TTM!L55,1),-0.3),""))</f>
        <v>0.39889710727898642</v>
      </c>
      <c r="M55" s="13" t="str">
        <f>IF(TTM!M55="","",IFERROR(MAX(MIN(TTM!M55,1),-0.3),""))</f>
        <v/>
      </c>
      <c r="N55" s="13" t="str">
        <f>IF(TTM!N55="","",IFERROR(MAX(MIN(TTM!N55,1),-0.3),""))</f>
        <v/>
      </c>
      <c r="O55" s="13">
        <f>IF(TTM!O55="","",IFERROR(MAX(MIN(TTM!O55,1),-0.3),""))</f>
        <v>0.28619497063574806</v>
      </c>
      <c r="P55" s="13" t="str">
        <f>IF(TTM!P55="","",IFERROR(MAX(MIN(TTM!P55,1),-0.3),""))</f>
        <v/>
      </c>
      <c r="Q55" s="13" t="str">
        <f>IF(TTM!Q55="","",IFERROR(MAX(MIN(TTM!Q55,1),-0.3),""))</f>
        <v/>
      </c>
      <c r="R55" s="13" t="str">
        <f>IF(TTM!R55="","",IFERROR(MAX(MIN(TTM!R55,1),-0.3),""))</f>
        <v/>
      </c>
      <c r="S55" s="13" t="str">
        <f>IF(TTM!S55="","",IFERROR(MAX(MIN(TTM!S55,1),-0.3),""))</f>
        <v/>
      </c>
      <c r="T55" s="13" t="str">
        <f>IF(TTM!T55="","",IFERROR(MAX(MIN(TTM!T55,1),-0.3),""))</f>
        <v/>
      </c>
      <c r="U55" s="11"/>
    </row>
    <row r="56" spans="1:21" ht="14">
      <c r="A56" s="14" t="s">
        <v>81</v>
      </c>
      <c r="B56" s="13" t="str">
        <f>IF(TTM!B56="","",IFERROR(MAX(MIN(TTM!B56,1),-0.3),""))</f>
        <v/>
      </c>
      <c r="C56" s="13">
        <f>IF(TTM!C56="","",IFERROR(MAX(MIN(TTM!C56,1),-0.3),""))</f>
        <v>0.27995101432132696</v>
      </c>
      <c r="D56" s="13">
        <f>IF(TTM!D56="","",IFERROR(MAX(MIN(TTM!D56,1),-0.3),""))</f>
        <v>1.9948838028363114E-2</v>
      </c>
      <c r="E56" s="13">
        <f>IF(TTM!E56="","",IFERROR(MAX(MIN(TTM!E56,1),-0.3),""))</f>
        <v>0.41701592713099656</v>
      </c>
      <c r="F56" s="13" t="str">
        <f>IF(TTM!F56="","",IFERROR(MAX(MIN(TTM!F56,1),-0.3),""))</f>
        <v/>
      </c>
      <c r="G56" s="13" t="str">
        <f>IF(TTM!G56="","",IFERROR(MAX(MIN(TTM!G56,1),-0.3),""))</f>
        <v/>
      </c>
      <c r="H56" s="13" t="str">
        <f>IF(TTM!H56="","",IFERROR(MAX(MIN(TTM!H56,1),-0.3),""))</f>
        <v/>
      </c>
      <c r="I56" s="13" t="str">
        <f>IF(TTM!I56="","",IFERROR(MAX(MIN(TTM!I56,1),-0.3),""))</f>
        <v/>
      </c>
      <c r="J56" s="13">
        <f>IF(TTM!J56="","",IFERROR(MAX(MIN(TTM!J56,1),-0.3),""))</f>
        <v>0.28734455968643796</v>
      </c>
      <c r="K56" s="13" t="str">
        <f>IF(TTM!K56="","",IFERROR(MAX(MIN(TTM!K56,1),-0.3),""))</f>
        <v/>
      </c>
      <c r="L56" s="13">
        <f>IF(TTM!L56="","",IFERROR(MAX(MIN(TTM!L56,1),-0.3),""))</f>
        <v>0.39889710727898642</v>
      </c>
      <c r="M56" s="13" t="str">
        <f>IF(TTM!M56="","",IFERROR(MAX(MIN(TTM!M56,1),-0.3),""))</f>
        <v/>
      </c>
      <c r="N56" s="13" t="str">
        <f>IF(TTM!N56="","",IFERROR(MAX(MIN(TTM!N56,1),-0.3),""))</f>
        <v/>
      </c>
      <c r="O56" s="13">
        <f>IF(TTM!O56="","",IFERROR(MAX(MIN(TTM!O56,1),-0.3),""))</f>
        <v>0.37639692133756575</v>
      </c>
      <c r="P56" s="13" t="str">
        <f>IF(TTM!P56="","",IFERROR(MAX(MIN(TTM!P56,1),-0.3),""))</f>
        <v/>
      </c>
      <c r="Q56" s="13" t="str">
        <f>IF(TTM!Q56="","",IFERROR(MAX(MIN(TTM!Q56,1),-0.3),""))</f>
        <v/>
      </c>
      <c r="R56" s="13" t="str">
        <f>IF(TTM!R56="","",IFERROR(MAX(MIN(TTM!R56,1),-0.3),""))</f>
        <v/>
      </c>
      <c r="S56" s="13" t="str">
        <f>IF(TTM!S56="","",IFERROR(MAX(MIN(TTM!S56,1),-0.3),""))</f>
        <v/>
      </c>
      <c r="T56" s="13" t="str">
        <f>IF(TTM!T56="","",IFERROR(MAX(MIN(TTM!T56,1),-0.3),""))</f>
        <v/>
      </c>
      <c r="U56" s="11"/>
    </row>
    <row r="57" spans="1:21" ht="14">
      <c r="A57" s="14" t="s">
        <v>82</v>
      </c>
      <c r="B57" s="13" t="str">
        <f>IF(TTM!B57="","",IFERROR(MAX(MIN(TTM!B57,1),-0.3),""))</f>
        <v/>
      </c>
      <c r="C57" s="13">
        <f>IF(TTM!C57="","",IFERROR(MAX(MIN(TTM!C57,1),-0.3),""))</f>
        <v>0.29964729911109395</v>
      </c>
      <c r="D57" s="13">
        <f>IF(TTM!D57="","",IFERROR(MAX(MIN(TTM!D57,1),-0.3),""))</f>
        <v>6.294353989454432E-2</v>
      </c>
      <c r="E57" s="13">
        <f>IF(TTM!E57="","",IFERROR(MAX(MIN(TTM!E57,1),-0.3),""))</f>
        <v>0.45838215162019569</v>
      </c>
      <c r="F57" s="13" t="str">
        <f>IF(TTM!F57="","",IFERROR(MAX(MIN(TTM!F57,1),-0.3),""))</f>
        <v/>
      </c>
      <c r="G57" s="13" t="str">
        <f>IF(TTM!G57="","",IFERROR(MAX(MIN(TTM!G57,1),-0.3),""))</f>
        <v/>
      </c>
      <c r="H57" s="13" t="str">
        <f>IF(TTM!H57="","",IFERROR(MAX(MIN(TTM!H57,1),-0.3),""))</f>
        <v/>
      </c>
      <c r="I57" s="13" t="str">
        <f>IF(TTM!I57="","",IFERROR(MAX(MIN(TTM!I57,1),-0.3),""))</f>
        <v/>
      </c>
      <c r="J57" s="13">
        <f>IF(TTM!J57="","",IFERROR(MAX(MIN(TTM!J57,1),-0.3),""))</f>
        <v>0.35576042290887788</v>
      </c>
      <c r="K57" s="13" t="str">
        <f>IF(TTM!K57="","",IFERROR(MAX(MIN(TTM!K57,1),-0.3),""))</f>
        <v/>
      </c>
      <c r="L57" s="13">
        <f>IF(TTM!L57="","",IFERROR(MAX(MIN(TTM!L57,1),-0.3),""))</f>
        <v>0.39889710727898642</v>
      </c>
      <c r="M57" s="13" t="str">
        <f>IF(TTM!M57="","",IFERROR(MAX(MIN(TTM!M57,1),-0.3),""))</f>
        <v/>
      </c>
      <c r="N57" s="13" t="str">
        <f>IF(TTM!N57="","",IFERROR(MAX(MIN(TTM!N57,1),-0.3),""))</f>
        <v/>
      </c>
      <c r="O57" s="13">
        <f>IF(TTM!O57="","",IFERROR(MAX(MIN(TTM!O57,1),-0.3),""))</f>
        <v>0.4016623641779129</v>
      </c>
      <c r="P57" s="13" t="str">
        <f>IF(TTM!P57="","",IFERROR(MAX(MIN(TTM!P57,1),-0.3),""))</f>
        <v/>
      </c>
      <c r="Q57" s="13" t="str">
        <f>IF(TTM!Q57="","",IFERROR(MAX(MIN(TTM!Q57,1),-0.3),""))</f>
        <v/>
      </c>
      <c r="R57" s="13" t="str">
        <f>IF(TTM!R57="","",IFERROR(MAX(MIN(TTM!R57,1),-0.3),""))</f>
        <v/>
      </c>
      <c r="S57" s="13" t="str">
        <f>IF(TTM!S57="","",IFERROR(MAX(MIN(TTM!S57,1),-0.3),""))</f>
        <v/>
      </c>
      <c r="T57" s="13" t="str">
        <f>IF(TTM!T57="","",IFERROR(MAX(MIN(TTM!T57,1),-0.3),""))</f>
        <v/>
      </c>
      <c r="U57" s="11"/>
    </row>
    <row r="58" spans="1:21" ht="14">
      <c r="A58" s="14" t="s">
        <v>83</v>
      </c>
      <c r="B58" s="13" t="str">
        <f>IF(TTM!B58="","",IFERROR(MAX(MIN(TTM!B58,1),-0.3),""))</f>
        <v/>
      </c>
      <c r="C58" s="13">
        <f>IF(TTM!C58="","",IFERROR(MAX(MIN(TTM!C58,1),-0.3),""))</f>
        <v>0.31934358390086093</v>
      </c>
      <c r="D58" s="13">
        <f>IF(TTM!D58="","",IFERROR(MAX(MIN(TTM!D58,1),-0.3),""))</f>
        <v>0.10593824176072553</v>
      </c>
      <c r="E58" s="13">
        <f>IF(TTM!E58="","",IFERROR(MAX(MIN(TTM!E58,1),-0.3),""))</f>
        <v>0.49974837610939482</v>
      </c>
      <c r="F58" s="13" t="str">
        <f>IF(TTM!F58="","",IFERROR(MAX(MIN(TTM!F58,1),-0.3),""))</f>
        <v/>
      </c>
      <c r="G58" s="13" t="str">
        <f>IF(TTM!G58="","",IFERROR(MAX(MIN(TTM!G58,1),-0.3),""))</f>
        <v/>
      </c>
      <c r="H58" s="13" t="str">
        <f>IF(TTM!H58="","",IFERROR(MAX(MIN(TTM!H58,1),-0.3),""))</f>
        <v/>
      </c>
      <c r="I58" s="13" t="str">
        <f>IF(TTM!I58="","",IFERROR(MAX(MIN(TTM!I58,1),-0.3),""))</f>
        <v/>
      </c>
      <c r="J58" s="13">
        <f>IF(TTM!J58="","",IFERROR(MAX(MIN(TTM!J58,1),-0.3),""))</f>
        <v>0.4241762861313178</v>
      </c>
      <c r="K58" s="13" t="str">
        <f>IF(TTM!K58="","",IFERROR(MAX(MIN(TTM!K58,1),-0.3),""))</f>
        <v/>
      </c>
      <c r="L58" s="13">
        <f>IF(TTM!L58="","",IFERROR(MAX(MIN(TTM!L58,1),-0.3),""))</f>
        <v>0.39889710727898642</v>
      </c>
      <c r="M58" s="13" t="str">
        <f>IF(TTM!M58="","",IFERROR(MAX(MIN(TTM!M58,1),-0.3),""))</f>
        <v/>
      </c>
      <c r="N58" s="13" t="str">
        <f>IF(TTM!N58="","",IFERROR(MAX(MIN(TTM!N58,1),-0.3),""))</f>
        <v/>
      </c>
      <c r="O58" s="13">
        <f>IF(TTM!O58="","",IFERROR(MAX(MIN(TTM!O58,1),-0.3),""))</f>
        <v>0.42692780701826005</v>
      </c>
      <c r="P58" s="13" t="str">
        <f>IF(TTM!P58="","",IFERROR(MAX(MIN(TTM!P58,1),-0.3),""))</f>
        <v/>
      </c>
      <c r="Q58" s="13" t="str">
        <f>IF(TTM!Q58="","",IFERROR(MAX(MIN(TTM!Q58,1),-0.3),""))</f>
        <v/>
      </c>
      <c r="R58" s="13" t="str">
        <f>IF(TTM!R58="","",IFERROR(MAX(MIN(TTM!R58,1),-0.3),""))</f>
        <v/>
      </c>
      <c r="S58" s="13" t="str">
        <f>IF(TTM!S58="","",IFERROR(MAX(MIN(TTM!S58,1),-0.3),""))</f>
        <v/>
      </c>
      <c r="T58" s="13" t="str">
        <f>IF(TTM!T58="","",IFERROR(MAX(MIN(TTM!T58,1),-0.3),""))</f>
        <v/>
      </c>
      <c r="U58" s="11"/>
    </row>
    <row r="59" spans="1:21" ht="14">
      <c r="A59" s="14" t="s">
        <v>84</v>
      </c>
      <c r="B59" s="13" t="str">
        <f>IF(TTM!B59="","",IFERROR(MAX(MIN(TTM!B59,1),-0.3),""))</f>
        <v/>
      </c>
      <c r="C59" s="13">
        <f>IF(TTM!C59="","",IFERROR(MAX(MIN(TTM!C59,1),-0.3),""))</f>
        <v>0.34248533229394879</v>
      </c>
      <c r="D59" s="13">
        <f>IF(TTM!D59="","",IFERROR(MAX(MIN(TTM!D59,1),-0.3),""))</f>
        <v>0.1136834610080158</v>
      </c>
      <c r="E59" s="13">
        <f>IF(TTM!E59="","",IFERROR(MAX(MIN(TTM!E59,1),-0.3),""))</f>
        <v>0.443610573639176</v>
      </c>
      <c r="F59" s="13">
        <f>IF(TTM!F59="","",IFERROR(MAX(MIN(TTM!F59,1),-0.3),""))</f>
        <v>0.36097227408181598</v>
      </c>
      <c r="G59" s="13" t="str">
        <f>IF(TTM!G59="","",IFERROR(MAX(MIN(TTM!G59,1),-0.3),""))</f>
        <v/>
      </c>
      <c r="H59" s="13" t="str">
        <f>IF(TTM!H59="","",IFERROR(MAX(MIN(TTM!H59,1),-0.3),""))</f>
        <v/>
      </c>
      <c r="I59" s="13" t="str">
        <f>IF(TTM!I59="","",IFERROR(MAX(MIN(TTM!I59,1),-0.3),""))</f>
        <v/>
      </c>
      <c r="J59" s="13">
        <f>IF(TTM!J59="","",IFERROR(MAX(MIN(TTM!J59,1),-0.3),""))</f>
        <v>0.49259214935375772</v>
      </c>
      <c r="K59" s="13" t="str">
        <f>IF(TTM!K59="","",IFERROR(MAX(MIN(TTM!K59,1),-0.3),""))</f>
        <v/>
      </c>
      <c r="L59" s="13">
        <f>IF(TTM!L59="","",IFERROR(MAX(MIN(TTM!L59,1),-0.3),""))</f>
        <v>0.32455751541893413</v>
      </c>
      <c r="M59" s="13" t="str">
        <f>IF(TTM!M59="","",IFERROR(MAX(MIN(TTM!M59,1),-0.3),""))</f>
        <v/>
      </c>
      <c r="N59" s="13" t="str">
        <f>IF(TTM!N59="","",IFERROR(MAX(MIN(TTM!N59,1),-0.3),""))</f>
        <v/>
      </c>
      <c r="O59" s="13">
        <f>IF(TTM!O59="","",IFERROR(MAX(MIN(TTM!O59,1),-0.3),""))</f>
        <v>0.4521932498586072</v>
      </c>
      <c r="P59" s="13" t="str">
        <f>IF(TTM!P59="","",IFERROR(MAX(MIN(TTM!P59,1),-0.3),""))</f>
        <v/>
      </c>
      <c r="Q59" s="13" t="str">
        <f>IF(TTM!Q59="","",IFERROR(MAX(MIN(TTM!Q59,1),-0.3),""))</f>
        <v/>
      </c>
      <c r="R59" s="13" t="str">
        <f>IF(TTM!R59="","",IFERROR(MAX(MIN(TTM!R59,1),-0.3),""))</f>
        <v/>
      </c>
      <c r="S59" s="13" t="str">
        <f>IF(TTM!S59="","",IFERROR(MAX(MIN(TTM!S59,1),-0.3),""))</f>
        <v/>
      </c>
      <c r="T59" s="13" t="str">
        <f>IF(TTM!T59="","",IFERROR(MAX(MIN(TTM!T59,1),-0.3),""))</f>
        <v/>
      </c>
      <c r="U59" s="11"/>
    </row>
    <row r="60" spans="1:21" ht="14">
      <c r="A60" s="14" t="s">
        <v>85</v>
      </c>
      <c r="B60" s="13" t="str">
        <f>IF(TTM!B60="","",IFERROR(MAX(MIN(TTM!B60,1),-0.3),""))</f>
        <v/>
      </c>
      <c r="C60" s="13">
        <f>IF(TTM!C60="","",IFERROR(MAX(MIN(TTM!C60,1),-0.3),""))</f>
        <v>0.36562708068703664</v>
      </c>
      <c r="D60" s="13">
        <f>IF(TTM!D60="","",IFERROR(MAX(MIN(TTM!D60,1),-0.3),""))</f>
        <v>0.12142868025530607</v>
      </c>
      <c r="E60" s="13">
        <f>IF(TTM!E60="","",IFERROR(MAX(MIN(TTM!E60,1),-0.3),""))</f>
        <v>0.38747277116895718</v>
      </c>
      <c r="F60" s="13">
        <f>IF(TTM!F60="","",IFERROR(MAX(MIN(TTM!F60,1),-0.3),""))</f>
        <v>0.34548859526535902</v>
      </c>
      <c r="G60" s="13" t="str">
        <f>IF(TTM!G60="","",IFERROR(MAX(MIN(TTM!G60,1),-0.3),""))</f>
        <v/>
      </c>
      <c r="H60" s="13" t="str">
        <f>IF(TTM!H60="","",IFERROR(MAX(MIN(TTM!H60,1),-0.3),""))</f>
        <v/>
      </c>
      <c r="I60" s="13" t="str">
        <f>IF(TTM!I60="","",IFERROR(MAX(MIN(TTM!I60,1),-0.3),""))</f>
        <v/>
      </c>
      <c r="J60" s="13">
        <f>IF(TTM!J60="","",IFERROR(MAX(MIN(TTM!J60,1),-0.3),""))</f>
        <v>0.51352169317647001</v>
      </c>
      <c r="K60" s="13" t="str">
        <f>IF(TTM!K60="","",IFERROR(MAX(MIN(TTM!K60,1),-0.3),""))</f>
        <v/>
      </c>
      <c r="L60" s="13">
        <f>IF(TTM!L60="","",IFERROR(MAX(MIN(TTM!L60,1),-0.3),""))</f>
        <v>0.25021792355888184</v>
      </c>
      <c r="M60" s="13" t="str">
        <f>IF(TTM!M60="","",IFERROR(MAX(MIN(TTM!M60,1),-0.3),""))</f>
        <v/>
      </c>
      <c r="N60" s="13" t="str">
        <f>IF(TTM!N60="","",IFERROR(MAX(MIN(TTM!N60,1),-0.3),""))</f>
        <v/>
      </c>
      <c r="O60" s="13">
        <f>IF(TTM!O60="","",IFERROR(MAX(MIN(TTM!O60,1),-0.3),""))</f>
        <v>0.47745869269895436</v>
      </c>
      <c r="P60" s="13" t="str">
        <f>IF(TTM!P60="","",IFERROR(MAX(MIN(TTM!P60,1),-0.3),""))</f>
        <v/>
      </c>
      <c r="Q60" s="13" t="str">
        <f>IF(TTM!Q60="","",IFERROR(MAX(MIN(TTM!Q60,1),-0.3),""))</f>
        <v/>
      </c>
      <c r="R60" s="13" t="str">
        <f>IF(TTM!R60="","",IFERROR(MAX(MIN(TTM!R60,1),-0.3),""))</f>
        <v/>
      </c>
      <c r="S60" s="13" t="str">
        <f>IF(TTM!S60="","",IFERROR(MAX(MIN(TTM!S60,1),-0.3),""))</f>
        <v/>
      </c>
      <c r="T60" s="13" t="str">
        <f>IF(TTM!T60="","",IFERROR(MAX(MIN(TTM!T60,1),-0.3),""))</f>
        <v/>
      </c>
      <c r="U60" s="11"/>
    </row>
    <row r="61" spans="1:21" ht="14">
      <c r="A61" s="14" t="s">
        <v>86</v>
      </c>
      <c r="B61" s="13" t="str">
        <f>IF(TTM!B61="","",IFERROR(MAX(MIN(TTM!B61,1),-0.3),""))</f>
        <v/>
      </c>
      <c r="C61" s="13">
        <f>IF(TTM!C61="","",IFERROR(MAX(MIN(TTM!C61,1),-0.3),""))</f>
        <v>0.3887688290801245</v>
      </c>
      <c r="D61" s="13">
        <f>IF(TTM!D61="","",IFERROR(MAX(MIN(TTM!D61,1),-0.3),""))</f>
        <v>0.12917389950259633</v>
      </c>
      <c r="E61" s="13">
        <f>IF(TTM!E61="","",IFERROR(MAX(MIN(TTM!E61,1),-0.3),""))</f>
        <v>0.33133496869873835</v>
      </c>
      <c r="F61" s="13">
        <f>IF(TTM!F61="","",IFERROR(MAX(MIN(TTM!F61,1),-0.3),""))</f>
        <v>0.33000491644890206</v>
      </c>
      <c r="G61" s="13" t="str">
        <f>IF(TTM!G61="","",IFERROR(MAX(MIN(TTM!G61,1),-0.3),""))</f>
        <v/>
      </c>
      <c r="H61" s="13" t="str">
        <f>IF(TTM!H61="","",IFERROR(MAX(MIN(TTM!H61,1),-0.3),""))</f>
        <v/>
      </c>
      <c r="I61" s="13" t="str">
        <f>IF(TTM!I61="","",IFERROR(MAX(MIN(TTM!I61,1),-0.3),""))</f>
        <v/>
      </c>
      <c r="J61" s="13">
        <f>IF(TTM!J61="","",IFERROR(MAX(MIN(TTM!J61,1),-0.3),""))</f>
        <v>0.53445123699918229</v>
      </c>
      <c r="K61" s="13" t="str">
        <f>IF(TTM!K61="","",IFERROR(MAX(MIN(TTM!K61,1),-0.3),""))</f>
        <v/>
      </c>
      <c r="L61" s="13">
        <f>IF(TTM!L61="","",IFERROR(MAX(MIN(TTM!L61,1),-0.3),""))</f>
        <v>0.17587833169882955</v>
      </c>
      <c r="M61" s="13" t="str">
        <f>IF(TTM!M61="","",IFERROR(MAX(MIN(TTM!M61,1),-0.3),""))</f>
        <v/>
      </c>
      <c r="N61" s="13" t="str">
        <f>IF(TTM!N61="","",IFERROR(MAX(MIN(TTM!N61,1),-0.3),""))</f>
        <v/>
      </c>
      <c r="O61" s="13">
        <f>IF(TTM!O61="","",IFERROR(MAX(MIN(TTM!O61,1),-0.3),""))</f>
        <v>0.42226457077940116</v>
      </c>
      <c r="P61" s="13" t="str">
        <f>IF(TTM!P61="","",IFERROR(MAX(MIN(TTM!P61,1),-0.3),""))</f>
        <v/>
      </c>
      <c r="Q61" s="13" t="str">
        <f>IF(TTM!Q61="","",IFERROR(MAX(MIN(TTM!Q61,1),-0.3),""))</f>
        <v/>
      </c>
      <c r="R61" s="13" t="str">
        <f>IF(TTM!R61="","",IFERROR(MAX(MIN(TTM!R61,1),-0.3),""))</f>
        <v/>
      </c>
      <c r="S61" s="13" t="str">
        <f>IF(TTM!S61="","",IFERROR(MAX(MIN(TTM!S61,1),-0.3),""))</f>
        <v/>
      </c>
      <c r="T61" s="13" t="str">
        <f>IF(TTM!T61="","",IFERROR(MAX(MIN(TTM!T61,1),-0.3),""))</f>
        <v/>
      </c>
      <c r="U61" s="11"/>
    </row>
    <row r="62" spans="1:21" ht="14">
      <c r="A62" s="14" t="s">
        <v>87</v>
      </c>
      <c r="B62" s="13" t="str">
        <f>IF(TTM!B62="","",IFERROR(MAX(MIN(TTM!B62,1),-0.3),""))</f>
        <v/>
      </c>
      <c r="C62" s="13">
        <f>IF(TTM!C62="","",IFERROR(MAX(MIN(TTM!C62,1),-0.3),""))</f>
        <v>0.41191057747321236</v>
      </c>
      <c r="D62" s="13">
        <f>IF(TTM!D62="","",IFERROR(MAX(MIN(TTM!D62,1),-0.3),""))</f>
        <v>0.1369191187498866</v>
      </c>
      <c r="E62" s="13">
        <f>IF(TTM!E62="","",IFERROR(MAX(MIN(TTM!E62,1),-0.3),""))</f>
        <v>0.27519716622851953</v>
      </c>
      <c r="F62" s="13">
        <f>IF(TTM!F62="","",IFERROR(MAX(MIN(TTM!F62,1),-0.3),""))</f>
        <v>0.31452123763244511</v>
      </c>
      <c r="G62" s="13" t="str">
        <f>IF(TTM!G62="","",IFERROR(MAX(MIN(TTM!G62,1),-0.3),""))</f>
        <v/>
      </c>
      <c r="H62" s="13" t="str">
        <f>IF(TTM!H62="","",IFERROR(MAX(MIN(TTM!H62,1),-0.3),""))</f>
        <v/>
      </c>
      <c r="I62" s="13" t="str">
        <f>IF(TTM!I62="","",IFERROR(MAX(MIN(TTM!I62,1),-0.3),""))</f>
        <v/>
      </c>
      <c r="J62" s="13">
        <f>IF(TTM!J62="","",IFERROR(MAX(MIN(TTM!J62,1),-0.3),""))</f>
        <v>0.55538078082189457</v>
      </c>
      <c r="K62" s="13" t="str">
        <f>IF(TTM!K62="","",IFERROR(MAX(MIN(TTM!K62,1),-0.3),""))</f>
        <v/>
      </c>
      <c r="L62" s="13">
        <f>IF(TTM!L62="","",IFERROR(MAX(MIN(TTM!L62,1),-0.3),""))</f>
        <v>0.10153873983877726</v>
      </c>
      <c r="M62" s="13" t="str">
        <f>IF(TTM!M62="","",IFERROR(MAX(MIN(TTM!M62,1),-0.3),""))</f>
        <v/>
      </c>
      <c r="N62" s="13" t="str">
        <f>IF(TTM!N62="","",IFERROR(MAX(MIN(TTM!N62,1),-0.3),""))</f>
        <v/>
      </c>
      <c r="O62" s="13">
        <f>IF(TTM!O62="","",IFERROR(MAX(MIN(TTM!O62,1),-0.3),""))</f>
        <v>0.36707044885984796</v>
      </c>
      <c r="P62" s="13" t="str">
        <f>IF(TTM!P62="","",IFERROR(MAX(MIN(TTM!P62,1),-0.3),""))</f>
        <v/>
      </c>
      <c r="Q62" s="13" t="str">
        <f>IF(TTM!Q62="","",IFERROR(MAX(MIN(TTM!Q62,1),-0.3),""))</f>
        <v/>
      </c>
      <c r="R62" s="13" t="str">
        <f>IF(TTM!R62="","",IFERROR(MAX(MIN(TTM!R62,1),-0.3),""))</f>
        <v/>
      </c>
      <c r="S62" s="13" t="str">
        <f>IF(TTM!S62="","",IFERROR(MAX(MIN(TTM!S62,1),-0.3),""))</f>
        <v/>
      </c>
      <c r="T62" s="13" t="str">
        <f>IF(TTM!T62="","",IFERROR(MAX(MIN(TTM!T62,1),-0.3),""))</f>
        <v/>
      </c>
      <c r="U62" s="11"/>
    </row>
    <row r="63" spans="1:21" ht="14">
      <c r="A63" s="14" t="s">
        <v>88</v>
      </c>
      <c r="B63" s="13" t="str">
        <f>IF(TTM!B63="","",IFERROR(MAX(MIN(TTM!B63,1),-0.3),""))</f>
        <v/>
      </c>
      <c r="C63" s="13">
        <f>IF(TTM!C63="","",IFERROR(MAX(MIN(TTM!C63,1),-0.3),""))</f>
        <v>0.36089729630547129</v>
      </c>
      <c r="D63" s="13">
        <f>IF(TTM!D63="","",IFERROR(MAX(MIN(TTM!D63,1),-0.3),""))</f>
        <v>0.14482738509244852</v>
      </c>
      <c r="E63" s="13">
        <f>IF(TTM!E63="","",IFERROR(MAX(MIN(TTM!E63,1),-0.3),""))</f>
        <v>0.25348939844108154</v>
      </c>
      <c r="F63" s="13">
        <f>IF(TTM!F63="","",IFERROR(MAX(MIN(TTM!F63,1),-0.3),""))</f>
        <v>0.28531186461524022</v>
      </c>
      <c r="G63" s="13" t="str">
        <f>IF(TTM!G63="","",IFERROR(MAX(MIN(TTM!G63,1),-0.3),""))</f>
        <v/>
      </c>
      <c r="H63" s="13" t="str">
        <f>IF(TTM!H63="","",IFERROR(MAX(MIN(TTM!H63,1),-0.3),""))</f>
        <v/>
      </c>
      <c r="I63" s="13" t="str">
        <f>IF(TTM!I63="","",IFERROR(MAX(MIN(TTM!I63,1),-0.3),""))</f>
        <v/>
      </c>
      <c r="J63" s="13">
        <f>IF(TTM!J63="","",IFERROR(MAX(MIN(TTM!J63,1),-0.3),""))</f>
        <v>0.57631032464460685</v>
      </c>
      <c r="K63" s="13" t="str">
        <f>IF(TTM!K63="","",IFERROR(MAX(MIN(TTM!K63,1),-0.3),""))</f>
        <v/>
      </c>
      <c r="L63" s="13">
        <f>IF(TTM!L63="","",IFERROR(MAX(MIN(TTM!L63,1),-0.3),""))</f>
        <v>0.11237493140582011</v>
      </c>
      <c r="M63" s="13" t="str">
        <f>IF(TTM!M63="","",IFERROR(MAX(MIN(TTM!M63,1),-0.3),""))</f>
        <v/>
      </c>
      <c r="N63" s="13" t="str">
        <f>IF(TTM!N63="","",IFERROR(MAX(MIN(TTM!N63,1),-0.3),""))</f>
        <v/>
      </c>
      <c r="O63" s="13">
        <f>IF(TTM!O63="","",IFERROR(MAX(MIN(TTM!O63,1),-0.3),""))</f>
        <v>0.31187632694029477</v>
      </c>
      <c r="P63" s="13" t="str">
        <f>IF(TTM!P63="","",IFERROR(MAX(MIN(TTM!P63,1),-0.3),""))</f>
        <v/>
      </c>
      <c r="Q63" s="13" t="str">
        <f>IF(TTM!Q63="","",IFERROR(MAX(MIN(TTM!Q63,1),-0.3),""))</f>
        <v/>
      </c>
      <c r="R63" s="13" t="str">
        <f>IF(TTM!R63="","",IFERROR(MAX(MIN(TTM!R63,1),-0.3),""))</f>
        <v/>
      </c>
      <c r="S63" s="13" t="str">
        <f>IF(TTM!S63="","",IFERROR(MAX(MIN(TTM!S63,1),-0.3),""))</f>
        <v/>
      </c>
      <c r="T63" s="13" t="str">
        <f>IF(TTM!T63="","",IFERROR(MAX(MIN(TTM!T63,1),-0.3),""))</f>
        <v/>
      </c>
      <c r="U63" s="11"/>
    </row>
    <row r="64" spans="1:21" ht="14">
      <c r="A64" s="14" t="s">
        <v>89</v>
      </c>
      <c r="B64" s="13" t="str">
        <f>IF(TTM!B64="","",IFERROR(MAX(MIN(TTM!B64,1),-0.3),""))</f>
        <v/>
      </c>
      <c r="C64" s="13">
        <f>IF(TTM!C64="","",IFERROR(MAX(MIN(TTM!C64,1),-0.3),""))</f>
        <v>0.30988401513773023</v>
      </c>
      <c r="D64" s="13">
        <f>IF(TTM!D64="","",IFERROR(MAX(MIN(TTM!D64,1),-0.3),""))</f>
        <v>0.15273565143501044</v>
      </c>
      <c r="E64" s="13">
        <f>IF(TTM!E64="","",IFERROR(MAX(MIN(TTM!E64,1),-0.3),""))</f>
        <v>0.23178163065364354</v>
      </c>
      <c r="F64" s="13">
        <f>IF(TTM!F64="","",IFERROR(MAX(MIN(TTM!F64,1),-0.3),""))</f>
        <v>0.25610249159803533</v>
      </c>
      <c r="G64" s="13" t="str">
        <f>IF(TTM!G64="","",IFERROR(MAX(MIN(TTM!G64,1),-0.3),""))</f>
        <v/>
      </c>
      <c r="H64" s="13" t="str">
        <f>IF(TTM!H64="","",IFERROR(MAX(MIN(TTM!H64,1),-0.3),""))</f>
        <v/>
      </c>
      <c r="I64" s="13" t="str">
        <f>IF(TTM!I64="","",IFERROR(MAX(MIN(TTM!I64,1),-0.3),""))</f>
        <v/>
      </c>
      <c r="J64" s="13">
        <f>IF(TTM!J64="","",IFERROR(MAX(MIN(TTM!J64,1),-0.3),""))</f>
        <v>0.47320828252485414</v>
      </c>
      <c r="K64" s="13" t="str">
        <f>IF(TTM!K64="","",IFERROR(MAX(MIN(TTM!K64,1),-0.3),""))</f>
        <v/>
      </c>
      <c r="L64" s="13">
        <f>IF(TTM!L64="","",IFERROR(MAX(MIN(TTM!L64,1),-0.3),""))</f>
        <v>0.12321112297286296</v>
      </c>
      <c r="M64" s="13" t="str">
        <f>IF(TTM!M64="","",IFERROR(MAX(MIN(TTM!M64,1),-0.3),""))</f>
        <v/>
      </c>
      <c r="N64" s="13" t="str">
        <f>IF(TTM!N64="","",IFERROR(MAX(MIN(TTM!N64,1),-0.3),""))</f>
        <v/>
      </c>
      <c r="O64" s="13">
        <f>IF(TTM!O64="","",IFERROR(MAX(MIN(TTM!O64,1),-0.3),""))</f>
        <v>0.25668220502074157</v>
      </c>
      <c r="P64" s="13" t="str">
        <f>IF(TTM!P64="","",IFERROR(MAX(MIN(TTM!P64,1),-0.3),""))</f>
        <v/>
      </c>
      <c r="Q64" s="13" t="str">
        <f>IF(TTM!Q64="","",IFERROR(MAX(MIN(TTM!Q64,1),-0.3),""))</f>
        <v/>
      </c>
      <c r="R64" s="13" t="str">
        <f>IF(TTM!R64="","",IFERROR(MAX(MIN(TTM!R64,1),-0.3),""))</f>
        <v/>
      </c>
      <c r="S64" s="13" t="str">
        <f>IF(TTM!S64="","",IFERROR(MAX(MIN(TTM!S64,1),-0.3),""))</f>
        <v/>
      </c>
      <c r="T64" s="13" t="str">
        <f>IF(TTM!T64="","",IFERROR(MAX(MIN(TTM!T64,1),-0.3),""))</f>
        <v/>
      </c>
      <c r="U64" s="11"/>
    </row>
    <row r="65" spans="1:21" ht="14">
      <c r="A65" s="14" t="s">
        <v>90</v>
      </c>
      <c r="B65" s="13" t="str">
        <f>IF(TTM!B65="","",IFERROR(MAX(MIN(TTM!B65,1),-0.3),""))</f>
        <v/>
      </c>
      <c r="C65" s="13">
        <f>IF(TTM!C65="","",IFERROR(MAX(MIN(TTM!C65,1),-0.3),""))</f>
        <v>0.25887073396998916</v>
      </c>
      <c r="D65" s="13">
        <f>IF(TTM!D65="","",IFERROR(MAX(MIN(TTM!D65,1),-0.3),""))</f>
        <v>0.16064391777757236</v>
      </c>
      <c r="E65" s="13">
        <f>IF(TTM!E65="","",IFERROR(MAX(MIN(TTM!E65,1),-0.3),""))</f>
        <v>0.21007386286620555</v>
      </c>
      <c r="F65" s="13">
        <f>IF(TTM!F65="","",IFERROR(MAX(MIN(TTM!F65,1),-0.3),""))</f>
        <v>0.22689311858083044</v>
      </c>
      <c r="G65" s="13" t="str">
        <f>IF(TTM!G65="","",IFERROR(MAX(MIN(TTM!G65,1),-0.3),""))</f>
        <v/>
      </c>
      <c r="H65" s="13" t="str">
        <f>IF(TTM!H65="","",IFERROR(MAX(MIN(TTM!H65,1),-0.3),""))</f>
        <v/>
      </c>
      <c r="I65" s="13" t="str">
        <f>IF(TTM!I65="","",IFERROR(MAX(MIN(TTM!I65,1),-0.3),""))</f>
        <v/>
      </c>
      <c r="J65" s="13">
        <f>IF(TTM!J65="","",IFERROR(MAX(MIN(TTM!J65,1),-0.3),""))</f>
        <v>0.37010624040510143</v>
      </c>
      <c r="K65" s="13" t="str">
        <f>IF(TTM!K65="","",IFERROR(MAX(MIN(TTM!K65,1),-0.3),""))</f>
        <v/>
      </c>
      <c r="L65" s="13">
        <f>IF(TTM!L65="","",IFERROR(MAX(MIN(TTM!L65,1),-0.3),""))</f>
        <v>0.13404731453990582</v>
      </c>
      <c r="M65" s="13" t="str">
        <f>IF(TTM!M65="","",IFERROR(MAX(MIN(TTM!M65,1),-0.3),""))</f>
        <v/>
      </c>
      <c r="N65" s="13" t="str">
        <f>IF(TTM!N65="","",IFERROR(MAX(MIN(TTM!N65,1),-0.3),""))</f>
        <v/>
      </c>
      <c r="O65" s="13">
        <f>IF(TTM!O65="","",IFERROR(MAX(MIN(TTM!O65,1),-0.3),""))</f>
        <v>0.23650944175262439</v>
      </c>
      <c r="P65" s="13" t="str">
        <f>IF(TTM!P65="","",IFERROR(MAX(MIN(TTM!P65,1),-0.3),""))</f>
        <v/>
      </c>
      <c r="Q65" s="13" t="str">
        <f>IF(TTM!Q65="","",IFERROR(MAX(MIN(TTM!Q65,1),-0.3),""))</f>
        <v/>
      </c>
      <c r="R65" s="13" t="str">
        <f>IF(TTM!R65="","",IFERROR(MAX(MIN(TTM!R65,1),-0.3),""))</f>
        <v/>
      </c>
      <c r="S65" s="13" t="str">
        <f>IF(TTM!S65="","",IFERROR(MAX(MIN(TTM!S65,1),-0.3),""))</f>
        <v/>
      </c>
      <c r="T65" s="13" t="str">
        <f>IF(TTM!T65="","",IFERROR(MAX(MIN(TTM!T65,1),-0.3),""))</f>
        <v/>
      </c>
      <c r="U65" s="11"/>
    </row>
    <row r="66" spans="1:21" ht="14">
      <c r="A66" s="14" t="s">
        <v>91</v>
      </c>
      <c r="B66" s="13" t="str">
        <f>IF(TTM!B66="","",IFERROR(MAX(MIN(TTM!B66,1),-0.3),""))</f>
        <v/>
      </c>
      <c r="C66" s="13">
        <f>IF(TTM!C66="","",IFERROR(MAX(MIN(TTM!C66,1),-0.3),""))</f>
        <v>0.2078574528022481</v>
      </c>
      <c r="D66" s="13">
        <f>IF(TTM!D66="","",IFERROR(MAX(MIN(TTM!D66,1),-0.3),""))</f>
        <v>0.16855218412013429</v>
      </c>
      <c r="E66" s="13">
        <f>IF(TTM!E66="","",IFERROR(MAX(MIN(TTM!E66,1),-0.3),""))</f>
        <v>0.18836609507876756</v>
      </c>
      <c r="F66" s="13">
        <f>IF(TTM!F66="","",IFERROR(MAX(MIN(TTM!F66,1),-0.3),""))</f>
        <v>0.19768374556362556</v>
      </c>
      <c r="G66" s="13" t="str">
        <f>IF(TTM!G66="","",IFERROR(MAX(MIN(TTM!G66,1),-0.3),""))</f>
        <v/>
      </c>
      <c r="H66" s="13" t="str">
        <f>IF(TTM!H66="","",IFERROR(MAX(MIN(TTM!H66,1),-0.3),""))</f>
        <v/>
      </c>
      <c r="I66" s="13" t="str">
        <f>IF(TTM!I66="","",IFERROR(MAX(MIN(TTM!I66,1),-0.3),""))</f>
        <v/>
      </c>
      <c r="J66" s="13">
        <f>IF(TTM!J66="","",IFERROR(MAX(MIN(TTM!J66,1),-0.3),""))</f>
        <v>0.26700419828534872</v>
      </c>
      <c r="K66" s="13" t="str">
        <f>IF(TTM!K66="","",IFERROR(MAX(MIN(TTM!K66,1),-0.3),""))</f>
        <v/>
      </c>
      <c r="L66" s="13">
        <f>IF(TTM!L66="","",IFERROR(MAX(MIN(TTM!L66,1),-0.3),""))</f>
        <v>0.14488350610694867</v>
      </c>
      <c r="M66" s="13" t="str">
        <f>IF(TTM!M66="","",IFERROR(MAX(MIN(TTM!M66,1),-0.3),""))</f>
        <v/>
      </c>
      <c r="N66" s="13" t="str">
        <f>IF(TTM!N66="","",IFERROR(MAX(MIN(TTM!N66,1),-0.3),""))</f>
        <v/>
      </c>
      <c r="O66" s="13">
        <f>IF(TTM!O66="","",IFERROR(MAX(MIN(TTM!O66,1),-0.3),""))</f>
        <v>0.21633667848450722</v>
      </c>
      <c r="P66" s="13" t="str">
        <f>IF(TTM!P66="","",IFERROR(MAX(MIN(TTM!P66,1),-0.3),""))</f>
        <v/>
      </c>
      <c r="Q66" s="13" t="str">
        <f>IF(TTM!Q66="","",IFERROR(MAX(MIN(TTM!Q66,1),-0.3),""))</f>
        <v/>
      </c>
      <c r="R66" s="13" t="str">
        <f>IF(TTM!R66="","",IFERROR(MAX(MIN(TTM!R66,1),-0.3),""))</f>
        <v/>
      </c>
      <c r="S66" s="13" t="str">
        <f>IF(TTM!S66="","",IFERROR(MAX(MIN(TTM!S66,1),-0.3),""))</f>
        <v/>
      </c>
      <c r="T66" s="13" t="str">
        <f>IF(TTM!T66="","",IFERROR(MAX(MIN(TTM!T66,1),-0.3),""))</f>
        <v/>
      </c>
      <c r="U66" s="11"/>
    </row>
    <row r="67" spans="1:21" ht="14">
      <c r="A67" s="14" t="s">
        <v>92</v>
      </c>
      <c r="B67" s="13" t="str">
        <f>IF(TTM!B67="","",IFERROR(MAX(MIN(TTM!B67,1),-0.3),""))</f>
        <v/>
      </c>
      <c r="C67" s="13">
        <f>IF(TTM!C67="","",IFERROR(MAX(MIN(TTM!C67,1),-0.3),""))</f>
        <v>0.22871017835893853</v>
      </c>
      <c r="D67" s="13">
        <f>IF(TTM!D67="","",IFERROR(MAX(MIN(TTM!D67,1),-0.3),""))</f>
        <v>0.17237246376280335</v>
      </c>
      <c r="E67" s="13">
        <f>IF(TTM!E67="","",IFERROR(MAX(MIN(TTM!E67,1),-0.3),""))</f>
        <v>0.22468611380891435</v>
      </c>
      <c r="F67" s="13">
        <f>IF(TTM!F67="","",IFERROR(MAX(MIN(TTM!F67,1),-0.3),""))</f>
        <v>0.20789583669565492</v>
      </c>
      <c r="G67" s="13" t="str">
        <f>IF(TTM!G67="","",IFERROR(MAX(MIN(TTM!G67,1),-0.3),""))</f>
        <v/>
      </c>
      <c r="H67" s="13">
        <f>IF(TTM!H67="","",IFERROR(MAX(MIN(TTM!H67,1),-0.3),""))</f>
        <v>8.552301284816255E-2</v>
      </c>
      <c r="I67" s="13" t="str">
        <f>IF(TTM!I67="","",IFERROR(MAX(MIN(TTM!I67,1),-0.3),""))</f>
        <v/>
      </c>
      <c r="J67" s="13">
        <f>IF(TTM!J67="","",IFERROR(MAX(MIN(TTM!J67,1),-0.3),""))</f>
        <v>0.163902156165596</v>
      </c>
      <c r="K67" s="13" t="str">
        <f>IF(TTM!K67="","",IFERROR(MAX(MIN(TTM!K67,1),-0.3),""))</f>
        <v/>
      </c>
      <c r="L67" s="13">
        <f>IF(TTM!L67="","",IFERROR(MAX(MIN(TTM!L67,1),-0.3),""))</f>
        <v>0.14506465206420915</v>
      </c>
      <c r="M67" s="13" t="str">
        <f>IF(TTM!M67="","",IFERROR(MAX(MIN(TTM!M67,1),-0.3),""))</f>
        <v/>
      </c>
      <c r="N67" s="13" t="str">
        <f>IF(TTM!N67="","",IFERROR(MAX(MIN(TTM!N67,1),-0.3),""))</f>
        <v/>
      </c>
      <c r="O67" s="13">
        <f>IF(TTM!O67="","",IFERROR(MAX(MIN(TTM!O67,1),-0.3),""))</f>
        <v>0.19616391521639004</v>
      </c>
      <c r="P67" s="13" t="str">
        <f>IF(TTM!P67="","",IFERROR(MAX(MIN(TTM!P67,1),-0.3),""))</f>
        <v/>
      </c>
      <c r="Q67" s="13" t="str">
        <f>IF(TTM!Q67="","",IFERROR(MAX(MIN(TTM!Q67,1),-0.3),""))</f>
        <v/>
      </c>
      <c r="R67" s="13" t="str">
        <f>IF(TTM!R67="","",IFERROR(MAX(MIN(TTM!R67,1),-0.3),""))</f>
        <v/>
      </c>
      <c r="S67" s="13" t="str">
        <f>IF(TTM!S67="","",IFERROR(MAX(MIN(TTM!S67,1),-0.3),""))</f>
        <v/>
      </c>
      <c r="T67" s="13" t="str">
        <f>IF(TTM!T67="","",IFERROR(MAX(MIN(TTM!T67,1),-0.3),""))</f>
        <v/>
      </c>
      <c r="U67" s="11"/>
    </row>
    <row r="68" spans="1:21" ht="14">
      <c r="A68" s="14" t="s">
        <v>93</v>
      </c>
      <c r="B68" s="13" t="str">
        <f>IF(TTM!B68="","",IFERROR(MAX(MIN(TTM!B68,1),-0.3),""))</f>
        <v/>
      </c>
      <c r="C68" s="13">
        <f>IF(TTM!C68="","",IFERROR(MAX(MIN(TTM!C68,1),-0.3),""))</f>
        <v>0.24956290391562896</v>
      </c>
      <c r="D68" s="13">
        <f>IF(TTM!D68="","",IFERROR(MAX(MIN(TTM!D68,1),-0.3),""))</f>
        <v>0.17619274340547242</v>
      </c>
      <c r="E68" s="13">
        <f>IF(TTM!E68="","",IFERROR(MAX(MIN(TTM!E68,1),-0.3),""))</f>
        <v>0.26100613253906113</v>
      </c>
      <c r="F68" s="13">
        <f>IF(TTM!F68="","",IFERROR(MAX(MIN(TTM!F68,1),-0.3),""))</f>
        <v>0.21810792782768429</v>
      </c>
      <c r="G68" s="13" t="str">
        <f>IF(TTM!G68="","",IFERROR(MAX(MIN(TTM!G68,1),-0.3),""))</f>
        <v/>
      </c>
      <c r="H68" s="13">
        <f>IF(TTM!H68="","",IFERROR(MAX(MIN(TTM!H68,1),-0.3),""))</f>
        <v>8.2988452942020507E-2</v>
      </c>
      <c r="I68" s="13" t="str">
        <f>IF(TTM!I68="","",IFERROR(MAX(MIN(TTM!I68,1),-0.3),""))</f>
        <v/>
      </c>
      <c r="J68" s="13">
        <f>IF(TTM!J68="","",IFERROR(MAX(MIN(TTM!J68,1),-0.3),""))</f>
        <v>0.15321325914288403</v>
      </c>
      <c r="K68" s="13" t="str">
        <f>IF(TTM!K68="","",IFERROR(MAX(MIN(TTM!K68,1),-0.3),""))</f>
        <v/>
      </c>
      <c r="L68" s="13">
        <f>IF(TTM!L68="","",IFERROR(MAX(MIN(TTM!L68,1),-0.3),""))</f>
        <v>0.14524579802146964</v>
      </c>
      <c r="M68" s="13" t="str">
        <f>IF(TTM!M68="","",IFERROR(MAX(MIN(TTM!M68,1),-0.3),""))</f>
        <v/>
      </c>
      <c r="N68" s="13" t="str">
        <f>IF(TTM!N68="","",IFERROR(MAX(MIN(TTM!N68,1),-0.3),""))</f>
        <v/>
      </c>
      <c r="O68" s="13">
        <f>IF(TTM!O68="","",IFERROR(MAX(MIN(TTM!O68,1),-0.3),""))</f>
        <v>0.17599115194827286</v>
      </c>
      <c r="P68" s="13" t="str">
        <f>IF(TTM!P68="","",IFERROR(MAX(MIN(TTM!P68,1),-0.3),""))</f>
        <v/>
      </c>
      <c r="Q68" s="13" t="str">
        <f>IF(TTM!Q68="","",IFERROR(MAX(MIN(TTM!Q68,1),-0.3),""))</f>
        <v/>
      </c>
      <c r="R68" s="13" t="str">
        <f>IF(TTM!R68="","",IFERROR(MAX(MIN(TTM!R68,1),-0.3),""))</f>
        <v/>
      </c>
      <c r="S68" s="13" t="str">
        <f>IF(TTM!S68="","",IFERROR(MAX(MIN(TTM!S68,1),-0.3),""))</f>
        <v/>
      </c>
      <c r="T68" s="13" t="str">
        <f>IF(TTM!T68="","",IFERROR(MAX(MIN(TTM!T68,1),-0.3),""))</f>
        <v/>
      </c>
      <c r="U68" s="11"/>
    </row>
    <row r="69" spans="1:21" ht="14">
      <c r="A69" s="14" t="s">
        <v>94</v>
      </c>
      <c r="B69" s="13" t="str">
        <f>IF(TTM!B69="","",IFERROR(MAX(MIN(TTM!B69,1),-0.3),""))</f>
        <v/>
      </c>
      <c r="C69" s="13">
        <f>IF(TTM!C69="","",IFERROR(MAX(MIN(TTM!C69,1),-0.3),""))</f>
        <v>0.2704156294723194</v>
      </c>
      <c r="D69" s="13">
        <f>IF(TTM!D69="","",IFERROR(MAX(MIN(TTM!D69,1),-0.3),""))</f>
        <v>0.18001302304814149</v>
      </c>
      <c r="E69" s="13">
        <f>IF(TTM!E69="","",IFERROR(MAX(MIN(TTM!E69,1),-0.3),""))</f>
        <v>0.29732615126920792</v>
      </c>
      <c r="F69" s="13">
        <f>IF(TTM!F69="","",IFERROR(MAX(MIN(TTM!F69,1),-0.3),""))</f>
        <v>0.22832001895971366</v>
      </c>
      <c r="G69" s="13" t="str">
        <f>IF(TTM!G69="","",IFERROR(MAX(MIN(TTM!G69,1),-0.3),""))</f>
        <v/>
      </c>
      <c r="H69" s="13">
        <f>IF(TTM!H69="","",IFERROR(MAX(MIN(TTM!H69,1),-0.3),""))</f>
        <v>8.0453893035878465E-2</v>
      </c>
      <c r="I69" s="13" t="str">
        <f>IF(TTM!I69="","",IFERROR(MAX(MIN(TTM!I69,1),-0.3),""))</f>
        <v/>
      </c>
      <c r="J69" s="13">
        <f>IF(TTM!J69="","",IFERROR(MAX(MIN(TTM!J69,1),-0.3),""))</f>
        <v>0.14252436212017205</v>
      </c>
      <c r="K69" s="13" t="str">
        <f>IF(TTM!K69="","",IFERROR(MAX(MIN(TTM!K69,1),-0.3),""))</f>
        <v/>
      </c>
      <c r="L69" s="13">
        <f>IF(TTM!L69="","",IFERROR(MAX(MIN(TTM!L69,1),-0.3),""))</f>
        <v>0.14542694397873013</v>
      </c>
      <c r="M69" s="13" t="str">
        <f>IF(TTM!M69="","",IFERROR(MAX(MIN(TTM!M69,1),-0.3),""))</f>
        <v/>
      </c>
      <c r="N69" s="13" t="str">
        <f>IF(TTM!N69="","",IFERROR(MAX(MIN(TTM!N69,1),-0.3),""))</f>
        <v/>
      </c>
      <c r="O69" s="13">
        <f>IF(TTM!O69="","",IFERROR(MAX(MIN(TTM!O69,1),-0.3),""))</f>
        <v>0.21812043122785491</v>
      </c>
      <c r="P69" s="13" t="str">
        <f>IF(TTM!P69="","",IFERROR(MAX(MIN(TTM!P69,1),-0.3),""))</f>
        <v/>
      </c>
      <c r="Q69" s="13" t="str">
        <f>IF(TTM!Q69="","",IFERROR(MAX(MIN(TTM!Q69,1),-0.3),""))</f>
        <v/>
      </c>
      <c r="R69" s="13" t="str">
        <f>IF(TTM!R69="","",IFERROR(MAX(MIN(TTM!R69,1),-0.3),""))</f>
        <v/>
      </c>
      <c r="S69" s="13" t="str">
        <f>IF(TTM!S69="","",IFERROR(MAX(MIN(TTM!S69,1),-0.3),""))</f>
        <v/>
      </c>
      <c r="T69" s="13" t="str">
        <f>IF(TTM!T69="","",IFERROR(MAX(MIN(TTM!T69,1),-0.3),""))</f>
        <v/>
      </c>
      <c r="U69" s="11"/>
    </row>
    <row r="70" spans="1:21" ht="14">
      <c r="A70" s="14" t="s">
        <v>95</v>
      </c>
      <c r="B70" s="13" t="str">
        <f>IF(TTM!B70="","",IFERROR(MAX(MIN(TTM!B70,1),-0.3),""))</f>
        <v/>
      </c>
      <c r="C70" s="13">
        <f>IF(TTM!C70="","",IFERROR(MAX(MIN(TTM!C70,1),-0.3),""))</f>
        <v>0.29126835502900983</v>
      </c>
      <c r="D70" s="13">
        <f>IF(TTM!D70="","",IFERROR(MAX(MIN(TTM!D70,1),-0.3),""))</f>
        <v>0.18383330269081055</v>
      </c>
      <c r="E70" s="13">
        <f>IF(TTM!E70="","",IFERROR(MAX(MIN(TTM!E70,1),-0.3),""))</f>
        <v>0.3336461699993547</v>
      </c>
      <c r="F70" s="13">
        <f>IF(TTM!F70="","",IFERROR(MAX(MIN(TTM!F70,1),-0.3),""))</f>
        <v>0.23853211009174302</v>
      </c>
      <c r="G70" s="13" t="str">
        <f>IF(TTM!G70="","",IFERROR(MAX(MIN(TTM!G70,1),-0.3),""))</f>
        <v/>
      </c>
      <c r="H70" s="13">
        <f>IF(TTM!H70="","",IFERROR(MAX(MIN(TTM!H70,1),-0.3),""))</f>
        <v>7.7919333129736423E-2</v>
      </c>
      <c r="I70" s="13" t="str">
        <f>IF(TTM!I70="","",IFERROR(MAX(MIN(TTM!I70,1),-0.3),""))</f>
        <v/>
      </c>
      <c r="J70" s="13">
        <f>IF(TTM!J70="","",IFERROR(MAX(MIN(TTM!J70,1),-0.3),""))</f>
        <v>0.13183546509746008</v>
      </c>
      <c r="K70" s="13" t="str">
        <f>IF(TTM!K70="","",IFERROR(MAX(MIN(TTM!K70,1),-0.3),""))</f>
        <v/>
      </c>
      <c r="L70" s="13">
        <f>IF(TTM!L70="","",IFERROR(MAX(MIN(TTM!L70,1),-0.3),""))</f>
        <v>0.14560808993599061</v>
      </c>
      <c r="M70" s="13" t="str">
        <f>IF(TTM!M70="","",IFERROR(MAX(MIN(TTM!M70,1),-0.3),""))</f>
        <v/>
      </c>
      <c r="N70" s="13" t="str">
        <f>IF(TTM!N70="","",IFERROR(MAX(MIN(TTM!N70,1),-0.3),""))</f>
        <v/>
      </c>
      <c r="O70" s="13">
        <f>IF(TTM!O70="","",IFERROR(MAX(MIN(TTM!O70,1),-0.3),""))</f>
        <v>0.26024971050743695</v>
      </c>
      <c r="P70" s="13" t="str">
        <f>IF(TTM!P70="","",IFERROR(MAX(MIN(TTM!P70,1),-0.3),""))</f>
        <v/>
      </c>
      <c r="Q70" s="13" t="str">
        <f>IF(TTM!Q70="","",IFERROR(MAX(MIN(TTM!Q70,1),-0.3),""))</f>
        <v/>
      </c>
      <c r="R70" s="13" t="str">
        <f>IF(TTM!R70="","",IFERROR(MAX(MIN(TTM!R70,1),-0.3),""))</f>
        <v/>
      </c>
      <c r="S70" s="13" t="str">
        <f>IF(TTM!S70="","",IFERROR(MAX(MIN(TTM!S70,1),-0.3),""))</f>
        <v/>
      </c>
      <c r="T70" s="13" t="str">
        <f>IF(TTM!T70="","",IFERROR(MAX(MIN(TTM!T70,1),-0.3),""))</f>
        <v/>
      </c>
      <c r="U70" s="11"/>
    </row>
    <row r="71" spans="1:21" ht="14">
      <c r="A71" s="14" t="s">
        <v>96</v>
      </c>
      <c r="B71" s="13" t="str">
        <f>IF(TTM!B71="","",IFERROR(MAX(MIN(TTM!B71,1),-0.3),""))</f>
        <v/>
      </c>
      <c r="C71" s="13">
        <f>IF(TTM!C71="","",IFERROR(MAX(MIN(TTM!C71,1),-0.3),""))</f>
        <v>0.27912367672993488</v>
      </c>
      <c r="D71" s="13">
        <f>IF(TTM!D71="","",IFERROR(MAX(MIN(TTM!D71,1),-0.3),""))</f>
        <v>0.18986471389887671</v>
      </c>
      <c r="E71" s="13">
        <f>IF(TTM!E71="","",IFERROR(MAX(MIN(TTM!E71,1),-0.3),""))</f>
        <v>0.33028715340511233</v>
      </c>
      <c r="F71" s="13">
        <f>IF(TTM!F71="","",IFERROR(MAX(MIN(TTM!F71,1),-0.3),""))</f>
        <v>0.25852871219843687</v>
      </c>
      <c r="G71" s="13" t="str">
        <f>IF(TTM!G71="","",IFERROR(MAX(MIN(TTM!G71,1),-0.3),""))</f>
        <v/>
      </c>
      <c r="H71" s="13">
        <f>IF(TTM!H71="","",IFERROR(MAX(MIN(TTM!H71,1),-0.3),""))</f>
        <v>7.5384773223594381E-2</v>
      </c>
      <c r="I71" s="13" t="str">
        <f>IF(TTM!I71="","",IFERROR(MAX(MIN(TTM!I71,1),-0.3),""))</f>
        <v/>
      </c>
      <c r="J71" s="13">
        <f>IF(TTM!J71="","",IFERROR(MAX(MIN(TTM!J71,1),-0.3),""))</f>
        <v>0.12114656807474811</v>
      </c>
      <c r="K71" s="13" t="str">
        <f>IF(TTM!K71="","",IFERROR(MAX(MIN(TTM!K71,1),-0.3),""))</f>
        <v/>
      </c>
      <c r="L71" s="13">
        <f>IF(TTM!L71="","",IFERROR(MAX(MIN(TTM!L71,1),-0.3),""))</f>
        <v>0.16446229912737198</v>
      </c>
      <c r="M71" s="13" t="str">
        <f>IF(TTM!M71="","",IFERROR(MAX(MIN(TTM!M71,1),-0.3),""))</f>
        <v/>
      </c>
      <c r="N71" s="13" t="str">
        <f>IF(TTM!N71="","",IFERROR(MAX(MIN(TTM!N71,1),-0.3),""))</f>
        <v/>
      </c>
      <c r="O71" s="13">
        <f>IF(TTM!O71="","",IFERROR(MAX(MIN(TTM!O71,1),-0.3),""))</f>
        <v>0.30237898978701899</v>
      </c>
      <c r="P71" s="13" t="str">
        <f>IF(TTM!P71="","",IFERROR(MAX(MIN(TTM!P71,1),-0.3),""))</f>
        <v/>
      </c>
      <c r="Q71" s="13" t="str">
        <f>IF(TTM!Q71="","",IFERROR(MAX(MIN(TTM!Q71,1),-0.3),""))</f>
        <v/>
      </c>
      <c r="R71" s="13">
        <f>IF(TTM!R71="","",IFERROR(MAX(MIN(TTM!R71,1),-0.3),""))</f>
        <v>0.54985697754464091</v>
      </c>
      <c r="S71" s="13" t="str">
        <f>IF(TTM!S71="","",IFERROR(MAX(MIN(TTM!S71,1),-0.3),""))</f>
        <v/>
      </c>
      <c r="T71" s="13" t="str">
        <f>IF(TTM!T71="","",IFERROR(MAX(MIN(TTM!T71,1),-0.3),""))</f>
        <v/>
      </c>
      <c r="U71" s="11"/>
    </row>
    <row r="72" spans="1:21" ht="14">
      <c r="A72" s="14" t="s">
        <v>97</v>
      </c>
      <c r="B72" s="13" t="str">
        <f>IF(TTM!B72="","",IFERROR(MAX(MIN(TTM!B72,1),-0.3),""))</f>
        <v/>
      </c>
      <c r="C72" s="13">
        <f>IF(TTM!C72="","",IFERROR(MAX(MIN(TTM!C72,1),-0.3),""))</f>
        <v>0.26697899843085993</v>
      </c>
      <c r="D72" s="13">
        <f>IF(TTM!D72="","",IFERROR(MAX(MIN(TTM!D72,1),-0.3),""))</f>
        <v>0.19589612510694288</v>
      </c>
      <c r="E72" s="13">
        <f>IF(TTM!E72="","",IFERROR(MAX(MIN(TTM!E72,1),-0.3),""))</f>
        <v>0.32692813681086996</v>
      </c>
      <c r="F72" s="13">
        <f>IF(TTM!F72="","",IFERROR(MAX(MIN(TTM!F72,1),-0.3),""))</f>
        <v>0.27852531430513072</v>
      </c>
      <c r="G72" s="13" t="str">
        <f>IF(TTM!G72="","",IFERROR(MAX(MIN(TTM!G72,1),-0.3),""))</f>
        <v/>
      </c>
      <c r="H72" s="13">
        <f>IF(TTM!H72="","",IFERROR(MAX(MIN(TTM!H72,1),-0.3),""))</f>
        <v>-0.13478645180771209</v>
      </c>
      <c r="I72" s="13" t="str">
        <f>IF(TTM!I72="","",IFERROR(MAX(MIN(TTM!I72,1),-0.3),""))</f>
        <v/>
      </c>
      <c r="J72" s="13">
        <f>IF(TTM!J72="","",IFERROR(MAX(MIN(TTM!J72,1),-0.3),""))</f>
        <v>0.13371044234377893</v>
      </c>
      <c r="K72" s="13" t="str">
        <f>IF(TTM!K72="","",IFERROR(MAX(MIN(TTM!K72,1),-0.3),""))</f>
        <v/>
      </c>
      <c r="L72" s="13">
        <f>IF(TTM!L72="","",IFERROR(MAX(MIN(TTM!L72,1),-0.3),""))</f>
        <v>0.18331650831875335</v>
      </c>
      <c r="M72" s="13" t="str">
        <f>IF(TTM!M72="","",IFERROR(MAX(MIN(TTM!M72,1),-0.3),""))</f>
        <v/>
      </c>
      <c r="N72" s="13" t="str">
        <f>IF(TTM!N72="","",IFERROR(MAX(MIN(TTM!N72,1),-0.3),""))</f>
        <v/>
      </c>
      <c r="O72" s="13">
        <f>IF(TTM!O72="","",IFERROR(MAX(MIN(TTM!O72,1),-0.3),""))</f>
        <v>0.34450826906660104</v>
      </c>
      <c r="P72" s="13" t="str">
        <f>IF(TTM!P72="","",IFERROR(MAX(MIN(TTM!P72,1),-0.3),""))</f>
        <v/>
      </c>
      <c r="Q72" s="13" t="str">
        <f>IF(TTM!Q72="","",IFERROR(MAX(MIN(TTM!Q72,1),-0.3),""))</f>
        <v/>
      </c>
      <c r="R72" s="13">
        <f>IF(TTM!R72="","",IFERROR(MAX(MIN(TTM!R72,1),-0.3),""))</f>
        <v>0.38339466148747958</v>
      </c>
      <c r="S72" s="13" t="str">
        <f>IF(TTM!S72="","",IFERROR(MAX(MIN(TTM!S72,1),-0.3),""))</f>
        <v/>
      </c>
      <c r="T72" s="13" t="str">
        <f>IF(TTM!T72="","",IFERROR(MAX(MIN(TTM!T72,1),-0.3),""))</f>
        <v/>
      </c>
      <c r="U72" s="11"/>
    </row>
    <row r="73" spans="1:21" ht="14">
      <c r="A73" s="14" t="s">
        <v>98</v>
      </c>
      <c r="B73" s="13" t="str">
        <f>IF(TTM!B73="","",IFERROR(MAX(MIN(TTM!B73,1),-0.3),""))</f>
        <v/>
      </c>
      <c r="C73" s="13">
        <f>IF(TTM!C73="","",IFERROR(MAX(MIN(TTM!C73,1),-0.3),""))</f>
        <v>0.25483432013178497</v>
      </c>
      <c r="D73" s="13">
        <f>IF(TTM!D73="","",IFERROR(MAX(MIN(TTM!D73,1),-0.3),""))</f>
        <v>0.20192753631500904</v>
      </c>
      <c r="E73" s="13">
        <f>IF(TTM!E73="","",IFERROR(MAX(MIN(TTM!E73,1),-0.3),""))</f>
        <v>0.32356912021662759</v>
      </c>
      <c r="F73" s="13">
        <f>IF(TTM!F73="","",IFERROR(MAX(MIN(TTM!F73,1),-0.3),""))</f>
        <v>0.29852191641182457</v>
      </c>
      <c r="G73" s="13" t="str">
        <f>IF(TTM!G73="","",IFERROR(MAX(MIN(TTM!G73,1),-0.3),""))</f>
        <v/>
      </c>
      <c r="H73" s="13">
        <f>IF(TTM!H73="","",IFERROR(MAX(MIN(TTM!H73,1),-0.3),""))</f>
        <v>-0.3</v>
      </c>
      <c r="I73" s="13" t="str">
        <f>IF(TTM!I73="","",IFERROR(MAX(MIN(TTM!I73,1),-0.3),""))</f>
        <v/>
      </c>
      <c r="J73" s="13">
        <f>IF(TTM!J73="","",IFERROR(MAX(MIN(TTM!J73,1),-0.3),""))</f>
        <v>0.14627431661280976</v>
      </c>
      <c r="K73" s="13" t="str">
        <f>IF(TTM!K73="","",IFERROR(MAX(MIN(TTM!K73,1),-0.3),""))</f>
        <v/>
      </c>
      <c r="L73" s="13">
        <f>IF(TTM!L73="","",IFERROR(MAX(MIN(TTM!L73,1),-0.3),""))</f>
        <v>0.20217071751013471</v>
      </c>
      <c r="M73" s="13" t="str">
        <f>IF(TTM!M73="","",IFERROR(MAX(MIN(TTM!M73,1),-0.3),""))</f>
        <v/>
      </c>
      <c r="N73" s="13" t="str">
        <f>IF(TTM!N73="","",IFERROR(MAX(MIN(TTM!N73,1),-0.3),""))</f>
        <v/>
      </c>
      <c r="O73" s="13">
        <f>IF(TTM!O73="","",IFERROR(MAX(MIN(TTM!O73,1),-0.3),""))</f>
        <v>0.25455814399940624</v>
      </c>
      <c r="P73" s="13" t="str">
        <f>IF(TTM!P73="","",IFERROR(MAX(MIN(TTM!P73,1),-0.3),""))</f>
        <v/>
      </c>
      <c r="Q73" s="13" t="str">
        <f>IF(TTM!Q73="","",IFERROR(MAX(MIN(TTM!Q73,1),-0.3),""))</f>
        <v/>
      </c>
      <c r="R73" s="13">
        <f>IF(TTM!R73="","",IFERROR(MAX(MIN(TTM!R73,1),-0.3),""))</f>
        <v>0.2169323454303182</v>
      </c>
      <c r="S73" s="13" t="str">
        <f>IF(TTM!S73="","",IFERROR(MAX(MIN(TTM!S73,1),-0.3),""))</f>
        <v/>
      </c>
      <c r="T73" s="13" t="str">
        <f>IF(TTM!T73="","",IFERROR(MAX(MIN(TTM!T73,1),-0.3),""))</f>
        <v/>
      </c>
      <c r="U73" s="11"/>
    </row>
    <row r="74" spans="1:21" ht="14">
      <c r="A74" s="14" t="s">
        <v>99</v>
      </c>
      <c r="B74" s="13" t="str">
        <f>IF(TTM!B74="","",IFERROR(MAX(MIN(TTM!B74,1),-0.3),""))</f>
        <v/>
      </c>
      <c r="C74" s="13">
        <f>IF(TTM!C74="","",IFERROR(MAX(MIN(TTM!C74,1),-0.3),""))</f>
        <v>0.24268964183271002</v>
      </c>
      <c r="D74" s="13">
        <f>IF(TTM!D74="","",IFERROR(MAX(MIN(TTM!D74,1),-0.3),""))</f>
        <v>0.2079589475230752</v>
      </c>
      <c r="E74" s="13">
        <f>IF(TTM!E74="","",IFERROR(MAX(MIN(TTM!E74,1),-0.3),""))</f>
        <v>0.32021010362238522</v>
      </c>
      <c r="F74" s="13">
        <f>IF(TTM!F74="","",IFERROR(MAX(MIN(TTM!F74,1),-0.3),""))</f>
        <v>0.31851851851851842</v>
      </c>
      <c r="G74" s="13" t="str">
        <f>IF(TTM!G74="","",IFERROR(MAX(MIN(TTM!G74,1),-0.3),""))</f>
        <v/>
      </c>
      <c r="H74" s="13">
        <f>IF(TTM!H74="","",IFERROR(MAX(MIN(TTM!H74,1),-0.3),""))</f>
        <v>-0.3</v>
      </c>
      <c r="I74" s="13" t="str">
        <f>IF(TTM!I74="","",IFERROR(MAX(MIN(TTM!I74,1),-0.3),""))</f>
        <v/>
      </c>
      <c r="J74" s="13">
        <f>IF(TTM!J74="","",IFERROR(MAX(MIN(TTM!J74,1),-0.3),""))</f>
        <v>0.15883819088184059</v>
      </c>
      <c r="K74" s="13" t="str">
        <f>IF(TTM!K74="","",IFERROR(MAX(MIN(TTM!K74,1),-0.3),""))</f>
        <v/>
      </c>
      <c r="L74" s="13">
        <f>IF(TTM!L74="","",IFERROR(MAX(MIN(TTM!L74,1),-0.3),""))</f>
        <v>0.22102492670151608</v>
      </c>
      <c r="M74" s="13" t="str">
        <f>IF(TTM!M74="","",IFERROR(MAX(MIN(TTM!M74,1),-0.3),""))</f>
        <v/>
      </c>
      <c r="N74" s="13" t="str">
        <f>IF(TTM!N74="","",IFERROR(MAX(MIN(TTM!N74,1),-0.3),""))</f>
        <v/>
      </c>
      <c r="O74" s="13">
        <f>IF(TTM!O74="","",IFERROR(MAX(MIN(TTM!O74,1),-0.3),""))</f>
        <v>0.16460801893221144</v>
      </c>
      <c r="P74" s="13" t="str">
        <f>IF(TTM!P74="","",IFERROR(MAX(MIN(TTM!P74,1),-0.3),""))</f>
        <v/>
      </c>
      <c r="Q74" s="13" t="str">
        <f>IF(TTM!Q74="","",IFERROR(MAX(MIN(TTM!Q74,1),-0.3),""))</f>
        <v/>
      </c>
      <c r="R74" s="13">
        <f>IF(TTM!R74="","",IFERROR(MAX(MIN(TTM!R74,1),-0.3),""))</f>
        <v>5.0470029373156811E-2</v>
      </c>
      <c r="S74" s="13" t="str">
        <f>IF(TTM!S74="","",IFERROR(MAX(MIN(TTM!S74,1),-0.3),""))</f>
        <v/>
      </c>
      <c r="T74" s="13" t="str">
        <f>IF(TTM!T74="","",IFERROR(MAX(MIN(TTM!T74,1),-0.3),""))</f>
        <v/>
      </c>
      <c r="U74" s="11"/>
    </row>
    <row r="75" spans="1:21" ht="14">
      <c r="A75" s="14" t="s">
        <v>100</v>
      </c>
      <c r="B75" s="13" t="str">
        <f>IF(TTM!B75="","",IFERROR(MAX(MIN(TTM!B75,1),-0.3),""))</f>
        <v/>
      </c>
      <c r="C75" s="13">
        <f>IF(TTM!C75="","",IFERROR(MAX(MIN(TTM!C75,1),-0.3),""))</f>
        <v>0.20517580417702141</v>
      </c>
      <c r="D75" s="13">
        <f>IF(TTM!D75="","",IFERROR(MAX(MIN(TTM!D75,1),-0.3),""))</f>
        <v>0.19539119230791324</v>
      </c>
      <c r="E75" s="13">
        <f>IF(TTM!E75="","",IFERROR(MAX(MIN(TTM!E75,1),-0.3),""))</f>
        <v>0.33969987607779145</v>
      </c>
      <c r="F75" s="13">
        <f>IF(TTM!F75="","",IFERROR(MAX(MIN(TTM!F75,1),-0.3),""))</f>
        <v>0.28824683431424997</v>
      </c>
      <c r="G75" s="13" t="str">
        <f>IF(TTM!G75="","",IFERROR(MAX(MIN(TTM!G75,1),-0.3),""))</f>
        <v/>
      </c>
      <c r="H75" s="13">
        <f>IF(TTM!H75="","",IFERROR(MAX(MIN(TTM!H75,1),-0.3),""))</f>
        <v>-0.3</v>
      </c>
      <c r="I75" s="13" t="str">
        <f>IF(TTM!I75="","",IFERROR(MAX(MIN(TTM!I75,1),-0.3),""))</f>
        <v/>
      </c>
      <c r="J75" s="13">
        <f>IF(TTM!J75="","",IFERROR(MAX(MIN(TTM!J75,1),-0.3),""))</f>
        <v>0.17140206515087142</v>
      </c>
      <c r="K75" s="13" t="str">
        <f>IF(TTM!K75="","",IFERROR(MAX(MIN(TTM!K75,1),-0.3),""))</f>
        <v/>
      </c>
      <c r="L75" s="13">
        <f>IF(TTM!L75="","",IFERROR(MAX(MIN(TTM!L75,1),-0.3),""))</f>
        <v>0.20432266995013787</v>
      </c>
      <c r="M75" s="13" t="str">
        <f>IF(TTM!M75="","",IFERROR(MAX(MIN(TTM!M75,1),-0.3),""))</f>
        <v/>
      </c>
      <c r="N75" s="13" t="str">
        <f>IF(TTM!N75="","",IFERROR(MAX(MIN(TTM!N75,1),-0.3),""))</f>
        <v/>
      </c>
      <c r="O75" s="13">
        <f>IF(TTM!O75="","",IFERROR(MAX(MIN(TTM!O75,1),-0.3),""))</f>
        <v>7.4657893865016645E-2</v>
      </c>
      <c r="P75" s="13" t="str">
        <f>IF(TTM!P75="","",IFERROR(MAX(MIN(TTM!P75,1),-0.3),""))</f>
        <v/>
      </c>
      <c r="Q75" s="13" t="str">
        <f>IF(TTM!Q75="","",IFERROR(MAX(MIN(TTM!Q75,1),-0.3),""))</f>
        <v/>
      </c>
      <c r="R75" s="13">
        <f>IF(TTM!R75="","",IFERROR(MAX(MIN(TTM!R75,1),-0.3),""))</f>
        <v>0.16866834881166937</v>
      </c>
      <c r="S75" s="13" t="str">
        <f>IF(TTM!S75="","",IFERROR(MAX(MIN(TTM!S75,1),-0.3),""))</f>
        <v/>
      </c>
      <c r="T75" s="13" t="str">
        <f>IF(TTM!T75="","",IFERROR(MAX(MIN(TTM!T75,1),-0.3),""))</f>
        <v/>
      </c>
      <c r="U75" s="11"/>
    </row>
    <row r="76" spans="1:21" ht="14">
      <c r="A76" s="14" t="s">
        <v>101</v>
      </c>
      <c r="B76" s="13" t="str">
        <f>IF(TTM!B76="","",IFERROR(MAX(MIN(TTM!B76,1),-0.3),""))</f>
        <v/>
      </c>
      <c r="C76" s="13">
        <f>IF(TTM!C76="","",IFERROR(MAX(MIN(TTM!C76,1),-0.3),""))</f>
        <v>0.16766196652133281</v>
      </c>
      <c r="D76" s="13">
        <f>IF(TTM!D76="","",IFERROR(MAX(MIN(TTM!D76,1),-0.3),""))</f>
        <v>0.18282343709275128</v>
      </c>
      <c r="E76" s="13">
        <f>IF(TTM!E76="","",IFERROR(MAX(MIN(TTM!E76,1),-0.3),""))</f>
        <v>0.35918964853319768</v>
      </c>
      <c r="F76" s="13">
        <f>IF(TTM!F76="","",IFERROR(MAX(MIN(TTM!F76,1),-0.3),""))</f>
        <v>0.25797515010998151</v>
      </c>
      <c r="G76" s="13" t="str">
        <f>IF(TTM!G76="","",IFERROR(MAX(MIN(TTM!G76,1),-0.3),""))</f>
        <v/>
      </c>
      <c r="H76" s="13">
        <f>IF(TTM!H76="","",IFERROR(MAX(MIN(TTM!H76,1),-0.3),""))</f>
        <v>2.677820353010274E-2</v>
      </c>
      <c r="I76" s="13" t="str">
        <f>IF(TTM!I76="","",IFERROR(MAX(MIN(TTM!I76,1),-0.3),""))</f>
        <v/>
      </c>
      <c r="J76" s="13">
        <f>IF(TTM!J76="","",IFERROR(MAX(MIN(TTM!J76,1),-0.3),""))</f>
        <v>0.15896018071181339</v>
      </c>
      <c r="K76" s="13" t="str">
        <f>IF(TTM!K76="","",IFERROR(MAX(MIN(TTM!K76,1),-0.3),""))</f>
        <v/>
      </c>
      <c r="L76" s="13">
        <f>IF(TTM!L76="","",IFERROR(MAX(MIN(TTM!L76,1),-0.3),""))</f>
        <v>0.18762041319875966</v>
      </c>
      <c r="M76" s="13" t="str">
        <f>IF(TTM!M76="","",IFERROR(MAX(MIN(TTM!M76,1),-0.3),""))</f>
        <v/>
      </c>
      <c r="N76" s="13" t="str">
        <f>IF(TTM!N76="","",IFERROR(MAX(MIN(TTM!N76,1),-0.3),""))</f>
        <v/>
      </c>
      <c r="O76" s="13">
        <f>IF(TTM!O76="","",IFERROR(MAX(MIN(TTM!O76,1),-0.3),""))</f>
        <v>-1.5292231202178153E-2</v>
      </c>
      <c r="P76" s="13" t="str">
        <f>IF(TTM!P76="","",IFERROR(MAX(MIN(TTM!P76,1),-0.3),""))</f>
        <v/>
      </c>
      <c r="Q76" s="13" t="str">
        <f>IF(TTM!Q76="","",IFERROR(MAX(MIN(TTM!Q76,1),-0.3),""))</f>
        <v/>
      </c>
      <c r="R76" s="13">
        <f>IF(TTM!R76="","",IFERROR(MAX(MIN(TTM!R76,1),-0.3),""))</f>
        <v>0.28686666825018192</v>
      </c>
      <c r="S76" s="13" t="str">
        <f>IF(TTM!S76="","",IFERROR(MAX(MIN(TTM!S76,1),-0.3),""))</f>
        <v/>
      </c>
      <c r="T76" s="13" t="str">
        <f>IF(TTM!T76="","",IFERROR(MAX(MIN(TTM!T76,1),-0.3),""))</f>
        <v/>
      </c>
      <c r="U76" s="11"/>
    </row>
    <row r="77" spans="1:21" ht="14">
      <c r="A77" s="14" t="s">
        <v>102</v>
      </c>
      <c r="B77" s="13" t="str">
        <f>IF(TTM!B77="","",IFERROR(MAX(MIN(TTM!B77,1),-0.3),""))</f>
        <v/>
      </c>
      <c r="C77" s="13">
        <f>IF(TTM!C77="","",IFERROR(MAX(MIN(TTM!C77,1),-0.3),""))</f>
        <v>0.1301481288656442</v>
      </c>
      <c r="D77" s="13">
        <f>IF(TTM!D77="","",IFERROR(MAX(MIN(TTM!D77,1),-0.3),""))</f>
        <v>0.17025568187758933</v>
      </c>
      <c r="E77" s="13">
        <f>IF(TTM!E77="","",IFERROR(MAX(MIN(TTM!E77,1),-0.3),""))</f>
        <v>0.37867942098860391</v>
      </c>
      <c r="F77" s="13">
        <f>IF(TTM!F77="","",IFERROR(MAX(MIN(TTM!F77,1),-0.3),""))</f>
        <v>0.22770346590571305</v>
      </c>
      <c r="G77" s="13" t="str">
        <f>IF(TTM!G77="","",IFERROR(MAX(MIN(TTM!G77,1),-0.3),""))</f>
        <v/>
      </c>
      <c r="H77" s="13">
        <f>IF(TTM!H77="","",IFERROR(MAX(MIN(TTM!H77,1),-0.3),""))</f>
        <v>0.81885653396183711</v>
      </c>
      <c r="I77" s="13" t="str">
        <f>IF(TTM!I77="","",IFERROR(MAX(MIN(TTM!I77,1),-0.3),""))</f>
        <v/>
      </c>
      <c r="J77" s="13">
        <f>IF(TTM!J77="","",IFERROR(MAX(MIN(TTM!J77,1),-0.3),""))</f>
        <v>0.14651829627275537</v>
      </c>
      <c r="K77" s="13" t="str">
        <f>IF(TTM!K77="","",IFERROR(MAX(MIN(TTM!K77,1),-0.3),""))</f>
        <v/>
      </c>
      <c r="L77" s="13">
        <f>IF(TTM!L77="","",IFERROR(MAX(MIN(TTM!L77,1),-0.3),""))</f>
        <v>0.17091815644738145</v>
      </c>
      <c r="M77" s="13" t="str">
        <f>IF(TTM!M77="","",IFERROR(MAX(MIN(TTM!M77,1),-0.3),""))</f>
        <v/>
      </c>
      <c r="N77" s="13" t="str">
        <f>IF(TTM!N77="","",IFERROR(MAX(MIN(TTM!N77,1),-0.3),""))</f>
        <v/>
      </c>
      <c r="O77" s="13">
        <f>IF(TTM!O77="","",IFERROR(MAX(MIN(TTM!O77,1),-0.3),""))</f>
        <v>5.1898293976128607E-2</v>
      </c>
      <c r="P77" s="13" t="str">
        <f>IF(TTM!P77="","",IFERROR(MAX(MIN(TTM!P77,1),-0.3),""))</f>
        <v/>
      </c>
      <c r="Q77" s="13" t="str">
        <f>IF(TTM!Q77="","",IFERROR(MAX(MIN(TTM!Q77,1),-0.3),""))</f>
        <v/>
      </c>
      <c r="R77" s="13">
        <f>IF(TTM!R77="","",IFERROR(MAX(MIN(TTM!R77,1),-0.3),""))</f>
        <v>0.40506498768869448</v>
      </c>
      <c r="S77" s="13" t="str">
        <f>IF(TTM!S77="","",IFERROR(MAX(MIN(TTM!S77,1),-0.3),""))</f>
        <v/>
      </c>
      <c r="T77" s="13" t="str">
        <f>IF(TTM!T77="","",IFERROR(MAX(MIN(TTM!T77,1),-0.3),""))</f>
        <v/>
      </c>
      <c r="U77" s="11"/>
    </row>
    <row r="78" spans="1:21" ht="14">
      <c r="A78" s="14" t="s">
        <v>103</v>
      </c>
      <c r="B78" s="13" t="str">
        <f>IF(TTM!B78="","",IFERROR(MAX(MIN(TTM!B78,1),-0.3),""))</f>
        <v/>
      </c>
      <c r="C78" s="13">
        <f>IF(TTM!C78="","",IFERROR(MAX(MIN(TTM!C78,1),-0.3),""))</f>
        <v>9.2634291209955588E-2</v>
      </c>
      <c r="D78" s="13">
        <f>IF(TTM!D78="","",IFERROR(MAX(MIN(TTM!D78,1),-0.3),""))</f>
        <v>0.15768792666242737</v>
      </c>
      <c r="E78" s="13">
        <f>IF(TTM!E78="","",IFERROR(MAX(MIN(TTM!E78,1),-0.3),""))</f>
        <v>0.39816919344401014</v>
      </c>
      <c r="F78" s="13">
        <f>IF(TTM!F78="","",IFERROR(MAX(MIN(TTM!F78,1),-0.3),""))</f>
        <v>0.1974317817014446</v>
      </c>
      <c r="G78" s="13">
        <f>IF(TTM!G78="","",IFERROR(MAX(MIN(TTM!G78,1),-0.3),""))</f>
        <v>0.42938278836936838</v>
      </c>
      <c r="H78" s="13">
        <f>IF(TTM!H78="","",IFERROR(MAX(MIN(TTM!H78,1),-0.3),""))</f>
        <v>1</v>
      </c>
      <c r="I78" s="13" t="str">
        <f>IF(TTM!I78="","",IFERROR(MAX(MIN(TTM!I78,1),-0.3),""))</f>
        <v/>
      </c>
      <c r="J78" s="13">
        <f>IF(TTM!J78="","",IFERROR(MAX(MIN(TTM!J78,1),-0.3),""))</f>
        <v>0.13407641183369734</v>
      </c>
      <c r="K78" s="13" t="str">
        <f>IF(TTM!K78="","",IFERROR(MAX(MIN(TTM!K78,1),-0.3),""))</f>
        <v/>
      </c>
      <c r="L78" s="13">
        <f>IF(TTM!L78="","",IFERROR(MAX(MIN(TTM!L78,1),-0.3),""))</f>
        <v>0.15421589969600324</v>
      </c>
      <c r="M78" s="13" t="str">
        <f>IF(TTM!M78="","",IFERROR(MAX(MIN(TTM!M78,1),-0.3),""))</f>
        <v/>
      </c>
      <c r="N78" s="13" t="str">
        <f>IF(TTM!N78="","",IFERROR(MAX(MIN(TTM!N78,1),-0.3),""))</f>
        <v/>
      </c>
      <c r="O78" s="13">
        <f>IF(TTM!O78="","",IFERROR(MAX(MIN(TTM!O78,1),-0.3),""))</f>
        <v>0.11908881915443537</v>
      </c>
      <c r="P78" s="13" t="str">
        <f>IF(TTM!P78="","",IFERROR(MAX(MIN(TTM!P78,1),-0.3),""))</f>
        <v/>
      </c>
      <c r="Q78" s="13" t="str">
        <f>IF(TTM!Q78="","",IFERROR(MAX(MIN(TTM!Q78,1),-0.3),""))</f>
        <v/>
      </c>
      <c r="R78" s="13">
        <f>IF(TTM!R78="","",IFERROR(MAX(MIN(TTM!R78,1),-0.3),""))</f>
        <v>0.52326330712720703</v>
      </c>
      <c r="S78" s="13" t="str">
        <f>IF(TTM!S78="","",IFERROR(MAX(MIN(TTM!S78,1),-0.3),""))</f>
        <v/>
      </c>
      <c r="T78" s="13" t="str">
        <f>IF(TTM!T78="","",IFERROR(MAX(MIN(TTM!T78,1),-0.3),""))</f>
        <v/>
      </c>
      <c r="U78" s="11"/>
    </row>
    <row r="79" spans="1:21" ht="14">
      <c r="A79" s="14" t="s">
        <v>104</v>
      </c>
      <c r="B79" s="13" t="str">
        <f>IF(TTM!B79="","",IFERROR(MAX(MIN(TTM!B79,1),-0.3),""))</f>
        <v/>
      </c>
      <c r="C79" s="13">
        <f ca="1">IF(TTM!C79="","",IFERROR(MAX(MIN(TTM!C79,1),-0.3),""))</f>
        <v>5.234681850767281E-2</v>
      </c>
      <c r="D79" s="13">
        <f ca="1">IF(TTM!D79="","",IFERROR(MAX(MIN(TTM!D79,1),-0.3),""))</f>
        <v>0.15362408970127628</v>
      </c>
      <c r="E79" s="13">
        <f ca="1">IF(TTM!E79="","",IFERROR(MAX(MIN(TTM!E79,1),-0.3),""))</f>
        <v>0.45488300083826272</v>
      </c>
      <c r="F79" s="13">
        <f ca="1">IF(TTM!F79="","",IFERROR(MAX(MIN(TTM!F79,1),-0.3),""))</f>
        <v>0.13399876925195475</v>
      </c>
      <c r="G79" s="13">
        <f ca="1">IF(TTM!G79="","",IFERROR(MAX(MIN(TTM!G79,1),-0.3),""))</f>
        <v>0.36897143972594482</v>
      </c>
      <c r="H79" s="13">
        <f>IF(TTM!H79="","",IFERROR(MAX(MIN(TTM!H79,1),-0.3),""))</f>
        <v>1</v>
      </c>
      <c r="I79" s="13">
        <f ca="1">IF(TTM!I79="","",IFERROR(MAX(MIN(TTM!I79,1),-0.3),""))</f>
        <v>-9.8908968464185176E-2</v>
      </c>
      <c r="J79" s="13">
        <f ca="1">IF(TTM!J79="","",IFERROR(MAX(MIN(TTM!J79,1),-0.3),""))</f>
        <v>0.13405653627938713</v>
      </c>
      <c r="K79" s="13" t="str">
        <f>IF(TTM!K79="","",IFERROR(MAX(MIN(TTM!K79,1),-0.3),""))</f>
        <v/>
      </c>
      <c r="L79" s="13">
        <f ca="1">IF(TTM!L79="","",IFERROR(MAX(MIN(TTM!L79,1),-0.3),""))</f>
        <v>-0.13407400548674489</v>
      </c>
      <c r="M79" s="13" t="str">
        <f>IF(TTM!M79="","",IFERROR(MAX(MIN(TTM!M79,1),-0.3),""))</f>
        <v/>
      </c>
      <c r="N79" s="13" t="str">
        <f ca="1">IF(TTM!N79="","",IFERROR(MAX(MIN(TTM!N79,1),-0.3),""))</f>
        <v/>
      </c>
      <c r="O79" s="13">
        <f>IF(TTM!O79="","",IFERROR(MAX(MIN(TTM!O79,1),-0.3),""))</f>
        <v>0.18627934433274213</v>
      </c>
      <c r="P79" s="13" t="str">
        <f>IF(TTM!P79="","",IFERROR(MAX(MIN(TTM!P79,1),-0.3),""))</f>
        <v/>
      </c>
      <c r="Q79" s="13" t="str">
        <f>IF(TTM!Q79="","",IFERROR(MAX(MIN(TTM!Q79,1),-0.3),""))</f>
        <v/>
      </c>
      <c r="R79" s="13">
        <f>IF(TTM!R79="","",IFERROR(MAX(MIN(TTM!R79,1),-0.3),""))</f>
        <v>0.39598360677411071</v>
      </c>
      <c r="S79" s="13" t="str">
        <f>IF(TTM!S79="","",IFERROR(MAX(MIN(TTM!S79,1),-0.3),""))</f>
        <v/>
      </c>
      <c r="T79" s="13" t="str">
        <f>IF(TTM!T79="","",IFERROR(MAX(MIN(TTM!T79,1),-0.3),""))</f>
        <v/>
      </c>
      <c r="U79" s="11"/>
    </row>
    <row r="80" spans="1:21" ht="14">
      <c r="A80" s="14" t="s">
        <v>105</v>
      </c>
      <c r="B80" s="13" t="str">
        <f>IF(TTM!B80="","",IFERROR(MAX(MIN(TTM!B80,1),-0.3),""))</f>
        <v/>
      </c>
      <c r="C80" s="13">
        <f ca="1">IF(TTM!C80="","",IFERROR(MAX(MIN(TTM!C80,1),-0.3),""))</f>
        <v>5.6291845265764362E-2</v>
      </c>
      <c r="D80" s="13">
        <f ca="1">IF(TTM!D80="","",IFERROR(MAX(MIN(TTM!D80,1),-0.3),""))</f>
        <v>0.19332316148681694</v>
      </c>
      <c r="E80" s="13">
        <f ca="1">IF(TTM!E80="","",IFERROR(MAX(MIN(TTM!E80,1),-0.3),""))</f>
        <v>0.51278817511156305</v>
      </c>
      <c r="F80" s="13">
        <f ca="1">IF(TTM!F80="","",IFERROR(MAX(MIN(TTM!F80,1),-0.3),""))</f>
        <v>9.6705166990132485E-2</v>
      </c>
      <c r="G80" s="13">
        <f ca="1">IF(TTM!G80="","",IFERROR(MAX(MIN(TTM!G80,1),-0.3),""))</f>
        <v>0.34507146642504827</v>
      </c>
      <c r="H80" s="13">
        <f>IF(TTM!H80="","",IFERROR(MAX(MIN(TTM!H80,1),-0.3),""))</f>
        <v>1</v>
      </c>
      <c r="I80" s="13">
        <f ca="1">IF(TTM!I80="","",IFERROR(MAX(MIN(TTM!I80,1),-0.3),""))</f>
        <v>-7.9938630958168055E-2</v>
      </c>
      <c r="J80" s="13">
        <f ca="1">IF(TTM!J80="","",IFERROR(MAX(MIN(TTM!J80,1),-0.3),""))</f>
        <v>0.21262591480252174</v>
      </c>
      <c r="K80" s="13" t="str">
        <f>IF(TTM!K80="","",IFERROR(MAX(MIN(TTM!K80,1),-0.3),""))</f>
        <v/>
      </c>
      <c r="L80" s="13">
        <f ca="1">IF(TTM!L80="","",IFERROR(MAX(MIN(TTM!L80,1),-0.3),""))</f>
        <v>-0.3</v>
      </c>
      <c r="M80" s="13" t="str">
        <f>IF(TTM!M80="","",IFERROR(MAX(MIN(TTM!M80,1),-0.3),""))</f>
        <v/>
      </c>
      <c r="N80" s="13" t="str">
        <f ca="1">IF(TTM!N80="","",IFERROR(MAX(MIN(TTM!N80,1),-0.3),""))</f>
        <v/>
      </c>
      <c r="O80" s="13">
        <f>IF(TTM!O80="","",IFERROR(MAX(MIN(TTM!O80,1),-0.3),""))</f>
        <v>0.25346986951104888</v>
      </c>
      <c r="P80" s="13" t="str">
        <f>IF(TTM!P80="","",IFERROR(MAX(MIN(TTM!P80,1),-0.3),""))</f>
        <v/>
      </c>
      <c r="Q80" s="13" t="str">
        <f>IF(TTM!Q80="","",IFERROR(MAX(MIN(TTM!Q80,1),-0.3),""))</f>
        <v/>
      </c>
      <c r="R80" s="13">
        <f>IF(TTM!R80="","",IFERROR(MAX(MIN(TTM!R80,1),-0.3),""))</f>
        <v>0.26870390642101438</v>
      </c>
      <c r="S80" s="13" t="str">
        <f>IF(TTM!S80="","",IFERROR(MAX(MIN(TTM!S80,1),-0.3),""))</f>
        <v/>
      </c>
      <c r="T80" s="13" t="str">
        <f>IF(TTM!T80="","",IFERROR(MAX(MIN(TTM!T80,1),-0.3),""))</f>
        <v/>
      </c>
      <c r="U80" s="11"/>
    </row>
    <row r="81" spans="1:21" ht="14">
      <c r="A81" s="14" t="s">
        <v>106</v>
      </c>
      <c r="B81" s="13" t="str">
        <f>IF(TTM!B81="","",IFERROR(MAX(MIN(TTM!B81,1),-0.3),""))</f>
        <v/>
      </c>
      <c r="C81" s="13">
        <f ca="1">IF(TTM!C81="","",IFERROR(MAX(MIN(TTM!C81,1),-0.3),""))</f>
        <v>0.18328561439524044</v>
      </c>
      <c r="D81" s="13">
        <f ca="1">IF(TTM!D81="","",IFERROR(MAX(MIN(TTM!D81,1),-0.3),""))</f>
        <v>0.29072332870892031</v>
      </c>
      <c r="E81" s="13">
        <f ca="1">IF(TTM!E81="","",IFERROR(MAX(MIN(TTM!E81,1),-0.3),""))</f>
        <v>0.66957680034581979</v>
      </c>
      <c r="F81" s="13">
        <f ca="1">IF(TTM!F81="","",IFERROR(MAX(MIN(TTM!F81,1),-0.3),""))</f>
        <v>7.9518803334208354E-2</v>
      </c>
      <c r="G81" s="13">
        <f ca="1">IF(TTM!G81="","",IFERROR(MAX(MIN(TTM!G81,1),-0.3),""))</f>
        <v>0.44784361165944947</v>
      </c>
      <c r="H81" s="13">
        <f>IF(TTM!H81="","",IFERROR(MAX(MIN(TTM!H81,1),-0.3),""))</f>
        <v>1</v>
      </c>
      <c r="I81" s="13">
        <f ca="1">IF(TTM!I81="","",IFERROR(MAX(MIN(TTM!I81,1),-0.3),""))</f>
        <v>-5.1483124699142326E-2</v>
      </c>
      <c r="J81" s="13">
        <f ca="1">IF(TTM!J81="","",IFERROR(MAX(MIN(TTM!J81,1),-0.3),""))</f>
        <v>0.1784583975064151</v>
      </c>
      <c r="K81" s="13" t="str">
        <f>IF(TTM!K81="","",IFERROR(MAX(MIN(TTM!K81,1),-0.3),""))</f>
        <v/>
      </c>
      <c r="L81" s="13">
        <f ca="1">IF(TTM!L81="","",IFERROR(MAX(MIN(TTM!L81,1),-0.3),""))</f>
        <v>-0.3</v>
      </c>
      <c r="M81" s="13" t="str">
        <f>IF(TTM!M81="","",IFERROR(MAX(MIN(TTM!M81,1),-0.3),""))</f>
        <v/>
      </c>
      <c r="N81" s="13" t="str">
        <f ca="1">IF(TTM!N81="","",IFERROR(MAX(MIN(TTM!N81,1),-0.3),""))</f>
        <v/>
      </c>
      <c r="O81" s="13">
        <f>IF(TTM!O81="","",IFERROR(MAX(MIN(TTM!O81,1),-0.3),""))</f>
        <v>0.28665412627121772</v>
      </c>
      <c r="P81" s="13" t="str">
        <f>IF(TTM!P81="","",IFERROR(MAX(MIN(TTM!P81,1),-0.3),""))</f>
        <v/>
      </c>
      <c r="Q81" s="13" t="str">
        <f>IF(TTM!Q81="","",IFERROR(MAX(MIN(TTM!Q81,1),-0.3),""))</f>
        <v/>
      </c>
      <c r="R81" s="13">
        <f>IF(TTM!R81="","",IFERROR(MAX(MIN(TTM!R81,1),-0.3),""))</f>
        <v>0.14142420606791806</v>
      </c>
      <c r="S81" s="13" t="str">
        <f>IF(TTM!S81="","",IFERROR(MAX(MIN(TTM!S81,1),-0.3),""))</f>
        <v/>
      </c>
      <c r="T81" s="13" t="str">
        <f>IF(TTM!T81="","",IFERROR(MAX(MIN(TTM!T81,1),-0.3),""))</f>
        <v/>
      </c>
      <c r="U81" s="11"/>
    </row>
    <row r="82" spans="1:21" ht="14">
      <c r="A82" s="14" t="s">
        <v>107</v>
      </c>
      <c r="B82" s="13">
        <f>IF(TTM!B82="","",IFERROR(MAX(MIN(TTM!B82,1),-0.3),""))</f>
        <v>0.80141691175910545</v>
      </c>
      <c r="C82" s="13">
        <f ca="1">IF(TTM!C82="","",IFERROR(MAX(MIN(TTM!C82,1),-0.3),""))</f>
        <v>0.16468073946765099</v>
      </c>
      <c r="D82" s="13">
        <f ca="1">IF(TTM!D82="","",IFERROR(MAX(MIN(TTM!D82,1),-0.3),""))</f>
        <v>0.31498548405299093</v>
      </c>
      <c r="E82" s="13">
        <f ca="1">IF(TTM!E82="","",IFERROR(MAX(MIN(TTM!E82,1),-0.3),""))</f>
        <v>0.76441434786959772</v>
      </c>
      <c r="F82" s="13">
        <f ca="1">IF(TTM!F82="","",IFERROR(MAX(MIN(TTM!F82,1),-0.3),""))</f>
        <v>-8.0428954423592269E-3</v>
      </c>
      <c r="G82" s="13">
        <f ca="1">IF(TTM!G82="","",IFERROR(MAX(MIN(TTM!G82,1),-0.3),""))</f>
        <v>0.40531538563277381</v>
      </c>
      <c r="H82" s="13">
        <f>IF(TTM!H82="","",IFERROR(MAX(MIN(TTM!H82,1),-0.3),""))</f>
        <v>0.59047061862077721</v>
      </c>
      <c r="I82" s="13">
        <f ca="1">IF(TTM!I82="","",IFERROR(MAX(MIN(TTM!I82,1),-0.3),""))</f>
        <v>-2.5398910628368715E-2</v>
      </c>
      <c r="J82" s="13">
        <f ca="1">IF(TTM!J82="","",IFERROR(MAX(MIN(TTM!J82,1),-0.3),""))</f>
        <v>0.26296129686214131</v>
      </c>
      <c r="K82" s="13" t="str">
        <f>IF(TTM!K82="","",IFERROR(MAX(MIN(TTM!K82,1),-0.3),""))</f>
        <v/>
      </c>
      <c r="L82" s="13">
        <f ca="1">IF(TTM!L82="","",IFERROR(MAX(MIN(TTM!L82,1),-0.3),""))</f>
        <v>-0.3</v>
      </c>
      <c r="M82" s="13" t="str">
        <f>IF(TTM!M82="","",IFERROR(MAX(MIN(TTM!M82,1),-0.3),""))</f>
        <v/>
      </c>
      <c r="N82" s="13" t="str">
        <f ca="1">IF(TTM!N82="","",IFERROR(MAX(MIN(TTM!N82,1),-0.3),""))</f>
        <v/>
      </c>
      <c r="O82" s="13">
        <f>IF(TTM!O82="","",IFERROR(MAX(MIN(TTM!O82,1),-0.3),""))</f>
        <v>0.31983838303138656</v>
      </c>
      <c r="P82" s="13" t="str">
        <f>IF(TTM!P82="","",IFERROR(MAX(MIN(TTM!P82,1),-0.3),""))</f>
        <v/>
      </c>
      <c r="Q82" s="13" t="str">
        <f>IF(TTM!Q82="","",IFERROR(MAX(MIN(TTM!Q82,1),-0.3),""))</f>
        <v/>
      </c>
      <c r="R82" s="13">
        <f>IF(TTM!R82="","",IFERROR(MAX(MIN(TTM!R82,1),-0.3),""))</f>
        <v>1.4144505714821731E-2</v>
      </c>
      <c r="S82" s="13" t="str">
        <f>IF(TTM!S82="","",IFERROR(MAX(MIN(TTM!S82,1),-0.3),""))</f>
        <v/>
      </c>
      <c r="T82" s="13" t="str">
        <f>IF(TTM!T82="","",IFERROR(MAX(MIN(TTM!T82,1),-0.3),""))</f>
        <v/>
      </c>
      <c r="U82" s="11"/>
    </row>
    <row r="83" spans="1:21" ht="14">
      <c r="A83" s="14" t="s">
        <v>108</v>
      </c>
      <c r="B83" s="13">
        <f>IF(TTM!B83="","",IFERROR(MAX(MIN(TTM!B83,1),-0.3),""))</f>
        <v>0.73789497058840525</v>
      </c>
      <c r="C83" s="13">
        <f ca="1">IF(TTM!C83="","",IFERROR(MAX(MIN(TTM!C83,1),-0.3),""))</f>
        <v>0.2133976281942605</v>
      </c>
      <c r="D83" s="13">
        <f ca="1">IF(TTM!D83="","",IFERROR(MAX(MIN(TTM!D83,1),-0.3),""))</f>
        <v>0.31704855783593011</v>
      </c>
      <c r="E83" s="13">
        <f ca="1">IF(TTM!E83="","",IFERROR(MAX(MIN(TTM!E83,1),-0.3),""))</f>
        <v>0.68477114534014905</v>
      </c>
      <c r="F83" s="13">
        <f ca="1">IF(TTM!F83="","",IFERROR(MAX(MIN(TTM!F83,1),-0.3),""))</f>
        <v>2.0236717036314938E-2</v>
      </c>
      <c r="G83" s="13">
        <f ca="1">IF(TTM!G83="","",IFERROR(MAX(MIN(TTM!G83,1),-0.3),""))</f>
        <v>0.52814891673216136</v>
      </c>
      <c r="H83" s="13">
        <f>IF(TTM!H83="","",IFERROR(MAX(MIN(TTM!H83,1),-0.3),""))</f>
        <v>-1.3710240114065519E-2</v>
      </c>
      <c r="I83" s="13">
        <f ca="1">IF(TTM!I83="","",IFERROR(MAX(MIN(TTM!I83,1),-0.3),""))</f>
        <v>7.8273068329782813E-2</v>
      </c>
      <c r="J83" s="13">
        <f ca="1">IF(TTM!J83="","",IFERROR(MAX(MIN(TTM!J83,1),-0.3),""))</f>
        <v>0.31113349703782456</v>
      </c>
      <c r="K83" s="13" t="str">
        <f>IF(TTM!K83="","",IFERROR(MAX(MIN(TTM!K83,1),-0.3),""))</f>
        <v/>
      </c>
      <c r="L83" s="13">
        <f ca="1">IF(TTM!L83="","",IFERROR(MAX(MIN(TTM!L83,1),-0.3),""))</f>
        <v>-0.3</v>
      </c>
      <c r="M83" s="13" t="str">
        <f>IF(TTM!M83="","",IFERROR(MAX(MIN(TTM!M83,1),-0.3),""))</f>
        <v/>
      </c>
      <c r="N83" s="13">
        <f ca="1">IF(TTM!N83="","",IFERROR(MAX(MIN(TTM!N83,1),-0.3),""))</f>
        <v>0.25996204933586342</v>
      </c>
      <c r="O83" s="13">
        <f>IF(TTM!O83="","",IFERROR(MAX(MIN(TTM!O83,1),-0.3),""))</f>
        <v>0.3530226397915554</v>
      </c>
      <c r="P83" s="13" t="str">
        <f>IF(TTM!P83="","",IFERROR(MAX(MIN(TTM!P83,1),-0.3),""))</f>
        <v/>
      </c>
      <c r="Q83" s="13" t="str">
        <f>IF(TTM!Q83="","",IFERROR(MAX(MIN(TTM!Q83,1),-0.3),""))</f>
        <v/>
      </c>
      <c r="R83" s="13">
        <f>IF(TTM!R83="","",IFERROR(MAX(MIN(TTM!R83,1),-0.3),""))</f>
        <v>4.2105720425545057E-2</v>
      </c>
      <c r="S83" s="13" t="str">
        <f>IF(TTM!S83="","",IFERROR(MAX(MIN(TTM!S83,1),-0.3),""))</f>
        <v/>
      </c>
      <c r="T83" s="13" t="str">
        <f>IF(TTM!T83="","",IFERROR(MAX(MIN(TTM!T83,1),-0.3),""))</f>
        <v/>
      </c>
      <c r="U83" s="11"/>
    </row>
    <row r="84" spans="1:21" ht="14">
      <c r="A84" s="14" t="s">
        <v>109</v>
      </c>
      <c r="B84" s="13">
        <f>IF(TTM!B84="","",IFERROR(MAX(MIN(TTM!B84,1),-0.3),""))</f>
        <v>0.67437302941770505</v>
      </c>
      <c r="C84" s="13">
        <f ca="1">IF(TTM!C84="","",IFERROR(MAX(MIN(TTM!C84,1),-0.3),""))</f>
        <v>0.23212305836763936</v>
      </c>
      <c r="D84" s="13">
        <f ca="1">IF(TTM!D84="","",IFERROR(MAX(MIN(TTM!D84,1),-0.3),""))</f>
        <v>0.28232641148860776</v>
      </c>
      <c r="E84" s="13">
        <f ca="1">IF(TTM!E84="","",IFERROR(MAX(MIN(TTM!E84,1),-0.3),""))</f>
        <v>0.62564238615613876</v>
      </c>
      <c r="F84" s="13">
        <f ca="1">IF(TTM!F84="","",IFERROR(MAX(MIN(TTM!F84,1),-0.3),""))</f>
        <v>2.9272118118300355E-2</v>
      </c>
      <c r="G84" s="13">
        <f ca="1">IF(TTM!G84="","",IFERROR(MAX(MIN(TTM!G84,1),-0.3),""))</f>
        <v>0.61137358400216835</v>
      </c>
      <c r="H84" s="13">
        <f ca="1">IF(TTM!H84="","",IFERROR(MAX(MIN(TTM!H84,1),-0.3),""))</f>
        <v>2.4346826724528065E-2</v>
      </c>
      <c r="I84" s="13">
        <f ca="1">IF(TTM!I84="","",IFERROR(MAX(MIN(TTM!I84,1),-0.3),""))</f>
        <v>0.15513887906655793</v>
      </c>
      <c r="J84" s="13">
        <f ca="1">IF(TTM!J84="","",IFERROR(MAX(MIN(TTM!J84,1),-0.3),""))</f>
        <v>0.34896540402140208</v>
      </c>
      <c r="K84" s="13" t="str">
        <f>IF(TTM!K84="","",IFERROR(MAX(MIN(TTM!K84,1),-0.3),""))</f>
        <v/>
      </c>
      <c r="L84" s="13">
        <f ca="1">IF(TTM!L84="","",IFERROR(MAX(MIN(TTM!L84,1),-0.3),""))</f>
        <v>-0.3</v>
      </c>
      <c r="M84" s="13" t="str">
        <f>IF(TTM!M84="","",IFERROR(MAX(MIN(TTM!M84,1),-0.3),""))</f>
        <v/>
      </c>
      <c r="N84" s="13">
        <f ca="1">IF(TTM!N84="","",IFERROR(MAX(MIN(TTM!N84,1),-0.3),""))</f>
        <v>0.3053960089658232</v>
      </c>
      <c r="O84" s="13">
        <f>IF(TTM!O84="","",IFERROR(MAX(MIN(TTM!O84,1),-0.3),""))</f>
        <v>0.38620689655172424</v>
      </c>
      <c r="P84" s="13" t="str">
        <f>IF(TTM!P84="","",IFERROR(MAX(MIN(TTM!P84,1),-0.3),""))</f>
        <v/>
      </c>
      <c r="Q84" s="13" t="str">
        <f>IF(TTM!Q84="","",IFERROR(MAX(MIN(TTM!Q84,1),-0.3),""))</f>
        <v/>
      </c>
      <c r="R84" s="13">
        <f>IF(TTM!R84="","",IFERROR(MAX(MIN(TTM!R84,1),-0.3),""))</f>
        <v>7.0066935136268382E-2</v>
      </c>
      <c r="S84" s="13" t="str">
        <f>IF(TTM!S84="","",IFERROR(MAX(MIN(TTM!S84,1),-0.3),""))</f>
        <v/>
      </c>
      <c r="T84" s="13" t="str">
        <f>IF(TTM!T84="","",IFERROR(MAX(MIN(TTM!T84,1),-0.3),""))</f>
        <v/>
      </c>
      <c r="U84" s="11"/>
    </row>
    <row r="85" spans="1:21" ht="14">
      <c r="A85" s="14" t="s">
        <v>110</v>
      </c>
      <c r="B85" s="13">
        <f>IF(TTM!B85="","",IFERROR(MAX(MIN(TTM!B85,1),-0.3),""))</f>
        <v>0.61085108824700485</v>
      </c>
      <c r="C85" s="13">
        <f ca="1">IF(TTM!C85="","",IFERROR(MAX(MIN(TTM!C85,1),-0.3),""))</f>
        <v>0.13229779581795564</v>
      </c>
      <c r="D85" s="13">
        <f ca="1">IF(TTM!D85="","",IFERROR(MAX(MIN(TTM!D85,1),-0.3),""))</f>
        <v>0.18279600998563217</v>
      </c>
      <c r="E85" s="13">
        <f ca="1">IF(TTM!E85="","",IFERROR(MAX(MIN(TTM!E85,1),-0.3),""))</f>
        <v>0.4710761684432323</v>
      </c>
      <c r="F85" s="13">
        <f ca="1">IF(TTM!F85="","",IFERROR(MAX(MIN(TTM!F85,1),-0.3),""))</f>
        <v>7.7893724533763808E-3</v>
      </c>
      <c r="G85" s="13">
        <f ca="1">IF(TTM!G85="","",IFERROR(MAX(MIN(TTM!G85,1),-0.3),""))</f>
        <v>0.44261201697906882</v>
      </c>
      <c r="H85" s="13">
        <f ca="1">IF(TTM!H85="","",IFERROR(MAX(MIN(TTM!H85,1),-0.3),""))</f>
        <v>5.0984879174010067E-2</v>
      </c>
      <c r="I85" s="13">
        <f ca="1">IF(TTM!I85="","",IFERROR(MAX(MIN(TTM!I85,1),-0.3),""))</f>
        <v>0.21384794484767966</v>
      </c>
      <c r="J85" s="13">
        <f ca="1">IF(TTM!J85="","",IFERROR(MAX(MIN(TTM!J85,1),-0.3),""))</f>
        <v>0.56331766296282471</v>
      </c>
      <c r="K85" s="13" t="str">
        <f>IF(TTM!K85="","",IFERROR(MAX(MIN(TTM!K85,1),-0.3),""))</f>
        <v/>
      </c>
      <c r="L85" s="13">
        <f ca="1">IF(TTM!L85="","",IFERROR(MAX(MIN(TTM!L85,1),-0.3),""))</f>
        <v>-0.3</v>
      </c>
      <c r="M85" s="13" t="str">
        <f>IF(TTM!M85="","",IFERROR(MAX(MIN(TTM!M85,1),-0.3),""))</f>
        <v/>
      </c>
      <c r="N85" s="13">
        <f ca="1">IF(TTM!N85="","",IFERROR(MAX(MIN(TTM!N85,1),-0.3),""))</f>
        <v>0.29100992672313625</v>
      </c>
      <c r="O85" s="13">
        <f>IF(TTM!O85="","",IFERROR(MAX(MIN(TTM!O85,1),-0.3),""))</f>
        <v>0.92451657966326017</v>
      </c>
      <c r="P85" s="13" t="str">
        <f>IF(TTM!P85="","",IFERROR(MAX(MIN(TTM!P85,1),-0.3),""))</f>
        <v/>
      </c>
      <c r="Q85" s="13" t="str">
        <f>IF(TTM!Q85="","",IFERROR(MAX(MIN(TTM!Q85,1),-0.3),""))</f>
        <v/>
      </c>
      <c r="R85" s="13">
        <f>IF(TTM!R85="","",IFERROR(MAX(MIN(TTM!R85,1),-0.3),""))</f>
        <v>9.8028149846991708E-2</v>
      </c>
      <c r="S85" s="13" t="str">
        <f>IF(TTM!S85="","",IFERROR(MAX(MIN(TTM!S85,1),-0.3),""))</f>
        <v/>
      </c>
      <c r="T85" s="13" t="str">
        <f>IF(TTM!T85="","",IFERROR(MAX(MIN(TTM!T85,1),-0.3),""))</f>
        <v/>
      </c>
      <c r="U85" s="11"/>
    </row>
    <row r="86" spans="1:21" ht="14">
      <c r="A86" s="14" t="s">
        <v>111</v>
      </c>
      <c r="B86" s="13">
        <f>IF(TTM!B86="","",IFERROR(MAX(MIN(TTM!B86,1),-0.3),""))</f>
        <v>0.54732914707630465</v>
      </c>
      <c r="C86" s="13">
        <f ca="1">IF(TTM!C86="","",IFERROR(MAX(MIN(TTM!C86,1),-0.3),""))</f>
        <v>0.17618958346264735</v>
      </c>
      <c r="D86" s="13">
        <f ca="1">IF(TTM!D86="","",IFERROR(MAX(MIN(TTM!D86,1),-0.3),""))</f>
        <v>0.14610661736200342</v>
      </c>
      <c r="E86" s="13">
        <f ca="1">IF(TTM!E86="","",IFERROR(MAX(MIN(TTM!E86,1),-0.3),""))</f>
        <v>0.35779551826890754</v>
      </c>
      <c r="F86" s="13">
        <f ca="1">IF(TTM!F86="","",IFERROR(MAX(MIN(TTM!F86,1),-0.3),""))</f>
        <v>4.994882200711448E-2</v>
      </c>
      <c r="G86" s="13">
        <f ca="1">IF(TTM!G86="","",IFERROR(MAX(MIN(TTM!G86,1),-0.3),""))</f>
        <v>0.39634927964121303</v>
      </c>
      <c r="H86" s="13">
        <f ca="1">IF(TTM!H86="","",IFERROR(MAX(MIN(TTM!H86,1),-0.3),""))</f>
        <v>4.5269057521009293E-2</v>
      </c>
      <c r="I86" s="13">
        <f ca="1">IF(TTM!I86="","",IFERROR(MAX(MIN(TTM!I86,1),-0.3),""))</f>
        <v>0.27498361105079072</v>
      </c>
      <c r="J86" s="13">
        <f ca="1">IF(TTM!J86="","",IFERROR(MAX(MIN(TTM!J86,1),-0.3),""))</f>
        <v>0.54896913988851992</v>
      </c>
      <c r="K86" s="13" t="str">
        <f>IF(TTM!K86="","",IFERROR(MAX(MIN(TTM!K86,1),-0.3),""))</f>
        <v/>
      </c>
      <c r="L86" s="13">
        <f ca="1">IF(TTM!L86="","",IFERROR(MAX(MIN(TTM!L86,1),-0.3),""))</f>
        <v>-6.742542586298389E-3</v>
      </c>
      <c r="M86" s="13" t="str">
        <f>IF(TTM!M86="","",IFERROR(MAX(MIN(TTM!M86,1),-0.3),""))</f>
        <v/>
      </c>
      <c r="N86" s="13">
        <f ca="1">IF(TTM!N86="","",IFERROR(MAX(MIN(TTM!N86,1),-0.3),""))</f>
        <v>0.32385355209831324</v>
      </c>
      <c r="O86" s="13">
        <f>IF(TTM!O86="","",IFERROR(MAX(MIN(TTM!O86,1),-0.3),""))</f>
        <v>1</v>
      </c>
      <c r="P86" s="13" t="str">
        <f>IF(TTM!P86="","",IFERROR(MAX(MIN(TTM!P86,1),-0.3),""))</f>
        <v/>
      </c>
      <c r="Q86" s="13" t="str">
        <f>IF(TTM!Q86="","",IFERROR(MAX(MIN(TTM!Q86,1),-0.3),""))</f>
        <v/>
      </c>
      <c r="R86" s="13">
        <f>IF(TTM!R86="","",IFERROR(MAX(MIN(TTM!R86,1),-0.3),""))</f>
        <v>0.12598936455771503</v>
      </c>
      <c r="S86" s="13" t="str">
        <f>IF(TTM!S86="","",IFERROR(MAX(MIN(TTM!S86,1),-0.3),""))</f>
        <v/>
      </c>
      <c r="T86" s="13" t="str">
        <f>IF(TTM!T86="","",IFERROR(MAX(MIN(TTM!T86,1),-0.3),""))</f>
        <v/>
      </c>
      <c r="U86" s="11"/>
    </row>
    <row r="87" spans="1:21" ht="14">
      <c r="A87" s="14" t="s">
        <v>112</v>
      </c>
      <c r="B87" s="13">
        <f>IF(TTM!B87="","",IFERROR(MAX(MIN(TTM!B87,1),-0.3),""))</f>
        <v>0.5168964252871775</v>
      </c>
      <c r="C87" s="13">
        <f ca="1">IF(TTM!C87="","",IFERROR(MAX(MIN(TTM!C87,1),-0.3),""))</f>
        <v>0.19717621631951909</v>
      </c>
      <c r="D87" s="13">
        <f ca="1">IF(TTM!D87="","",IFERROR(MAX(MIN(TTM!D87,1),-0.3),""))</f>
        <v>0.1451175596786286</v>
      </c>
      <c r="E87" s="13">
        <f ca="1">IF(TTM!E87="","",IFERROR(MAX(MIN(TTM!E87,1),-0.3),""))</f>
        <v>0.33393233445948717</v>
      </c>
      <c r="F87" s="13">
        <f ca="1">IF(TTM!F87="","",IFERROR(MAX(MIN(TTM!F87,1),-0.3),""))</f>
        <v>3.9776534617085135E-2</v>
      </c>
      <c r="G87" s="13">
        <f ca="1">IF(TTM!G87="","",IFERROR(MAX(MIN(TTM!G87,1),-0.3),""))</f>
        <v>0.21884724576850578</v>
      </c>
      <c r="H87" s="13">
        <f ca="1">IF(TTM!H87="","",IFERROR(MAX(MIN(TTM!H87,1),-0.3),""))</f>
        <v>9.5168065207570401E-2</v>
      </c>
      <c r="I87" s="13">
        <f ca="1">IF(TTM!I87="","",IFERROR(MAX(MIN(TTM!I87,1),-0.3),""))</f>
        <v>0.24322725171570553</v>
      </c>
      <c r="J87" s="13">
        <f ca="1">IF(TTM!J87="","",IFERROR(MAX(MIN(TTM!J87,1),-0.3),""))</f>
        <v>0.53663841414775781</v>
      </c>
      <c r="K87" s="13" t="str">
        <f>IF(TTM!K87="","",IFERROR(MAX(MIN(TTM!K87,1),-0.3),""))</f>
        <v/>
      </c>
      <c r="L87" s="13">
        <f ca="1">IF(TTM!L87="","",IFERROR(MAX(MIN(TTM!L87,1),-0.3),""))</f>
        <v>3.327515821746016E-2</v>
      </c>
      <c r="M87" s="13" t="str">
        <f>IF(TTM!M87="","",IFERROR(MAX(MIN(TTM!M87,1),-0.3),""))</f>
        <v/>
      </c>
      <c r="N87" s="13">
        <f ca="1">IF(TTM!N87="","",IFERROR(MAX(MIN(TTM!N87,1),-0.3),""))</f>
        <v>0.38743984699326306</v>
      </c>
      <c r="O87" s="13">
        <f>IF(TTM!O87="","",IFERROR(MAX(MIN(TTM!O87,1),-0.3),""))</f>
        <v>1</v>
      </c>
      <c r="P87" s="13" t="str">
        <f>IF(TTM!P87="","",IFERROR(MAX(MIN(TTM!P87,1),-0.3),""))</f>
        <v/>
      </c>
      <c r="Q87" s="13" t="str">
        <f>IF(TTM!Q87="","",IFERROR(MAX(MIN(TTM!Q87,1),-0.3),""))</f>
        <v/>
      </c>
      <c r="R87" s="13">
        <f>IF(TTM!R87="","",IFERROR(MAX(MIN(TTM!R87,1),-0.3),""))</f>
        <v>0.1127530610614414</v>
      </c>
      <c r="S87" s="13" t="str">
        <f>IF(TTM!S87="","",IFERROR(MAX(MIN(TTM!S87,1),-0.3),""))</f>
        <v/>
      </c>
      <c r="T87" s="13" t="str">
        <f>IF(TTM!T87="","",IFERROR(MAX(MIN(TTM!T87,1),-0.3),""))</f>
        <v/>
      </c>
      <c r="U87" s="11"/>
    </row>
    <row r="88" spans="1:21" ht="14">
      <c r="A88" s="14" t="s">
        <v>113</v>
      </c>
      <c r="B88" s="13">
        <f>IF(TTM!B88="","",IFERROR(MAX(MIN(TTM!B88,1),-0.3),""))</f>
        <v>0.48646370349805035</v>
      </c>
      <c r="C88" s="13">
        <f ca="1">IF(TTM!C88="","",IFERROR(MAX(MIN(TTM!C88,1),-0.3),""))</f>
        <v>0.19371191714435915</v>
      </c>
      <c r="D88" s="13">
        <f ca="1">IF(TTM!D88="","",IFERROR(MAX(MIN(TTM!D88,1),-0.3),""))</f>
        <v>0.12914092635670599</v>
      </c>
      <c r="E88" s="13">
        <f ca="1">IF(TTM!E88="","",IFERROR(MAX(MIN(TTM!E88,1),-0.3),""))</f>
        <v>0.27732400925683376</v>
      </c>
      <c r="F88" s="13">
        <f ca="1">IF(TTM!F88="","",IFERROR(MAX(MIN(TTM!F88,1),-0.3),""))</f>
        <v>2.398339414514572E-2</v>
      </c>
      <c r="G88" s="13">
        <f ca="1">IF(TTM!G88="","",IFERROR(MAX(MIN(TTM!G88,1),-0.3),""))</f>
        <v>-8.9836920155986211E-4</v>
      </c>
      <c r="H88" s="13">
        <f ca="1">IF(TTM!H88="","",IFERROR(MAX(MIN(TTM!H88,1),-0.3),""))</f>
        <v>6.0538558397493197E-2</v>
      </c>
      <c r="I88" s="13">
        <f ca="1">IF(TTM!I88="","",IFERROR(MAX(MIN(TTM!I88,1),-0.3),""))</f>
        <v>0.19144120062188025</v>
      </c>
      <c r="J88" s="13">
        <f ca="1">IF(TTM!J88="","",IFERROR(MAX(MIN(TTM!J88,1),-0.3),""))</f>
        <v>0.31869559805451775</v>
      </c>
      <c r="K88" s="13" t="str">
        <f>IF(TTM!K88="","",IFERROR(MAX(MIN(TTM!K88,1),-0.3),""))</f>
        <v/>
      </c>
      <c r="L88" s="13">
        <f ca="1">IF(TTM!L88="","",IFERROR(MAX(MIN(TTM!L88,1),-0.3),""))</f>
        <v>3.3972140245872251E-2</v>
      </c>
      <c r="M88" s="13" t="str">
        <f>IF(TTM!M88="","",IFERROR(MAX(MIN(TTM!M88,1),-0.3),""))</f>
        <v/>
      </c>
      <c r="N88" s="13">
        <f ca="1">IF(TTM!N88="","",IFERROR(MAX(MIN(TTM!N88,1),-0.3),""))</f>
        <v>0.41049289951386231</v>
      </c>
      <c r="O88" s="13">
        <f>IF(TTM!O88="","",IFERROR(MAX(MIN(TTM!O88,1),-0.3),""))</f>
        <v>1</v>
      </c>
      <c r="P88" s="13" t="str">
        <f>IF(TTM!P88="","",IFERROR(MAX(MIN(TTM!P88,1),-0.3),""))</f>
        <v/>
      </c>
      <c r="Q88" s="13" t="str">
        <f>IF(TTM!Q88="","",IFERROR(MAX(MIN(TTM!Q88,1),-0.3),""))</f>
        <v/>
      </c>
      <c r="R88" s="13">
        <f>IF(TTM!R88="","",IFERROR(MAX(MIN(TTM!R88,1),-0.3),""))</f>
        <v>9.9516757565167757E-2</v>
      </c>
      <c r="S88" s="13">
        <f>IF(TTM!S88="","",IFERROR(MAX(MIN(TTM!S88,1),-0.3),""))</f>
        <v>0.6564014705493233</v>
      </c>
      <c r="T88" s="13" t="str">
        <f>IF(TTM!T88="","",IFERROR(MAX(MIN(TTM!T88,1),-0.3),""))</f>
        <v/>
      </c>
      <c r="U88" s="11"/>
    </row>
    <row r="89" spans="1:21" ht="14">
      <c r="A89" s="14" t="s">
        <v>114</v>
      </c>
      <c r="B89" s="13">
        <f>IF(TTM!B89="","",IFERROR(MAX(MIN(TTM!B89,1),-0.3),""))</f>
        <v>0.4560309817089232</v>
      </c>
      <c r="C89" s="13">
        <f ca="1">IF(TTM!C89="","",IFERROR(MAX(MIN(TTM!C89,1),-0.3),""))</f>
        <v>0.16678686106864621</v>
      </c>
      <c r="D89" s="13">
        <f ca="1">IF(TTM!D89="","",IFERROR(MAX(MIN(TTM!D89,1),-0.3),""))</f>
        <v>0.11797864626799293</v>
      </c>
      <c r="E89" s="13">
        <f ca="1">IF(TTM!E89="","",IFERROR(MAX(MIN(TTM!E89,1),-0.3),""))</f>
        <v>0.21151248063200589</v>
      </c>
      <c r="F89" s="13">
        <f ca="1">IF(TTM!F89="","",IFERROR(MAX(MIN(TTM!F89,1),-0.3),""))</f>
        <v>2.4114603598719253E-2</v>
      </c>
      <c r="G89" s="13">
        <f ca="1">IF(TTM!G89="","",IFERROR(MAX(MIN(TTM!G89,1),-0.3),""))</f>
        <v>-7.1943555781518453E-2</v>
      </c>
      <c r="H89" s="13">
        <f ca="1">IF(TTM!H89="","",IFERROR(MAX(MIN(TTM!H89,1),-0.3),""))</f>
        <v>4.4487508700985751E-2</v>
      </c>
      <c r="I89" s="13">
        <f ca="1">IF(TTM!I89="","",IFERROR(MAX(MIN(TTM!I89,1),-0.3),""))</f>
        <v>0.11193887420741744</v>
      </c>
      <c r="J89" s="13">
        <f ca="1">IF(TTM!J89="","",IFERROR(MAX(MIN(TTM!J89,1),-0.3),""))</f>
        <v>2.7489866222358411E-2</v>
      </c>
      <c r="K89" s="13" t="str">
        <f>IF(TTM!K89="","",IFERROR(MAX(MIN(TTM!K89,1),-0.3),""))</f>
        <v/>
      </c>
      <c r="L89" s="13">
        <f ca="1">IF(TTM!L89="","",IFERROR(MAX(MIN(TTM!L89,1),-0.3),""))</f>
        <v>5.170833952412271E-2</v>
      </c>
      <c r="M89" s="13" t="str">
        <f>IF(TTM!M89="","",IFERROR(MAX(MIN(TTM!M89,1),-0.3),""))</f>
        <v/>
      </c>
      <c r="N89" s="13">
        <f ca="1">IF(TTM!N89="","",IFERROR(MAX(MIN(TTM!N89,1),-0.3),""))</f>
        <v>0.48774663223850917</v>
      </c>
      <c r="O89" s="13">
        <f ca="1">IF(TTM!O89="","",IFERROR(MAX(MIN(TTM!O89,1),-0.3),""))</f>
        <v>1</v>
      </c>
      <c r="P89" s="13" t="str">
        <f>IF(TTM!P89="","",IFERROR(MAX(MIN(TTM!P89,1),-0.3),""))</f>
        <v/>
      </c>
      <c r="Q89" s="13" t="str">
        <f>IF(TTM!Q89="","",IFERROR(MAX(MIN(TTM!Q89,1),-0.3),""))</f>
        <v/>
      </c>
      <c r="R89" s="13">
        <f>IF(TTM!R89="","",IFERROR(MAX(MIN(TTM!R89,1),-0.3),""))</f>
        <v>8.6280454068894119E-2</v>
      </c>
      <c r="S89" s="13">
        <f>IF(TTM!S89="","",IFERROR(MAX(MIN(TTM!S89,1),-0.3),""))</f>
        <v>0.34867305779068103</v>
      </c>
      <c r="T89" s="13" t="str">
        <f>IF(TTM!T89="","",IFERROR(MAX(MIN(TTM!T89,1),-0.3),""))</f>
        <v/>
      </c>
      <c r="U89" s="11"/>
    </row>
    <row r="90" spans="1:21" ht="14">
      <c r="A90" s="14" t="s">
        <v>115</v>
      </c>
      <c r="B90" s="13">
        <f>IF(TTM!B90="","",IFERROR(MAX(MIN(TTM!B90,1),-0.3),""))</f>
        <v>0.42559825991979605</v>
      </c>
      <c r="C90" s="13">
        <f ca="1">IF(TTM!C90="","",IFERROR(MAX(MIN(TTM!C90,1),-0.3),""))</f>
        <v>0.15490933844595123</v>
      </c>
      <c r="D90" s="13">
        <f ca="1">IF(TTM!D90="","",IFERROR(MAX(MIN(TTM!D90,1),-0.3),""))</f>
        <v>0.11685712309798563</v>
      </c>
      <c r="E90" s="13">
        <f ca="1">IF(TTM!E90="","",IFERROR(MAX(MIN(TTM!E90,1),-0.3),""))</f>
        <v>0.15951247520495093</v>
      </c>
      <c r="F90" s="13">
        <f ca="1">IF(TTM!F90="","",IFERROR(MAX(MIN(TTM!F90,1),-0.3),""))</f>
        <v>3.9629312380611237E-2</v>
      </c>
      <c r="G90" s="13">
        <f ca="1">IF(TTM!G90="","",IFERROR(MAX(MIN(TTM!G90,1),-0.3),""))</f>
        <v>-0.11083093797277854</v>
      </c>
      <c r="H90" s="13">
        <f ca="1">IF(TTM!H90="","",IFERROR(MAX(MIN(TTM!H90,1),-0.3),""))</f>
        <v>5.3850381163890071E-2</v>
      </c>
      <c r="I90" s="13">
        <f ca="1">IF(TTM!I90="","",IFERROR(MAX(MIN(TTM!I90,1),-0.3),""))</f>
        <v>1.7632966253439186E-2</v>
      </c>
      <c r="J90" s="13">
        <f ca="1">IF(TTM!J90="","",IFERROR(MAX(MIN(TTM!J90,1),-0.3),""))</f>
        <v>-0.14215771550304285</v>
      </c>
      <c r="K90" s="13" t="str">
        <f>IF(TTM!K90="","",IFERROR(MAX(MIN(TTM!K90,1),-0.3),""))</f>
        <v/>
      </c>
      <c r="L90" s="13">
        <f ca="1">IF(TTM!L90="","",IFERROR(MAX(MIN(TTM!L90,1),-0.3),""))</f>
        <v>-6.7349536438592039E-2</v>
      </c>
      <c r="M90" s="13" t="str">
        <f>IF(TTM!M90="","",IFERROR(MAX(MIN(TTM!M90,1),-0.3),""))</f>
        <v/>
      </c>
      <c r="N90" s="13">
        <f ca="1">IF(TTM!N90="","",IFERROR(MAX(MIN(TTM!N90,1),-0.3),""))</f>
        <v>0.60426821249010887</v>
      </c>
      <c r="O90" s="13">
        <f ca="1">IF(TTM!O90="","",IFERROR(MAX(MIN(TTM!O90,1),-0.3),""))</f>
        <v>0.97278284222043931</v>
      </c>
      <c r="P90" s="13" t="str">
        <f>IF(TTM!P90="","",IFERROR(MAX(MIN(TTM!P90,1),-0.3),""))</f>
        <v/>
      </c>
      <c r="Q90" s="13" t="str">
        <f>IF(TTM!Q90="","",IFERROR(MAX(MIN(TTM!Q90,1),-0.3),""))</f>
        <v/>
      </c>
      <c r="R90" s="13">
        <f>IF(TTM!R90="","",IFERROR(MAX(MIN(TTM!R90,1),-0.3),""))</f>
        <v>7.3044150572620481E-2</v>
      </c>
      <c r="S90" s="13">
        <f>IF(TTM!S90="","",IFERROR(MAX(MIN(TTM!S90,1),-0.3),""))</f>
        <v>4.0944645032038735E-2</v>
      </c>
      <c r="T90" s="13" t="str">
        <f>IF(TTM!T90="","",IFERROR(MAX(MIN(TTM!T90,1),-0.3),""))</f>
        <v/>
      </c>
      <c r="U90" s="11"/>
    </row>
    <row r="91" spans="1:21" ht="14">
      <c r="A91" s="14" t="s">
        <v>116</v>
      </c>
      <c r="B91" s="13">
        <f ca="1">IF(TTM!B91="","",IFERROR(MAX(MIN(TTM!B91,1),-0.3),""))</f>
        <v>0.29893676889141035</v>
      </c>
      <c r="C91" s="13">
        <f ca="1">IF(TTM!C91="","",IFERROR(MAX(MIN(TTM!C91,1),-0.3),""))</f>
        <v>9.4548280653540456E-2</v>
      </c>
      <c r="D91" s="13">
        <f ca="1">IF(TTM!D91="","",IFERROR(MAX(MIN(TTM!D91,1),-0.3),""))</f>
        <v>9.0492745388064399E-2</v>
      </c>
      <c r="E91" s="13">
        <f ca="1">IF(TTM!E91="","",IFERROR(MAX(MIN(TTM!E91,1),-0.3),""))</f>
        <v>0.13896850184973264</v>
      </c>
      <c r="F91" s="13">
        <f ca="1">IF(TTM!F91="","",IFERROR(MAX(MIN(TTM!F91,1),-0.3),""))</f>
        <v>3.4274302993343775E-2</v>
      </c>
      <c r="G91" s="13">
        <f ca="1">IF(TTM!G91="","",IFERROR(MAX(MIN(TTM!G91,1),-0.3),""))</f>
        <v>-0.15168101276267237</v>
      </c>
      <c r="H91" s="13">
        <f ca="1">IF(TTM!H91="","",IFERROR(MAX(MIN(TTM!H91,1),-0.3),""))</f>
        <v>2.7350402835374599E-2</v>
      </c>
      <c r="I91" s="13">
        <f ca="1">IF(TTM!I91="","",IFERROR(MAX(MIN(TTM!I91,1),-0.3),""))</f>
        <v>-5.5621578569672453E-2</v>
      </c>
      <c r="J91" s="13">
        <f ca="1">IF(TTM!J91="","",IFERROR(MAX(MIN(TTM!J91,1),-0.3),""))</f>
        <v>-0.28044258303820174</v>
      </c>
      <c r="K91" s="13" t="str">
        <f>IF(TTM!K91="","",IFERROR(MAX(MIN(TTM!K91,1),-0.3),""))</f>
        <v/>
      </c>
      <c r="L91" s="13">
        <f ca="1">IF(TTM!L91="","",IFERROR(MAX(MIN(TTM!L91,1),-0.3),""))</f>
        <v>-0.16856853048327977</v>
      </c>
      <c r="M91" s="13" t="str">
        <f ca="1">IF(TTM!M91="","",IFERROR(MAX(MIN(TTM!M91,1),-0.3),""))</f>
        <v/>
      </c>
      <c r="N91" s="13">
        <f ca="1">IF(TTM!N91="","",IFERROR(MAX(MIN(TTM!N91,1),-0.3),""))</f>
        <v>0.60367499551479831</v>
      </c>
      <c r="O91" s="13">
        <f ca="1">IF(TTM!O91="","",IFERROR(MAX(MIN(TTM!O91,1),-0.3),""))</f>
        <v>0.1985764443891761</v>
      </c>
      <c r="P91" s="13" t="str">
        <f>IF(TTM!P91="","",IFERROR(MAX(MIN(TTM!P91,1),-0.3),""))</f>
        <v/>
      </c>
      <c r="Q91" s="13" t="str">
        <f>IF(TTM!Q91="","",IFERROR(MAX(MIN(TTM!Q91,1),-0.3),""))</f>
        <v/>
      </c>
      <c r="R91" s="13">
        <f>IF(TTM!R91="","",IFERROR(MAX(MIN(TTM!R91,1),-0.3),""))</f>
        <v>9.9085836826081575E-2</v>
      </c>
      <c r="S91" s="13">
        <f>IF(TTM!S91="","",IFERROR(MAX(MIN(TTM!S91,1),-0.3),""))</f>
        <v>-0.2667837677266035</v>
      </c>
      <c r="T91" s="13" t="str">
        <f ca="1">IF(TTM!T91="","",IFERROR(MAX(MIN(TTM!T91,1),-0.3),""))</f>
        <v/>
      </c>
      <c r="U91" s="11"/>
    </row>
    <row r="92" spans="1:21" ht="14">
      <c r="A92" s="14" t="s">
        <v>117</v>
      </c>
      <c r="B92" s="13">
        <f ca="1">IF(TTM!B92="","",IFERROR(MAX(MIN(TTM!B92,1),-0.3),""))</f>
        <v>0.27495916073768051</v>
      </c>
      <c r="C92" s="13">
        <f ca="1">IF(TTM!C92="","",IFERROR(MAX(MIN(TTM!C92,1),-0.3),""))</f>
        <v>7.4299586592498884E-2</v>
      </c>
      <c r="D92" s="13">
        <f ca="1">IF(TTM!D92="","",IFERROR(MAX(MIN(TTM!D92,1),-0.3),""))</f>
        <v>8.5768388272828511E-2</v>
      </c>
      <c r="E92" s="13">
        <f ca="1">IF(TTM!E92="","",IFERROR(MAX(MIN(TTM!E92,1),-0.3),""))</f>
        <v>0.13210523590425188</v>
      </c>
      <c r="F92" s="13">
        <f ca="1">IF(TTM!F92="","",IFERROR(MAX(MIN(TTM!F92,1),-0.3),""))</f>
        <v>2.2616659958788921E-2</v>
      </c>
      <c r="G92" s="13">
        <f ca="1">IF(TTM!G92="","",IFERROR(MAX(MIN(TTM!G92,1),-0.3),""))</f>
        <v>-0.11062605277007595</v>
      </c>
      <c r="H92" s="13">
        <f ca="1">IF(TTM!H92="","",IFERROR(MAX(MIN(TTM!H92,1),-0.3),""))</f>
        <v>4.0166153206845634E-2</v>
      </c>
      <c r="I92" s="13">
        <f ca="1">IF(TTM!I92="","",IFERROR(MAX(MIN(TTM!I92,1),-0.3),""))</f>
        <v>-9.3057717979579319E-2</v>
      </c>
      <c r="J92" s="13">
        <f ca="1">IF(TTM!J92="","",IFERROR(MAX(MIN(TTM!J92,1),-0.3),""))</f>
        <v>-0.20143725871267623</v>
      </c>
      <c r="K92" s="13" t="str">
        <f>IF(TTM!K92="","",IFERROR(MAX(MIN(TTM!K92,1),-0.3),""))</f>
        <v/>
      </c>
      <c r="L92" s="13">
        <f ca="1">IF(TTM!L92="","",IFERROR(MAX(MIN(TTM!L92,1),-0.3),""))</f>
        <v>-0.23931292955253872</v>
      </c>
      <c r="M92" s="13" t="str">
        <f ca="1">IF(TTM!M92="","",IFERROR(MAX(MIN(TTM!M92,1),-0.3),""))</f>
        <v/>
      </c>
      <c r="N92" s="13">
        <f ca="1">IF(TTM!N92="","",IFERROR(MAX(MIN(TTM!N92,1),-0.3),""))</f>
        <v>0.67001456592005204</v>
      </c>
      <c r="O92" s="13">
        <f ca="1">IF(TTM!O92="","",IFERROR(MAX(MIN(TTM!O92,1),-0.3),""))</f>
        <v>-0.3</v>
      </c>
      <c r="P92" s="13" t="str">
        <f>IF(TTM!P92="","",IFERROR(MAX(MIN(TTM!P92,1),-0.3),""))</f>
        <v/>
      </c>
      <c r="Q92" s="13" t="str">
        <f>IF(TTM!Q92="","",IFERROR(MAX(MIN(TTM!Q92,1),-0.3),""))</f>
        <v/>
      </c>
      <c r="R92" s="13">
        <f>IF(TTM!R92="","",IFERROR(MAX(MIN(TTM!R92,1),-0.3),""))</f>
        <v>0.12512752307954267</v>
      </c>
      <c r="S92" s="13">
        <f>IF(TTM!S92="","",IFERROR(MAX(MIN(TTM!S92,1),-0.3),""))</f>
        <v>-0.25108306976183659</v>
      </c>
      <c r="T92" s="13" t="str">
        <f ca="1">IF(TTM!T92="","",IFERROR(MAX(MIN(TTM!T92,1),-0.3),""))</f>
        <v/>
      </c>
      <c r="U92" s="11"/>
    </row>
    <row r="93" spans="1:21" ht="14">
      <c r="A93" s="14" t="s">
        <v>118</v>
      </c>
      <c r="B93" s="13">
        <f ca="1">IF(TTM!B93="","",IFERROR(MAX(MIN(TTM!B93,1),-0.3),""))</f>
        <v>0.36927338565555418</v>
      </c>
      <c r="C93" s="13">
        <f ca="1">IF(TTM!C93="","",IFERROR(MAX(MIN(TTM!C93,1),-0.3),""))</f>
        <v>6.0740131685362214E-2</v>
      </c>
      <c r="D93" s="13">
        <f ca="1">IF(TTM!D93="","",IFERROR(MAX(MIN(TTM!D93,1),-0.3),""))</f>
        <v>8.1159067496953452E-2</v>
      </c>
      <c r="E93" s="13">
        <f ca="1">IF(TTM!E93="","",IFERROR(MAX(MIN(TTM!E93,1),-0.3),""))</f>
        <v>0.11460966098590814</v>
      </c>
      <c r="F93" s="13">
        <f ca="1">IF(TTM!F93="","",IFERROR(MAX(MIN(TTM!F93,1),-0.3),""))</f>
        <v>-4.5789314508260515E-3</v>
      </c>
      <c r="G93" s="13">
        <f ca="1">IF(TTM!G93="","",IFERROR(MAX(MIN(TTM!G93,1),-0.3),""))</f>
        <v>-8.4066145140159032E-2</v>
      </c>
      <c r="H93" s="13">
        <f ca="1">IF(TTM!H93="","",IFERROR(MAX(MIN(TTM!H93,1),-0.3),""))</f>
        <v>4.5798283093373138E-2</v>
      </c>
      <c r="I93" s="13">
        <f ca="1">IF(TTM!I93="","",IFERROR(MAX(MIN(TTM!I93,1),-0.3),""))</f>
        <v>-5.1449746702633165E-2</v>
      </c>
      <c r="J93" s="13">
        <f ca="1">IF(TTM!J93="","",IFERROR(MAX(MIN(TTM!J93,1),-0.3),""))</f>
        <v>-8.6204355827204399E-2</v>
      </c>
      <c r="K93" s="13" t="str">
        <f>IF(TTM!K93="","",IFERROR(MAX(MIN(TTM!K93,1),-0.3),""))</f>
        <v/>
      </c>
      <c r="L93" s="13">
        <f ca="1">IF(TTM!L93="","",IFERROR(MAX(MIN(TTM!L93,1),-0.3),""))</f>
        <v>-0.3</v>
      </c>
      <c r="M93" s="13" t="str">
        <f ca="1">IF(TTM!M93="","",IFERROR(MAX(MIN(TTM!M93,1),-0.3),""))</f>
        <v/>
      </c>
      <c r="N93" s="13">
        <f ca="1">IF(TTM!N93="","",IFERROR(MAX(MIN(TTM!N93,1),-0.3),""))</f>
        <v>0.67107994307670893</v>
      </c>
      <c r="O93" s="13">
        <f ca="1">IF(TTM!O93="","",IFERROR(MAX(MIN(TTM!O93,1),-0.3),""))</f>
        <v>-0.3</v>
      </c>
      <c r="P93" s="13" t="str">
        <f>IF(TTM!P93="","",IFERROR(MAX(MIN(TTM!P93,1),-0.3),""))</f>
        <v/>
      </c>
      <c r="Q93" s="13" t="str">
        <f>IF(TTM!Q93="","",IFERROR(MAX(MIN(TTM!Q93,1),-0.3),""))</f>
        <v/>
      </c>
      <c r="R93" s="13">
        <f>IF(TTM!R93="","",IFERROR(MAX(MIN(TTM!R93,1),-0.3),""))</f>
        <v>0.15116920933300376</v>
      </c>
      <c r="S93" s="13">
        <f>IF(TTM!S93="","",IFERROR(MAX(MIN(TTM!S93,1),-0.3),""))</f>
        <v>-0.23538237179706961</v>
      </c>
      <c r="T93" s="13" t="str">
        <f ca="1">IF(TTM!T93="","",IFERROR(MAX(MIN(TTM!T93,1),-0.3),""))</f>
        <v/>
      </c>
      <c r="U93" s="11"/>
    </row>
    <row r="94" spans="1:21" ht="14">
      <c r="A94" s="14" t="s">
        <v>119</v>
      </c>
      <c r="B94" s="13">
        <f ca="1">IF(TTM!B94="","",IFERROR(MAX(MIN(TTM!B94,1),-0.3),""))</f>
        <v>0.31599664292158919</v>
      </c>
      <c r="C94" s="13">
        <f ca="1">IF(TTM!C94="","",IFERROR(MAX(MIN(TTM!C94,1),-0.3),""))</f>
        <v>3.3976090357093508E-2</v>
      </c>
      <c r="D94" s="13">
        <f ca="1">IF(TTM!D94="","",IFERROR(MAX(MIN(TTM!D94,1),-0.3),""))</f>
        <v>7.3652395714284447E-2</v>
      </c>
      <c r="E94" s="13">
        <f ca="1">IF(TTM!E94="","",IFERROR(MAX(MIN(TTM!E94,1),-0.3),""))</f>
        <v>9.6163235888364063E-2</v>
      </c>
      <c r="F94" s="13">
        <f ca="1">IF(TTM!F94="","",IFERROR(MAX(MIN(TTM!F94,1),-0.3),""))</f>
        <v>-3.1997313313862408E-2</v>
      </c>
      <c r="G94" s="13">
        <f ca="1">IF(TTM!G94="","",IFERROR(MAX(MIN(TTM!G94,1),-0.3),""))</f>
        <v>-8.0639203664441772E-2</v>
      </c>
      <c r="H94" s="13">
        <f ca="1">IF(TTM!H94="","",IFERROR(MAX(MIN(TTM!H94,1),-0.3),""))</f>
        <v>8.4394581785670164E-2</v>
      </c>
      <c r="I94" s="13">
        <f ca="1">IF(TTM!I94="","",IFERROR(MAX(MIN(TTM!I94,1),-0.3),""))</f>
        <v>-6.8070532309181531E-3</v>
      </c>
      <c r="J94" s="13">
        <f ca="1">IF(TTM!J94="","",IFERROR(MAX(MIN(TTM!J94,1),-0.3),""))</f>
        <v>2.709365365322558E-2</v>
      </c>
      <c r="K94" s="13" t="str">
        <f>IF(TTM!K94="","",IFERROR(MAX(MIN(TTM!K94,1),-0.3),""))</f>
        <v/>
      </c>
      <c r="L94" s="13">
        <f ca="1">IF(TTM!L94="","",IFERROR(MAX(MIN(TTM!L94,1),-0.3),""))</f>
        <v>-0.3</v>
      </c>
      <c r="M94" s="13" t="str">
        <f ca="1">IF(TTM!M94="","",IFERROR(MAX(MIN(TTM!M94,1),-0.3),""))</f>
        <v/>
      </c>
      <c r="N94" s="13">
        <f ca="1">IF(TTM!N94="","",IFERROR(MAX(MIN(TTM!N94,1),-0.3),""))</f>
        <v>0.54144413982711925</v>
      </c>
      <c r="O94" s="13">
        <f ca="1">IF(TTM!O94="","",IFERROR(MAX(MIN(TTM!O94,1),-0.3),""))</f>
        <v>-0.15809839982115903</v>
      </c>
      <c r="P94" s="13" t="str">
        <f>IF(TTM!P94="","",IFERROR(MAX(MIN(TTM!P94,1),-0.3),""))</f>
        <v/>
      </c>
      <c r="Q94" s="13" t="str">
        <f>IF(TTM!Q94="","",IFERROR(MAX(MIN(TTM!Q94,1),-0.3),""))</f>
        <v/>
      </c>
      <c r="R94" s="13">
        <f>IF(TTM!R94="","",IFERROR(MAX(MIN(TTM!R94,1),-0.3),""))</f>
        <v>0.17721089558646486</v>
      </c>
      <c r="S94" s="13">
        <f>IF(TTM!S94="","",IFERROR(MAX(MIN(TTM!S94,1),-0.3),""))</f>
        <v>-0.21968167383230267</v>
      </c>
      <c r="T94" s="13" t="str">
        <f ca="1">IF(TTM!T94="","",IFERROR(MAX(MIN(TTM!T94,1),-0.3),""))</f>
        <v/>
      </c>
      <c r="U94" s="11"/>
    </row>
    <row r="95" spans="1:21" ht="14">
      <c r="A95" s="14" t="s">
        <v>120</v>
      </c>
      <c r="B95" s="13">
        <f ca="1">IF(TTM!B95="","",IFERROR(MAX(MIN(TTM!B95,1),-0.3),""))</f>
        <v>0.33710183476263611</v>
      </c>
      <c r="C95" s="13">
        <f ca="1">IF(TTM!C95="","",IFERROR(MAX(MIN(TTM!C95,1),-0.3),""))</f>
        <v>-6.6160424450043831E-3</v>
      </c>
      <c r="D95" s="13">
        <f ca="1">IF(TTM!D95="","",IFERROR(MAX(MIN(TTM!D95,1),-0.3),""))</f>
        <v>2.5255750987376036E-2</v>
      </c>
      <c r="E95" s="13">
        <f ca="1">IF(TTM!E95="","",IFERROR(MAX(MIN(TTM!E95,1),-0.3),""))</f>
        <v>-4.8727239236843106E-2</v>
      </c>
      <c r="F95" s="13">
        <f ca="1">IF(TTM!F95="","",IFERROR(MAX(MIN(TTM!F95,1),-0.3),""))</f>
        <v>-9.5834136459196168E-2</v>
      </c>
      <c r="G95" s="13">
        <f ca="1">IF(TTM!G95="","",IFERROR(MAX(MIN(TTM!G95,1),-0.3),""))</f>
        <v>-0.11479808327909016</v>
      </c>
      <c r="H95" s="13">
        <f ca="1">IF(TTM!H95="","",IFERROR(MAX(MIN(TTM!H95,1),-0.3),""))</f>
        <v>5.4733106067353654E-3</v>
      </c>
      <c r="I95" s="13">
        <f ca="1">IF(TTM!I95="","",IFERROR(MAX(MIN(TTM!I95,1),-0.3),""))</f>
        <v>-8.7803245043301392E-2</v>
      </c>
      <c r="J95" s="13">
        <f ca="1">IF(TTM!J95="","",IFERROR(MAX(MIN(TTM!J95,1),-0.3),""))</f>
        <v>5.502189068018204E-2</v>
      </c>
      <c r="K95" s="13" t="str">
        <f>IF(TTM!K95="","",IFERROR(MAX(MIN(TTM!K95,1),-0.3),""))</f>
        <v/>
      </c>
      <c r="L95" s="13">
        <f ca="1">IF(TTM!L95="","",IFERROR(MAX(MIN(TTM!L95,1),-0.3),""))</f>
        <v>-0.3</v>
      </c>
      <c r="M95" s="13">
        <f ca="1">IF(TTM!M95="","",IFERROR(MAX(MIN(TTM!M95,1),-0.3),""))</f>
        <v>0.98322147651007219</v>
      </c>
      <c r="N95" s="13">
        <f ca="1">IF(TTM!N95="","",IFERROR(MAX(MIN(TTM!N95,1),-0.3),""))</f>
        <v>0.38279125176065432</v>
      </c>
      <c r="O95" s="13">
        <f ca="1">IF(TTM!O95="","",IFERROR(MAX(MIN(TTM!O95,1),-0.3),""))</f>
        <v>-0.20520956790324602</v>
      </c>
      <c r="P95" s="13" t="str">
        <f>IF(TTM!P95="","",IFERROR(MAX(MIN(TTM!P95,1),-0.3),""))</f>
        <v/>
      </c>
      <c r="Q95" s="13" t="str">
        <f>IF(TTM!Q95="","",IFERROR(MAX(MIN(TTM!Q95,1),-0.3),""))</f>
        <v/>
      </c>
      <c r="R95" s="13">
        <f>IF(TTM!R95="","",IFERROR(MAX(MIN(TTM!R95,1),-0.3),""))</f>
        <v>-3.4892938185800415E-2</v>
      </c>
      <c r="S95" s="13">
        <f>IF(TTM!S95="","",IFERROR(MAX(MIN(TTM!S95,1),-0.3),""))</f>
        <v>-0.20398097586753572</v>
      </c>
      <c r="T95" s="13" t="str">
        <f ca="1">IF(TTM!T95="","",IFERROR(MAX(MIN(TTM!T95,1),-0.3),""))</f>
        <v/>
      </c>
      <c r="U95" s="11"/>
    </row>
    <row r="96" spans="1:21" ht="14">
      <c r="A96" s="14" t="s">
        <v>121</v>
      </c>
      <c r="B96" s="13">
        <f ca="1">IF(TTM!B96="","",IFERROR(MAX(MIN(TTM!B96,1),-0.3),""))</f>
        <v>7.3620158002314806E-2</v>
      </c>
      <c r="C96" s="13">
        <f ca="1">IF(TTM!C96="","",IFERROR(MAX(MIN(TTM!C96,1),-0.3),""))</f>
        <v>-0.23782298803367127</v>
      </c>
      <c r="D96" s="13">
        <f ca="1">IF(TTM!D96="","",IFERROR(MAX(MIN(TTM!D96,1),-0.3),""))</f>
        <v>-0.20356427161015012</v>
      </c>
      <c r="E96" s="13">
        <f ca="1">IF(TTM!E96="","",IFERROR(MAX(MIN(TTM!E96,1),-0.3),""))</f>
        <v>-0.24517657148375274</v>
      </c>
      <c r="F96" s="13">
        <f ca="1">IF(TTM!F96="","",IFERROR(MAX(MIN(TTM!F96,1),-0.3),""))</f>
        <v>-0.3</v>
      </c>
      <c r="G96" s="13">
        <f ca="1">IF(TTM!G96="","",IFERROR(MAX(MIN(TTM!G96,1),-0.3),""))</f>
        <v>-0.3</v>
      </c>
      <c r="H96" s="13">
        <f ca="1">IF(TTM!H96="","",IFERROR(MAX(MIN(TTM!H96,1),-0.3),""))</f>
        <v>-0.22801381785660846</v>
      </c>
      <c r="I96" s="13">
        <f ca="1">IF(TTM!I96="","",IFERROR(MAX(MIN(TTM!I96,1),-0.3),""))</f>
        <v>-0.3</v>
      </c>
      <c r="J96" s="13">
        <f ca="1">IF(TTM!J96="","",IFERROR(MAX(MIN(TTM!J96,1),-0.3),""))</f>
        <v>-0.19163081105273028</v>
      </c>
      <c r="K96" s="13" t="str">
        <f>IF(TTM!K96="","",IFERROR(MAX(MIN(TTM!K96,1),-0.3),""))</f>
        <v/>
      </c>
      <c r="L96" s="13">
        <f ca="1">IF(TTM!L96="","",IFERROR(MAX(MIN(TTM!L96,1),-0.3),""))</f>
        <v>-0.3</v>
      </c>
      <c r="M96" s="13">
        <f ca="1">IF(TTM!M96="","",IFERROR(MAX(MIN(TTM!M96,1),-0.3),""))</f>
        <v>4.0843791199123181E-2</v>
      </c>
      <c r="N96" s="13">
        <f ca="1">IF(TTM!N96="","",IFERROR(MAX(MIN(TTM!N96,1),-0.3),""))</f>
        <v>-3.5215504833745609E-2</v>
      </c>
      <c r="O96" s="13">
        <f ca="1">IF(TTM!O96="","",IFERROR(MAX(MIN(TTM!O96,1),-0.3),""))</f>
        <v>-0.252320735985333</v>
      </c>
      <c r="P96" s="13" t="str">
        <f>IF(TTM!P96="","",IFERROR(MAX(MIN(TTM!P96,1),-0.3),""))</f>
        <v/>
      </c>
      <c r="Q96" s="13" t="str">
        <f>IF(TTM!Q96="","",IFERROR(MAX(MIN(TTM!Q96,1),-0.3),""))</f>
        <v/>
      </c>
      <c r="R96" s="13">
        <f>IF(TTM!R96="","",IFERROR(MAX(MIN(TTM!R96,1),-0.3),""))</f>
        <v>-0.24699677195806569</v>
      </c>
      <c r="S96" s="13">
        <f>IF(TTM!S96="","",IFERROR(MAX(MIN(TTM!S96,1),-0.3),""))</f>
        <v>-0.19252987883581443</v>
      </c>
      <c r="T96" s="13" t="str">
        <f ca="1">IF(TTM!T96="","",IFERROR(MAX(MIN(TTM!T96,1),-0.3),""))</f>
        <v/>
      </c>
      <c r="U96" s="11"/>
    </row>
    <row r="97" spans="1:21" ht="14">
      <c r="A97" s="14" t="s">
        <v>122</v>
      </c>
      <c r="B97" s="13">
        <f ca="1">IF(TTM!B97="","",IFERROR(MAX(MIN(TTM!B97,1),-0.3),""))</f>
        <v>-0.1732661713851798</v>
      </c>
      <c r="C97" s="13">
        <f ca="1">IF(TTM!C97="","",IFERROR(MAX(MIN(TTM!C97,1),-0.3),""))</f>
        <v>-0.3</v>
      </c>
      <c r="D97" s="13">
        <f ca="1">IF(TTM!D97="","",IFERROR(MAX(MIN(TTM!D97,1),-0.3),""))</f>
        <v>-0.3</v>
      </c>
      <c r="E97" s="13">
        <f ca="1">IF(TTM!E97="","",IFERROR(MAX(MIN(TTM!E97,1),-0.3),""))</f>
        <v>-0.3</v>
      </c>
      <c r="F97" s="13">
        <f ca="1">IF(TTM!F97="","",IFERROR(MAX(MIN(TTM!F97,1),-0.3),""))</f>
        <v>-0.3</v>
      </c>
      <c r="G97" s="13">
        <f ca="1">IF(TTM!G97="","",IFERROR(MAX(MIN(TTM!G97,1),-0.3),""))</f>
        <v>-0.3</v>
      </c>
      <c r="H97" s="13">
        <f ca="1">IF(TTM!H97="","",IFERROR(MAX(MIN(TTM!H97,1),-0.3),""))</f>
        <v>-0.3</v>
      </c>
      <c r="I97" s="13">
        <f ca="1">IF(TTM!I97="","",IFERROR(MAX(MIN(TTM!I97,1),-0.3),""))</f>
        <v>-0.3</v>
      </c>
      <c r="J97" s="13">
        <f ca="1">IF(TTM!J97="","",IFERROR(MAX(MIN(TTM!J97,1),-0.3),""))</f>
        <v>-0.3</v>
      </c>
      <c r="K97" s="13" t="str">
        <f>IF(TTM!K97="","",IFERROR(MAX(MIN(TTM!K97,1),-0.3),""))</f>
        <v/>
      </c>
      <c r="L97" s="13">
        <f ca="1">IF(TTM!L97="","",IFERROR(MAX(MIN(TTM!L97,1),-0.3),""))</f>
        <v>-0.3</v>
      </c>
      <c r="M97" s="13">
        <f ca="1">IF(TTM!M97="","",IFERROR(MAX(MIN(TTM!M97,1),-0.3),""))</f>
        <v>-0.24352091683041144</v>
      </c>
      <c r="N97" s="13">
        <f ca="1">IF(TTM!N97="","",IFERROR(MAX(MIN(TTM!N97,1),-0.3),""))</f>
        <v>-0.3</v>
      </c>
      <c r="O97" s="13">
        <f ca="1">IF(TTM!O97="","",IFERROR(MAX(MIN(TTM!O97,1),-0.3),""))</f>
        <v>-0.3</v>
      </c>
      <c r="P97" s="13" t="str">
        <f>IF(TTM!P97="","",IFERROR(MAX(MIN(TTM!P97,1),-0.3),""))</f>
        <v/>
      </c>
      <c r="Q97" s="13" t="str">
        <f>IF(TTM!Q97="","",IFERROR(MAX(MIN(TTM!Q97,1),-0.3),""))</f>
        <v/>
      </c>
      <c r="R97" s="13">
        <f>IF(TTM!R97="","",IFERROR(MAX(MIN(TTM!R97,1),-0.3),""))</f>
        <v>-0.3</v>
      </c>
      <c r="S97" s="13">
        <f>IF(TTM!S97="","",IFERROR(MAX(MIN(TTM!S97,1),-0.3),""))</f>
        <v>-0.18107878180409315</v>
      </c>
      <c r="T97" s="13" t="str">
        <f ca="1">IF(TTM!T97="","",IFERROR(MAX(MIN(TTM!T97,1),-0.3),""))</f>
        <v/>
      </c>
      <c r="U97" s="11"/>
    </row>
    <row r="98" spans="1:21" ht="14">
      <c r="A98" s="14" t="s">
        <v>123</v>
      </c>
      <c r="B98" s="13">
        <f ca="1">IF(TTM!B98="","",IFERROR(MAX(MIN(TTM!B98,1),-0.3),""))</f>
        <v>-0.28239622037009787</v>
      </c>
      <c r="C98" s="13">
        <f ca="1">IF(TTM!C98="","",IFERROR(MAX(MIN(TTM!C98,1),-0.3),""))</f>
        <v>-0.3</v>
      </c>
      <c r="D98" s="13">
        <f ca="1">IF(TTM!D98="","",IFERROR(MAX(MIN(TTM!D98,1),-0.3),""))</f>
        <v>-0.3</v>
      </c>
      <c r="E98" s="13">
        <f ca="1">IF(TTM!E98="","",IFERROR(MAX(MIN(TTM!E98,1),-0.3),""))</f>
        <v>-0.3</v>
      </c>
      <c r="F98" s="13">
        <f ca="1">IF(TTM!F98="","",IFERROR(MAX(MIN(TTM!F98,1),-0.3),""))</f>
        <v>-0.3</v>
      </c>
      <c r="G98" s="13">
        <f ca="1">IF(TTM!G98="","",IFERROR(MAX(MIN(TTM!G98,1),-0.3),""))</f>
        <v>-0.3</v>
      </c>
      <c r="H98" s="13">
        <f ca="1">IF(TTM!H98="","",IFERROR(MAX(MIN(TTM!H98,1),-0.3),""))</f>
        <v>-0.3</v>
      </c>
      <c r="I98" s="13">
        <f ca="1">IF(TTM!I98="","",IFERROR(MAX(MIN(TTM!I98,1),-0.3),""))</f>
        <v>-0.3</v>
      </c>
      <c r="J98" s="13">
        <f ca="1">IF(TTM!J98="","",IFERROR(MAX(MIN(TTM!J98,1),-0.3),""))</f>
        <v>-0.3</v>
      </c>
      <c r="K98" s="13" t="str">
        <f>IF(TTM!K98="","",IFERROR(MAX(MIN(TTM!K98,1),-0.3),""))</f>
        <v/>
      </c>
      <c r="L98" s="13">
        <f ca="1">IF(TTM!L98="","",IFERROR(MAX(MIN(TTM!L98,1),-0.3),""))</f>
        <v>-0.3</v>
      </c>
      <c r="M98" s="13">
        <f ca="1">IF(TTM!M98="","",IFERROR(MAX(MIN(TTM!M98,1),-0.3),""))</f>
        <v>-0.3</v>
      </c>
      <c r="N98" s="13">
        <f ca="1">IF(TTM!N98="","",IFERROR(MAX(MIN(TTM!N98,1),-0.3),""))</f>
        <v>-0.3</v>
      </c>
      <c r="O98" s="13">
        <f ca="1">IF(TTM!O98="","",IFERROR(MAX(MIN(TTM!O98,1),-0.3),""))</f>
        <v>-0.3</v>
      </c>
      <c r="P98" s="13" t="str">
        <f>IF(TTM!P98="","",IFERROR(MAX(MIN(TTM!P98,1),-0.3),""))</f>
        <v/>
      </c>
      <c r="Q98" s="13" t="str">
        <f>IF(TTM!Q98="","",IFERROR(MAX(MIN(TTM!Q98,1),-0.3),""))</f>
        <v/>
      </c>
      <c r="R98" s="13">
        <f>IF(TTM!R98="","",IFERROR(MAX(MIN(TTM!R98,1),-0.3),""))</f>
        <v>-0.3</v>
      </c>
      <c r="S98" s="13">
        <f>IF(TTM!S98="","",IFERROR(MAX(MIN(TTM!S98,1),-0.3),""))</f>
        <v>-0.16962768477237186</v>
      </c>
      <c r="T98" s="13" t="str">
        <f ca="1">IF(TTM!T98="","",IFERROR(MAX(MIN(TTM!T98,1),-0.3),""))</f>
        <v/>
      </c>
      <c r="U98" s="11"/>
    </row>
    <row r="99" spans="1:21" ht="14">
      <c r="A99" s="14" t="s">
        <v>124</v>
      </c>
      <c r="B99" s="13">
        <f ca="1">IF(TTM!B99="","",IFERROR(MAX(MIN(TTM!B99,1),-0.3),""))</f>
        <v>-0.26984426384941446</v>
      </c>
      <c r="C99" s="13">
        <f ca="1">IF(TTM!C99="","",IFERROR(MAX(MIN(TTM!C99,1),-0.3),""))</f>
        <v>-0.3</v>
      </c>
      <c r="D99" s="13">
        <f ca="1">IF(TTM!D99="","",IFERROR(MAX(MIN(TTM!D99,1),-0.3),""))</f>
        <v>-0.3</v>
      </c>
      <c r="E99" s="13">
        <f ca="1">IF(TTM!E99="","",IFERROR(MAX(MIN(TTM!E99,1),-0.3),""))</f>
        <v>-0.3</v>
      </c>
      <c r="F99" s="13">
        <f ca="1">IF(TTM!F99="","",IFERROR(MAX(MIN(TTM!F99,1),-0.3),""))</f>
        <v>-0.3</v>
      </c>
      <c r="G99" s="13">
        <f ca="1">IF(TTM!G99="","",IFERROR(MAX(MIN(TTM!G99,1),-0.3),""))</f>
        <v>-0.3</v>
      </c>
      <c r="H99" s="13">
        <f ca="1">IF(TTM!H99="","",IFERROR(MAX(MIN(TTM!H99,1),-0.3),""))</f>
        <v>-0.3</v>
      </c>
      <c r="I99" s="13">
        <f ca="1">IF(TTM!I99="","",IFERROR(MAX(MIN(TTM!I99,1),-0.3),""))</f>
        <v>-0.3</v>
      </c>
      <c r="J99" s="13">
        <f ca="1">IF(TTM!J99="","",IFERROR(MAX(MIN(TTM!J99,1),-0.3),""))</f>
        <v>-0.3</v>
      </c>
      <c r="K99" s="13" t="str">
        <f>IF(TTM!K99="","",IFERROR(MAX(MIN(TTM!K99,1),-0.3),""))</f>
        <v/>
      </c>
      <c r="L99" s="13">
        <f ca="1">IF(TTM!L99="","",IFERROR(MAX(MIN(TTM!L99,1),-0.3),""))</f>
        <v>-0.3</v>
      </c>
      <c r="M99" s="13">
        <f ca="1">IF(TTM!M99="","",IFERROR(MAX(MIN(TTM!M99,1),-0.3),""))</f>
        <v>-0.3</v>
      </c>
      <c r="N99" s="13">
        <f ca="1">IF(TTM!N99="","",IFERROR(MAX(MIN(TTM!N99,1),-0.3),""))</f>
        <v>-0.3</v>
      </c>
      <c r="O99" s="13">
        <f ca="1">IF(TTM!O99="","",IFERROR(MAX(MIN(TTM!O99,1),-0.3),""))</f>
        <v>-0.3</v>
      </c>
      <c r="P99" s="13" t="str">
        <f ca="1">IF(TTM!P99="","",IFERROR(MAX(MIN(TTM!P99,1),-0.3),""))</f>
        <v/>
      </c>
      <c r="Q99" s="13" t="str">
        <f>IF(TTM!Q99="","",IFERROR(MAX(MIN(TTM!Q99,1),-0.3),""))</f>
        <v/>
      </c>
      <c r="R99" s="13">
        <f>IF(TTM!R99="","",IFERROR(MAX(MIN(TTM!R99,1),-0.3),""))</f>
        <v>-0.3</v>
      </c>
      <c r="S99" s="13">
        <f>IF(TTM!S99="","",IFERROR(MAX(MIN(TTM!S99,1),-0.3),""))</f>
        <v>-0.15817658774065058</v>
      </c>
      <c r="T99" s="13" t="str">
        <f ca="1">IF(TTM!T99="","",IFERROR(MAX(MIN(TTM!T99,1),-0.3),""))</f>
        <v/>
      </c>
      <c r="U99" s="11"/>
    </row>
    <row r="100" spans="1:21" ht="14">
      <c r="A100" s="14" t="s">
        <v>125</v>
      </c>
      <c r="B100" s="13">
        <f ca="1">IF(TTM!B100="","",IFERROR(MAX(MIN(TTM!B100,1),-0.3),""))</f>
        <v>0.65830304353174141</v>
      </c>
      <c r="C100" s="13">
        <f ca="1">IF(TTM!C100="","",IFERROR(MAX(MIN(TTM!C100,1),-0.3),""))</f>
        <v>0.20545986377354297</v>
      </c>
      <c r="D100" s="13">
        <f ca="1">IF(TTM!D100="","",IFERROR(MAX(MIN(TTM!D100,1),-0.3),""))</f>
        <v>0.26283957797169732</v>
      </c>
      <c r="E100" s="13">
        <f ca="1">IF(TTM!E100="","",IFERROR(MAX(MIN(TTM!E100,1),-0.3),""))</f>
        <v>4.6039936644838991E-2</v>
      </c>
      <c r="F100" s="13">
        <f ca="1">IF(TTM!F100="","",IFERROR(MAX(MIN(TTM!F100,1),-0.3),""))</f>
        <v>0.28114232141431739</v>
      </c>
      <c r="G100" s="13">
        <f ca="1">IF(TTM!G100="","",IFERROR(MAX(MIN(TTM!G100,1),-0.3),""))</f>
        <v>0.66323570442250435</v>
      </c>
      <c r="H100" s="13">
        <f ca="1">IF(TTM!H100="","",IFERROR(MAX(MIN(TTM!H100,1),-0.3),""))</f>
        <v>0.2136674705760826</v>
      </c>
      <c r="I100" s="13">
        <f ca="1">IF(TTM!I100="","",IFERROR(MAX(MIN(TTM!I100,1),-0.3),""))</f>
        <v>-0.3</v>
      </c>
      <c r="J100" s="13">
        <f ca="1">IF(TTM!J100="","",IFERROR(MAX(MIN(TTM!J100,1),-0.3),""))</f>
        <v>0.62463201881656816</v>
      </c>
      <c r="K100" s="13" t="str">
        <f>IF(TTM!K100="","",IFERROR(MAX(MIN(TTM!K100,1),-0.3),""))</f>
        <v/>
      </c>
      <c r="L100" s="13">
        <f ca="1">IF(TTM!L100="","",IFERROR(MAX(MIN(TTM!L100,1),-0.3),""))</f>
        <v>0.81499282939096473</v>
      </c>
      <c r="M100" s="13">
        <f ca="1">IF(TTM!M100="","",IFERROR(MAX(MIN(TTM!M100,1),-0.3),""))</f>
        <v>0.30449243564766171</v>
      </c>
      <c r="N100" s="13">
        <f ca="1">IF(TTM!N100="","",IFERROR(MAX(MIN(TTM!N100,1),-0.3),""))</f>
        <v>1</v>
      </c>
      <c r="O100" s="13">
        <f ca="1">IF(TTM!O100="","",IFERROR(MAX(MIN(TTM!O100,1),-0.3),""))</f>
        <v>-0.3</v>
      </c>
      <c r="P100" s="13" t="str">
        <f ca="1">IF(TTM!P100="","",IFERROR(MAX(MIN(TTM!P100,1),-0.3),""))</f>
        <v/>
      </c>
      <c r="Q100" s="13" t="str">
        <f>IF(TTM!Q100="","",IFERROR(MAX(MIN(TTM!Q100,1),-0.3),""))</f>
        <v/>
      </c>
      <c r="R100" s="13">
        <f>IF(TTM!R100="","",IFERROR(MAX(MIN(TTM!R100,1),-0.3),""))</f>
        <v>-0.11261383881960085</v>
      </c>
      <c r="S100" s="13">
        <f>IF(TTM!S100="","",IFERROR(MAX(MIN(TTM!S100,1),-0.3),""))</f>
        <v>4.3911589476831631E-2</v>
      </c>
      <c r="T100" s="13">
        <f ca="1">IF(TTM!T100="","",IFERROR(MAX(MIN(TTM!T100,1),-0.3),""))</f>
        <v>1</v>
      </c>
      <c r="U100" s="11"/>
    </row>
    <row r="101" spans="1:21" ht="14">
      <c r="A101" s="14" t="s">
        <v>126</v>
      </c>
      <c r="B101" s="13">
        <f ca="1">IF(TTM!B101="","",IFERROR(MAX(MIN(TTM!B101,1),-0.3),""))</f>
        <v>0.87128482296180076</v>
      </c>
      <c r="C101" s="13">
        <f ca="1">IF(TTM!C101="","",IFERROR(MAX(MIN(TTM!C101,1),-0.3),""))</f>
        <v>0.51731051312419241</v>
      </c>
      <c r="D101" s="13">
        <f ca="1">IF(TTM!D101="","",IFERROR(MAX(MIN(TTM!D101,1),-0.3),""))</f>
        <v>0.64951595455189415</v>
      </c>
      <c r="E101" s="13">
        <f ca="1">IF(TTM!E101="","",IFERROR(MAX(MIN(TTM!E101,1),-0.3),""))</f>
        <v>0.16711651301191169</v>
      </c>
      <c r="F101" s="13">
        <f ca="1">IF(TTM!F101="","",IFERROR(MAX(MIN(TTM!F101,1),-0.3),""))</f>
        <v>0.69459701597395096</v>
      </c>
      <c r="G101" s="13">
        <f ca="1">IF(TTM!G101="","",IFERROR(MAX(MIN(TTM!G101,1),-0.3),""))</f>
        <v>1</v>
      </c>
      <c r="H101" s="13">
        <f ca="1">IF(TTM!H101="","",IFERROR(MAX(MIN(TTM!H101,1),-0.3),""))</f>
        <v>0.87812442567921045</v>
      </c>
      <c r="I101" s="13">
        <f ca="1">IF(TTM!I101="","",IFERROR(MAX(MIN(TTM!I101,1),-0.3),""))</f>
        <v>-0.3</v>
      </c>
      <c r="J101" s="13">
        <f ca="1">IF(TTM!J101="","",IFERROR(MAX(MIN(TTM!J101,1),-0.3),""))</f>
        <v>1</v>
      </c>
      <c r="K101" s="13" t="str">
        <f>IF(TTM!K101="","",IFERROR(MAX(MIN(TTM!K101,1),-0.3),""))</f>
        <v/>
      </c>
      <c r="L101" s="13">
        <f ca="1">IF(TTM!L101="","",IFERROR(MAX(MIN(TTM!L101,1),-0.3),""))</f>
        <v>1</v>
      </c>
      <c r="M101" s="13">
        <f ca="1">IF(TTM!M101="","",IFERROR(MAX(MIN(TTM!M101,1),-0.3),""))</f>
        <v>0.62162121272345949</v>
      </c>
      <c r="N101" s="13">
        <f ca="1">IF(TTM!N101="","",IFERROR(MAX(MIN(TTM!N101,1),-0.3),""))</f>
        <v>1</v>
      </c>
      <c r="O101" s="13">
        <f ca="1">IF(TTM!O101="","",IFERROR(MAX(MIN(TTM!O101,1),-0.3),""))</f>
        <v>1.3591206535799594E-3</v>
      </c>
      <c r="P101" s="13" t="str">
        <f ca="1">IF(TTM!P101="","",IFERROR(MAX(MIN(TTM!P101,1),-0.3),""))</f>
        <v/>
      </c>
      <c r="Q101" s="13" t="str">
        <f>IF(TTM!Q101="","",IFERROR(MAX(MIN(TTM!Q101,1),-0.3),""))</f>
        <v/>
      </c>
      <c r="R101" s="13">
        <f>IF(TTM!R101="","",IFERROR(MAX(MIN(TTM!R101,1),-0.3),""))</f>
        <v>0.16668146152189683</v>
      </c>
      <c r="S101" s="13">
        <f>IF(TTM!S101="","",IFERROR(MAX(MIN(TTM!S101,1),-0.3),""))</f>
        <v>0.24599976669431384</v>
      </c>
      <c r="T101" s="13">
        <f ca="1">IF(TTM!T101="","",IFERROR(MAX(MIN(TTM!T101,1),-0.3),""))</f>
        <v>1</v>
      </c>
      <c r="U101" s="11"/>
    </row>
    <row r="102" spans="1:21" ht="14">
      <c r="A102" s="14" t="s">
        <v>127</v>
      </c>
      <c r="B102" s="13">
        <f ca="1">IF(TTM!B102="","",IFERROR(MAX(MIN(TTM!B102,1),-0.3),""))</f>
        <v>1</v>
      </c>
      <c r="C102" s="13">
        <f ca="1">IF(TTM!C102="","",IFERROR(MAX(MIN(TTM!C102,1),-0.3),""))</f>
        <v>1</v>
      </c>
      <c r="D102" s="13">
        <f ca="1">IF(TTM!D102="","",IFERROR(MAX(MIN(TTM!D102,1),-0.3),""))</f>
        <v>1</v>
      </c>
      <c r="E102" s="13">
        <f ca="1">IF(TTM!E102="","",IFERROR(MAX(MIN(TTM!E102,1),-0.3),""))</f>
        <v>0.24314033749914249</v>
      </c>
      <c r="F102" s="13">
        <f ca="1">IF(TTM!F102="","",IFERROR(MAX(MIN(TTM!F102,1),-0.3),""))</f>
        <v>1</v>
      </c>
      <c r="G102" s="13">
        <f ca="1">IF(TTM!G102="","",IFERROR(MAX(MIN(TTM!G102,1),-0.3),""))</f>
        <v>1</v>
      </c>
      <c r="H102" s="13">
        <f ca="1">IF(TTM!H102="","",IFERROR(MAX(MIN(TTM!H102,1),-0.3),""))</f>
        <v>1</v>
      </c>
      <c r="I102" s="13">
        <f ca="1">IF(TTM!I102="","",IFERROR(MAX(MIN(TTM!I102,1),-0.3),""))</f>
        <v>-8.8973201207224184E-2</v>
      </c>
      <c r="J102" s="13">
        <f ca="1">IF(TTM!J102="","",IFERROR(MAX(MIN(TTM!J102,1),-0.3),""))</f>
        <v>1</v>
      </c>
      <c r="K102" s="13" t="str">
        <f>IF(TTM!K102="","",IFERROR(MAX(MIN(TTM!K102,1),-0.3),""))</f>
        <v/>
      </c>
      <c r="L102" s="13">
        <f ca="1">IF(TTM!L102="","",IFERROR(MAX(MIN(TTM!L102,1),-0.3),""))</f>
        <v>1</v>
      </c>
      <c r="M102" s="13">
        <f ca="1">IF(TTM!M102="","",IFERROR(MAX(MIN(TTM!M102,1),-0.3),""))</f>
        <v>1</v>
      </c>
      <c r="N102" s="13">
        <f ca="1">IF(TTM!N102="","",IFERROR(MAX(MIN(TTM!N102,1),-0.3),""))</f>
        <v>1</v>
      </c>
      <c r="O102" s="13">
        <f ca="1">IF(TTM!O102="","",IFERROR(MAX(MIN(TTM!O102,1),-0.3),""))</f>
        <v>0.88123526088788751</v>
      </c>
      <c r="P102" s="13" t="str">
        <f ca="1">IF(TTM!P102="","",IFERROR(MAX(MIN(TTM!P102,1),-0.3),""))</f>
        <v/>
      </c>
      <c r="Q102" s="13" t="str">
        <f>IF(TTM!Q102="","",IFERROR(MAX(MIN(TTM!Q102,1),-0.3),""))</f>
        <v/>
      </c>
      <c r="R102" s="13">
        <f>IF(TTM!R102="","",IFERROR(MAX(MIN(TTM!R102,1),-0.3),""))</f>
        <v>0.44597676186339452</v>
      </c>
      <c r="S102" s="13">
        <f>IF(TTM!S102="","",IFERROR(MAX(MIN(TTM!S102,1),-0.3),""))</f>
        <v>0.44808794391179607</v>
      </c>
      <c r="T102" s="13">
        <f ca="1">IF(TTM!T102="","",IFERROR(MAX(MIN(TTM!T102,1),-0.3),""))</f>
        <v>1</v>
      </c>
      <c r="U102" s="11"/>
    </row>
    <row r="103" spans="1:21" ht="14">
      <c r="A103" s="14" t="s">
        <v>128</v>
      </c>
      <c r="B103" s="13">
        <f ca="1">IF(TTM!B103="","",IFERROR(MAX(MIN(TTM!B103,1),-0.3),""))</f>
        <v>1</v>
      </c>
      <c r="C103" s="13">
        <f ca="1">IF(TTM!C103="","",IFERROR(MAX(MIN(TTM!C103,1),-0.3),""))</f>
        <v>1</v>
      </c>
      <c r="D103" s="13">
        <f ca="1">IF(TTM!D103="","",IFERROR(MAX(MIN(TTM!D103,1),-0.3),""))</f>
        <v>1</v>
      </c>
      <c r="E103" s="13">
        <f ca="1">IF(TTM!E103="","",IFERROR(MAX(MIN(TTM!E103,1),-0.3),""))</f>
        <v>0.26682158529745348</v>
      </c>
      <c r="F103" s="13">
        <f ca="1">IF(TTM!F103="","",IFERROR(MAX(MIN(TTM!F103,1),-0.3),""))</f>
        <v>1</v>
      </c>
      <c r="G103" s="13">
        <f ca="1">IF(TTM!G103="","",IFERROR(MAX(MIN(TTM!G103,1),-0.3),""))</f>
        <v>1</v>
      </c>
      <c r="H103" s="13">
        <f ca="1">IF(TTM!H103="","",IFERROR(MAX(MIN(TTM!H103,1),-0.3),""))</f>
        <v>1</v>
      </c>
      <c r="I103" s="13">
        <f ca="1">IF(TTM!I103="","",IFERROR(MAX(MIN(TTM!I103,1),-0.3),""))</f>
        <v>0.28270714250131557</v>
      </c>
      <c r="J103" s="13">
        <f ca="1">IF(TTM!J103="","",IFERROR(MAX(MIN(TTM!J103,1),-0.3),""))</f>
        <v>1</v>
      </c>
      <c r="K103" s="13">
        <f>IF(TTM!K103="","",IFERROR(MAX(MIN(TTM!K103,1),-0.3),""))</f>
        <v>1</v>
      </c>
      <c r="L103" s="13">
        <f ca="1">IF(TTM!L103="","",IFERROR(MAX(MIN(TTM!L103,1),-0.3),""))</f>
        <v>1</v>
      </c>
      <c r="M103" s="13">
        <f ca="1">IF(TTM!M103="","",IFERROR(MAX(MIN(TTM!M103,1),-0.3),""))</f>
        <v>1</v>
      </c>
      <c r="N103" s="13">
        <f ca="1">IF(TTM!N103="","",IFERROR(MAX(MIN(TTM!N103,1),-0.3),""))</f>
        <v>1</v>
      </c>
      <c r="O103" s="13">
        <f ca="1">IF(TTM!O103="","",IFERROR(MAX(MIN(TTM!O103,1),-0.3),""))</f>
        <v>1</v>
      </c>
      <c r="P103" s="13">
        <f ca="1">IF(TTM!P103="","",IFERROR(MAX(MIN(TTM!P103,1),-0.3),""))</f>
        <v>-0.16228070175438603</v>
      </c>
      <c r="Q103" s="13" t="str">
        <f>IF(TTM!Q103="","",IFERROR(MAX(MIN(TTM!Q103,1),-0.3),""))</f>
        <v/>
      </c>
      <c r="R103" s="13">
        <f>IF(TTM!R103="","",IFERROR(MAX(MIN(TTM!R103,1),-0.3),""))</f>
        <v>0.52449834189919797</v>
      </c>
      <c r="S103" s="13">
        <f>IF(TTM!S103="","",IFERROR(MAX(MIN(TTM!S103,1),-0.3),""))</f>
        <v>0.65017612112927825</v>
      </c>
      <c r="T103" s="13">
        <f ca="1">IF(TTM!T103="","",IFERROR(MAX(MIN(TTM!T103,1),-0.3),""))</f>
        <v>1</v>
      </c>
      <c r="U103" s="11"/>
    </row>
    <row r="104" spans="1:21" ht="14">
      <c r="A104" s="14" t="s">
        <v>129</v>
      </c>
      <c r="B104" s="13">
        <f ca="1">IF(TTM!B104="","",IFERROR(MAX(MIN(TTM!B104,1),-0.3),""))</f>
        <v>0.68202622321073347</v>
      </c>
      <c r="C104" s="13">
        <f ca="1">IF(TTM!C104="","",IFERROR(MAX(MIN(TTM!C104,1),-0.3),""))</f>
        <v>1</v>
      </c>
      <c r="D104" s="13">
        <f ca="1">IF(TTM!D104="","",IFERROR(MAX(MIN(TTM!D104,1),-0.3),""))</f>
        <v>0.93960837804536357</v>
      </c>
      <c r="E104" s="13">
        <f ca="1">IF(TTM!E104="","",IFERROR(MAX(MIN(TTM!E104,1),-0.3),""))</f>
        <v>-7.7907424727609143E-2</v>
      </c>
      <c r="F104" s="13">
        <f ca="1">IF(TTM!F104="","",IFERROR(MAX(MIN(TTM!F104,1),-0.3),""))</f>
        <v>0.99718952734305843</v>
      </c>
      <c r="G104" s="13">
        <f ca="1">IF(TTM!G104="","",IFERROR(MAX(MIN(TTM!G104,1),-0.3),""))</f>
        <v>1</v>
      </c>
      <c r="H104" s="13">
        <f ca="1">IF(TTM!H104="","",IFERROR(MAX(MIN(TTM!H104,1),-0.3),""))</f>
        <v>1</v>
      </c>
      <c r="I104" s="13">
        <f ca="1">IF(TTM!I104="","",IFERROR(MAX(MIN(TTM!I104,1),-0.3),""))</f>
        <v>1</v>
      </c>
      <c r="J104" s="13">
        <f ca="1">IF(TTM!J104="","",IFERROR(MAX(MIN(TTM!J104,1),-0.3),""))</f>
        <v>1</v>
      </c>
      <c r="K104" s="13">
        <f>IF(TTM!K104="","",IFERROR(MAX(MIN(TTM!K104,1),-0.3),""))</f>
        <v>1</v>
      </c>
      <c r="L104" s="13">
        <f ca="1">IF(TTM!L104="","",IFERROR(MAX(MIN(TTM!L104,1),-0.3),""))</f>
        <v>1</v>
      </c>
      <c r="M104" s="13">
        <f ca="1">IF(TTM!M104="","",IFERROR(MAX(MIN(TTM!M104,1),-0.3),""))</f>
        <v>0.68142316443585349</v>
      </c>
      <c r="N104" s="13">
        <f ca="1">IF(TTM!N104="","",IFERROR(MAX(MIN(TTM!N104,1),-0.3),""))</f>
        <v>1</v>
      </c>
      <c r="O104" s="13">
        <f ca="1">IF(TTM!O104="","",IFERROR(MAX(MIN(TTM!O104,1),-0.3),""))</f>
        <v>1</v>
      </c>
      <c r="P104" s="13">
        <f ca="1">IF(TTM!P104="","",IFERROR(MAX(MIN(TTM!P104,1),-0.3),""))</f>
        <v>0.55482456140350878</v>
      </c>
      <c r="Q104" s="13" t="str">
        <f>IF(TTM!Q104="","",IFERROR(MAX(MIN(TTM!Q104,1),-0.3),""))</f>
        <v/>
      </c>
      <c r="R104" s="13">
        <f>IF(TTM!R104="","",IFERROR(MAX(MIN(TTM!R104,1),-0.3),""))</f>
        <v>0.60301992193500153</v>
      </c>
      <c r="S104" s="13">
        <f ca="1">IF(TTM!S104="","",IFERROR(MAX(MIN(TTM!S104,1),-0.3),""))</f>
        <v>0.57844510933778959</v>
      </c>
      <c r="T104" s="13">
        <f ca="1">IF(TTM!T104="","",IFERROR(MAX(MIN(TTM!T104,1),-0.3),""))</f>
        <v>1</v>
      </c>
      <c r="U104" s="11"/>
    </row>
    <row r="105" spans="1:21" ht="14">
      <c r="A105" s="14" t="s">
        <v>130</v>
      </c>
      <c r="B105" s="13">
        <f ca="1">IF(TTM!B105="","",IFERROR(MAX(MIN(TTM!B105,1),-0.3),""))</f>
        <v>0.58750722494026042</v>
      </c>
      <c r="C105" s="13">
        <f ca="1">IF(TTM!C105="","",IFERROR(MAX(MIN(TTM!C105,1),-0.3),""))</f>
        <v>1</v>
      </c>
      <c r="D105" s="13">
        <f ca="1">IF(TTM!D105="","",IFERROR(MAX(MIN(TTM!D105,1),-0.3),""))</f>
        <v>0.75270705167014262</v>
      </c>
      <c r="E105" s="13">
        <f ca="1">IF(TTM!E105="","",IFERROR(MAX(MIN(TTM!E105,1),-0.3),""))</f>
        <v>-4.4465713401735218E-2</v>
      </c>
      <c r="F105" s="13">
        <f ca="1">IF(TTM!F105="","",IFERROR(MAX(MIN(TTM!F105,1),-0.3),""))</f>
        <v>0.87424676949111435</v>
      </c>
      <c r="G105" s="13">
        <f ca="1">IF(TTM!G105="","",IFERROR(MAX(MIN(TTM!G105,1),-0.3),""))</f>
        <v>1</v>
      </c>
      <c r="H105" s="13">
        <f ca="1">IF(TTM!H105="","",IFERROR(MAX(MIN(TTM!H105,1),-0.3),""))</f>
        <v>1</v>
      </c>
      <c r="I105" s="13">
        <f ca="1">IF(TTM!I105="","",IFERROR(MAX(MIN(TTM!I105,1),-0.3),""))</f>
        <v>1</v>
      </c>
      <c r="J105" s="13">
        <f ca="1">IF(TTM!J105="","",IFERROR(MAX(MIN(TTM!J105,1),-0.3),""))</f>
        <v>1</v>
      </c>
      <c r="K105" s="13">
        <f>IF(TTM!K105="","",IFERROR(MAX(MIN(TTM!K105,1),-0.3),""))</f>
        <v>0.95057847236849247</v>
      </c>
      <c r="L105" s="13">
        <f ca="1">IF(TTM!L105="","",IFERROR(MAX(MIN(TTM!L105,1),-0.3),""))</f>
        <v>1</v>
      </c>
      <c r="M105" s="13">
        <f ca="1">IF(TTM!M105="","",IFERROR(MAX(MIN(TTM!M105,1),-0.3),""))</f>
        <v>0.81306813537753886</v>
      </c>
      <c r="N105" s="13">
        <f ca="1">IF(TTM!N105="","",IFERROR(MAX(MIN(TTM!N105,1),-0.3),""))</f>
        <v>1</v>
      </c>
      <c r="O105" s="13">
        <f ca="1">IF(TTM!O105="","",IFERROR(MAX(MIN(TTM!O105,1),-0.3),""))</f>
        <v>1</v>
      </c>
      <c r="P105" s="13">
        <f ca="1">IF(TTM!P105="","",IFERROR(MAX(MIN(TTM!P105,1),-0.3),""))</f>
        <v>0.79385964912280704</v>
      </c>
      <c r="Q105" s="13" t="str">
        <f>IF(TTM!Q105="","",IFERROR(MAX(MIN(TTM!Q105,1),-0.3),""))</f>
        <v/>
      </c>
      <c r="R105" s="13">
        <f>IF(TTM!R105="","",IFERROR(MAX(MIN(TTM!R105,1),-0.3),""))</f>
        <v>0.6815415019708051</v>
      </c>
      <c r="S105" s="13">
        <f ca="1">IF(TTM!S105="","",IFERROR(MAX(MIN(TTM!S105,1),-0.3),""))</f>
        <v>0.58568244648810674</v>
      </c>
      <c r="T105" s="13">
        <f ca="1">IF(TTM!T105="","",IFERROR(MAX(MIN(TTM!T105,1),-0.3),""))</f>
        <v>1</v>
      </c>
      <c r="U105" s="11"/>
    </row>
    <row r="106" spans="1:21" ht="14">
      <c r="A106" s="14" t="s">
        <v>131</v>
      </c>
      <c r="B106" s="13">
        <f ca="1">IF(TTM!B106="","",IFERROR(MAX(MIN(TTM!B106,1),-0.3),""))</f>
        <v>0.45192178047098924</v>
      </c>
      <c r="C106" s="13">
        <f ca="1">IF(TTM!C106="","",IFERROR(MAX(MIN(TTM!C106,1),-0.3),""))</f>
        <v>0.75061594900717266</v>
      </c>
      <c r="D106" s="13">
        <f ca="1">IF(TTM!D106="","",IFERROR(MAX(MIN(TTM!D106,1),-0.3),""))</f>
        <v>0.42060093628772854</v>
      </c>
      <c r="E106" s="13">
        <f ca="1">IF(TTM!E106="","",IFERROR(MAX(MIN(TTM!E106,1),-0.3),""))</f>
        <v>-3.7625000769770489E-2</v>
      </c>
      <c r="F106" s="13">
        <f ca="1">IF(TTM!F106="","",IFERROR(MAX(MIN(TTM!F106,1),-0.3),""))</f>
        <v>0.72207013477942461</v>
      </c>
      <c r="G106" s="13">
        <f ca="1">IF(TTM!G106="","",IFERROR(MAX(MIN(TTM!G106,1),-0.3),""))</f>
        <v>0.66981450081059146</v>
      </c>
      <c r="H106" s="13">
        <f ca="1">IF(TTM!H106="","",IFERROR(MAX(MIN(TTM!H106,1),-0.3),""))</f>
        <v>1</v>
      </c>
      <c r="I106" s="13">
        <f ca="1">IF(TTM!I106="","",IFERROR(MAX(MIN(TTM!I106,1),-0.3),""))</f>
        <v>0.80357650442253759</v>
      </c>
      <c r="J106" s="13">
        <f ca="1">IF(TTM!J106="","",IFERROR(MAX(MIN(TTM!J106,1),-0.3),""))</f>
        <v>1</v>
      </c>
      <c r="K106" s="13">
        <f>IF(TTM!K106="","",IFERROR(MAX(MIN(TTM!K106,1),-0.3),""))</f>
        <v>0.58277136232687865</v>
      </c>
      <c r="L106" s="13">
        <f ca="1">IF(TTM!L106="","",IFERROR(MAX(MIN(TTM!L106,1),-0.3),""))</f>
        <v>0.71934394950791392</v>
      </c>
      <c r="M106" s="13">
        <f ca="1">IF(TTM!M106="","",IFERROR(MAX(MIN(TTM!M106,1),-0.3),""))</f>
        <v>0.46819737197072286</v>
      </c>
      <c r="N106" s="13">
        <f ca="1">IF(TTM!N106="","",IFERROR(MAX(MIN(TTM!N106,1),-0.3),""))</f>
        <v>1</v>
      </c>
      <c r="O106" s="13">
        <f ca="1">IF(TTM!O106="","",IFERROR(MAX(MIN(TTM!O106,1),-0.3),""))</f>
        <v>1</v>
      </c>
      <c r="P106" s="13">
        <f ca="1">IF(TTM!P106="","",IFERROR(MAX(MIN(TTM!P106,1),-0.3),""))</f>
        <v>1</v>
      </c>
      <c r="Q106" s="13" t="str">
        <f>IF(TTM!Q106="","",IFERROR(MAX(MIN(TTM!Q106,1),-0.3),""))</f>
        <v/>
      </c>
      <c r="R106" s="13">
        <f>IF(TTM!R106="","",IFERROR(MAX(MIN(TTM!R106,1),-0.3),""))</f>
        <v>0.76006308200660855</v>
      </c>
      <c r="S106" s="13">
        <f ca="1">IF(TTM!S106="","",IFERROR(MAX(MIN(TTM!S106,1),-0.3),""))</f>
        <v>0.69462480062487408</v>
      </c>
      <c r="T106" s="13">
        <f ca="1">IF(TTM!T106="","",IFERROR(MAX(MIN(TTM!T106,1),-0.3),""))</f>
        <v>1</v>
      </c>
      <c r="U106" s="11"/>
    </row>
    <row r="107" spans="1:21" ht="14">
      <c r="A107" s="14" t="s">
        <v>132</v>
      </c>
      <c r="B107" s="13">
        <f ca="1">IF(TTM!B107="","",IFERROR(MAX(MIN(TTM!B107,1),-0.3),""))</f>
        <v>0.3278042327839617</v>
      </c>
      <c r="C107" s="13">
        <f ca="1">IF(TTM!C107="","",IFERROR(MAX(MIN(TTM!C107,1),-0.3),""))</f>
        <v>0.51058897335355358</v>
      </c>
      <c r="D107" s="13">
        <f ca="1">IF(TTM!D107="","",IFERROR(MAX(MIN(TTM!D107,1),-0.3),""))</f>
        <v>0.26559973011583976</v>
      </c>
      <c r="E107" s="13">
        <f ca="1">IF(TTM!E107="","",IFERROR(MAX(MIN(TTM!E107,1),-0.3),""))</f>
        <v>0.2205790711488107</v>
      </c>
      <c r="F107" s="13">
        <f ca="1">IF(TTM!F107="","",IFERROR(MAX(MIN(TTM!F107,1),-0.3),""))</f>
        <v>0.54355744316395893</v>
      </c>
      <c r="G107" s="13">
        <f ca="1">IF(TTM!G107="","",IFERROR(MAX(MIN(TTM!G107,1),-0.3),""))</f>
        <v>0.27776069786205099</v>
      </c>
      <c r="H107" s="13">
        <f ca="1">IF(TTM!H107="","",IFERROR(MAX(MIN(TTM!H107,1),-0.3),""))</f>
        <v>0.5487203261187914</v>
      </c>
      <c r="I107" s="13">
        <f ca="1">IF(TTM!I107="","",IFERROR(MAX(MIN(TTM!I107,1),-0.3),""))</f>
        <v>0.61451310974417728</v>
      </c>
      <c r="J107" s="13">
        <f ca="1">IF(TTM!J107="","",IFERROR(MAX(MIN(TTM!J107,1),-0.3),""))</f>
        <v>1</v>
      </c>
      <c r="K107" s="13">
        <f>IF(TTM!K107="","",IFERROR(MAX(MIN(TTM!K107,1),-0.3),""))</f>
        <v>0.21496425228526483</v>
      </c>
      <c r="L107" s="13">
        <f ca="1">IF(TTM!L107="","",IFERROR(MAX(MIN(TTM!L107,1),-0.3),""))</f>
        <v>0.54027134675582023</v>
      </c>
      <c r="M107" s="13">
        <f ca="1">IF(TTM!M107="","",IFERROR(MAX(MIN(TTM!M107,1),-0.3),""))</f>
        <v>0.34821164265151255</v>
      </c>
      <c r="N107" s="13">
        <f ca="1">IF(TTM!N107="","",IFERROR(MAX(MIN(TTM!N107,1),-0.3),""))</f>
        <v>0.90986535678834768</v>
      </c>
      <c r="O107" s="13">
        <f ca="1">IF(TTM!O107="","",IFERROR(MAX(MIN(TTM!O107,1),-0.3),""))</f>
        <v>1</v>
      </c>
      <c r="P107" s="13">
        <f ca="1">IF(TTM!P107="","",IFERROR(MAX(MIN(TTM!P107,1),-0.3),""))</f>
        <v>1</v>
      </c>
      <c r="Q107" s="13" t="str">
        <f>IF(TTM!Q107="","",IFERROR(MAX(MIN(TTM!Q107,1),-0.3),""))</f>
        <v/>
      </c>
      <c r="R107" s="13">
        <f ca="1">IF(TTM!R107="","",IFERROR(MAX(MIN(TTM!R107,1),-0.3),""))</f>
        <v>0.61875082670375692</v>
      </c>
      <c r="S107" s="13">
        <f ca="1">IF(TTM!S107="","",IFERROR(MAX(MIN(TTM!S107,1),-0.3),""))</f>
        <v>0.73202357899709447</v>
      </c>
      <c r="T107" s="13" t="str">
        <f ca="1">IF(TTM!T107="","",IFERROR(MAX(MIN(TTM!T107,1),-0.3),""))</f>
        <v/>
      </c>
      <c r="U107" s="11"/>
    </row>
    <row r="108" spans="1:21" ht="14">
      <c r="A108" s="14" t="s">
        <v>133</v>
      </c>
      <c r="B108" s="13">
        <f ca="1">IF(TTM!B108="","",IFERROR(MAX(MIN(TTM!B108,1),-0.3),""))</f>
        <v>0.22897162784344388</v>
      </c>
      <c r="C108" s="13">
        <f ca="1">IF(TTM!C108="","",IFERROR(MAX(MIN(TTM!C108,1),-0.3),""))</f>
        <v>0.33160009567755433</v>
      </c>
      <c r="D108" s="13">
        <f ca="1">IF(TTM!D108="","",IFERROR(MAX(MIN(TTM!D108,1),-0.3),""))</f>
        <v>0.15279325437336655</v>
      </c>
      <c r="E108" s="13">
        <f ca="1">IF(TTM!E108="","",IFERROR(MAX(MIN(TTM!E108,1),-0.3),""))</f>
        <v>0.70496047802576933</v>
      </c>
      <c r="F108" s="13">
        <f ca="1">IF(TTM!F108="","",IFERROR(MAX(MIN(TTM!F108,1),-0.3),""))</f>
        <v>0.39610349143172763</v>
      </c>
      <c r="G108" s="13">
        <f ca="1">IF(TTM!G108="","",IFERROR(MAX(MIN(TTM!G108,1),-0.3),""))</f>
        <v>0.11356821821189245</v>
      </c>
      <c r="H108" s="13">
        <f ca="1">IF(TTM!H108="","",IFERROR(MAX(MIN(TTM!H108,1),-0.3),""))</f>
        <v>0.286438169400067</v>
      </c>
      <c r="I108" s="13">
        <f ca="1">IF(TTM!I108="","",IFERROR(MAX(MIN(TTM!I108,1),-0.3),""))</f>
        <v>0.38952626643585075</v>
      </c>
      <c r="J108" s="13">
        <f ca="1">IF(TTM!J108="","",IFERROR(MAX(MIN(TTM!J108,1),-0.3),""))</f>
        <v>0.62063492665039177</v>
      </c>
      <c r="K108" s="13">
        <f>IF(TTM!K108="","",IFERROR(MAX(MIN(TTM!K108,1),-0.3),""))</f>
        <v>0.2381201026828948</v>
      </c>
      <c r="L108" s="13">
        <f ca="1">IF(TTM!L108="","",IFERROR(MAX(MIN(TTM!L108,1),-0.3),""))</f>
        <v>0.6093140636829083</v>
      </c>
      <c r="M108" s="13">
        <f ca="1">IF(TTM!M108="","",IFERROR(MAX(MIN(TTM!M108,1),-0.3),""))</f>
        <v>0.39882055978104763</v>
      </c>
      <c r="N108" s="13">
        <f ca="1">IF(TTM!N108="","",IFERROR(MAX(MIN(TTM!N108,1),-0.3),""))</f>
        <v>0.60911135894682422</v>
      </c>
      <c r="O108" s="13">
        <f ca="1">IF(TTM!O108="","",IFERROR(MAX(MIN(TTM!O108,1),-0.3),""))</f>
        <v>1</v>
      </c>
      <c r="P108" s="13">
        <f ca="1">IF(TTM!P108="","",IFERROR(MAX(MIN(TTM!P108,1),-0.3),""))</f>
        <v>1</v>
      </c>
      <c r="Q108" s="13" t="str">
        <f>IF(TTM!Q108="","",IFERROR(MAX(MIN(TTM!Q108,1),-0.3),""))</f>
        <v/>
      </c>
      <c r="R108" s="13">
        <f ca="1">IF(TTM!R108="","",IFERROR(MAX(MIN(TTM!R108,1),-0.3),""))</f>
        <v>0.48347298584936577</v>
      </c>
      <c r="S108" s="13">
        <f ca="1">IF(TTM!S108="","",IFERROR(MAX(MIN(TTM!S108,1),-0.3),""))</f>
        <v>0.69175833236868822</v>
      </c>
      <c r="T108" s="13">
        <f ca="1">IF(TTM!T108="","",IFERROR(MAX(MIN(TTM!T108,1),-0.3),""))</f>
        <v>0.18449503384020383</v>
      </c>
      <c r="U108" s="11"/>
    </row>
    <row r="109" spans="1:21" ht="14">
      <c r="A109" s="14" t="s">
        <v>134</v>
      </c>
      <c r="B109" s="13">
        <f ca="1">IF(TTM!B109="","",IFERROR(MAX(MIN(TTM!B109,1),-0.3),""))</f>
        <v>0.20110901608744602</v>
      </c>
      <c r="C109" s="13">
        <f ca="1">IF(TTM!C109="","",IFERROR(MAX(MIN(TTM!C109,1),-0.3),""))</f>
        <v>0.31127980480806111</v>
      </c>
      <c r="D109" s="13">
        <f ca="1">IF(TTM!D109="","",IFERROR(MAX(MIN(TTM!D109,1),-0.3),""))</f>
        <v>0.11875561280164076</v>
      </c>
      <c r="E109" s="13">
        <f ca="1">IF(TTM!E109="","",IFERROR(MAX(MIN(TTM!E109,1),-0.3),""))</f>
        <v>0.89977034192952954</v>
      </c>
      <c r="F109" s="13">
        <f ca="1">IF(TTM!F109="","",IFERROR(MAX(MIN(TTM!F109,1),-0.3),""))</f>
        <v>0.30769563103784509</v>
      </c>
      <c r="G109" s="13">
        <f ca="1">IF(TTM!G109="","",IFERROR(MAX(MIN(TTM!G109,1),-0.3),""))</f>
        <v>-2.9442978814619436E-3</v>
      </c>
      <c r="H109" s="13">
        <f ca="1">IF(TTM!H109="","",IFERROR(MAX(MIN(TTM!H109,1),-0.3),""))</f>
        <v>0.22353786504826229</v>
      </c>
      <c r="I109" s="13">
        <f ca="1">IF(TTM!I109="","",IFERROR(MAX(MIN(TTM!I109,1),-0.3),""))</f>
        <v>0.25873186754289562</v>
      </c>
      <c r="J109" s="13">
        <f ca="1">IF(TTM!J109="","",IFERROR(MAX(MIN(TTM!J109,1),-0.3),""))</f>
        <v>0.45566220805801833</v>
      </c>
      <c r="K109" s="13">
        <f>IF(TTM!K109="","",IFERROR(MAX(MIN(TTM!K109,1),-0.3),""))</f>
        <v>0.26127595308052476</v>
      </c>
      <c r="L109" s="13">
        <f ca="1">IF(TTM!L109="","",IFERROR(MAX(MIN(TTM!L109,1),-0.3),""))</f>
        <v>0.61586173336918226</v>
      </c>
      <c r="M109" s="13">
        <f ca="1">IF(TTM!M109="","",IFERROR(MAX(MIN(TTM!M109,1),-0.3),""))</f>
        <v>0.29894272831926805</v>
      </c>
      <c r="N109" s="13">
        <f ca="1">IF(TTM!N109="","",IFERROR(MAX(MIN(TTM!N109,1),-0.3),""))</f>
        <v>0.43493183199233254</v>
      </c>
      <c r="O109" s="13">
        <f ca="1">IF(TTM!O109="","",IFERROR(MAX(MIN(TTM!O109,1),-0.3),""))</f>
        <v>0.83153706978083242</v>
      </c>
      <c r="P109" s="13">
        <f ca="1">IF(TTM!P109="","",IFERROR(MAX(MIN(TTM!P109,1),-0.3),""))</f>
        <v>0.99589136631021447</v>
      </c>
      <c r="Q109" s="13" t="str">
        <f>IF(TTM!Q109="","",IFERROR(MAX(MIN(TTM!Q109,1),-0.3),""))</f>
        <v/>
      </c>
      <c r="R109" s="13">
        <f ca="1">IF(TTM!R109="","",IFERROR(MAX(MIN(TTM!R109,1),-0.3),""))</f>
        <v>0.31668209176412482</v>
      </c>
      <c r="S109" s="13">
        <f ca="1">IF(TTM!S109="","",IFERROR(MAX(MIN(TTM!S109,1),-0.3),""))</f>
        <v>0.55769620894774941</v>
      </c>
      <c r="T109" s="13">
        <f ca="1">IF(TTM!T109="","",IFERROR(MAX(MIN(TTM!T109,1),-0.3),""))</f>
        <v>0.15038591370976617</v>
      </c>
      <c r="U109" s="11"/>
    </row>
    <row r="110" spans="1:21" ht="14">
      <c r="A110" s="14" t="s">
        <v>135</v>
      </c>
      <c r="B110" s="13">
        <f ca="1">IF(TTM!B110="","",IFERROR(MAX(MIN(TTM!B110,1),-0.3),""))</f>
        <v>0.18230535601753362</v>
      </c>
      <c r="C110" s="13">
        <f ca="1">IF(TTM!C110="","",IFERROR(MAX(MIN(TTM!C110,1),-0.3),""))</f>
        <v>0.26709412119680753</v>
      </c>
      <c r="D110" s="13">
        <f ca="1">IF(TTM!D110="","",IFERROR(MAX(MIN(TTM!D110,1),-0.3),""))</f>
        <v>0.10725579766955656</v>
      </c>
      <c r="E110" s="13">
        <f ca="1">IF(TTM!E110="","",IFERROR(MAX(MIN(TTM!E110,1),-0.3),""))</f>
        <v>1</v>
      </c>
      <c r="F110" s="13">
        <f ca="1">IF(TTM!F110="","",IFERROR(MAX(MIN(TTM!F110,1),-0.3),""))</f>
        <v>0.21589944283895623</v>
      </c>
      <c r="G110" s="13">
        <f ca="1">IF(TTM!G110="","",IFERROR(MAX(MIN(TTM!G110,1),-0.3),""))</f>
        <v>-7.8602553856913393E-2</v>
      </c>
      <c r="H110" s="13">
        <f ca="1">IF(TTM!H110="","",IFERROR(MAX(MIN(TTM!H110,1),-0.3),""))</f>
        <v>0.1635490701375415</v>
      </c>
      <c r="I110" s="13">
        <f ca="1">IF(TTM!I110="","",IFERROR(MAX(MIN(TTM!I110,1),-0.3),""))</f>
        <v>0.31644054110134978</v>
      </c>
      <c r="J110" s="13">
        <f ca="1">IF(TTM!J110="","",IFERROR(MAX(MIN(TTM!J110,1),-0.3),""))</f>
        <v>0.39907945546493062</v>
      </c>
      <c r="K110" s="13">
        <f>IF(TTM!K110="","",IFERROR(MAX(MIN(TTM!K110,1),-0.3),""))</f>
        <v>0.28443180347815472</v>
      </c>
      <c r="L110" s="13">
        <f ca="1">IF(TTM!L110="","",IFERROR(MAX(MIN(TTM!L110,1),-0.3),""))</f>
        <v>0.57647903667034472</v>
      </c>
      <c r="M110" s="13">
        <f ca="1">IF(TTM!M110="","",IFERROR(MAX(MIN(TTM!M110,1),-0.3),""))</f>
        <v>0.66116928452653378</v>
      </c>
      <c r="N110" s="13">
        <f ca="1">IF(TTM!N110="","",IFERROR(MAX(MIN(TTM!N110,1),-0.3),""))</f>
        <v>0.45354224286753647</v>
      </c>
      <c r="O110" s="13">
        <f ca="1">IF(TTM!O110="","",IFERROR(MAX(MIN(TTM!O110,1),-0.3),""))</f>
        <v>0.56436615920320832</v>
      </c>
      <c r="P110" s="13">
        <f ca="1">IF(TTM!P110="","",IFERROR(MAX(MIN(TTM!P110,1),-0.3),""))</f>
        <v>0.5307642159736401</v>
      </c>
      <c r="Q110" s="13" t="str">
        <f>IF(TTM!Q110="","",IFERROR(MAX(MIN(TTM!Q110,1),-0.3),""))</f>
        <v/>
      </c>
      <c r="R110" s="13">
        <f ca="1">IF(TTM!R110="","",IFERROR(MAX(MIN(TTM!R110,1),-0.3),""))</f>
        <v>7.7142979050219773E-2</v>
      </c>
      <c r="S110" s="13">
        <f ca="1">IF(TTM!S110="","",IFERROR(MAX(MIN(TTM!S110,1),-0.3),""))</f>
        <v>0.28446270597046436</v>
      </c>
      <c r="T110" s="13">
        <f ca="1">IF(TTM!T110="","",IFERROR(MAX(MIN(TTM!T110,1),-0.3),""))</f>
        <v>0.1753191399802804</v>
      </c>
      <c r="U110" s="11"/>
    </row>
    <row r="111" spans="1:21" ht="14">
      <c r="A111" s="14" t="s">
        <v>136</v>
      </c>
      <c r="B111" s="13">
        <f ca="1">IF(TTM!B111="","",IFERROR(MAX(MIN(TTM!B111,1),-0.3),""))</f>
        <v>0.17565439334423022</v>
      </c>
      <c r="C111" s="13">
        <f ca="1">IF(TTM!C111="","",IFERROR(MAX(MIN(TTM!C111,1),-0.3),""))</f>
        <v>0.20878223154369424</v>
      </c>
      <c r="D111" s="13">
        <f ca="1">IF(TTM!D111="","",IFERROR(MAX(MIN(TTM!D111,1),-0.3),""))</f>
        <v>8.202615631133775E-2</v>
      </c>
      <c r="E111" s="13">
        <f ca="1">IF(TTM!E111="","",IFERROR(MAX(MIN(TTM!E111,1),-0.3),""))</f>
        <v>0.9413299066787737</v>
      </c>
      <c r="F111" s="13">
        <f ca="1">IF(TTM!F111="","",IFERROR(MAX(MIN(TTM!F111,1),-0.3),""))</f>
        <v>0.12806431598971446</v>
      </c>
      <c r="G111" s="13">
        <f ca="1">IF(TTM!G111="","",IFERROR(MAX(MIN(TTM!G111,1),-0.3),""))</f>
        <v>-0.12334702858596766</v>
      </c>
      <c r="H111" s="13">
        <f ca="1">IF(TTM!H111="","",IFERROR(MAX(MIN(TTM!H111,1),-0.3),""))</f>
        <v>0.12842740468210356</v>
      </c>
      <c r="I111" s="13">
        <f ca="1">IF(TTM!I111="","",IFERROR(MAX(MIN(TTM!I111,1),-0.3),""))</f>
        <v>0.23710592743893344</v>
      </c>
      <c r="J111" s="13">
        <f ca="1">IF(TTM!J111="","",IFERROR(MAX(MIN(TTM!J111,1),-0.3),""))</f>
        <v>0.32144271121348256</v>
      </c>
      <c r="K111" s="13">
        <f ca="1">IF(TTM!K111="","",IFERROR(MAX(MIN(TTM!K111,1),-0.3),""))</f>
        <v>0.3165038638109085</v>
      </c>
      <c r="L111" s="13">
        <f ca="1">IF(TTM!L111="","",IFERROR(MAX(MIN(TTM!L111,1),-0.3),""))</f>
        <v>0.45141512092622998</v>
      </c>
      <c r="M111" s="13">
        <f ca="1">IF(TTM!M111="","",IFERROR(MAX(MIN(TTM!M111,1),-0.3),""))</f>
        <v>0.64444556869479463</v>
      </c>
      <c r="N111" s="13">
        <f ca="1">IF(TTM!N111="","",IFERROR(MAX(MIN(TTM!N111,1),-0.3),""))</f>
        <v>0.40880252790953969</v>
      </c>
      <c r="O111" s="13">
        <f ca="1">IF(TTM!O111="","",IFERROR(MAX(MIN(TTM!O111,1),-0.3),""))</f>
        <v>0.29719524862558422</v>
      </c>
      <c r="P111" s="13">
        <f ca="1">IF(TTM!P111="","",IFERROR(MAX(MIN(TTM!P111,1),-0.3),""))</f>
        <v>6.5637065637065617E-2</v>
      </c>
      <c r="Q111" s="13" t="str">
        <f>IF(TTM!Q111="","",IFERROR(MAX(MIN(TTM!Q111,1),-0.3),""))</f>
        <v/>
      </c>
      <c r="R111" s="13">
        <f ca="1">IF(TTM!R111="","",IFERROR(MAX(MIN(TTM!R111,1),-0.3),""))</f>
        <v>-1.5829828376940358E-3</v>
      </c>
      <c r="S111" s="13">
        <f ca="1">IF(TTM!S111="","",IFERROR(MAX(MIN(TTM!S111,1),-0.3),""))</f>
        <v>0.13091389767859729</v>
      </c>
      <c r="T111" s="13">
        <f ca="1">IF(TTM!T111="","",IFERROR(MAX(MIN(TTM!T111,1),-0.3),""))</f>
        <v>0.10294692844883976</v>
      </c>
      <c r="U111" s="11"/>
    </row>
    <row r="112" spans="1:21" ht="14">
      <c r="A112" s="14" t="s">
        <v>137</v>
      </c>
      <c r="B112" s="13">
        <f ca="1">IF(TTM!B112="","",IFERROR(MAX(MIN(TTM!B112,1),-0.3),""))</f>
        <v>0.15708735974645271</v>
      </c>
      <c r="C112" s="13">
        <f ca="1">IF(TTM!C112="","",IFERROR(MAX(MIN(TTM!C112,1),-0.3),""))</f>
        <v>0.15895136811278654</v>
      </c>
      <c r="D112" s="13">
        <f ca="1">IF(TTM!D112="","",IFERROR(MAX(MIN(TTM!D112,1),-0.3),""))</f>
        <v>8.3005251778224542E-2</v>
      </c>
      <c r="E112" s="13">
        <f ca="1">IF(TTM!E112="","",IFERROR(MAX(MIN(TTM!E112,1),-0.3),""))</f>
        <v>0.57572834637771408</v>
      </c>
      <c r="F112" s="13">
        <f ca="1">IF(TTM!F112="","",IFERROR(MAX(MIN(TTM!F112,1),-0.3),""))</f>
        <v>8.3419465068831744E-2</v>
      </c>
      <c r="G112" s="13">
        <f ca="1">IF(TTM!G112="","",IFERROR(MAX(MIN(TTM!G112,1),-0.3),""))</f>
        <v>-0.10004548620783221</v>
      </c>
      <c r="H112" s="13">
        <f ca="1">IF(TTM!H112="","",IFERROR(MAX(MIN(TTM!H112,1),-0.3),""))</f>
        <v>0.11214857560299996</v>
      </c>
      <c r="I112" s="13">
        <f ca="1">IF(TTM!I112="","",IFERROR(MAX(MIN(TTM!I112,1),-0.3),""))</f>
        <v>0.2087463437211986</v>
      </c>
      <c r="J112" s="13">
        <f ca="1">IF(TTM!J112="","",IFERROR(MAX(MIN(TTM!J112,1),-0.3),""))</f>
        <v>0.30029932231098805</v>
      </c>
      <c r="K112" s="13">
        <f ca="1">IF(TTM!K112="","",IFERROR(MAX(MIN(TTM!K112,1),-0.3),""))</f>
        <v>0.27132447944625082</v>
      </c>
      <c r="L112" s="13">
        <f ca="1">IF(TTM!L112="","",IFERROR(MAX(MIN(TTM!L112,1),-0.3),""))</f>
        <v>0.3783661533761753</v>
      </c>
      <c r="M112" s="13">
        <f ca="1">IF(TTM!M112="","",IFERROR(MAX(MIN(TTM!M112,1),-0.3),""))</f>
        <v>0.69242943966253645</v>
      </c>
      <c r="N112" s="13">
        <f ca="1">IF(TTM!N112="","",IFERROR(MAX(MIN(TTM!N112,1),-0.3),""))</f>
        <v>0.4647265305768824</v>
      </c>
      <c r="O112" s="13" t="str">
        <f>IF(TTM!O112="","",IFERROR(MAX(MIN(TTM!O112,1),-0.3),""))</f>
        <v/>
      </c>
      <c r="P112" s="13">
        <f ca="1">IF(TTM!P112="","",IFERROR(MAX(MIN(TTM!P112,1),-0.3),""))</f>
        <v>8.3462560921577278E-2</v>
      </c>
      <c r="Q112" s="13" t="str">
        <f>IF(TTM!Q112="","",IFERROR(MAX(MIN(TTM!Q112,1),-0.3),""))</f>
        <v/>
      </c>
      <c r="R112" s="13">
        <f ca="1">IF(TTM!R112="","",IFERROR(MAX(MIN(TTM!R112,1),-0.3),""))</f>
        <v>-6.9247205114218002E-2</v>
      </c>
      <c r="S112" s="13">
        <f ca="1">IF(TTM!S112="","",IFERROR(MAX(MIN(TTM!S112,1),-0.3),""))</f>
        <v>9.0280307220563127E-2</v>
      </c>
      <c r="T112" s="13">
        <f ca="1">IF(TTM!T112="","",IFERROR(MAX(MIN(TTM!T112,1),-0.3),""))</f>
        <v>4.0739020389501168E-2</v>
      </c>
      <c r="U112" s="11"/>
    </row>
    <row r="113" spans="1:21" ht="14">
      <c r="A113" s="14" t="s">
        <v>138</v>
      </c>
      <c r="B113" s="13">
        <f ca="1">IF(TTM!B113="","",IFERROR(MAX(MIN(TTM!B113,1),-0.3),""))</f>
        <v>0.137313836397152</v>
      </c>
      <c r="C113" s="13">
        <f ca="1">IF(TTM!C113="","",IFERROR(MAX(MIN(TTM!C113,1),-0.3),""))</f>
        <v>0.12794262226908693</v>
      </c>
      <c r="D113" s="13">
        <f ca="1">IF(TTM!D113="","",IFERROR(MAX(MIN(TTM!D113,1),-0.3),""))</f>
        <v>6.9925950634990741E-2</v>
      </c>
      <c r="E113" s="13">
        <f ca="1">IF(TTM!E113="","",IFERROR(MAX(MIN(TTM!E113,1),-0.3),""))</f>
        <v>0.38980011497067418</v>
      </c>
      <c r="F113" s="13">
        <f ca="1">IF(TTM!F113="","",IFERROR(MAX(MIN(TTM!F113,1),-0.3),""))</f>
        <v>4.2645411023615576E-2</v>
      </c>
      <c r="G113" s="13">
        <f ca="1">IF(TTM!G113="","",IFERROR(MAX(MIN(TTM!G113,1),-0.3),""))</f>
        <v>-8.3529792736124653E-2</v>
      </c>
      <c r="H113" s="13">
        <f ca="1">IF(TTM!H113="","",IFERROR(MAX(MIN(TTM!H113,1),-0.3),""))</f>
        <v>6.3932896714927662E-2</v>
      </c>
      <c r="I113" s="13">
        <f ca="1">IF(TTM!I113="","",IFERROR(MAX(MIN(TTM!I113,1),-0.3),""))</f>
        <v>0.17511292224043312</v>
      </c>
      <c r="J113" s="13">
        <f ca="1">IF(TTM!J113="","",IFERROR(MAX(MIN(TTM!J113,1),-0.3),""))</f>
        <v>0.29168823083217338</v>
      </c>
      <c r="K113" s="13">
        <f ca="1">IF(TTM!K113="","",IFERROR(MAX(MIN(TTM!K113,1),-0.3),""))</f>
        <v>0.26680212615674231</v>
      </c>
      <c r="L113" s="13">
        <f ca="1">IF(TTM!L113="","",IFERROR(MAX(MIN(TTM!L113,1),-0.3),""))</f>
        <v>0.3399526437675191</v>
      </c>
      <c r="M113" s="13">
        <f ca="1">IF(TTM!M113="","",IFERROR(MAX(MIN(TTM!M113,1),-0.3),""))</f>
        <v>0.54860354652059073</v>
      </c>
      <c r="N113" s="13">
        <f ca="1">IF(TTM!N113="","",IFERROR(MAX(MIN(TTM!N113,1),-0.3),""))</f>
        <v>0.57226551444793328</v>
      </c>
      <c r="O113" s="13" t="str">
        <f>IF(TTM!O113="","",IFERROR(MAX(MIN(TTM!O113,1),-0.3),""))</f>
        <v/>
      </c>
      <c r="P113" s="13">
        <f ca="1">IF(TTM!P113="","",IFERROR(MAX(MIN(TTM!P113,1),-0.3),""))</f>
        <v>0.10128805620608894</v>
      </c>
      <c r="Q113" s="13" t="str">
        <f>IF(TTM!Q113="","",IFERROR(MAX(MIN(TTM!Q113,1),-0.3),""))</f>
        <v/>
      </c>
      <c r="R113" s="13">
        <f ca="1">IF(TTM!R113="","",IFERROR(MAX(MIN(TTM!R113,1),-0.3),""))</f>
        <v>-7.6521161285230399E-2</v>
      </c>
      <c r="S113" s="13">
        <f ca="1">IF(TTM!S113="","",IFERROR(MAX(MIN(TTM!S113,1),-0.3),""))</f>
        <v>2.5603166852341042E-2</v>
      </c>
      <c r="T113" s="13">
        <f ca="1">IF(TTM!T113="","",IFERROR(MAX(MIN(TTM!T113,1),-0.3),""))</f>
        <v>0.38017047960098216</v>
      </c>
      <c r="U113" s="11"/>
    </row>
    <row r="114" spans="1:21" ht="14">
      <c r="A114" s="14" t="s">
        <v>139</v>
      </c>
      <c r="B114" s="13">
        <f ca="1">IF(TTM!B114="","",IFERROR(MAX(MIN(TTM!B114,1),-0.3),""))</f>
        <v>0.12904905738985528</v>
      </c>
      <c r="C114" s="13">
        <f ca="1">IF(TTM!C114="","",IFERROR(MAX(MIN(TTM!C114,1),-0.3),""))</f>
        <v>0.11740184197770231</v>
      </c>
      <c r="D114" s="13">
        <f ca="1">IF(TTM!D114="","",IFERROR(MAX(MIN(TTM!D114,1),-0.3),""))</f>
        <v>6.5552903739061197E-2</v>
      </c>
      <c r="E114" s="13">
        <f ca="1">IF(TTM!E114="","",IFERROR(MAX(MIN(TTM!E114,1),-0.3),""))</f>
        <v>0.2941923774954629</v>
      </c>
      <c r="F114" s="13">
        <f ca="1">IF(TTM!F114="","",IFERROR(MAX(MIN(TTM!F114,1),-0.3),""))</f>
        <v>3.5388127853881235E-2</v>
      </c>
      <c r="G114" s="13">
        <f ca="1">IF(TTM!G114="","",IFERROR(MAX(MIN(TTM!G114,1),-0.3),""))</f>
        <v>-8.1192558352384259E-2</v>
      </c>
      <c r="H114" s="13">
        <f ca="1">IF(TTM!H114="","",IFERROR(MAX(MIN(TTM!H114,1),-0.3),""))</f>
        <v>5.8920342330480491E-2</v>
      </c>
      <c r="I114" s="13">
        <f ca="1">IF(TTM!I114="","",IFERROR(MAX(MIN(TTM!I114,1),-0.3),""))</f>
        <v>0.16736922205432236</v>
      </c>
      <c r="J114" s="13">
        <f ca="1">IF(TTM!J114="","",IFERROR(MAX(MIN(TTM!J114,1),-0.3),""))</f>
        <v>0.28948675617631148</v>
      </c>
      <c r="K114" s="13">
        <f ca="1">IF(TTM!K114="","",IFERROR(MAX(MIN(TTM!K114,1),-0.3),""))</f>
        <v>0.25898870379607053</v>
      </c>
      <c r="L114" s="13">
        <f ca="1">IF(TTM!L114="","",IFERROR(MAX(MIN(TTM!L114,1),-0.3),""))</f>
        <v>0.33384010146624576</v>
      </c>
      <c r="M114" s="13">
        <f ca="1">IF(TTM!M114="","",IFERROR(MAX(MIN(TTM!M114,1),-0.3),""))</f>
        <v>0.46655974521354926</v>
      </c>
      <c r="N114" s="13">
        <f ca="1">IF(TTM!N114="","",IFERROR(MAX(MIN(TTM!N114,1),-0.3),""))</f>
        <v>0.58886494252873578</v>
      </c>
      <c r="O114" s="13" t="str">
        <f>IF(TTM!O114="","",IFERROR(MAX(MIN(TTM!O114,1),-0.3),""))</f>
        <v/>
      </c>
      <c r="P114" s="13">
        <f ca="1">IF(TTM!P114="","",IFERROR(MAX(MIN(TTM!P114,1),-0.3),""))</f>
        <v>0.10099188458070341</v>
      </c>
      <c r="Q114" s="13" t="str">
        <f>IF(TTM!Q114="","",IFERROR(MAX(MIN(TTM!Q114,1),-0.3),""))</f>
        <v/>
      </c>
      <c r="R114" s="13">
        <f ca="1">IF(TTM!R114="","",IFERROR(MAX(MIN(TTM!R114,1),-0.3),""))</f>
        <v>-7.4306257176824819E-2</v>
      </c>
      <c r="S114" s="13">
        <f ca="1">IF(TTM!S114="","",IFERROR(MAX(MIN(TTM!S114,1),-0.3),""))</f>
        <v>2.178034257272099E-2</v>
      </c>
      <c r="T114" s="13">
        <f ca="1">IF(TTM!T114="","",IFERROR(MAX(MIN(TTM!T114,1),-0.3),""))</f>
        <v>0.33269081732011196</v>
      </c>
      <c r="U114" s="11"/>
    </row>
    <row r="115" spans="1:21" ht="14">
      <c r="A115" s="1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1"/>
    </row>
    <row r="116" spans="1:21" ht="30">
      <c r="A116" s="12" t="s">
        <v>140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1"/>
    </row>
    <row r="117" spans="1:21" ht="14">
      <c r="A117" s="14" t="s">
        <v>28</v>
      </c>
      <c r="B117" s="13" t="str">
        <f>IF(TTM!B117="","",IFERROR(MAX(MIN(TTM!B117,0.5),-0.5),""))</f>
        <v/>
      </c>
      <c r="C117" s="13" t="str">
        <f>IF(TTM!C117="","",IFERROR(MAX(MIN(TTM!C117,0.5),-0.5),""))</f>
        <v/>
      </c>
      <c r="D117" s="13" t="str">
        <f>IF(TTM!D117="","",IFERROR(MAX(MIN(TTM!D117,0.5),-0.5),""))</f>
        <v/>
      </c>
      <c r="E117" s="13" t="str">
        <f>IF(TTM!E117="","",IFERROR(MAX(MIN(TTM!E117,0.5),-0.5),""))</f>
        <v/>
      </c>
      <c r="F117" s="13" t="str">
        <f>IF(TTM!F117="","",IFERROR(MAX(MIN(TTM!F117,0.5),-0.5),""))</f>
        <v/>
      </c>
      <c r="G117" s="13" t="str">
        <f>IF(TTM!G117="","",IFERROR(MAX(MIN(TTM!G117,0.5),-0.5),""))</f>
        <v/>
      </c>
      <c r="H117" s="13" t="str">
        <f>IF(TTM!H117="","",IFERROR(MAX(MIN(TTM!H117,0.5),-0.5),""))</f>
        <v/>
      </c>
      <c r="I117" s="13" t="str">
        <f>IF(TTM!I117="","",IFERROR(MAX(MIN(TTM!I117,0.5),-0.5),""))</f>
        <v/>
      </c>
      <c r="J117" s="13" t="str">
        <f>IF(TTM!J117="","",IFERROR(MAX(MIN(TTM!J117,0.5),-0.5),""))</f>
        <v/>
      </c>
      <c r="K117" s="13" t="str">
        <f>IF(TTM!K117="","",IFERROR(MAX(MIN(TTM!K117,0.5),-0.5),""))</f>
        <v/>
      </c>
      <c r="L117" s="13" t="str">
        <f>IF(TTM!L117="","",IFERROR(MAX(MIN(TTM!L117,0.5),-0.5),""))</f>
        <v/>
      </c>
      <c r="M117" s="13" t="str">
        <f>IF(TTM!M117="","",IFERROR(MAX(MIN(TTM!M117,0.5),-0.5),""))</f>
        <v/>
      </c>
      <c r="N117" s="13" t="str">
        <f>IF(TTM!N117="","",IFERROR(MAX(MIN(TTM!N117,0.5),-0.5),""))</f>
        <v/>
      </c>
      <c r="O117" s="13" t="str">
        <f>IF(TTM!O117="","",IFERROR(MAX(MIN(TTM!O117,0.5),-0.5),""))</f>
        <v/>
      </c>
      <c r="P117" s="13" t="str">
        <f>IF(TTM!P117="","",IFERROR(MAX(MIN(TTM!P117,0.5),-0.5),""))</f>
        <v/>
      </c>
      <c r="Q117" s="13" t="str">
        <f>IF(TTM!Q117="","",IFERROR(MAX(MIN(TTM!Q117,0.5),-0.5),""))</f>
        <v/>
      </c>
      <c r="R117" s="13" t="str">
        <f>IF(TTM!R117="","",IFERROR(MAX(MIN(TTM!R117,0.5),-0.5),""))</f>
        <v/>
      </c>
      <c r="S117" s="13" t="str">
        <f>IF(TTM!S117="","",IFERROR(MAX(MIN(TTM!S117,0.5),-0.5),""))</f>
        <v/>
      </c>
      <c r="T117" s="13" t="str">
        <f>IF(TTM!T117="","",IFERROR(MAX(MIN(TTM!T117,0.5),-0.5),""))</f>
        <v/>
      </c>
      <c r="U117" s="11"/>
    </row>
    <row r="118" spans="1:21" ht="14">
      <c r="A118" s="14" t="s">
        <v>29</v>
      </c>
      <c r="B118" s="13" t="str">
        <f>IF(TTM!B118="","",IFERROR(MAX(MIN(TTM!B118,0.5),-0.5),""))</f>
        <v/>
      </c>
      <c r="C118" s="13" t="str">
        <f>IF(TTM!C118="","",IFERROR(MAX(MIN(TTM!C118,0.5),-0.5),""))</f>
        <v/>
      </c>
      <c r="D118" s="13" t="str">
        <f>IF(TTM!D118="","",IFERROR(MAX(MIN(TTM!D118,0.5),-0.5),""))</f>
        <v/>
      </c>
      <c r="E118" s="13" t="str">
        <f>IF(TTM!E118="","",IFERROR(MAX(MIN(TTM!E118,0.5),-0.5),""))</f>
        <v/>
      </c>
      <c r="F118" s="13" t="str">
        <f>IF(TTM!F118="","",IFERROR(MAX(MIN(TTM!F118,0.5),-0.5),""))</f>
        <v/>
      </c>
      <c r="G118" s="13" t="str">
        <f>IF(TTM!G118="","",IFERROR(MAX(MIN(TTM!G118,0.5),-0.5),""))</f>
        <v/>
      </c>
      <c r="H118" s="13" t="str">
        <f>IF(TTM!H118="","",IFERROR(MAX(MIN(TTM!H118,0.5),-0.5),""))</f>
        <v/>
      </c>
      <c r="I118" s="13" t="str">
        <f>IF(TTM!I118="","",IFERROR(MAX(MIN(TTM!I118,0.5),-0.5),""))</f>
        <v/>
      </c>
      <c r="J118" s="13" t="str">
        <f>IF(TTM!J118="","",IFERROR(MAX(MIN(TTM!J118,0.5),-0.5),""))</f>
        <v/>
      </c>
      <c r="K118" s="13" t="str">
        <f>IF(TTM!K118="","",IFERROR(MAX(MIN(TTM!K118,0.5),-0.5),""))</f>
        <v/>
      </c>
      <c r="L118" s="13" t="str">
        <f>IF(TTM!L118="","",IFERROR(MAX(MIN(TTM!L118,0.5),-0.5),""))</f>
        <v/>
      </c>
      <c r="M118" s="13" t="str">
        <f>IF(TTM!M118="","",IFERROR(MAX(MIN(TTM!M118,0.5),-0.5),""))</f>
        <v/>
      </c>
      <c r="N118" s="13" t="str">
        <f>IF(TTM!N118="","",IFERROR(MAX(MIN(TTM!N118,0.5),-0.5),""))</f>
        <v/>
      </c>
      <c r="O118" s="13" t="str">
        <f>IF(TTM!O118="","",IFERROR(MAX(MIN(TTM!O118,0.5),-0.5),""))</f>
        <v/>
      </c>
      <c r="P118" s="13" t="str">
        <f>IF(TTM!P118="","",IFERROR(MAX(MIN(TTM!P118,0.5),-0.5),""))</f>
        <v/>
      </c>
      <c r="Q118" s="13" t="str">
        <f>IF(TTM!Q118="","",IFERROR(MAX(MIN(TTM!Q118,0.5),-0.5),""))</f>
        <v/>
      </c>
      <c r="R118" s="13" t="str">
        <f>IF(TTM!R118="","",IFERROR(MAX(MIN(TTM!R118,0.5),-0.5),""))</f>
        <v/>
      </c>
      <c r="S118" s="13" t="str">
        <f>IF(TTM!S118="","",IFERROR(MAX(MIN(TTM!S118,0.5),-0.5),""))</f>
        <v/>
      </c>
      <c r="T118" s="13" t="str">
        <f>IF(TTM!T118="","",IFERROR(MAX(MIN(TTM!T118,0.5),-0.5),""))</f>
        <v/>
      </c>
      <c r="U118" s="11"/>
    </row>
    <row r="119" spans="1:21" ht="14">
      <c r="A119" s="14" t="s">
        <v>30</v>
      </c>
      <c r="B119" s="13" t="str">
        <f>IF(TTM!B119="","",IFERROR(MAX(MIN(TTM!B119,0.5),-0.5),""))</f>
        <v/>
      </c>
      <c r="C119" s="13" t="str">
        <f>IF(TTM!C119="","",IFERROR(MAX(MIN(TTM!C119,0.5),-0.5),""))</f>
        <v/>
      </c>
      <c r="D119" s="13" t="str">
        <f>IF(TTM!D119="","",IFERROR(MAX(MIN(TTM!D119,0.5),-0.5),""))</f>
        <v/>
      </c>
      <c r="E119" s="13" t="str">
        <f>IF(TTM!E119="","",IFERROR(MAX(MIN(TTM!E119,0.5),-0.5),""))</f>
        <v/>
      </c>
      <c r="F119" s="13" t="str">
        <f>IF(TTM!F119="","",IFERROR(MAX(MIN(TTM!F119,0.5),-0.5),""))</f>
        <v/>
      </c>
      <c r="G119" s="13" t="str">
        <f>IF(TTM!G119="","",IFERROR(MAX(MIN(TTM!G119,0.5),-0.5),""))</f>
        <v/>
      </c>
      <c r="H119" s="13" t="str">
        <f>IF(TTM!H119="","",IFERROR(MAX(MIN(TTM!H119,0.5),-0.5),""))</f>
        <v/>
      </c>
      <c r="I119" s="13" t="str">
        <f>IF(TTM!I119="","",IFERROR(MAX(MIN(TTM!I119,0.5),-0.5),""))</f>
        <v/>
      </c>
      <c r="J119" s="13" t="str">
        <f>IF(TTM!J119="","",IFERROR(MAX(MIN(TTM!J119,0.5),-0.5),""))</f>
        <v/>
      </c>
      <c r="K119" s="13" t="str">
        <f>IF(TTM!K119="","",IFERROR(MAX(MIN(TTM!K119,0.5),-0.5),""))</f>
        <v/>
      </c>
      <c r="L119" s="13" t="str">
        <f>IF(TTM!L119="","",IFERROR(MAX(MIN(TTM!L119,0.5),-0.5),""))</f>
        <v/>
      </c>
      <c r="M119" s="13" t="str">
        <f>IF(TTM!M119="","",IFERROR(MAX(MIN(TTM!M119,0.5),-0.5),""))</f>
        <v/>
      </c>
      <c r="N119" s="13" t="str">
        <f>IF(TTM!N119="","",IFERROR(MAX(MIN(TTM!N119,0.5),-0.5),""))</f>
        <v/>
      </c>
      <c r="O119" s="13" t="str">
        <f>IF(TTM!O119="","",IFERROR(MAX(MIN(TTM!O119,0.5),-0.5),""))</f>
        <v/>
      </c>
      <c r="P119" s="13" t="str">
        <f>IF(TTM!P119="","",IFERROR(MAX(MIN(TTM!P119,0.5),-0.5),""))</f>
        <v/>
      </c>
      <c r="Q119" s="13" t="str">
        <f>IF(TTM!Q119="","",IFERROR(MAX(MIN(TTM!Q119,0.5),-0.5),""))</f>
        <v/>
      </c>
      <c r="R119" s="13" t="str">
        <f>IF(TTM!R119="","",IFERROR(MAX(MIN(TTM!R119,0.5),-0.5),""))</f>
        <v/>
      </c>
      <c r="S119" s="13" t="str">
        <f>IF(TTM!S119="","",IFERROR(MAX(MIN(TTM!S119,0.5),-0.5),""))</f>
        <v/>
      </c>
      <c r="T119" s="13" t="str">
        <f>IF(TTM!T119="","",IFERROR(MAX(MIN(TTM!T119,0.5),-0.5),""))</f>
        <v/>
      </c>
      <c r="U119" s="11"/>
    </row>
    <row r="120" spans="1:21" ht="14">
      <c r="A120" s="14" t="s">
        <v>31</v>
      </c>
      <c r="B120" s="13" t="str">
        <f>IF(TTM!B120="","",IFERROR(MAX(MIN(TTM!B120,0.5),-0.5),""))</f>
        <v/>
      </c>
      <c r="C120" s="13" t="str">
        <f>IF(TTM!C120="","",IFERROR(MAX(MIN(TTM!C120,0.5),-0.5),""))</f>
        <v/>
      </c>
      <c r="D120" s="13" t="str">
        <f>IF(TTM!D120="","",IFERROR(MAX(MIN(TTM!D120,0.5),-0.5),""))</f>
        <v/>
      </c>
      <c r="E120" s="13" t="str">
        <f>IF(TTM!E120="","",IFERROR(MAX(MIN(TTM!E120,0.5),-0.5),""))</f>
        <v/>
      </c>
      <c r="F120" s="13" t="str">
        <f>IF(TTM!F120="","",IFERROR(MAX(MIN(TTM!F120,0.5),-0.5),""))</f>
        <v/>
      </c>
      <c r="G120" s="13" t="str">
        <f>IF(TTM!G120="","",IFERROR(MAX(MIN(TTM!G120,0.5),-0.5),""))</f>
        <v/>
      </c>
      <c r="H120" s="13" t="str">
        <f>IF(TTM!H120="","",IFERROR(MAX(MIN(TTM!H120,0.5),-0.5),""))</f>
        <v/>
      </c>
      <c r="I120" s="13" t="str">
        <f>IF(TTM!I120="","",IFERROR(MAX(MIN(TTM!I120,0.5),-0.5),""))</f>
        <v/>
      </c>
      <c r="J120" s="13" t="str">
        <f>IF(TTM!J120="","",IFERROR(MAX(MIN(TTM!J120,0.5),-0.5),""))</f>
        <v/>
      </c>
      <c r="K120" s="13" t="str">
        <f>IF(TTM!K120="","",IFERROR(MAX(MIN(TTM!K120,0.5),-0.5),""))</f>
        <v/>
      </c>
      <c r="L120" s="13" t="str">
        <f>IF(TTM!L120="","",IFERROR(MAX(MIN(TTM!L120,0.5),-0.5),""))</f>
        <v/>
      </c>
      <c r="M120" s="13" t="str">
        <f>IF(TTM!M120="","",IFERROR(MAX(MIN(TTM!M120,0.5),-0.5),""))</f>
        <v/>
      </c>
      <c r="N120" s="13" t="str">
        <f>IF(TTM!N120="","",IFERROR(MAX(MIN(TTM!N120,0.5),-0.5),""))</f>
        <v/>
      </c>
      <c r="O120" s="13" t="str">
        <f>IF(TTM!O120="","",IFERROR(MAX(MIN(TTM!O120,0.5),-0.5),""))</f>
        <v/>
      </c>
      <c r="P120" s="13" t="str">
        <f>IF(TTM!P120="","",IFERROR(MAX(MIN(TTM!P120,0.5),-0.5),""))</f>
        <v/>
      </c>
      <c r="Q120" s="13" t="str">
        <f>IF(TTM!Q120="","",IFERROR(MAX(MIN(TTM!Q120,0.5),-0.5),""))</f>
        <v/>
      </c>
      <c r="R120" s="13" t="str">
        <f>IF(TTM!R120="","",IFERROR(MAX(MIN(TTM!R120,0.5),-0.5),""))</f>
        <v/>
      </c>
      <c r="S120" s="13" t="str">
        <f>IF(TTM!S120="","",IFERROR(MAX(MIN(TTM!S120,0.5),-0.5),""))</f>
        <v/>
      </c>
      <c r="T120" s="13" t="str">
        <f>IF(TTM!T120="","",IFERROR(MAX(MIN(TTM!T120,0.5),-0.5),""))</f>
        <v/>
      </c>
      <c r="U120" s="11"/>
    </row>
    <row r="121" spans="1:21" ht="14">
      <c r="A121" s="14" t="s">
        <v>32</v>
      </c>
      <c r="B121" s="13" t="str">
        <f>IF(TTM!B121="","",IFERROR(MAX(MIN(TTM!B121,0.5),-0.5),""))</f>
        <v/>
      </c>
      <c r="C121" s="13" t="str">
        <f>IF(TTM!C121="","",IFERROR(MAX(MIN(TTM!C121,0.5),-0.5),""))</f>
        <v/>
      </c>
      <c r="D121" s="13">
        <f>IF(TTM!D121="","",IFERROR(MAX(MIN(TTM!D121,0.5),-0.5),""))</f>
        <v>-0.5</v>
      </c>
      <c r="E121" s="13" t="str">
        <f>IF(TTM!E121="","",IFERROR(MAX(MIN(TTM!E121,0.5),-0.5),""))</f>
        <v/>
      </c>
      <c r="F121" s="13" t="str">
        <f>IF(TTM!F121="","",IFERROR(MAX(MIN(TTM!F121,0.5),-0.5),""))</f>
        <v/>
      </c>
      <c r="G121" s="13" t="str">
        <f>IF(TTM!G121="","",IFERROR(MAX(MIN(TTM!G121,0.5),-0.5),""))</f>
        <v/>
      </c>
      <c r="H121" s="13" t="str">
        <f>IF(TTM!H121="","",IFERROR(MAX(MIN(TTM!H121,0.5),-0.5),""))</f>
        <v/>
      </c>
      <c r="I121" s="13" t="str">
        <f>IF(TTM!I121="","",IFERROR(MAX(MIN(TTM!I121,0.5),-0.5),""))</f>
        <v/>
      </c>
      <c r="J121" s="13" t="str">
        <f>IF(TTM!J121="","",IFERROR(MAX(MIN(TTM!J121,0.5),-0.5),""))</f>
        <v/>
      </c>
      <c r="K121" s="13" t="str">
        <f>IF(TTM!K121="","",IFERROR(MAX(MIN(TTM!K121,0.5),-0.5),""))</f>
        <v/>
      </c>
      <c r="L121" s="13" t="str">
        <f>IF(TTM!L121="","",IFERROR(MAX(MIN(TTM!L121,0.5),-0.5),""))</f>
        <v/>
      </c>
      <c r="M121" s="13" t="str">
        <f>IF(TTM!M121="","",IFERROR(MAX(MIN(TTM!M121,0.5),-0.5),""))</f>
        <v/>
      </c>
      <c r="N121" s="13" t="str">
        <f>IF(TTM!N121="","",IFERROR(MAX(MIN(TTM!N121,0.5),-0.5),""))</f>
        <v/>
      </c>
      <c r="O121" s="13" t="str">
        <f>IF(TTM!O121="","",IFERROR(MAX(MIN(TTM!O121,0.5),-0.5),""))</f>
        <v/>
      </c>
      <c r="P121" s="13" t="str">
        <f>IF(TTM!P121="","",IFERROR(MAX(MIN(TTM!P121,0.5),-0.5),""))</f>
        <v/>
      </c>
      <c r="Q121" s="13" t="str">
        <f>IF(TTM!Q121="","",IFERROR(MAX(MIN(TTM!Q121,0.5),-0.5),""))</f>
        <v/>
      </c>
      <c r="R121" s="13" t="str">
        <f>IF(TTM!R121="","",IFERROR(MAX(MIN(TTM!R121,0.5),-0.5),""))</f>
        <v/>
      </c>
      <c r="S121" s="13" t="str">
        <f>IF(TTM!S121="","",IFERROR(MAX(MIN(TTM!S121,0.5),-0.5),""))</f>
        <v/>
      </c>
      <c r="T121" s="13" t="str">
        <f>IF(TTM!T121="","",IFERROR(MAX(MIN(TTM!T121,0.5),-0.5),""))</f>
        <v/>
      </c>
      <c r="U121" s="11"/>
    </row>
    <row r="122" spans="1:21" ht="14">
      <c r="A122" s="14" t="s">
        <v>33</v>
      </c>
      <c r="B122" s="13" t="str">
        <f>IF(TTM!B122="","",IFERROR(MAX(MIN(TTM!B122,0.5),-0.5),""))</f>
        <v/>
      </c>
      <c r="C122" s="13" t="str">
        <f>IF(TTM!C122="","",IFERROR(MAX(MIN(TTM!C122,0.5),-0.5),""))</f>
        <v/>
      </c>
      <c r="D122" s="13">
        <f>IF(TTM!D122="","",IFERROR(MAX(MIN(TTM!D122,0.5),-0.5),""))</f>
        <v>-0.5</v>
      </c>
      <c r="E122" s="13" t="str">
        <f>IF(TTM!E122="","",IFERROR(MAX(MIN(TTM!E122,0.5),-0.5),""))</f>
        <v/>
      </c>
      <c r="F122" s="13" t="str">
        <f>IF(TTM!F122="","",IFERROR(MAX(MIN(TTM!F122,0.5),-0.5),""))</f>
        <v/>
      </c>
      <c r="G122" s="13" t="str">
        <f>IF(TTM!G122="","",IFERROR(MAX(MIN(TTM!G122,0.5),-0.5),""))</f>
        <v/>
      </c>
      <c r="H122" s="13" t="str">
        <f>IF(TTM!H122="","",IFERROR(MAX(MIN(TTM!H122,0.5),-0.5),""))</f>
        <v/>
      </c>
      <c r="I122" s="13" t="str">
        <f>IF(TTM!I122="","",IFERROR(MAX(MIN(TTM!I122,0.5),-0.5),""))</f>
        <v/>
      </c>
      <c r="J122" s="13" t="str">
        <f>IF(TTM!J122="","",IFERROR(MAX(MIN(TTM!J122,0.5),-0.5),""))</f>
        <v/>
      </c>
      <c r="K122" s="13" t="str">
        <f>IF(TTM!K122="","",IFERROR(MAX(MIN(TTM!K122,0.5),-0.5),""))</f>
        <v/>
      </c>
      <c r="L122" s="13" t="str">
        <f>IF(TTM!L122="","",IFERROR(MAX(MIN(TTM!L122,0.5),-0.5),""))</f>
        <v/>
      </c>
      <c r="M122" s="13" t="str">
        <f>IF(TTM!M122="","",IFERROR(MAX(MIN(TTM!M122,0.5),-0.5),""))</f>
        <v/>
      </c>
      <c r="N122" s="13" t="str">
        <f>IF(TTM!N122="","",IFERROR(MAX(MIN(TTM!N122,0.5),-0.5),""))</f>
        <v/>
      </c>
      <c r="O122" s="13" t="str">
        <f>IF(TTM!O122="","",IFERROR(MAX(MIN(TTM!O122,0.5),-0.5),""))</f>
        <v/>
      </c>
      <c r="P122" s="13" t="str">
        <f>IF(TTM!P122="","",IFERROR(MAX(MIN(TTM!P122,0.5),-0.5),""))</f>
        <v/>
      </c>
      <c r="Q122" s="13" t="str">
        <f>IF(TTM!Q122="","",IFERROR(MAX(MIN(TTM!Q122,0.5),-0.5),""))</f>
        <v/>
      </c>
      <c r="R122" s="13" t="str">
        <f>IF(TTM!R122="","",IFERROR(MAX(MIN(TTM!R122,0.5),-0.5),""))</f>
        <v/>
      </c>
      <c r="S122" s="13" t="str">
        <f>IF(TTM!S122="","",IFERROR(MAX(MIN(TTM!S122,0.5),-0.5),""))</f>
        <v/>
      </c>
      <c r="T122" s="13" t="str">
        <f>IF(TTM!T122="","",IFERROR(MAX(MIN(TTM!T122,0.5),-0.5),""))</f>
        <v/>
      </c>
      <c r="U122" s="11"/>
    </row>
    <row r="123" spans="1:21" ht="14">
      <c r="A123" s="14" t="s">
        <v>34</v>
      </c>
      <c r="B123" s="13" t="str">
        <f>IF(TTM!B123="","",IFERROR(MAX(MIN(TTM!B123,0.5),-0.5),""))</f>
        <v/>
      </c>
      <c r="C123" s="13" t="str">
        <f>IF(TTM!C123="","",IFERROR(MAX(MIN(TTM!C123,0.5),-0.5),""))</f>
        <v/>
      </c>
      <c r="D123" s="13">
        <f>IF(TTM!D123="","",IFERROR(MAX(MIN(TTM!D123,0.5),-0.5),""))</f>
        <v>-0.5</v>
      </c>
      <c r="E123" s="13" t="str">
        <f>IF(TTM!E123="","",IFERROR(MAX(MIN(TTM!E123,0.5),-0.5),""))</f>
        <v/>
      </c>
      <c r="F123" s="13" t="str">
        <f>IF(TTM!F123="","",IFERROR(MAX(MIN(TTM!F123,0.5),-0.5),""))</f>
        <v/>
      </c>
      <c r="G123" s="13" t="str">
        <f>IF(TTM!G123="","",IFERROR(MAX(MIN(TTM!G123,0.5),-0.5),""))</f>
        <v/>
      </c>
      <c r="H123" s="13" t="str">
        <f>IF(TTM!H123="","",IFERROR(MAX(MIN(TTM!H123,0.5),-0.5),""))</f>
        <v/>
      </c>
      <c r="I123" s="13" t="str">
        <f>IF(TTM!I123="","",IFERROR(MAX(MIN(TTM!I123,0.5),-0.5),""))</f>
        <v/>
      </c>
      <c r="J123" s="13" t="str">
        <f>IF(TTM!J123="","",IFERROR(MAX(MIN(TTM!J123,0.5),-0.5),""))</f>
        <v/>
      </c>
      <c r="K123" s="13" t="str">
        <f>IF(TTM!K123="","",IFERROR(MAX(MIN(TTM!K123,0.5),-0.5),""))</f>
        <v/>
      </c>
      <c r="L123" s="13" t="str">
        <f>IF(TTM!L123="","",IFERROR(MAX(MIN(TTM!L123,0.5),-0.5),""))</f>
        <v/>
      </c>
      <c r="M123" s="13" t="str">
        <f>IF(TTM!M123="","",IFERROR(MAX(MIN(TTM!M123,0.5),-0.5),""))</f>
        <v/>
      </c>
      <c r="N123" s="13" t="str">
        <f>IF(TTM!N123="","",IFERROR(MAX(MIN(TTM!N123,0.5),-0.5),""))</f>
        <v/>
      </c>
      <c r="O123" s="13" t="str">
        <f>IF(TTM!O123="","",IFERROR(MAX(MIN(TTM!O123,0.5),-0.5),""))</f>
        <v/>
      </c>
      <c r="P123" s="13" t="str">
        <f>IF(TTM!P123="","",IFERROR(MAX(MIN(TTM!P123,0.5),-0.5),""))</f>
        <v/>
      </c>
      <c r="Q123" s="13" t="str">
        <f>IF(TTM!Q123="","",IFERROR(MAX(MIN(TTM!Q123,0.5),-0.5),""))</f>
        <v/>
      </c>
      <c r="R123" s="13" t="str">
        <f>IF(TTM!R123="","",IFERROR(MAX(MIN(TTM!R123,0.5),-0.5),""))</f>
        <v/>
      </c>
      <c r="S123" s="13" t="str">
        <f>IF(TTM!S123="","",IFERROR(MAX(MIN(TTM!S123,0.5),-0.5),""))</f>
        <v/>
      </c>
      <c r="T123" s="13" t="str">
        <f>IF(TTM!T123="","",IFERROR(MAX(MIN(TTM!T123,0.5),-0.5),""))</f>
        <v/>
      </c>
      <c r="U123" s="11"/>
    </row>
    <row r="124" spans="1:21" ht="14">
      <c r="A124" s="14" t="s">
        <v>35</v>
      </c>
      <c r="B124" s="13" t="str">
        <f>IF(TTM!B124="","",IFERROR(MAX(MIN(TTM!B124,0.5),-0.5),""))</f>
        <v/>
      </c>
      <c r="C124" s="13">
        <f>IF(TTM!C124="","",IFERROR(MAX(MIN(TTM!C124,0.5),-0.5),""))</f>
        <v>-0.5</v>
      </c>
      <c r="D124" s="13">
        <f>IF(TTM!D124="","",IFERROR(MAX(MIN(TTM!D124,0.5),-0.5),""))</f>
        <v>-0.5</v>
      </c>
      <c r="E124" s="13" t="str">
        <f>IF(TTM!E124="","",IFERROR(MAX(MIN(TTM!E124,0.5),-0.5),""))</f>
        <v/>
      </c>
      <c r="F124" s="13" t="str">
        <f>IF(TTM!F124="","",IFERROR(MAX(MIN(TTM!F124,0.5),-0.5),""))</f>
        <v/>
      </c>
      <c r="G124" s="13" t="str">
        <f>IF(TTM!G124="","",IFERROR(MAX(MIN(TTM!G124,0.5),-0.5),""))</f>
        <v/>
      </c>
      <c r="H124" s="13" t="str">
        <f>IF(TTM!H124="","",IFERROR(MAX(MIN(TTM!H124,0.5),-0.5),""))</f>
        <v/>
      </c>
      <c r="I124" s="13" t="str">
        <f>IF(TTM!I124="","",IFERROR(MAX(MIN(TTM!I124,0.5),-0.5),""))</f>
        <v/>
      </c>
      <c r="J124" s="13" t="str">
        <f>IF(TTM!J124="","",IFERROR(MAX(MIN(TTM!J124,0.5),-0.5),""))</f>
        <v/>
      </c>
      <c r="K124" s="13" t="str">
        <f>IF(TTM!K124="","",IFERROR(MAX(MIN(TTM!K124,0.5),-0.5),""))</f>
        <v/>
      </c>
      <c r="L124" s="13" t="str">
        <f>IF(TTM!L124="","",IFERROR(MAX(MIN(TTM!L124,0.5),-0.5),""))</f>
        <v/>
      </c>
      <c r="M124" s="13" t="str">
        <f>IF(TTM!M124="","",IFERROR(MAX(MIN(TTM!M124,0.5),-0.5),""))</f>
        <v/>
      </c>
      <c r="N124" s="13" t="str">
        <f>IF(TTM!N124="","",IFERROR(MAX(MIN(TTM!N124,0.5),-0.5),""))</f>
        <v/>
      </c>
      <c r="O124" s="13" t="str">
        <f>IF(TTM!O124="","",IFERROR(MAX(MIN(TTM!O124,0.5),-0.5),""))</f>
        <v/>
      </c>
      <c r="P124" s="13" t="str">
        <f>IF(TTM!P124="","",IFERROR(MAX(MIN(TTM!P124,0.5),-0.5),""))</f>
        <v/>
      </c>
      <c r="Q124" s="13" t="str">
        <f>IF(TTM!Q124="","",IFERROR(MAX(MIN(TTM!Q124,0.5),-0.5),""))</f>
        <v/>
      </c>
      <c r="R124" s="13" t="str">
        <f>IF(TTM!R124="","",IFERROR(MAX(MIN(TTM!R124,0.5),-0.5),""))</f>
        <v/>
      </c>
      <c r="S124" s="13" t="str">
        <f>IF(TTM!S124="","",IFERROR(MAX(MIN(TTM!S124,0.5),-0.5),""))</f>
        <v/>
      </c>
      <c r="T124" s="13" t="str">
        <f>IF(TTM!T124="","",IFERROR(MAX(MIN(TTM!T124,0.5),-0.5),""))</f>
        <v/>
      </c>
      <c r="U124" s="11"/>
    </row>
    <row r="125" spans="1:21" ht="14">
      <c r="A125" s="14" t="s">
        <v>36</v>
      </c>
      <c r="B125" s="13" t="str">
        <f>IF(TTM!B125="","",IFERROR(MAX(MIN(TTM!B125,0.5),-0.5),""))</f>
        <v/>
      </c>
      <c r="C125" s="13">
        <f>IF(TTM!C125="","",IFERROR(MAX(MIN(TTM!C125,0.5),-0.5),""))</f>
        <v>-0.5</v>
      </c>
      <c r="D125" s="13">
        <f>IF(TTM!D125="","",IFERROR(MAX(MIN(TTM!D125,0.5),-0.5),""))</f>
        <v>-0.5</v>
      </c>
      <c r="E125" s="13" t="str">
        <f>IF(TTM!E125="","",IFERROR(MAX(MIN(TTM!E125,0.5),-0.5),""))</f>
        <v/>
      </c>
      <c r="F125" s="13" t="str">
        <f>IF(TTM!F125="","",IFERROR(MAX(MIN(TTM!F125,0.5),-0.5),""))</f>
        <v/>
      </c>
      <c r="G125" s="13" t="str">
        <f>IF(TTM!G125="","",IFERROR(MAX(MIN(TTM!G125,0.5),-0.5),""))</f>
        <v/>
      </c>
      <c r="H125" s="13" t="str">
        <f>IF(TTM!H125="","",IFERROR(MAX(MIN(TTM!H125,0.5),-0.5),""))</f>
        <v/>
      </c>
      <c r="I125" s="13" t="str">
        <f>IF(TTM!I125="","",IFERROR(MAX(MIN(TTM!I125,0.5),-0.5),""))</f>
        <v/>
      </c>
      <c r="J125" s="13" t="str">
        <f>IF(TTM!J125="","",IFERROR(MAX(MIN(TTM!J125,0.5),-0.5),""))</f>
        <v/>
      </c>
      <c r="K125" s="13" t="str">
        <f>IF(TTM!K125="","",IFERROR(MAX(MIN(TTM!K125,0.5),-0.5),""))</f>
        <v/>
      </c>
      <c r="L125" s="13" t="str">
        <f>IF(TTM!L125="","",IFERROR(MAX(MIN(TTM!L125,0.5),-0.5),""))</f>
        <v/>
      </c>
      <c r="M125" s="13" t="str">
        <f>IF(TTM!M125="","",IFERROR(MAX(MIN(TTM!M125,0.5),-0.5),""))</f>
        <v/>
      </c>
      <c r="N125" s="13" t="str">
        <f>IF(TTM!N125="","",IFERROR(MAX(MIN(TTM!N125,0.5),-0.5),""))</f>
        <v/>
      </c>
      <c r="O125" s="13" t="str">
        <f>IF(TTM!O125="","",IFERROR(MAX(MIN(TTM!O125,0.5),-0.5),""))</f>
        <v/>
      </c>
      <c r="P125" s="13" t="str">
        <f>IF(TTM!P125="","",IFERROR(MAX(MIN(TTM!P125,0.5),-0.5),""))</f>
        <v/>
      </c>
      <c r="Q125" s="13" t="str">
        <f>IF(TTM!Q125="","",IFERROR(MAX(MIN(TTM!Q125,0.5),-0.5),""))</f>
        <v/>
      </c>
      <c r="R125" s="13">
        <f>IF(TTM!R125="","",IFERROR(MAX(MIN(TTM!R125,0.5),-0.5),""))</f>
        <v>-0.5</v>
      </c>
      <c r="S125" s="13" t="str">
        <f>IF(TTM!S125="","",IFERROR(MAX(MIN(TTM!S125,0.5),-0.5),""))</f>
        <v/>
      </c>
      <c r="T125" s="13" t="str">
        <f>IF(TTM!T125="","",IFERROR(MAX(MIN(TTM!T125,0.5),-0.5),""))</f>
        <v/>
      </c>
      <c r="U125" s="11"/>
    </row>
    <row r="126" spans="1:21" ht="14">
      <c r="A126" s="14" t="s">
        <v>37</v>
      </c>
      <c r="B126" s="13" t="str">
        <f>IF(TTM!B126="","",IFERROR(MAX(MIN(TTM!B126,0.5),-0.5),""))</f>
        <v/>
      </c>
      <c r="C126" s="13">
        <f>IF(TTM!C126="","",IFERROR(MAX(MIN(TTM!C126,0.5),-0.5),""))</f>
        <v>-0.5</v>
      </c>
      <c r="D126" s="13">
        <f>IF(TTM!D126="","",IFERROR(MAX(MIN(TTM!D126,0.5),-0.5),""))</f>
        <v>-0.5</v>
      </c>
      <c r="E126" s="13" t="str">
        <f>IF(TTM!E126="","",IFERROR(MAX(MIN(TTM!E126,0.5),-0.5),""))</f>
        <v/>
      </c>
      <c r="F126" s="13" t="str">
        <f>IF(TTM!F126="","",IFERROR(MAX(MIN(TTM!F126,0.5),-0.5),""))</f>
        <v/>
      </c>
      <c r="G126" s="13" t="str">
        <f>IF(TTM!G126="","",IFERROR(MAX(MIN(TTM!G126,0.5),-0.5),""))</f>
        <v/>
      </c>
      <c r="H126" s="13" t="str">
        <f>IF(TTM!H126="","",IFERROR(MAX(MIN(TTM!H126,0.5),-0.5),""))</f>
        <v/>
      </c>
      <c r="I126" s="13" t="str">
        <f>IF(TTM!I126="","",IFERROR(MAX(MIN(TTM!I126,0.5),-0.5),""))</f>
        <v/>
      </c>
      <c r="J126" s="13" t="str">
        <f>IF(TTM!J126="","",IFERROR(MAX(MIN(TTM!J126,0.5),-0.5),""))</f>
        <v/>
      </c>
      <c r="K126" s="13" t="str">
        <f>IF(TTM!K126="","",IFERROR(MAX(MIN(TTM!K126,0.5),-0.5),""))</f>
        <v/>
      </c>
      <c r="L126" s="13" t="str">
        <f>IF(TTM!L126="","",IFERROR(MAX(MIN(TTM!L126,0.5),-0.5),""))</f>
        <v/>
      </c>
      <c r="M126" s="13" t="str">
        <f>IF(TTM!M126="","",IFERROR(MAX(MIN(TTM!M126,0.5),-0.5),""))</f>
        <v/>
      </c>
      <c r="N126" s="13" t="str">
        <f>IF(TTM!N126="","",IFERROR(MAX(MIN(TTM!N126,0.5),-0.5),""))</f>
        <v/>
      </c>
      <c r="O126" s="13" t="str">
        <f>IF(TTM!O126="","",IFERROR(MAX(MIN(TTM!O126,0.5),-0.5),""))</f>
        <v/>
      </c>
      <c r="P126" s="13" t="str">
        <f>IF(TTM!P126="","",IFERROR(MAX(MIN(TTM!P126,0.5),-0.5),""))</f>
        <v/>
      </c>
      <c r="Q126" s="13" t="str">
        <f>IF(TTM!Q126="","",IFERROR(MAX(MIN(TTM!Q126,0.5),-0.5),""))</f>
        <v/>
      </c>
      <c r="R126" s="13">
        <f>IF(TTM!R126="","",IFERROR(MAX(MIN(TTM!R126,0.5),-0.5),""))</f>
        <v>-0.5</v>
      </c>
      <c r="S126" s="13" t="str">
        <f>IF(TTM!S126="","",IFERROR(MAX(MIN(TTM!S126,0.5),-0.5),""))</f>
        <v/>
      </c>
      <c r="T126" s="13" t="str">
        <f>IF(TTM!T126="","",IFERROR(MAX(MIN(TTM!T126,0.5),-0.5),""))</f>
        <v/>
      </c>
      <c r="U126" s="11"/>
    </row>
    <row r="127" spans="1:21" ht="14">
      <c r="A127" s="14" t="s">
        <v>38</v>
      </c>
      <c r="B127" s="13" t="str">
        <f>IF(TTM!B127="","",IFERROR(MAX(MIN(TTM!B127,0.5),-0.5),""))</f>
        <v/>
      </c>
      <c r="C127" s="13">
        <f>IF(TTM!C127="","",IFERROR(MAX(MIN(TTM!C127,0.5),-0.5),""))</f>
        <v>-0.46592065222845752</v>
      </c>
      <c r="D127" s="13">
        <f>IF(TTM!D127="","",IFERROR(MAX(MIN(TTM!D127,0.5),-0.5),""))</f>
        <v>-0.5</v>
      </c>
      <c r="E127" s="13" t="str">
        <f>IF(TTM!E127="","",IFERROR(MAX(MIN(TTM!E127,0.5),-0.5),""))</f>
        <v/>
      </c>
      <c r="F127" s="13" t="str">
        <f>IF(TTM!F127="","",IFERROR(MAX(MIN(TTM!F127,0.5),-0.5),""))</f>
        <v/>
      </c>
      <c r="G127" s="13" t="str">
        <f>IF(TTM!G127="","",IFERROR(MAX(MIN(TTM!G127,0.5),-0.5),""))</f>
        <v/>
      </c>
      <c r="H127" s="13" t="str">
        <f>IF(TTM!H127="","",IFERROR(MAX(MIN(TTM!H127,0.5),-0.5),""))</f>
        <v/>
      </c>
      <c r="I127" s="13" t="str">
        <f>IF(TTM!I127="","",IFERROR(MAX(MIN(TTM!I127,0.5),-0.5),""))</f>
        <v/>
      </c>
      <c r="J127" s="13" t="str">
        <f>IF(TTM!J127="","",IFERROR(MAX(MIN(TTM!J127,0.5),-0.5),""))</f>
        <v/>
      </c>
      <c r="K127" s="13" t="str">
        <f>IF(TTM!K127="","",IFERROR(MAX(MIN(TTM!K127,0.5),-0.5),""))</f>
        <v/>
      </c>
      <c r="L127" s="13" t="str">
        <f>IF(TTM!L127="","",IFERROR(MAX(MIN(TTM!L127,0.5),-0.5),""))</f>
        <v/>
      </c>
      <c r="M127" s="13" t="str">
        <f>IF(TTM!M127="","",IFERROR(MAX(MIN(TTM!M127,0.5),-0.5),""))</f>
        <v/>
      </c>
      <c r="N127" s="13" t="str">
        <f>IF(TTM!N127="","",IFERROR(MAX(MIN(TTM!N127,0.5),-0.5),""))</f>
        <v/>
      </c>
      <c r="O127" s="13" t="str">
        <f>IF(TTM!O127="","",IFERROR(MAX(MIN(TTM!O127,0.5),-0.5),""))</f>
        <v/>
      </c>
      <c r="P127" s="13" t="str">
        <f>IF(TTM!P127="","",IFERROR(MAX(MIN(TTM!P127,0.5),-0.5),""))</f>
        <v/>
      </c>
      <c r="Q127" s="13" t="str">
        <f>IF(TTM!Q127="","",IFERROR(MAX(MIN(TTM!Q127,0.5),-0.5),""))</f>
        <v/>
      </c>
      <c r="R127" s="13" t="str">
        <f>IF(TTM!R127="","",IFERROR(MAX(MIN(TTM!R127,0.5),-0.5),""))</f>
        <v/>
      </c>
      <c r="S127" s="13" t="str">
        <f>IF(TTM!S127="","",IFERROR(MAX(MIN(TTM!S127,0.5),-0.5),""))</f>
        <v/>
      </c>
      <c r="T127" s="13" t="str">
        <f>IF(TTM!T127="","",IFERROR(MAX(MIN(TTM!T127,0.5),-0.5),""))</f>
        <v/>
      </c>
      <c r="U127" s="11"/>
    </row>
    <row r="128" spans="1:21" ht="14">
      <c r="A128" s="14" t="s">
        <v>39</v>
      </c>
      <c r="B128" s="13" t="str">
        <f>IF(TTM!B128="","",IFERROR(MAX(MIN(TTM!B128,0.5),-0.5),""))</f>
        <v/>
      </c>
      <c r="C128" s="13">
        <f>IF(TTM!C128="","",IFERROR(MAX(MIN(TTM!C128,0.5),-0.5),""))</f>
        <v>-0.12031467009390352</v>
      </c>
      <c r="D128" s="13">
        <f>IF(TTM!D128="","",IFERROR(MAX(MIN(TTM!D128,0.5),-0.5),""))</f>
        <v>-0.48642083774774542</v>
      </c>
      <c r="E128" s="13" t="str">
        <f>IF(TTM!E128="","",IFERROR(MAX(MIN(TTM!E128,0.5),-0.5),""))</f>
        <v/>
      </c>
      <c r="F128" s="13" t="str">
        <f>IF(TTM!F128="","",IFERROR(MAX(MIN(TTM!F128,0.5),-0.5),""))</f>
        <v/>
      </c>
      <c r="G128" s="13" t="str">
        <f>IF(TTM!G128="","",IFERROR(MAX(MIN(TTM!G128,0.5),-0.5),""))</f>
        <v/>
      </c>
      <c r="H128" s="13" t="str">
        <f>IF(TTM!H128="","",IFERROR(MAX(MIN(TTM!H128,0.5),-0.5),""))</f>
        <v/>
      </c>
      <c r="I128" s="13" t="str">
        <f>IF(TTM!I128="","",IFERROR(MAX(MIN(TTM!I128,0.5),-0.5),""))</f>
        <v/>
      </c>
      <c r="J128" s="13" t="str">
        <f>IF(TTM!J128="","",IFERROR(MAX(MIN(TTM!J128,0.5),-0.5),""))</f>
        <v/>
      </c>
      <c r="K128" s="13" t="str">
        <f>IF(TTM!K128="","",IFERROR(MAX(MIN(TTM!K128,0.5),-0.5),""))</f>
        <v/>
      </c>
      <c r="L128" s="13" t="str">
        <f>IF(TTM!L128="","",IFERROR(MAX(MIN(TTM!L128,0.5),-0.5),""))</f>
        <v/>
      </c>
      <c r="M128" s="13" t="str">
        <f>IF(TTM!M128="","",IFERROR(MAX(MIN(TTM!M128,0.5),-0.5),""))</f>
        <v/>
      </c>
      <c r="N128" s="13" t="str">
        <f>IF(TTM!N128="","",IFERROR(MAX(MIN(TTM!N128,0.5),-0.5),""))</f>
        <v/>
      </c>
      <c r="O128" s="13" t="str">
        <f>IF(TTM!O128="","",IFERROR(MAX(MIN(TTM!O128,0.5),-0.5),""))</f>
        <v/>
      </c>
      <c r="P128" s="13" t="str">
        <f>IF(TTM!P128="","",IFERROR(MAX(MIN(TTM!P128,0.5),-0.5),""))</f>
        <v/>
      </c>
      <c r="Q128" s="13" t="str">
        <f>IF(TTM!Q128="","",IFERROR(MAX(MIN(TTM!Q128,0.5),-0.5),""))</f>
        <v/>
      </c>
      <c r="R128" s="13">
        <f>IF(TTM!R128="","",IFERROR(MAX(MIN(TTM!R128,0.5),-0.5),""))</f>
        <v>-0.5</v>
      </c>
      <c r="S128" s="13" t="str">
        <f>IF(TTM!S128="","",IFERROR(MAX(MIN(TTM!S128,0.5),-0.5),""))</f>
        <v/>
      </c>
      <c r="T128" s="13" t="str">
        <f>IF(TTM!T128="","",IFERROR(MAX(MIN(TTM!T128,0.5),-0.5),""))</f>
        <v/>
      </c>
      <c r="U128" s="11"/>
    </row>
    <row r="129" spans="1:21" ht="14">
      <c r="A129" s="14" t="s">
        <v>40</v>
      </c>
      <c r="B129" s="13" t="str">
        <f>IF(TTM!B129="","",IFERROR(MAX(MIN(TTM!B129,0.5),-0.5),""))</f>
        <v/>
      </c>
      <c r="C129" s="13">
        <f>IF(TTM!C129="","",IFERROR(MAX(MIN(TTM!C129,0.5),-0.5),""))</f>
        <v>-9.661553593462828E-2</v>
      </c>
      <c r="D129" s="13">
        <f>IF(TTM!D129="","",IFERROR(MAX(MIN(TTM!D129,0.5),-0.5),""))</f>
        <v>-0.5</v>
      </c>
      <c r="E129" s="13" t="str">
        <f>IF(TTM!E129="","",IFERROR(MAX(MIN(TTM!E129,0.5),-0.5),""))</f>
        <v/>
      </c>
      <c r="F129" s="13" t="str">
        <f>IF(TTM!F129="","",IFERROR(MAX(MIN(TTM!F129,0.5),-0.5),""))</f>
        <v/>
      </c>
      <c r="G129" s="13" t="str">
        <f>IF(TTM!G129="","",IFERROR(MAX(MIN(TTM!G129,0.5),-0.5),""))</f>
        <v/>
      </c>
      <c r="H129" s="13" t="str">
        <f>IF(TTM!H129="","",IFERROR(MAX(MIN(TTM!H129,0.5),-0.5),""))</f>
        <v/>
      </c>
      <c r="I129" s="13" t="str">
        <f>IF(TTM!I129="","",IFERROR(MAX(MIN(TTM!I129,0.5),-0.5),""))</f>
        <v/>
      </c>
      <c r="J129" s="13" t="str">
        <f>IF(TTM!J129="","",IFERROR(MAX(MIN(TTM!J129,0.5),-0.5),""))</f>
        <v/>
      </c>
      <c r="K129" s="13" t="str">
        <f>IF(TTM!K129="","",IFERROR(MAX(MIN(TTM!K129,0.5),-0.5),""))</f>
        <v/>
      </c>
      <c r="L129" s="13" t="str">
        <f>IF(TTM!L129="","",IFERROR(MAX(MIN(TTM!L129,0.5),-0.5),""))</f>
        <v/>
      </c>
      <c r="M129" s="13" t="str">
        <f>IF(TTM!M129="","",IFERROR(MAX(MIN(TTM!M129,0.5),-0.5),""))</f>
        <v/>
      </c>
      <c r="N129" s="13" t="str">
        <f>IF(TTM!N129="","",IFERROR(MAX(MIN(TTM!N129,0.5),-0.5),""))</f>
        <v/>
      </c>
      <c r="O129" s="13" t="str">
        <f>IF(TTM!O129="","",IFERROR(MAX(MIN(TTM!O129,0.5),-0.5),""))</f>
        <v/>
      </c>
      <c r="P129" s="13" t="str">
        <f>IF(TTM!P129="","",IFERROR(MAX(MIN(TTM!P129,0.5),-0.5),""))</f>
        <v/>
      </c>
      <c r="Q129" s="13" t="str">
        <f>IF(TTM!Q129="","",IFERROR(MAX(MIN(TTM!Q129,0.5),-0.5),""))</f>
        <v/>
      </c>
      <c r="R129" s="13">
        <f>IF(TTM!R129="","",IFERROR(MAX(MIN(TTM!R129,0.5),-0.5),""))</f>
        <v>-0.5</v>
      </c>
      <c r="S129" s="13" t="str">
        <f>IF(TTM!S129="","",IFERROR(MAX(MIN(TTM!S129,0.5),-0.5),""))</f>
        <v/>
      </c>
      <c r="T129" s="13" t="str">
        <f>IF(TTM!T129="","",IFERROR(MAX(MIN(TTM!T129,0.5),-0.5),""))</f>
        <v/>
      </c>
      <c r="U129" s="11"/>
    </row>
    <row r="130" spans="1:21" ht="14">
      <c r="A130" s="14" t="s">
        <v>41</v>
      </c>
      <c r="B130" s="13" t="str">
        <f>IF(TTM!B130="","",IFERROR(MAX(MIN(TTM!B130,0.5),-0.5),""))</f>
        <v/>
      </c>
      <c r="C130" s="13">
        <f>IF(TTM!C130="","",IFERROR(MAX(MIN(TTM!C130,0.5),-0.5),""))</f>
        <v>-7.2916401775353024E-2</v>
      </c>
      <c r="D130" s="13">
        <f>IF(TTM!D130="","",IFERROR(MAX(MIN(TTM!D130,0.5),-0.5),""))</f>
        <v>-0.5</v>
      </c>
      <c r="E130" s="13" t="str">
        <f>IF(TTM!E130="","",IFERROR(MAX(MIN(TTM!E130,0.5),-0.5),""))</f>
        <v/>
      </c>
      <c r="F130" s="13" t="str">
        <f>IF(TTM!F130="","",IFERROR(MAX(MIN(TTM!F130,0.5),-0.5),""))</f>
        <v/>
      </c>
      <c r="G130" s="13" t="str">
        <f>IF(TTM!G130="","",IFERROR(MAX(MIN(TTM!G130,0.5),-0.5),""))</f>
        <v/>
      </c>
      <c r="H130" s="13" t="str">
        <f>IF(TTM!H130="","",IFERROR(MAX(MIN(TTM!H130,0.5),-0.5),""))</f>
        <v/>
      </c>
      <c r="I130" s="13" t="str">
        <f>IF(TTM!I130="","",IFERROR(MAX(MIN(TTM!I130,0.5),-0.5),""))</f>
        <v/>
      </c>
      <c r="J130" s="13" t="str">
        <f>IF(TTM!J130="","",IFERROR(MAX(MIN(TTM!J130,0.5),-0.5),""))</f>
        <v/>
      </c>
      <c r="K130" s="13" t="str">
        <f>IF(TTM!K130="","",IFERROR(MAX(MIN(TTM!K130,0.5),-0.5),""))</f>
        <v/>
      </c>
      <c r="L130" s="13" t="str">
        <f>IF(TTM!L130="","",IFERROR(MAX(MIN(TTM!L130,0.5),-0.5),""))</f>
        <v/>
      </c>
      <c r="M130" s="13" t="str">
        <f>IF(TTM!M130="","",IFERROR(MAX(MIN(TTM!M130,0.5),-0.5),""))</f>
        <v/>
      </c>
      <c r="N130" s="13" t="str">
        <f>IF(TTM!N130="","",IFERROR(MAX(MIN(TTM!N130,0.5),-0.5),""))</f>
        <v/>
      </c>
      <c r="O130" s="13" t="str">
        <f>IF(TTM!O130="","",IFERROR(MAX(MIN(TTM!O130,0.5),-0.5),""))</f>
        <v/>
      </c>
      <c r="P130" s="13" t="str">
        <f>IF(TTM!P130="","",IFERROR(MAX(MIN(TTM!P130,0.5),-0.5),""))</f>
        <v/>
      </c>
      <c r="Q130" s="13" t="str">
        <f>IF(TTM!Q130="","",IFERROR(MAX(MIN(TTM!Q130,0.5),-0.5),""))</f>
        <v/>
      </c>
      <c r="R130" s="13">
        <f>IF(TTM!R130="","",IFERROR(MAX(MIN(TTM!R130,0.5),-0.5),""))</f>
        <v>-0.5</v>
      </c>
      <c r="S130" s="13" t="str">
        <f>IF(TTM!S130="","",IFERROR(MAX(MIN(TTM!S130,0.5),-0.5),""))</f>
        <v/>
      </c>
      <c r="T130" s="13" t="str">
        <f>IF(TTM!T130="","",IFERROR(MAX(MIN(TTM!T130,0.5),-0.5),""))</f>
        <v/>
      </c>
      <c r="U130" s="11"/>
    </row>
    <row r="131" spans="1:21" ht="14">
      <c r="A131" s="14" t="s">
        <v>42</v>
      </c>
      <c r="B131" s="13" t="str">
        <f>IF(TTM!B131="","",IFERROR(MAX(MIN(TTM!B131,0.5),-0.5),""))</f>
        <v/>
      </c>
      <c r="C131" s="13">
        <f>IF(TTM!C131="","",IFERROR(MAX(MIN(TTM!C131,0.5),-0.5),""))</f>
        <v>-4.9217267616077767E-2</v>
      </c>
      <c r="D131" s="13">
        <f>IF(TTM!D131="","",IFERROR(MAX(MIN(TTM!D131,0.5),-0.5),""))</f>
        <v>-0.5</v>
      </c>
      <c r="E131" s="13" t="str">
        <f>IF(TTM!E131="","",IFERROR(MAX(MIN(TTM!E131,0.5),-0.5),""))</f>
        <v/>
      </c>
      <c r="F131" s="13" t="str">
        <f>IF(TTM!F131="","",IFERROR(MAX(MIN(TTM!F131,0.5),-0.5),""))</f>
        <v/>
      </c>
      <c r="G131" s="13" t="str">
        <f>IF(TTM!G131="","",IFERROR(MAX(MIN(TTM!G131,0.5),-0.5),""))</f>
        <v/>
      </c>
      <c r="H131" s="13" t="str">
        <f>IF(TTM!H131="","",IFERROR(MAX(MIN(TTM!H131,0.5),-0.5),""))</f>
        <v/>
      </c>
      <c r="I131" s="13" t="str">
        <f>IF(TTM!I131="","",IFERROR(MAX(MIN(TTM!I131,0.5),-0.5),""))</f>
        <v/>
      </c>
      <c r="J131" s="13" t="str">
        <f>IF(TTM!J131="","",IFERROR(MAX(MIN(TTM!J131,0.5),-0.5),""))</f>
        <v/>
      </c>
      <c r="K131" s="13" t="str">
        <f>IF(TTM!K131="","",IFERROR(MAX(MIN(TTM!K131,0.5),-0.5),""))</f>
        <v/>
      </c>
      <c r="L131" s="13" t="str">
        <f>IF(TTM!L131="","",IFERROR(MAX(MIN(TTM!L131,0.5),-0.5),""))</f>
        <v/>
      </c>
      <c r="M131" s="13" t="str">
        <f>IF(TTM!M131="","",IFERROR(MAX(MIN(TTM!M131,0.5),-0.5),""))</f>
        <v/>
      </c>
      <c r="N131" s="13" t="str">
        <f>IF(TTM!N131="","",IFERROR(MAX(MIN(TTM!N131,0.5),-0.5),""))</f>
        <v/>
      </c>
      <c r="O131" s="13" t="str">
        <f>IF(TTM!O131="","",IFERROR(MAX(MIN(TTM!O131,0.5),-0.5),""))</f>
        <v/>
      </c>
      <c r="P131" s="13" t="str">
        <f>IF(TTM!P131="","",IFERROR(MAX(MIN(TTM!P131,0.5),-0.5),""))</f>
        <v/>
      </c>
      <c r="Q131" s="13" t="str">
        <f>IF(TTM!Q131="","",IFERROR(MAX(MIN(TTM!Q131,0.5),-0.5),""))</f>
        <v/>
      </c>
      <c r="R131" s="13">
        <f>IF(TTM!R131="","",IFERROR(MAX(MIN(TTM!R131,0.5),-0.5),""))</f>
        <v>-0.5</v>
      </c>
      <c r="S131" s="13" t="str">
        <f>IF(TTM!S131="","",IFERROR(MAX(MIN(TTM!S131,0.5),-0.5),""))</f>
        <v/>
      </c>
      <c r="T131" s="13" t="str">
        <f>IF(TTM!T131="","",IFERROR(MAX(MIN(TTM!T131,0.5),-0.5),""))</f>
        <v/>
      </c>
      <c r="U131" s="11"/>
    </row>
    <row r="132" spans="1:21" ht="14">
      <c r="A132" s="14" t="s">
        <v>43</v>
      </c>
      <c r="B132" s="13" t="str">
        <f>IF(TTM!B132="","",IFERROR(MAX(MIN(TTM!B132,0.5),-0.5),""))</f>
        <v/>
      </c>
      <c r="C132" s="13">
        <f>IF(TTM!C132="","",IFERROR(MAX(MIN(TTM!C132,0.5),-0.5),""))</f>
        <v>-2.5518133456802514E-2</v>
      </c>
      <c r="D132" s="13">
        <f>IF(TTM!D132="","",IFERROR(MAX(MIN(TTM!D132,0.5),-0.5),""))</f>
        <v>-0.5</v>
      </c>
      <c r="E132" s="13">
        <f>IF(TTM!E132="","",IFERROR(MAX(MIN(TTM!E132,0.5),-0.5),""))</f>
        <v>-0.5</v>
      </c>
      <c r="F132" s="13" t="str">
        <f>IF(TTM!F132="","",IFERROR(MAX(MIN(TTM!F132,0.5),-0.5),""))</f>
        <v/>
      </c>
      <c r="G132" s="13" t="str">
        <f>IF(TTM!G132="","",IFERROR(MAX(MIN(TTM!G132,0.5),-0.5),""))</f>
        <v/>
      </c>
      <c r="H132" s="13" t="str">
        <f>IF(TTM!H132="","",IFERROR(MAX(MIN(TTM!H132,0.5),-0.5),""))</f>
        <v/>
      </c>
      <c r="I132" s="13" t="str">
        <f>IF(TTM!I132="","",IFERROR(MAX(MIN(TTM!I132,0.5),-0.5),""))</f>
        <v/>
      </c>
      <c r="J132" s="13" t="str">
        <f>IF(TTM!J132="","",IFERROR(MAX(MIN(TTM!J132,0.5),-0.5),""))</f>
        <v/>
      </c>
      <c r="K132" s="13" t="str">
        <f>IF(TTM!K132="","",IFERROR(MAX(MIN(TTM!K132,0.5),-0.5),""))</f>
        <v/>
      </c>
      <c r="L132" s="13" t="str">
        <f>IF(TTM!L132="","",IFERROR(MAX(MIN(TTM!L132,0.5),-0.5),""))</f>
        <v/>
      </c>
      <c r="M132" s="13" t="str">
        <f>IF(TTM!M132="","",IFERROR(MAX(MIN(TTM!M132,0.5),-0.5),""))</f>
        <v/>
      </c>
      <c r="N132" s="13" t="str">
        <f>IF(TTM!N132="","",IFERROR(MAX(MIN(TTM!N132,0.5),-0.5),""))</f>
        <v/>
      </c>
      <c r="O132" s="13" t="str">
        <f>IF(TTM!O132="","",IFERROR(MAX(MIN(TTM!O132,0.5),-0.5),""))</f>
        <v/>
      </c>
      <c r="P132" s="13" t="str">
        <f>IF(TTM!P132="","",IFERROR(MAX(MIN(TTM!P132,0.5),-0.5),""))</f>
        <v/>
      </c>
      <c r="Q132" s="13" t="str">
        <f>IF(TTM!Q132="","",IFERROR(MAX(MIN(TTM!Q132,0.5),-0.5),""))</f>
        <v/>
      </c>
      <c r="R132" s="13">
        <f>IF(TTM!R132="","",IFERROR(MAX(MIN(TTM!R132,0.5),-0.5),""))</f>
        <v>-0.5</v>
      </c>
      <c r="S132" s="13" t="str">
        <f>IF(TTM!S132="","",IFERROR(MAX(MIN(TTM!S132,0.5),-0.5),""))</f>
        <v/>
      </c>
      <c r="T132" s="13" t="str">
        <f>IF(TTM!T132="","",IFERROR(MAX(MIN(TTM!T132,0.5),-0.5),""))</f>
        <v/>
      </c>
      <c r="U132" s="11"/>
    </row>
    <row r="133" spans="1:21" ht="14">
      <c r="A133" s="14" t="s">
        <v>44</v>
      </c>
      <c r="B133" s="13" t="str">
        <f>IF(TTM!B133="","",IFERROR(MAX(MIN(TTM!B133,0.5),-0.5),""))</f>
        <v/>
      </c>
      <c r="C133" s="13">
        <f>IF(TTM!C133="","",IFERROR(MAX(MIN(TTM!C133,0.5),-0.5),""))</f>
        <v>-1.7698450163393255E-2</v>
      </c>
      <c r="D133" s="13">
        <f>IF(TTM!D133="","",IFERROR(MAX(MIN(TTM!D133,0.5),-0.5),""))</f>
        <v>-0.5</v>
      </c>
      <c r="E133" s="13">
        <f>IF(TTM!E133="","",IFERROR(MAX(MIN(TTM!E133,0.5),-0.5),""))</f>
        <v>-0.5</v>
      </c>
      <c r="F133" s="13" t="str">
        <f>IF(TTM!F133="","",IFERROR(MAX(MIN(TTM!F133,0.5),-0.5),""))</f>
        <v/>
      </c>
      <c r="G133" s="13" t="str">
        <f>IF(TTM!G133="","",IFERROR(MAX(MIN(TTM!G133,0.5),-0.5),""))</f>
        <v/>
      </c>
      <c r="H133" s="13" t="str">
        <f>IF(TTM!H133="","",IFERROR(MAX(MIN(TTM!H133,0.5),-0.5),""))</f>
        <v/>
      </c>
      <c r="I133" s="13" t="str">
        <f>IF(TTM!I133="","",IFERROR(MAX(MIN(TTM!I133,0.5),-0.5),""))</f>
        <v/>
      </c>
      <c r="J133" s="13" t="str">
        <f>IF(TTM!J133="","",IFERROR(MAX(MIN(TTM!J133,0.5),-0.5),""))</f>
        <v/>
      </c>
      <c r="K133" s="13" t="str">
        <f>IF(TTM!K133="","",IFERROR(MAX(MIN(TTM!K133,0.5),-0.5),""))</f>
        <v/>
      </c>
      <c r="L133" s="13" t="str">
        <f>IF(TTM!L133="","",IFERROR(MAX(MIN(TTM!L133,0.5),-0.5),""))</f>
        <v/>
      </c>
      <c r="M133" s="13" t="str">
        <f>IF(TTM!M133="","",IFERROR(MAX(MIN(TTM!M133,0.5),-0.5),""))</f>
        <v/>
      </c>
      <c r="N133" s="13" t="str">
        <f>IF(TTM!N133="","",IFERROR(MAX(MIN(TTM!N133,0.5),-0.5),""))</f>
        <v/>
      </c>
      <c r="O133" s="13" t="str">
        <f>IF(TTM!O133="","",IFERROR(MAX(MIN(TTM!O133,0.5),-0.5),""))</f>
        <v/>
      </c>
      <c r="P133" s="13" t="str">
        <f>IF(TTM!P133="","",IFERROR(MAX(MIN(TTM!P133,0.5),-0.5),""))</f>
        <v/>
      </c>
      <c r="Q133" s="13" t="str">
        <f>IF(TTM!Q133="","",IFERROR(MAX(MIN(TTM!Q133,0.5),-0.5),""))</f>
        <v/>
      </c>
      <c r="R133" s="13">
        <f>IF(TTM!R133="","",IFERROR(MAX(MIN(TTM!R133,0.5),-0.5),""))</f>
        <v>-0.5</v>
      </c>
      <c r="S133" s="13" t="str">
        <f>IF(TTM!S133="","",IFERROR(MAX(MIN(TTM!S133,0.5),-0.5),""))</f>
        <v/>
      </c>
      <c r="T133" s="13" t="str">
        <f>IF(TTM!T133="","",IFERROR(MAX(MIN(TTM!T133,0.5),-0.5),""))</f>
        <v/>
      </c>
      <c r="U133" s="11"/>
    </row>
    <row r="134" spans="1:21" ht="14">
      <c r="A134" s="14" t="s">
        <v>45</v>
      </c>
      <c r="B134" s="13" t="str">
        <f>IF(TTM!B134="","",IFERROR(MAX(MIN(TTM!B134,0.5),-0.5),""))</f>
        <v/>
      </c>
      <c r="C134" s="13">
        <f>IF(TTM!C134="","",IFERROR(MAX(MIN(TTM!C134,0.5),-0.5),""))</f>
        <v>-9.8787668699839969E-3</v>
      </c>
      <c r="D134" s="13">
        <f>IF(TTM!D134="","",IFERROR(MAX(MIN(TTM!D134,0.5),-0.5),""))</f>
        <v>-0.5</v>
      </c>
      <c r="E134" s="13">
        <f>IF(TTM!E134="","",IFERROR(MAX(MIN(TTM!E134,0.5),-0.5),""))</f>
        <v>-0.5</v>
      </c>
      <c r="F134" s="13" t="str">
        <f>IF(TTM!F134="","",IFERROR(MAX(MIN(TTM!F134,0.5),-0.5),""))</f>
        <v/>
      </c>
      <c r="G134" s="13" t="str">
        <f>IF(TTM!G134="","",IFERROR(MAX(MIN(TTM!G134,0.5),-0.5),""))</f>
        <v/>
      </c>
      <c r="H134" s="13" t="str">
        <f>IF(TTM!H134="","",IFERROR(MAX(MIN(TTM!H134,0.5),-0.5),""))</f>
        <v/>
      </c>
      <c r="I134" s="13" t="str">
        <f>IF(TTM!I134="","",IFERROR(MAX(MIN(TTM!I134,0.5),-0.5),""))</f>
        <v/>
      </c>
      <c r="J134" s="13" t="str">
        <f>IF(TTM!J134="","",IFERROR(MAX(MIN(TTM!J134,0.5),-0.5),""))</f>
        <v/>
      </c>
      <c r="K134" s="13" t="str">
        <f>IF(TTM!K134="","",IFERROR(MAX(MIN(TTM!K134,0.5),-0.5),""))</f>
        <v/>
      </c>
      <c r="L134" s="13" t="str">
        <f>IF(TTM!L134="","",IFERROR(MAX(MIN(TTM!L134,0.5),-0.5),""))</f>
        <v/>
      </c>
      <c r="M134" s="13" t="str">
        <f>IF(TTM!M134="","",IFERROR(MAX(MIN(TTM!M134,0.5),-0.5),""))</f>
        <v/>
      </c>
      <c r="N134" s="13" t="str">
        <f>IF(TTM!N134="","",IFERROR(MAX(MIN(TTM!N134,0.5),-0.5),""))</f>
        <v/>
      </c>
      <c r="O134" s="13">
        <f>IF(TTM!O134="","",IFERROR(MAX(MIN(TTM!O134,0.5),-0.5),""))</f>
        <v>-0.5</v>
      </c>
      <c r="P134" s="13" t="str">
        <f>IF(TTM!P134="","",IFERROR(MAX(MIN(TTM!P134,0.5),-0.5),""))</f>
        <v/>
      </c>
      <c r="Q134" s="13" t="str">
        <f>IF(TTM!Q134="","",IFERROR(MAX(MIN(TTM!Q134,0.5),-0.5),""))</f>
        <v/>
      </c>
      <c r="R134" s="13">
        <f>IF(TTM!R134="","",IFERROR(MAX(MIN(TTM!R134,0.5),-0.5),""))</f>
        <v>-0.5</v>
      </c>
      <c r="S134" s="13" t="str">
        <f>IF(TTM!S134="","",IFERROR(MAX(MIN(TTM!S134,0.5),-0.5),""))</f>
        <v/>
      </c>
      <c r="T134" s="13" t="str">
        <f>IF(TTM!T134="","",IFERROR(MAX(MIN(TTM!T134,0.5),-0.5),""))</f>
        <v/>
      </c>
      <c r="U134" s="11"/>
    </row>
    <row r="135" spans="1:21" ht="14">
      <c r="A135" s="14" t="s">
        <v>46</v>
      </c>
      <c r="B135" s="13" t="str">
        <f>IF(TTM!B135="","",IFERROR(MAX(MIN(TTM!B135,0.5),-0.5),""))</f>
        <v/>
      </c>
      <c r="C135" s="13">
        <f>IF(TTM!C135="","",IFERROR(MAX(MIN(TTM!C135,0.5),-0.5),""))</f>
        <v>-2.0590835765747382E-3</v>
      </c>
      <c r="D135" s="13">
        <f>IF(TTM!D135="","",IFERROR(MAX(MIN(TTM!D135,0.5),-0.5),""))</f>
        <v>-0.33268570383841867</v>
      </c>
      <c r="E135" s="13">
        <f>IF(TTM!E135="","",IFERROR(MAX(MIN(TTM!E135,0.5),-0.5),""))</f>
        <v>-0.5</v>
      </c>
      <c r="F135" s="13" t="str">
        <f>IF(TTM!F135="","",IFERROR(MAX(MIN(TTM!F135,0.5),-0.5),""))</f>
        <v/>
      </c>
      <c r="G135" s="13" t="str">
        <f>IF(TTM!G135="","",IFERROR(MAX(MIN(TTM!G135,0.5),-0.5),""))</f>
        <v/>
      </c>
      <c r="H135" s="13" t="str">
        <f>IF(TTM!H135="","",IFERROR(MAX(MIN(TTM!H135,0.5),-0.5),""))</f>
        <v/>
      </c>
      <c r="I135" s="13" t="str">
        <f>IF(TTM!I135="","",IFERROR(MAX(MIN(TTM!I135,0.5),-0.5),""))</f>
        <v/>
      </c>
      <c r="J135" s="13" t="str">
        <f>IF(TTM!J135="","",IFERROR(MAX(MIN(TTM!J135,0.5),-0.5),""))</f>
        <v/>
      </c>
      <c r="K135" s="13" t="str">
        <f>IF(TTM!K135="","",IFERROR(MAX(MIN(TTM!K135,0.5),-0.5),""))</f>
        <v/>
      </c>
      <c r="L135" s="13" t="str">
        <f>IF(TTM!L135="","",IFERROR(MAX(MIN(TTM!L135,0.5),-0.5),""))</f>
        <v/>
      </c>
      <c r="M135" s="13" t="str">
        <f>IF(TTM!M135="","",IFERROR(MAX(MIN(TTM!M135,0.5),-0.5),""))</f>
        <v/>
      </c>
      <c r="N135" s="13" t="str">
        <f>IF(TTM!N135="","",IFERROR(MAX(MIN(TTM!N135,0.5),-0.5),""))</f>
        <v/>
      </c>
      <c r="O135" s="13">
        <f>IF(TTM!O135="","",IFERROR(MAX(MIN(TTM!O135,0.5),-0.5),""))</f>
        <v>-0.5</v>
      </c>
      <c r="P135" s="13" t="str">
        <f>IF(TTM!P135="","",IFERROR(MAX(MIN(TTM!P135,0.5),-0.5),""))</f>
        <v/>
      </c>
      <c r="Q135" s="13" t="str">
        <f>IF(TTM!Q135="","",IFERROR(MAX(MIN(TTM!Q135,0.5),-0.5),""))</f>
        <v/>
      </c>
      <c r="R135" s="13">
        <f>IF(TTM!R135="","",IFERROR(MAX(MIN(TTM!R135,0.5),-0.5),""))</f>
        <v>-0.5</v>
      </c>
      <c r="S135" s="13" t="str">
        <f>IF(TTM!S135="","",IFERROR(MAX(MIN(TTM!S135,0.5),-0.5),""))</f>
        <v/>
      </c>
      <c r="T135" s="13" t="str">
        <f>IF(TTM!T135="","",IFERROR(MAX(MIN(TTM!T135,0.5),-0.5),""))</f>
        <v/>
      </c>
      <c r="U135" s="11"/>
    </row>
    <row r="136" spans="1:21" ht="14">
      <c r="A136" s="14" t="s">
        <v>47</v>
      </c>
      <c r="B136" s="13" t="str">
        <f>IF(TTM!B136="","",IFERROR(MAX(MIN(TTM!B136,0.5),-0.5),""))</f>
        <v/>
      </c>
      <c r="C136" s="13">
        <f>IF(TTM!C136="","",IFERROR(MAX(MIN(TTM!C136,0.5),-0.5),""))</f>
        <v>5.7605997168345205E-3</v>
      </c>
      <c r="D136" s="13">
        <f>IF(TTM!D136="","",IFERROR(MAX(MIN(TTM!D136,0.5),-0.5),""))</f>
        <v>-5.839708397083971E-2</v>
      </c>
      <c r="E136" s="13">
        <f>IF(TTM!E136="","",IFERROR(MAX(MIN(TTM!E136,0.5),-0.5),""))</f>
        <v>-0.37203613097478361</v>
      </c>
      <c r="F136" s="13" t="str">
        <f>IF(TTM!F136="","",IFERROR(MAX(MIN(TTM!F136,0.5),-0.5),""))</f>
        <v/>
      </c>
      <c r="G136" s="13" t="str">
        <f>IF(TTM!G136="","",IFERROR(MAX(MIN(TTM!G136,0.5),-0.5),""))</f>
        <v/>
      </c>
      <c r="H136" s="13" t="str">
        <f>IF(TTM!H136="","",IFERROR(MAX(MIN(TTM!H136,0.5),-0.5),""))</f>
        <v/>
      </c>
      <c r="I136" s="13" t="str">
        <f>IF(TTM!I136="","",IFERROR(MAX(MIN(TTM!I136,0.5),-0.5),""))</f>
        <v/>
      </c>
      <c r="J136" s="13" t="str">
        <f>IF(TTM!J136="","",IFERROR(MAX(MIN(TTM!J136,0.5),-0.5),""))</f>
        <v/>
      </c>
      <c r="K136" s="13" t="str">
        <f>IF(TTM!K136="","",IFERROR(MAX(MIN(TTM!K136,0.5),-0.5),""))</f>
        <v/>
      </c>
      <c r="L136" s="13" t="str">
        <f>IF(TTM!L136="","",IFERROR(MAX(MIN(TTM!L136,0.5),-0.5),""))</f>
        <v/>
      </c>
      <c r="M136" s="13" t="str">
        <f>IF(TTM!M136="","",IFERROR(MAX(MIN(TTM!M136,0.5),-0.5),""))</f>
        <v/>
      </c>
      <c r="N136" s="13" t="str">
        <f>IF(TTM!N136="","",IFERROR(MAX(MIN(TTM!N136,0.5),-0.5),""))</f>
        <v/>
      </c>
      <c r="O136" s="13">
        <f>IF(TTM!O136="","",IFERROR(MAX(MIN(TTM!O136,0.5),-0.5),""))</f>
        <v>-0.5</v>
      </c>
      <c r="P136" s="13" t="str">
        <f>IF(TTM!P136="","",IFERROR(MAX(MIN(TTM!P136,0.5),-0.5),""))</f>
        <v/>
      </c>
      <c r="Q136" s="13" t="str">
        <f>IF(TTM!Q136="","",IFERROR(MAX(MIN(TTM!Q136,0.5),-0.5),""))</f>
        <v/>
      </c>
      <c r="R136" s="13">
        <f>IF(TTM!R136="","",IFERROR(MAX(MIN(TTM!R136,0.5),-0.5),""))</f>
        <v>-0.5</v>
      </c>
      <c r="S136" s="13" t="str">
        <f>IF(TTM!S136="","",IFERROR(MAX(MIN(TTM!S136,0.5),-0.5),""))</f>
        <v/>
      </c>
      <c r="T136" s="13" t="str">
        <f>IF(TTM!T136="","",IFERROR(MAX(MIN(TTM!T136,0.5),-0.5),""))</f>
        <v/>
      </c>
      <c r="U136" s="11"/>
    </row>
    <row r="137" spans="1:21" ht="14">
      <c r="A137" s="14" t="s">
        <v>48</v>
      </c>
      <c r="B137" s="13" t="str">
        <f>IF(TTM!B137="","",IFERROR(MAX(MIN(TTM!B137,0.5),-0.5),""))</f>
        <v/>
      </c>
      <c r="C137" s="13">
        <f>IF(TTM!C137="","",IFERROR(MAX(MIN(TTM!C137,0.5),-0.5),""))</f>
        <v>9.963600585847502E-3</v>
      </c>
      <c r="D137" s="13">
        <f>IF(TTM!D137="","",IFERROR(MAX(MIN(TTM!D137,0.5),-0.5),""))</f>
        <v>-8.7134165414665815E-4</v>
      </c>
      <c r="E137" s="13">
        <f>IF(TTM!E137="","",IFERROR(MAX(MIN(TTM!E137,0.5),-0.5),""))</f>
        <v>-0.21107050527449478</v>
      </c>
      <c r="F137" s="13" t="str">
        <f>IF(TTM!F137="","",IFERROR(MAX(MIN(TTM!F137,0.5),-0.5),""))</f>
        <v/>
      </c>
      <c r="G137" s="13" t="str">
        <f>IF(TTM!G137="","",IFERROR(MAX(MIN(TTM!G137,0.5),-0.5),""))</f>
        <v/>
      </c>
      <c r="H137" s="13" t="str">
        <f>IF(TTM!H137="","",IFERROR(MAX(MIN(TTM!H137,0.5),-0.5),""))</f>
        <v/>
      </c>
      <c r="I137" s="13" t="str">
        <f>IF(TTM!I137="","",IFERROR(MAX(MIN(TTM!I137,0.5),-0.5),""))</f>
        <v/>
      </c>
      <c r="J137" s="13" t="str">
        <f>IF(TTM!J137="","",IFERROR(MAX(MIN(TTM!J137,0.5),-0.5),""))</f>
        <v/>
      </c>
      <c r="K137" s="13" t="str">
        <f>IF(TTM!K137="","",IFERROR(MAX(MIN(TTM!K137,0.5),-0.5),""))</f>
        <v/>
      </c>
      <c r="L137" s="13" t="str">
        <f>IF(TTM!L137="","",IFERROR(MAX(MIN(TTM!L137,0.5),-0.5),""))</f>
        <v/>
      </c>
      <c r="M137" s="13" t="str">
        <f>IF(TTM!M137="","",IFERROR(MAX(MIN(TTM!M137,0.5),-0.5),""))</f>
        <v/>
      </c>
      <c r="N137" s="13" t="str">
        <f>IF(TTM!N137="","",IFERROR(MAX(MIN(TTM!N137,0.5),-0.5),""))</f>
        <v/>
      </c>
      <c r="O137" s="13">
        <f>IF(TTM!O137="","",IFERROR(MAX(MIN(TTM!O137,0.5),-0.5),""))</f>
        <v>-0.5</v>
      </c>
      <c r="P137" s="13" t="str">
        <f>IF(TTM!P137="","",IFERROR(MAX(MIN(TTM!P137,0.5),-0.5),""))</f>
        <v/>
      </c>
      <c r="Q137" s="13" t="str">
        <f>IF(TTM!Q137="","",IFERROR(MAX(MIN(TTM!Q137,0.5),-0.5),""))</f>
        <v/>
      </c>
      <c r="R137" s="13">
        <f>IF(TTM!R137="","",IFERROR(MAX(MIN(TTM!R137,0.5),-0.5),""))</f>
        <v>-0.5</v>
      </c>
      <c r="S137" s="13" t="str">
        <f>IF(TTM!S137="","",IFERROR(MAX(MIN(TTM!S137,0.5),-0.5),""))</f>
        <v/>
      </c>
      <c r="T137" s="13" t="str">
        <f>IF(TTM!T137="","",IFERROR(MAX(MIN(TTM!T137,0.5),-0.5),""))</f>
        <v/>
      </c>
      <c r="U137" s="11"/>
    </row>
    <row r="138" spans="1:21" ht="14">
      <c r="A138" s="14" t="s">
        <v>49</v>
      </c>
      <c r="B138" s="13" t="str">
        <f>IF(TTM!B138="","",IFERROR(MAX(MIN(TTM!B138,0.5),-0.5),""))</f>
        <v/>
      </c>
      <c r="C138" s="13">
        <f>IF(TTM!C138="","",IFERROR(MAX(MIN(TTM!C138,0.5),-0.5),""))</f>
        <v>1.4166601454860487E-2</v>
      </c>
      <c r="D138" s="13">
        <f>IF(TTM!D138="","",IFERROR(MAX(MIN(TTM!D138,0.5),-0.5),""))</f>
        <v>5.66544006625464E-2</v>
      </c>
      <c r="E138" s="13">
        <f>IF(TTM!E138="","",IFERROR(MAX(MIN(TTM!E138,0.5),-0.5),""))</f>
        <v>-5.0104879574205896E-2</v>
      </c>
      <c r="F138" s="13" t="str">
        <f>IF(TTM!F138="","",IFERROR(MAX(MIN(TTM!F138,0.5),-0.5),""))</f>
        <v/>
      </c>
      <c r="G138" s="13" t="str">
        <f>IF(TTM!G138="","",IFERROR(MAX(MIN(TTM!G138,0.5),-0.5),""))</f>
        <v/>
      </c>
      <c r="H138" s="13" t="str">
        <f>IF(TTM!H138="","",IFERROR(MAX(MIN(TTM!H138,0.5),-0.5),""))</f>
        <v/>
      </c>
      <c r="I138" s="13" t="str">
        <f>IF(TTM!I138="","",IFERROR(MAX(MIN(TTM!I138,0.5),-0.5),""))</f>
        <v/>
      </c>
      <c r="J138" s="13" t="str">
        <f>IF(TTM!J138="","",IFERROR(MAX(MIN(TTM!J138,0.5),-0.5),""))</f>
        <v/>
      </c>
      <c r="K138" s="13" t="str">
        <f>IF(TTM!K138="","",IFERROR(MAX(MIN(TTM!K138,0.5),-0.5),""))</f>
        <v/>
      </c>
      <c r="L138" s="13" t="str">
        <f>IF(TTM!L138="","",IFERROR(MAX(MIN(TTM!L138,0.5),-0.5),""))</f>
        <v/>
      </c>
      <c r="M138" s="13" t="str">
        <f>IF(TTM!M138="","",IFERROR(MAX(MIN(TTM!M138,0.5),-0.5),""))</f>
        <v/>
      </c>
      <c r="N138" s="13" t="str">
        <f>IF(TTM!N138="","",IFERROR(MAX(MIN(TTM!N138,0.5),-0.5),""))</f>
        <v/>
      </c>
      <c r="O138" s="13">
        <f>IF(TTM!O138="","",IFERROR(MAX(MIN(TTM!O138,0.5),-0.5),""))</f>
        <v>-0.5</v>
      </c>
      <c r="P138" s="13" t="str">
        <f>IF(TTM!P138="","",IFERROR(MAX(MIN(TTM!P138,0.5),-0.5),""))</f>
        <v/>
      </c>
      <c r="Q138" s="13" t="str">
        <f>IF(TTM!Q138="","",IFERROR(MAX(MIN(TTM!Q138,0.5),-0.5),""))</f>
        <v/>
      </c>
      <c r="R138" s="13">
        <f>IF(TTM!R138="","",IFERROR(MAX(MIN(TTM!R138,0.5),-0.5),""))</f>
        <v>-0.5</v>
      </c>
      <c r="S138" s="13" t="str">
        <f>IF(TTM!S138="","",IFERROR(MAX(MIN(TTM!S138,0.5),-0.5),""))</f>
        <v/>
      </c>
      <c r="T138" s="13" t="str">
        <f>IF(TTM!T138="","",IFERROR(MAX(MIN(TTM!T138,0.5),-0.5),""))</f>
        <v/>
      </c>
      <c r="U138" s="11"/>
    </row>
    <row r="139" spans="1:21" ht="14">
      <c r="A139" s="14" t="s">
        <v>50</v>
      </c>
      <c r="B139" s="13" t="str">
        <f>IF(TTM!B139="","",IFERROR(MAX(MIN(TTM!B139,0.5),-0.5),""))</f>
        <v/>
      </c>
      <c r="C139" s="13">
        <f>IF(TTM!C139="","",IFERROR(MAX(MIN(TTM!C139,0.5),-0.5),""))</f>
        <v>1.8369602323873468E-2</v>
      </c>
      <c r="D139" s="13">
        <f>IF(TTM!D139="","",IFERROR(MAX(MIN(TTM!D139,0.5),-0.5),""))</f>
        <v>0.11418014297923945</v>
      </c>
      <c r="E139" s="13">
        <f>IF(TTM!E139="","",IFERROR(MAX(MIN(TTM!E139,0.5),-0.5),""))</f>
        <v>0.11086074612608296</v>
      </c>
      <c r="F139" s="13" t="str">
        <f>IF(TTM!F139="","",IFERROR(MAX(MIN(TTM!F139,0.5),-0.5),""))</f>
        <v/>
      </c>
      <c r="G139" s="13" t="str">
        <f>IF(TTM!G139="","",IFERROR(MAX(MIN(TTM!G139,0.5),-0.5),""))</f>
        <v/>
      </c>
      <c r="H139" s="13" t="str">
        <f>IF(TTM!H139="","",IFERROR(MAX(MIN(TTM!H139,0.5),-0.5),""))</f>
        <v/>
      </c>
      <c r="I139" s="13" t="str">
        <f>IF(TTM!I139="","",IFERROR(MAX(MIN(TTM!I139,0.5),-0.5),""))</f>
        <v/>
      </c>
      <c r="J139" s="13" t="str">
        <f>IF(TTM!J139="","",IFERROR(MAX(MIN(TTM!J139,0.5),-0.5),""))</f>
        <v/>
      </c>
      <c r="K139" s="13" t="str">
        <f>IF(TTM!K139="","",IFERROR(MAX(MIN(TTM!K139,0.5),-0.5),""))</f>
        <v/>
      </c>
      <c r="L139" s="13" t="str">
        <f>IF(TTM!L139="","",IFERROR(MAX(MIN(TTM!L139,0.5),-0.5),""))</f>
        <v/>
      </c>
      <c r="M139" s="13" t="str">
        <f>IF(TTM!M139="","",IFERROR(MAX(MIN(TTM!M139,0.5),-0.5),""))</f>
        <v/>
      </c>
      <c r="N139" s="13" t="str">
        <f>IF(TTM!N139="","",IFERROR(MAX(MIN(TTM!N139,0.5),-0.5),""))</f>
        <v/>
      </c>
      <c r="O139" s="13">
        <f>IF(TTM!O139="","",IFERROR(MAX(MIN(TTM!O139,0.5),-0.5),""))</f>
        <v>-0.5</v>
      </c>
      <c r="P139" s="13" t="str">
        <f>IF(TTM!P139="","",IFERROR(MAX(MIN(TTM!P139,0.5),-0.5),""))</f>
        <v/>
      </c>
      <c r="Q139" s="13" t="str">
        <f>IF(TTM!Q139="","",IFERROR(MAX(MIN(TTM!Q139,0.5),-0.5),""))</f>
        <v/>
      </c>
      <c r="R139" s="13">
        <f>IF(TTM!R139="","",IFERROR(MAX(MIN(TTM!R139,0.5),-0.5),""))</f>
        <v>-0.5</v>
      </c>
      <c r="S139" s="13" t="str">
        <f>IF(TTM!S139="","",IFERROR(MAX(MIN(TTM!S139,0.5),-0.5),""))</f>
        <v/>
      </c>
      <c r="T139" s="13" t="str">
        <f>IF(TTM!T139="","",IFERROR(MAX(MIN(TTM!T139,0.5),-0.5),""))</f>
        <v/>
      </c>
      <c r="U139" s="11"/>
    </row>
    <row r="140" spans="1:21" ht="14">
      <c r="A140" s="14" t="s">
        <v>51</v>
      </c>
      <c r="B140" s="13" t="str">
        <f>IF(TTM!B140="","",IFERROR(MAX(MIN(TTM!B140,0.5),-0.5),""))</f>
        <v/>
      </c>
      <c r="C140" s="13">
        <f>IF(TTM!C140="","",IFERROR(MAX(MIN(TTM!C140,0.5),-0.5),""))</f>
        <v>2.257260319288645E-2</v>
      </c>
      <c r="D140" s="13">
        <f>IF(TTM!D140="","",IFERROR(MAX(MIN(TTM!D140,0.5),-0.5),""))</f>
        <v>0.1717058852959325</v>
      </c>
      <c r="E140" s="13">
        <f>IF(TTM!E140="","",IFERROR(MAX(MIN(TTM!E140,0.5),-0.5),""))</f>
        <v>0.27182637182637182</v>
      </c>
      <c r="F140" s="13" t="str">
        <f>IF(TTM!F140="","",IFERROR(MAX(MIN(TTM!F140,0.5),-0.5),""))</f>
        <v/>
      </c>
      <c r="G140" s="13" t="str">
        <f>IF(TTM!G140="","",IFERROR(MAX(MIN(TTM!G140,0.5),-0.5),""))</f>
        <v/>
      </c>
      <c r="H140" s="13" t="str">
        <f>IF(TTM!H140="","",IFERROR(MAX(MIN(TTM!H140,0.5),-0.5),""))</f>
        <v/>
      </c>
      <c r="I140" s="13" t="str">
        <f>IF(TTM!I140="","",IFERROR(MAX(MIN(TTM!I140,0.5),-0.5),""))</f>
        <v/>
      </c>
      <c r="J140" s="13" t="str">
        <f>IF(TTM!J140="","",IFERROR(MAX(MIN(TTM!J140,0.5),-0.5),""))</f>
        <v/>
      </c>
      <c r="K140" s="13" t="str">
        <f>IF(TTM!K140="","",IFERROR(MAX(MIN(TTM!K140,0.5),-0.5),""))</f>
        <v/>
      </c>
      <c r="L140" s="13" t="str">
        <f>IF(TTM!L140="","",IFERROR(MAX(MIN(TTM!L140,0.5),-0.5),""))</f>
        <v/>
      </c>
      <c r="M140" s="13" t="str">
        <f>IF(TTM!M140="","",IFERROR(MAX(MIN(TTM!M140,0.5),-0.5),""))</f>
        <v/>
      </c>
      <c r="N140" s="13" t="str">
        <f>IF(TTM!N140="","",IFERROR(MAX(MIN(TTM!N140,0.5),-0.5),""))</f>
        <v/>
      </c>
      <c r="O140" s="13">
        <f>IF(TTM!O140="","",IFERROR(MAX(MIN(TTM!O140,0.5),-0.5),""))</f>
        <v>-0.5</v>
      </c>
      <c r="P140" s="13" t="str">
        <f>IF(TTM!P140="","",IFERROR(MAX(MIN(TTM!P140,0.5),-0.5),""))</f>
        <v/>
      </c>
      <c r="Q140" s="13" t="str">
        <f>IF(TTM!Q140="","",IFERROR(MAX(MIN(TTM!Q140,0.5),-0.5),""))</f>
        <v/>
      </c>
      <c r="R140" s="13">
        <f>IF(TTM!R140="","",IFERROR(MAX(MIN(TTM!R140,0.5),-0.5),""))</f>
        <v>-0.20997864067035435</v>
      </c>
      <c r="S140" s="13" t="str">
        <f>IF(TTM!S140="","",IFERROR(MAX(MIN(TTM!S140,0.5),-0.5),""))</f>
        <v/>
      </c>
      <c r="T140" s="13" t="str">
        <f>IF(TTM!T140="","",IFERROR(MAX(MIN(TTM!T140,0.5),-0.5),""))</f>
        <v/>
      </c>
      <c r="U140" s="11"/>
    </row>
    <row r="141" spans="1:21" ht="14">
      <c r="A141" s="14" t="s">
        <v>52</v>
      </c>
      <c r="B141" s="13" t="str">
        <f>IF(TTM!B141="","",IFERROR(MAX(MIN(TTM!B141,0.5),-0.5),""))</f>
        <v/>
      </c>
      <c r="C141" s="13">
        <f>IF(TTM!C141="","",IFERROR(MAX(MIN(TTM!C141,0.5),-0.5),""))</f>
        <v>2.4456421888482432E-2</v>
      </c>
      <c r="D141" s="13">
        <f>IF(TTM!D141="","",IFERROR(MAX(MIN(TTM!D141,0.5),-0.5),""))</f>
        <v>0.16788798803320981</v>
      </c>
      <c r="E141" s="13">
        <f>IF(TTM!E141="","",IFERROR(MAX(MIN(TTM!E141,0.5),-0.5),""))</f>
        <v>0.29381637743026179</v>
      </c>
      <c r="F141" s="13" t="str">
        <f>IF(TTM!F141="","",IFERROR(MAX(MIN(TTM!F141,0.5),-0.5),""))</f>
        <v/>
      </c>
      <c r="G141" s="13" t="str">
        <f>IF(TTM!G141="","",IFERROR(MAX(MIN(TTM!G141,0.5),-0.5),""))</f>
        <v/>
      </c>
      <c r="H141" s="13" t="str">
        <f>IF(TTM!H141="","",IFERROR(MAX(MIN(TTM!H141,0.5),-0.5),""))</f>
        <v/>
      </c>
      <c r="I141" s="13" t="str">
        <f>IF(TTM!I141="","",IFERROR(MAX(MIN(TTM!I141,0.5),-0.5),""))</f>
        <v/>
      </c>
      <c r="J141" s="13" t="str">
        <f>IF(TTM!J141="","",IFERROR(MAX(MIN(TTM!J141,0.5),-0.5),""))</f>
        <v/>
      </c>
      <c r="K141" s="13" t="str">
        <f>IF(TTM!K141="","",IFERROR(MAX(MIN(TTM!K141,0.5),-0.5),""))</f>
        <v/>
      </c>
      <c r="L141" s="13" t="str">
        <f>IF(TTM!L141="","",IFERROR(MAX(MIN(TTM!L141,0.5),-0.5),""))</f>
        <v/>
      </c>
      <c r="M141" s="13" t="str">
        <f>IF(TTM!M141="","",IFERROR(MAX(MIN(TTM!M141,0.5),-0.5),""))</f>
        <v/>
      </c>
      <c r="N141" s="13" t="str">
        <f>IF(TTM!N141="","",IFERROR(MAX(MIN(TTM!N141,0.5),-0.5),""))</f>
        <v/>
      </c>
      <c r="O141" s="13">
        <f>IF(TTM!O141="","",IFERROR(MAX(MIN(TTM!O141,0.5),-0.5),""))</f>
        <v>-0.5</v>
      </c>
      <c r="P141" s="13" t="str">
        <f>IF(TTM!P141="","",IFERROR(MAX(MIN(TTM!P141,0.5),-0.5),""))</f>
        <v/>
      </c>
      <c r="Q141" s="13" t="str">
        <f>IF(TTM!Q141="","",IFERROR(MAX(MIN(TTM!Q141,0.5),-0.5),""))</f>
        <v/>
      </c>
      <c r="R141" s="13">
        <f>IF(TTM!R141="","",IFERROR(MAX(MIN(TTM!R141,0.5),-0.5),""))</f>
        <v>-0.22079054350840924</v>
      </c>
      <c r="S141" s="13" t="str">
        <f>IF(TTM!S141="","",IFERROR(MAX(MIN(TTM!S141,0.5),-0.5),""))</f>
        <v/>
      </c>
      <c r="T141" s="13" t="str">
        <f>IF(TTM!T141="","",IFERROR(MAX(MIN(TTM!T141,0.5),-0.5),""))</f>
        <v/>
      </c>
      <c r="U141" s="11"/>
    </row>
    <row r="142" spans="1:21" ht="14">
      <c r="A142" s="14" t="s">
        <v>53</v>
      </c>
      <c r="B142" s="13" t="str">
        <f>IF(TTM!B142="","",IFERROR(MAX(MIN(TTM!B142,0.5),-0.5),""))</f>
        <v/>
      </c>
      <c r="C142" s="13">
        <f>IF(TTM!C142="","",IFERROR(MAX(MIN(TTM!C142,0.5),-0.5),""))</f>
        <v>2.6340240584078418E-2</v>
      </c>
      <c r="D142" s="13">
        <f>IF(TTM!D142="","",IFERROR(MAX(MIN(TTM!D142,0.5),-0.5),""))</f>
        <v>0.16407009077048715</v>
      </c>
      <c r="E142" s="13">
        <f>IF(TTM!E142="","",IFERROR(MAX(MIN(TTM!E142,0.5),-0.5),""))</f>
        <v>0.31580638303415176</v>
      </c>
      <c r="F142" s="13" t="str">
        <f>IF(TTM!F142="","",IFERROR(MAX(MIN(TTM!F142,0.5),-0.5),""))</f>
        <v/>
      </c>
      <c r="G142" s="13" t="str">
        <f>IF(TTM!G142="","",IFERROR(MAX(MIN(TTM!G142,0.5),-0.5),""))</f>
        <v/>
      </c>
      <c r="H142" s="13" t="str">
        <f>IF(TTM!H142="","",IFERROR(MAX(MIN(TTM!H142,0.5),-0.5),""))</f>
        <v/>
      </c>
      <c r="I142" s="13" t="str">
        <f>IF(TTM!I142="","",IFERROR(MAX(MIN(TTM!I142,0.5),-0.5),""))</f>
        <v/>
      </c>
      <c r="J142" s="13" t="str">
        <f>IF(TTM!J142="","",IFERROR(MAX(MIN(TTM!J142,0.5),-0.5),""))</f>
        <v/>
      </c>
      <c r="K142" s="13" t="str">
        <f>IF(TTM!K142="","",IFERROR(MAX(MIN(TTM!K142,0.5),-0.5),""))</f>
        <v/>
      </c>
      <c r="L142" s="13" t="str">
        <f>IF(TTM!L142="","",IFERROR(MAX(MIN(TTM!L142,0.5),-0.5),""))</f>
        <v/>
      </c>
      <c r="M142" s="13" t="str">
        <f>IF(TTM!M142="","",IFERROR(MAX(MIN(TTM!M142,0.5),-0.5),""))</f>
        <v/>
      </c>
      <c r="N142" s="13" t="str">
        <f>IF(TTM!N142="","",IFERROR(MAX(MIN(TTM!N142,0.5),-0.5),""))</f>
        <v/>
      </c>
      <c r="O142" s="13">
        <f>IF(TTM!O142="","",IFERROR(MAX(MIN(TTM!O142,0.5),-0.5),""))</f>
        <v>-0.4621212121212121</v>
      </c>
      <c r="P142" s="13" t="str">
        <f>IF(TTM!P142="","",IFERROR(MAX(MIN(TTM!P142,0.5),-0.5),""))</f>
        <v/>
      </c>
      <c r="Q142" s="13" t="str">
        <f>IF(TTM!Q142="","",IFERROR(MAX(MIN(TTM!Q142,0.5),-0.5),""))</f>
        <v/>
      </c>
      <c r="R142" s="13">
        <f>IF(TTM!R142="","",IFERROR(MAX(MIN(TTM!R142,0.5),-0.5),""))</f>
        <v>-0.2316024463464641</v>
      </c>
      <c r="S142" s="13" t="str">
        <f>IF(TTM!S142="","",IFERROR(MAX(MIN(TTM!S142,0.5),-0.5),""))</f>
        <v/>
      </c>
      <c r="T142" s="13" t="str">
        <f>IF(TTM!T142="","",IFERROR(MAX(MIN(TTM!T142,0.5),-0.5),""))</f>
        <v/>
      </c>
      <c r="U142" s="11"/>
    </row>
    <row r="143" spans="1:21" ht="14">
      <c r="A143" s="14" t="s">
        <v>54</v>
      </c>
      <c r="B143" s="13" t="str">
        <f>IF(TTM!B143="","",IFERROR(MAX(MIN(TTM!B143,0.5),-0.5),""))</f>
        <v/>
      </c>
      <c r="C143" s="13">
        <f>IF(TTM!C143="","",IFERROR(MAX(MIN(TTM!C143,0.5),-0.5),""))</f>
        <v>2.8224059279674404E-2</v>
      </c>
      <c r="D143" s="13">
        <f>IF(TTM!D143="","",IFERROR(MAX(MIN(TTM!D143,0.5),-0.5),""))</f>
        <v>0.16025219350776448</v>
      </c>
      <c r="E143" s="13">
        <f>IF(TTM!E143="","",IFERROR(MAX(MIN(TTM!E143,0.5),-0.5),""))</f>
        <v>0.33779638863804173</v>
      </c>
      <c r="F143" s="13" t="str">
        <f>IF(TTM!F143="","",IFERROR(MAX(MIN(TTM!F143,0.5),-0.5),""))</f>
        <v/>
      </c>
      <c r="G143" s="13" t="str">
        <f>IF(TTM!G143="","",IFERROR(MAX(MIN(TTM!G143,0.5),-0.5),""))</f>
        <v/>
      </c>
      <c r="H143" s="13" t="str">
        <f>IF(TTM!H143="","",IFERROR(MAX(MIN(TTM!H143,0.5),-0.5),""))</f>
        <v/>
      </c>
      <c r="I143" s="13" t="str">
        <f>IF(TTM!I143="","",IFERROR(MAX(MIN(TTM!I143,0.5),-0.5),""))</f>
        <v/>
      </c>
      <c r="J143" s="13" t="str">
        <f>IF(TTM!J143="","",IFERROR(MAX(MIN(TTM!J143,0.5),-0.5),""))</f>
        <v/>
      </c>
      <c r="K143" s="13" t="str">
        <f>IF(TTM!K143="","",IFERROR(MAX(MIN(TTM!K143,0.5),-0.5),""))</f>
        <v/>
      </c>
      <c r="L143" s="13" t="str">
        <f>IF(TTM!L143="","",IFERROR(MAX(MIN(TTM!L143,0.5),-0.5),""))</f>
        <v/>
      </c>
      <c r="M143" s="13" t="str">
        <f>IF(TTM!M143="","",IFERROR(MAX(MIN(TTM!M143,0.5),-0.5),""))</f>
        <v/>
      </c>
      <c r="N143" s="13" t="str">
        <f>IF(TTM!N143="","",IFERROR(MAX(MIN(TTM!N143,0.5),-0.5),""))</f>
        <v/>
      </c>
      <c r="O143" s="13">
        <f>IF(TTM!O143="","",IFERROR(MAX(MIN(TTM!O143,0.5),-0.5),""))</f>
        <v>-0.5</v>
      </c>
      <c r="P143" s="13" t="str">
        <f>IF(TTM!P143="","",IFERROR(MAX(MIN(TTM!P143,0.5),-0.5),""))</f>
        <v/>
      </c>
      <c r="Q143" s="13" t="str">
        <f>IF(TTM!Q143="","",IFERROR(MAX(MIN(TTM!Q143,0.5),-0.5),""))</f>
        <v/>
      </c>
      <c r="R143" s="13">
        <f>IF(TTM!R143="","",IFERROR(MAX(MIN(TTM!R143,0.5),-0.5),""))</f>
        <v>-0.24241434918451898</v>
      </c>
      <c r="S143" s="13" t="str">
        <f>IF(TTM!S143="","",IFERROR(MAX(MIN(TTM!S143,0.5),-0.5),""))</f>
        <v/>
      </c>
      <c r="T143" s="13" t="str">
        <f>IF(TTM!T143="","",IFERROR(MAX(MIN(TTM!T143,0.5),-0.5),""))</f>
        <v/>
      </c>
      <c r="U143" s="11"/>
    </row>
    <row r="144" spans="1:21" ht="14">
      <c r="A144" s="14" t="s">
        <v>55</v>
      </c>
      <c r="B144" s="13" t="str">
        <f>IF(TTM!B144="","",IFERROR(MAX(MIN(TTM!B144,0.5),-0.5),""))</f>
        <v/>
      </c>
      <c r="C144" s="13">
        <f>IF(TTM!C144="","",IFERROR(MAX(MIN(TTM!C144,0.5),-0.5),""))</f>
        <v>3.010787797527039E-2</v>
      </c>
      <c r="D144" s="13">
        <f>IF(TTM!D144="","",IFERROR(MAX(MIN(TTM!D144,0.5),-0.5),""))</f>
        <v>0.15643429624504179</v>
      </c>
      <c r="E144" s="13">
        <f>IF(TTM!E144="","",IFERROR(MAX(MIN(TTM!E144,0.5),-0.5),""))</f>
        <v>0.35978639424193176</v>
      </c>
      <c r="F144" s="13" t="str">
        <f>IF(TTM!F144="","",IFERROR(MAX(MIN(TTM!F144,0.5),-0.5),""))</f>
        <v/>
      </c>
      <c r="G144" s="13" t="str">
        <f>IF(TTM!G144="","",IFERROR(MAX(MIN(TTM!G144,0.5),-0.5),""))</f>
        <v/>
      </c>
      <c r="H144" s="13" t="str">
        <f>IF(TTM!H144="","",IFERROR(MAX(MIN(TTM!H144,0.5),-0.5),""))</f>
        <v/>
      </c>
      <c r="I144" s="13" t="str">
        <f>IF(TTM!I144="","",IFERROR(MAX(MIN(TTM!I144,0.5),-0.5),""))</f>
        <v/>
      </c>
      <c r="J144" s="13" t="str">
        <f>IF(TTM!J144="","",IFERROR(MAX(MIN(TTM!J144,0.5),-0.5),""))</f>
        <v/>
      </c>
      <c r="K144" s="13" t="str">
        <f>IF(TTM!K144="","",IFERROR(MAX(MIN(TTM!K144,0.5),-0.5),""))</f>
        <v/>
      </c>
      <c r="L144" s="13" t="str">
        <f>IF(TTM!L144="","",IFERROR(MAX(MIN(TTM!L144,0.5),-0.5),""))</f>
        <v/>
      </c>
      <c r="M144" s="13" t="str">
        <f>IF(TTM!M144="","",IFERROR(MAX(MIN(TTM!M144,0.5),-0.5),""))</f>
        <v/>
      </c>
      <c r="N144" s="13" t="str">
        <f>IF(TTM!N144="","",IFERROR(MAX(MIN(TTM!N144,0.5),-0.5),""))</f>
        <v/>
      </c>
      <c r="O144" s="13">
        <f>IF(TTM!O144="","",IFERROR(MAX(MIN(TTM!O144,0.5),-0.5),""))</f>
        <v>-0.5</v>
      </c>
      <c r="P144" s="13" t="str">
        <f>IF(TTM!P144="","",IFERROR(MAX(MIN(TTM!P144,0.5),-0.5),""))</f>
        <v/>
      </c>
      <c r="Q144" s="13" t="str">
        <f>IF(TTM!Q144="","",IFERROR(MAX(MIN(TTM!Q144,0.5),-0.5),""))</f>
        <v/>
      </c>
      <c r="R144" s="13">
        <f>IF(TTM!R144="","",IFERROR(MAX(MIN(TTM!R144,0.5),-0.5),""))</f>
        <v>-0.25322625202257387</v>
      </c>
      <c r="S144" s="13" t="str">
        <f>IF(TTM!S144="","",IFERROR(MAX(MIN(TTM!S144,0.5),-0.5),""))</f>
        <v/>
      </c>
      <c r="T144" s="13" t="str">
        <f>IF(TTM!T144="","",IFERROR(MAX(MIN(TTM!T144,0.5),-0.5),""))</f>
        <v/>
      </c>
      <c r="U144" s="11"/>
    </row>
    <row r="145" spans="1:21" ht="14">
      <c r="A145" s="14" t="s">
        <v>56</v>
      </c>
      <c r="B145" s="13" t="str">
        <f>IF(TTM!B145="","",IFERROR(MAX(MIN(TTM!B145,0.5),-0.5),""))</f>
        <v/>
      </c>
      <c r="C145" s="13">
        <f>IF(TTM!C145="","",IFERROR(MAX(MIN(TTM!C145,0.5),-0.5),""))</f>
        <v>3.4829479085102075E-2</v>
      </c>
      <c r="D145" s="13">
        <f>IF(TTM!D145="","",IFERROR(MAX(MIN(TTM!D145,0.5),-0.5),""))</f>
        <v>0.17289098406744685</v>
      </c>
      <c r="E145" s="13">
        <f>IF(TTM!E145="","",IFERROR(MAX(MIN(TTM!E145,0.5),-0.5),""))</f>
        <v>0.3737714865287074</v>
      </c>
      <c r="F145" s="13" t="str">
        <f>IF(TTM!F145="","",IFERROR(MAX(MIN(TTM!F145,0.5),-0.5),""))</f>
        <v/>
      </c>
      <c r="G145" s="13" t="str">
        <f>IF(TTM!G145="","",IFERROR(MAX(MIN(TTM!G145,0.5),-0.5),""))</f>
        <v/>
      </c>
      <c r="H145" s="13" t="str">
        <f>IF(TTM!H145="","",IFERROR(MAX(MIN(TTM!H145,0.5),-0.5),""))</f>
        <v/>
      </c>
      <c r="I145" s="13" t="str">
        <f>IF(TTM!I145="","",IFERROR(MAX(MIN(TTM!I145,0.5),-0.5),""))</f>
        <v/>
      </c>
      <c r="J145" s="13" t="str">
        <f>IF(TTM!J145="","",IFERROR(MAX(MIN(TTM!J145,0.5),-0.5),""))</f>
        <v/>
      </c>
      <c r="K145" s="13" t="str">
        <f>IF(TTM!K145="","",IFERROR(MAX(MIN(TTM!K145,0.5),-0.5),""))</f>
        <v/>
      </c>
      <c r="L145" s="13" t="str">
        <f>IF(TTM!L145="","",IFERROR(MAX(MIN(TTM!L145,0.5),-0.5),""))</f>
        <v/>
      </c>
      <c r="M145" s="13" t="str">
        <f>IF(TTM!M145="","",IFERROR(MAX(MIN(TTM!M145,0.5),-0.5),""))</f>
        <v/>
      </c>
      <c r="N145" s="13" t="str">
        <f>IF(TTM!N145="","",IFERROR(MAX(MIN(TTM!N145,0.5),-0.5),""))</f>
        <v/>
      </c>
      <c r="O145" s="13">
        <f>IF(TTM!O145="","",IFERROR(MAX(MIN(TTM!O145,0.5),-0.5),""))</f>
        <v>-0.5</v>
      </c>
      <c r="P145" s="13" t="str">
        <f>IF(TTM!P145="","",IFERROR(MAX(MIN(TTM!P145,0.5),-0.5),""))</f>
        <v/>
      </c>
      <c r="Q145" s="13" t="str">
        <f>IF(TTM!Q145="","",IFERROR(MAX(MIN(TTM!Q145,0.5),-0.5),""))</f>
        <v/>
      </c>
      <c r="R145" s="13">
        <f>IF(TTM!R145="","",IFERROR(MAX(MIN(TTM!R145,0.5),-0.5),""))</f>
        <v>-0.25322625202257387</v>
      </c>
      <c r="S145" s="13" t="str">
        <f>IF(TTM!S145="","",IFERROR(MAX(MIN(TTM!S145,0.5),-0.5),""))</f>
        <v/>
      </c>
      <c r="T145" s="13" t="str">
        <f>IF(TTM!T145="","",IFERROR(MAX(MIN(TTM!T145,0.5),-0.5),""))</f>
        <v/>
      </c>
      <c r="U145" s="11"/>
    </row>
    <row r="146" spans="1:21" ht="14">
      <c r="A146" s="14" t="s">
        <v>57</v>
      </c>
      <c r="B146" s="13" t="str">
        <f>IF(TTM!B146="","",IFERROR(MAX(MIN(TTM!B146,0.5),-0.5),""))</f>
        <v/>
      </c>
      <c r="C146" s="13">
        <f>IF(TTM!C146="","",IFERROR(MAX(MIN(TTM!C146,0.5),-0.5),""))</f>
        <v>3.9551080194933752E-2</v>
      </c>
      <c r="D146" s="13">
        <f>IF(TTM!D146="","",IFERROR(MAX(MIN(TTM!D146,0.5),-0.5),""))</f>
        <v>0.18934767188985191</v>
      </c>
      <c r="E146" s="13">
        <f>IF(TTM!E146="","",IFERROR(MAX(MIN(TTM!E146,0.5),-0.5),""))</f>
        <v>0.38775657881548303</v>
      </c>
      <c r="F146" s="13" t="str">
        <f>IF(TTM!F146="","",IFERROR(MAX(MIN(TTM!F146,0.5),-0.5),""))</f>
        <v/>
      </c>
      <c r="G146" s="13" t="str">
        <f>IF(TTM!G146="","",IFERROR(MAX(MIN(TTM!G146,0.5),-0.5),""))</f>
        <v/>
      </c>
      <c r="H146" s="13" t="str">
        <f>IF(TTM!H146="","",IFERROR(MAX(MIN(TTM!H146,0.5),-0.5),""))</f>
        <v/>
      </c>
      <c r="I146" s="13" t="str">
        <f>IF(TTM!I146="","",IFERROR(MAX(MIN(TTM!I146,0.5),-0.5),""))</f>
        <v/>
      </c>
      <c r="J146" s="13" t="str">
        <f>IF(TTM!J146="","",IFERROR(MAX(MIN(TTM!J146,0.5),-0.5),""))</f>
        <v/>
      </c>
      <c r="K146" s="13" t="str">
        <f>IF(TTM!K146="","",IFERROR(MAX(MIN(TTM!K146,0.5),-0.5),""))</f>
        <v/>
      </c>
      <c r="L146" s="13" t="str">
        <f>IF(TTM!L146="","",IFERROR(MAX(MIN(TTM!L146,0.5),-0.5),""))</f>
        <v/>
      </c>
      <c r="M146" s="13" t="str">
        <f>IF(TTM!M146="","",IFERROR(MAX(MIN(TTM!M146,0.5),-0.5),""))</f>
        <v/>
      </c>
      <c r="N146" s="13" t="str">
        <f>IF(TTM!N146="","",IFERROR(MAX(MIN(TTM!N146,0.5),-0.5),""))</f>
        <v/>
      </c>
      <c r="O146" s="13">
        <f>IF(TTM!O146="","",IFERROR(MAX(MIN(TTM!O146,0.5),-0.5),""))</f>
        <v>-0.5</v>
      </c>
      <c r="P146" s="13" t="str">
        <f>IF(TTM!P146="","",IFERROR(MAX(MIN(TTM!P146,0.5),-0.5),""))</f>
        <v/>
      </c>
      <c r="Q146" s="13" t="str">
        <f>IF(TTM!Q146="","",IFERROR(MAX(MIN(TTM!Q146,0.5),-0.5),""))</f>
        <v/>
      </c>
      <c r="R146" s="13">
        <f>IF(TTM!R146="","",IFERROR(MAX(MIN(TTM!R146,0.5),-0.5),""))</f>
        <v>-0.25322625202257387</v>
      </c>
      <c r="S146" s="13" t="str">
        <f>IF(TTM!S146="","",IFERROR(MAX(MIN(TTM!S146,0.5),-0.5),""))</f>
        <v/>
      </c>
      <c r="T146" s="13" t="str">
        <f>IF(TTM!T146="","",IFERROR(MAX(MIN(TTM!T146,0.5),-0.5),""))</f>
        <v/>
      </c>
      <c r="U146" s="11"/>
    </row>
    <row r="147" spans="1:21" ht="14">
      <c r="A147" s="14" t="s">
        <v>58</v>
      </c>
      <c r="B147" s="13" t="str">
        <f>IF(TTM!B147="","",IFERROR(MAX(MIN(TTM!B147,0.5),-0.5),""))</f>
        <v/>
      </c>
      <c r="C147" s="13">
        <f>IF(TTM!C147="","",IFERROR(MAX(MIN(TTM!C147,0.5),-0.5),""))</f>
        <v>4.4272681304765443E-2</v>
      </c>
      <c r="D147" s="13">
        <f>IF(TTM!D147="","",IFERROR(MAX(MIN(TTM!D147,0.5),-0.5),""))</f>
        <v>0.20580435971225697</v>
      </c>
      <c r="E147" s="13">
        <f>IF(TTM!E147="","",IFERROR(MAX(MIN(TTM!E147,0.5),-0.5),""))</f>
        <v>0.40174167110225867</v>
      </c>
      <c r="F147" s="13" t="str">
        <f>IF(TTM!F147="","",IFERROR(MAX(MIN(TTM!F147,0.5),-0.5),""))</f>
        <v/>
      </c>
      <c r="G147" s="13" t="str">
        <f>IF(TTM!G147="","",IFERROR(MAX(MIN(TTM!G147,0.5),-0.5),""))</f>
        <v/>
      </c>
      <c r="H147" s="13" t="str">
        <f>IF(TTM!H147="","",IFERROR(MAX(MIN(TTM!H147,0.5),-0.5),""))</f>
        <v/>
      </c>
      <c r="I147" s="13" t="str">
        <f>IF(TTM!I147="","",IFERROR(MAX(MIN(TTM!I147,0.5),-0.5),""))</f>
        <v/>
      </c>
      <c r="J147" s="13" t="str">
        <f>IF(TTM!J147="","",IFERROR(MAX(MIN(TTM!J147,0.5),-0.5),""))</f>
        <v/>
      </c>
      <c r="K147" s="13" t="str">
        <f>IF(TTM!K147="","",IFERROR(MAX(MIN(TTM!K147,0.5),-0.5),""))</f>
        <v/>
      </c>
      <c r="L147" s="13" t="str">
        <f>IF(TTM!L147="","",IFERROR(MAX(MIN(TTM!L147,0.5),-0.5),""))</f>
        <v/>
      </c>
      <c r="M147" s="13" t="str">
        <f>IF(TTM!M147="","",IFERROR(MAX(MIN(TTM!M147,0.5),-0.5),""))</f>
        <v/>
      </c>
      <c r="N147" s="13" t="str">
        <f>IF(TTM!N147="","",IFERROR(MAX(MIN(TTM!N147,0.5),-0.5),""))</f>
        <v/>
      </c>
      <c r="O147" s="13">
        <f>IF(TTM!O147="","",IFERROR(MAX(MIN(TTM!O147,0.5),-0.5),""))</f>
        <v>-0.43935785477821698</v>
      </c>
      <c r="P147" s="13" t="str">
        <f>IF(TTM!P147="","",IFERROR(MAX(MIN(TTM!P147,0.5),-0.5),""))</f>
        <v/>
      </c>
      <c r="Q147" s="13" t="str">
        <f>IF(TTM!Q147="","",IFERROR(MAX(MIN(TTM!Q147,0.5),-0.5),""))</f>
        <v/>
      </c>
      <c r="R147" s="13">
        <f>IF(TTM!R147="","",IFERROR(MAX(MIN(TTM!R147,0.5),-0.5),""))</f>
        <v>-0.25322625202257387</v>
      </c>
      <c r="S147" s="13" t="str">
        <f>IF(TTM!S147="","",IFERROR(MAX(MIN(TTM!S147,0.5),-0.5),""))</f>
        <v/>
      </c>
      <c r="T147" s="13" t="str">
        <f>IF(TTM!T147="","",IFERROR(MAX(MIN(TTM!T147,0.5),-0.5),""))</f>
        <v/>
      </c>
      <c r="U147" s="11"/>
    </row>
    <row r="148" spans="1:21" ht="14">
      <c r="A148" s="14" t="s">
        <v>59</v>
      </c>
      <c r="B148" s="13" t="str">
        <f>IF(TTM!B148="","",IFERROR(MAX(MIN(TTM!B148,0.5),-0.5),""))</f>
        <v/>
      </c>
      <c r="C148" s="13">
        <f>IF(TTM!C148="","",IFERROR(MAX(MIN(TTM!C148,0.5),-0.5),""))</f>
        <v>4.8994282414597121E-2</v>
      </c>
      <c r="D148" s="13">
        <f>IF(TTM!D148="","",IFERROR(MAX(MIN(TTM!D148,0.5),-0.5),""))</f>
        <v>0.222261047534662</v>
      </c>
      <c r="E148" s="13">
        <f>IF(TTM!E148="","",IFERROR(MAX(MIN(TTM!E148,0.5),-0.5),""))</f>
        <v>0.4157267633890343</v>
      </c>
      <c r="F148" s="13" t="str">
        <f>IF(TTM!F148="","",IFERROR(MAX(MIN(TTM!F148,0.5),-0.5),""))</f>
        <v/>
      </c>
      <c r="G148" s="13" t="str">
        <f>IF(TTM!G148="","",IFERROR(MAX(MIN(TTM!G148,0.5),-0.5),""))</f>
        <v/>
      </c>
      <c r="H148" s="13" t="str">
        <f>IF(TTM!H148="","",IFERROR(MAX(MIN(TTM!H148,0.5),-0.5),""))</f>
        <v/>
      </c>
      <c r="I148" s="13" t="str">
        <f>IF(TTM!I148="","",IFERROR(MAX(MIN(TTM!I148,0.5),-0.5),""))</f>
        <v/>
      </c>
      <c r="J148" s="13" t="str">
        <f>IF(TTM!J148="","",IFERROR(MAX(MIN(TTM!J148,0.5),-0.5),""))</f>
        <v/>
      </c>
      <c r="K148" s="13" t="str">
        <f>IF(TTM!K148="","",IFERROR(MAX(MIN(TTM!K148,0.5),-0.5),""))</f>
        <v/>
      </c>
      <c r="L148" s="13" t="str">
        <f>IF(TTM!L148="","",IFERROR(MAX(MIN(TTM!L148,0.5),-0.5),""))</f>
        <v/>
      </c>
      <c r="M148" s="13" t="str">
        <f>IF(TTM!M148="","",IFERROR(MAX(MIN(TTM!M148,0.5),-0.5),""))</f>
        <v/>
      </c>
      <c r="N148" s="13" t="str">
        <f>IF(TTM!N148="","",IFERROR(MAX(MIN(TTM!N148,0.5),-0.5),""))</f>
        <v/>
      </c>
      <c r="O148" s="13">
        <f>IF(TTM!O148="","",IFERROR(MAX(MIN(TTM!O148,0.5),-0.5),""))</f>
        <v>-0.18446747544947129</v>
      </c>
      <c r="P148" s="13" t="str">
        <f>IF(TTM!P148="","",IFERROR(MAX(MIN(TTM!P148,0.5),-0.5),""))</f>
        <v/>
      </c>
      <c r="Q148" s="13" t="str">
        <f>IF(TTM!Q148="","",IFERROR(MAX(MIN(TTM!Q148,0.5),-0.5),""))</f>
        <v/>
      </c>
      <c r="R148" s="13" t="str">
        <f>IF(TTM!R148="","",IFERROR(MAX(MIN(TTM!R148,0.5),-0.5),""))</f>
        <v/>
      </c>
      <c r="S148" s="13" t="str">
        <f>IF(TTM!S148="","",IFERROR(MAX(MIN(TTM!S148,0.5),-0.5),""))</f>
        <v/>
      </c>
      <c r="T148" s="13" t="str">
        <f>IF(TTM!T148="","",IFERROR(MAX(MIN(TTM!T148,0.5),-0.5),""))</f>
        <v/>
      </c>
      <c r="U148" s="11"/>
    </row>
    <row r="149" spans="1:21" ht="14">
      <c r="A149" s="14" t="s">
        <v>60</v>
      </c>
      <c r="B149" s="13" t="str">
        <f>IF(TTM!B149="","",IFERROR(MAX(MIN(TTM!B149,0.5),-0.5),""))</f>
        <v/>
      </c>
      <c r="C149" s="13">
        <f>IF(TTM!C149="","",IFERROR(MAX(MIN(TTM!C149,0.5),-0.5),""))</f>
        <v>5.3586548658848446E-2</v>
      </c>
      <c r="D149" s="13">
        <f>IF(TTM!D149="","",IFERROR(MAX(MIN(TTM!D149,0.5),-0.5),""))</f>
        <v>0.23435044215467316</v>
      </c>
      <c r="E149" s="13">
        <f>IF(TTM!E149="","",IFERROR(MAX(MIN(TTM!E149,0.5),-0.5),""))</f>
        <v>0.42723302116845902</v>
      </c>
      <c r="F149" s="13" t="str">
        <f>IF(TTM!F149="","",IFERROR(MAX(MIN(TTM!F149,0.5),-0.5),""))</f>
        <v/>
      </c>
      <c r="G149" s="13" t="str">
        <f>IF(TTM!G149="","",IFERROR(MAX(MIN(TTM!G149,0.5),-0.5),""))</f>
        <v/>
      </c>
      <c r="H149" s="13" t="str">
        <f>IF(TTM!H149="","",IFERROR(MAX(MIN(TTM!H149,0.5),-0.5),""))</f>
        <v/>
      </c>
      <c r="I149" s="13" t="str">
        <f>IF(TTM!I149="","",IFERROR(MAX(MIN(TTM!I149,0.5),-0.5),""))</f>
        <v/>
      </c>
      <c r="J149" s="13" t="str">
        <f>IF(TTM!J149="","",IFERROR(MAX(MIN(TTM!J149,0.5),-0.5),""))</f>
        <v/>
      </c>
      <c r="K149" s="13" t="str">
        <f>IF(TTM!K149="","",IFERROR(MAX(MIN(TTM!K149,0.5),-0.5),""))</f>
        <v/>
      </c>
      <c r="L149" s="13" t="str">
        <f>IF(TTM!L149="","",IFERROR(MAX(MIN(TTM!L149,0.5),-0.5),""))</f>
        <v/>
      </c>
      <c r="M149" s="13" t="str">
        <f>IF(TTM!M149="","",IFERROR(MAX(MIN(TTM!M149,0.5),-0.5),""))</f>
        <v/>
      </c>
      <c r="N149" s="13" t="str">
        <f>IF(TTM!N149="","",IFERROR(MAX(MIN(TTM!N149,0.5),-0.5),""))</f>
        <v/>
      </c>
      <c r="O149" s="13">
        <f>IF(TTM!O149="","",IFERROR(MAX(MIN(TTM!O149,0.5),-0.5),""))</f>
        <v>7.0422903879274371E-2</v>
      </c>
      <c r="P149" s="13" t="str">
        <f>IF(TTM!P149="","",IFERROR(MAX(MIN(TTM!P149,0.5),-0.5),""))</f>
        <v/>
      </c>
      <c r="Q149" s="13" t="str">
        <f>IF(TTM!Q149="","",IFERROR(MAX(MIN(TTM!Q149,0.5),-0.5),""))</f>
        <v/>
      </c>
      <c r="R149" s="13" t="str">
        <f>IF(TTM!R149="","",IFERROR(MAX(MIN(TTM!R149,0.5),-0.5),""))</f>
        <v/>
      </c>
      <c r="S149" s="13" t="str">
        <f>IF(TTM!S149="","",IFERROR(MAX(MIN(TTM!S149,0.5),-0.5),""))</f>
        <v/>
      </c>
      <c r="T149" s="13" t="str">
        <f>IF(TTM!T149="","",IFERROR(MAX(MIN(TTM!T149,0.5),-0.5),""))</f>
        <v/>
      </c>
      <c r="U149" s="11"/>
    </row>
    <row r="150" spans="1:21" ht="14">
      <c r="A150" s="14" t="s">
        <v>61</v>
      </c>
      <c r="B150" s="13" t="str">
        <f>IF(TTM!B150="","",IFERROR(MAX(MIN(TTM!B150,0.5),-0.5),""))</f>
        <v/>
      </c>
      <c r="C150" s="13">
        <f>IF(TTM!C150="","",IFERROR(MAX(MIN(TTM!C150,0.5),-0.5),""))</f>
        <v>5.8178814903099778E-2</v>
      </c>
      <c r="D150" s="13">
        <f>IF(TTM!D150="","",IFERROR(MAX(MIN(TTM!D150,0.5),-0.5),""))</f>
        <v>0.24643983677468428</v>
      </c>
      <c r="E150" s="13">
        <f>IF(TTM!E150="","",IFERROR(MAX(MIN(TTM!E150,0.5),-0.5),""))</f>
        <v>0.43873927894788373</v>
      </c>
      <c r="F150" s="13" t="str">
        <f>IF(TTM!F150="","",IFERROR(MAX(MIN(TTM!F150,0.5),-0.5),""))</f>
        <v/>
      </c>
      <c r="G150" s="13" t="str">
        <f>IF(TTM!G150="","",IFERROR(MAX(MIN(TTM!G150,0.5),-0.5),""))</f>
        <v/>
      </c>
      <c r="H150" s="13" t="str">
        <f>IF(TTM!H150="","",IFERROR(MAX(MIN(TTM!H150,0.5),-0.5),""))</f>
        <v/>
      </c>
      <c r="I150" s="13" t="str">
        <f>IF(TTM!I150="","",IFERROR(MAX(MIN(TTM!I150,0.5),-0.5),""))</f>
        <v/>
      </c>
      <c r="J150" s="13" t="str">
        <f>IF(TTM!J150="","",IFERROR(MAX(MIN(TTM!J150,0.5),-0.5),""))</f>
        <v/>
      </c>
      <c r="K150" s="13" t="str">
        <f>IF(TTM!K150="","",IFERROR(MAX(MIN(TTM!K150,0.5),-0.5),""))</f>
        <v/>
      </c>
      <c r="L150" s="13" t="str">
        <f>IF(TTM!L150="","",IFERROR(MAX(MIN(TTM!L150,0.5),-0.5),""))</f>
        <v/>
      </c>
      <c r="M150" s="13" t="str">
        <f>IF(TTM!M150="","",IFERROR(MAX(MIN(TTM!M150,0.5),-0.5),""))</f>
        <v/>
      </c>
      <c r="N150" s="13" t="str">
        <f>IF(TTM!N150="","",IFERROR(MAX(MIN(TTM!N150,0.5),-0.5),""))</f>
        <v/>
      </c>
      <c r="O150" s="13">
        <f>IF(TTM!O150="","",IFERROR(MAX(MIN(TTM!O150,0.5),-0.5),""))</f>
        <v>0.32531328320802005</v>
      </c>
      <c r="P150" s="13" t="str">
        <f>IF(TTM!P150="","",IFERROR(MAX(MIN(TTM!P150,0.5),-0.5),""))</f>
        <v/>
      </c>
      <c r="Q150" s="13" t="str">
        <f>IF(TTM!Q150="","",IFERROR(MAX(MIN(TTM!Q150,0.5),-0.5),""))</f>
        <v/>
      </c>
      <c r="R150" s="13" t="str">
        <f>IF(TTM!R150="","",IFERROR(MAX(MIN(TTM!R150,0.5),-0.5),""))</f>
        <v/>
      </c>
      <c r="S150" s="13" t="str">
        <f>IF(TTM!S150="","",IFERROR(MAX(MIN(TTM!S150,0.5),-0.5),""))</f>
        <v/>
      </c>
      <c r="T150" s="13" t="str">
        <f>IF(TTM!T150="","",IFERROR(MAX(MIN(TTM!T150,0.5),-0.5),""))</f>
        <v/>
      </c>
      <c r="U150" s="11"/>
    </row>
    <row r="151" spans="1:21" ht="14">
      <c r="A151" s="14" t="s">
        <v>62</v>
      </c>
      <c r="B151" s="13" t="str">
        <f>IF(TTM!B151="","",IFERROR(MAX(MIN(TTM!B151,0.5),-0.5),""))</f>
        <v/>
      </c>
      <c r="C151" s="13">
        <f>IF(TTM!C151="","",IFERROR(MAX(MIN(TTM!C151,0.5),-0.5),""))</f>
        <v>6.277108114735111E-2</v>
      </c>
      <c r="D151" s="13">
        <f>IF(TTM!D151="","",IFERROR(MAX(MIN(TTM!D151,0.5),-0.5),""))</f>
        <v>0.25852923139469541</v>
      </c>
      <c r="E151" s="13">
        <f>IF(TTM!E151="","",IFERROR(MAX(MIN(TTM!E151,0.5),-0.5),""))</f>
        <v>0.45024553672730838</v>
      </c>
      <c r="F151" s="13" t="str">
        <f>IF(TTM!F151="","",IFERROR(MAX(MIN(TTM!F151,0.5),-0.5),""))</f>
        <v/>
      </c>
      <c r="G151" s="13" t="str">
        <f>IF(TTM!G151="","",IFERROR(MAX(MIN(TTM!G151,0.5),-0.5),""))</f>
        <v/>
      </c>
      <c r="H151" s="13" t="str">
        <f>IF(TTM!H151="","",IFERROR(MAX(MIN(TTM!H151,0.5),-0.5),""))</f>
        <v/>
      </c>
      <c r="I151" s="13" t="str">
        <f>IF(TTM!I151="","",IFERROR(MAX(MIN(TTM!I151,0.5),-0.5),""))</f>
        <v/>
      </c>
      <c r="J151" s="13" t="str">
        <f>IF(TTM!J151="","",IFERROR(MAX(MIN(TTM!J151,0.5),-0.5),""))</f>
        <v/>
      </c>
      <c r="K151" s="13" t="str">
        <f>IF(TTM!K151="","",IFERROR(MAX(MIN(TTM!K151,0.5),-0.5),""))</f>
        <v/>
      </c>
      <c r="L151" s="13" t="str">
        <f>IF(TTM!L151="","",IFERROR(MAX(MIN(TTM!L151,0.5),-0.5),""))</f>
        <v/>
      </c>
      <c r="M151" s="13" t="str">
        <f>IF(TTM!M151="","",IFERROR(MAX(MIN(TTM!M151,0.5),-0.5),""))</f>
        <v/>
      </c>
      <c r="N151" s="13" t="str">
        <f>IF(TTM!N151="","",IFERROR(MAX(MIN(TTM!N151,0.5),-0.5),""))</f>
        <v/>
      </c>
      <c r="O151" s="13">
        <f>IF(TTM!O151="","",IFERROR(MAX(MIN(TTM!O151,0.5),-0.5),""))</f>
        <v>0.32748350468006748</v>
      </c>
      <c r="P151" s="13" t="str">
        <f>IF(TTM!P151="","",IFERROR(MAX(MIN(TTM!P151,0.5),-0.5),""))</f>
        <v/>
      </c>
      <c r="Q151" s="13" t="str">
        <f>IF(TTM!Q151="","",IFERROR(MAX(MIN(TTM!Q151,0.5),-0.5),""))</f>
        <v/>
      </c>
      <c r="R151" s="13" t="str">
        <f>IF(TTM!R151="","",IFERROR(MAX(MIN(TTM!R151,0.5),-0.5),""))</f>
        <v/>
      </c>
      <c r="S151" s="13" t="str">
        <f>IF(TTM!S151="","",IFERROR(MAX(MIN(TTM!S151,0.5),-0.5),""))</f>
        <v/>
      </c>
      <c r="T151" s="13" t="str">
        <f>IF(TTM!T151="","",IFERROR(MAX(MIN(TTM!T151,0.5),-0.5),""))</f>
        <v/>
      </c>
      <c r="U151" s="11"/>
    </row>
    <row r="152" spans="1:21" ht="14">
      <c r="A152" s="14" t="s">
        <v>63</v>
      </c>
      <c r="B152" s="13" t="str">
        <f>IF(TTM!B152="","",IFERROR(MAX(MIN(TTM!B152,0.5),-0.5),""))</f>
        <v/>
      </c>
      <c r="C152" s="13">
        <f>IF(TTM!C152="","",IFERROR(MAX(MIN(TTM!C152,0.5),-0.5),""))</f>
        <v>6.7363347391602435E-2</v>
      </c>
      <c r="D152" s="13">
        <f>IF(TTM!D152="","",IFERROR(MAX(MIN(TTM!D152,0.5),-0.5),""))</f>
        <v>0.2706186260147066</v>
      </c>
      <c r="E152" s="13">
        <f>IF(TTM!E152="","",IFERROR(MAX(MIN(TTM!E152,0.5),-0.5),""))</f>
        <v>0.46175179450673309</v>
      </c>
      <c r="F152" s="13" t="str">
        <f>IF(TTM!F152="","",IFERROR(MAX(MIN(TTM!F152,0.5),-0.5),""))</f>
        <v/>
      </c>
      <c r="G152" s="13" t="str">
        <f>IF(TTM!G152="","",IFERROR(MAX(MIN(TTM!G152,0.5),-0.5),""))</f>
        <v/>
      </c>
      <c r="H152" s="13" t="str">
        <f>IF(TTM!H152="","",IFERROR(MAX(MIN(TTM!H152,0.5),-0.5),""))</f>
        <v/>
      </c>
      <c r="I152" s="13" t="str">
        <f>IF(TTM!I152="","",IFERROR(MAX(MIN(TTM!I152,0.5),-0.5),""))</f>
        <v/>
      </c>
      <c r="J152" s="13" t="str">
        <f>IF(TTM!J152="","",IFERROR(MAX(MIN(TTM!J152,0.5),-0.5),""))</f>
        <v/>
      </c>
      <c r="K152" s="13" t="str">
        <f>IF(TTM!K152="","",IFERROR(MAX(MIN(TTM!K152,0.5),-0.5),""))</f>
        <v/>
      </c>
      <c r="L152" s="13" t="str">
        <f>IF(TTM!L152="","",IFERROR(MAX(MIN(TTM!L152,0.5),-0.5),""))</f>
        <v/>
      </c>
      <c r="M152" s="13" t="str">
        <f>IF(TTM!M152="","",IFERROR(MAX(MIN(TTM!M152,0.5),-0.5),""))</f>
        <v/>
      </c>
      <c r="N152" s="13" t="str">
        <f>IF(TTM!N152="","",IFERROR(MAX(MIN(TTM!N152,0.5),-0.5),""))</f>
        <v/>
      </c>
      <c r="O152" s="13">
        <f>IF(TTM!O152="","",IFERROR(MAX(MIN(TTM!O152,0.5),-0.5),""))</f>
        <v>0.32965372615211497</v>
      </c>
      <c r="P152" s="13" t="str">
        <f>IF(TTM!P152="","",IFERROR(MAX(MIN(TTM!P152,0.5),-0.5),""))</f>
        <v/>
      </c>
      <c r="Q152" s="13" t="str">
        <f>IF(TTM!Q152="","",IFERROR(MAX(MIN(TTM!Q152,0.5),-0.5),""))</f>
        <v/>
      </c>
      <c r="R152" s="13" t="str">
        <f>IF(TTM!R152="","",IFERROR(MAX(MIN(TTM!R152,0.5),-0.5),""))</f>
        <v/>
      </c>
      <c r="S152" s="13" t="str">
        <f>IF(TTM!S152="","",IFERROR(MAX(MIN(TTM!S152,0.5),-0.5),""))</f>
        <v/>
      </c>
      <c r="T152" s="13" t="str">
        <f>IF(TTM!T152="","",IFERROR(MAX(MIN(TTM!T152,0.5),-0.5),""))</f>
        <v/>
      </c>
      <c r="U152" s="11"/>
    </row>
    <row r="153" spans="1:21" ht="14">
      <c r="A153" s="14" t="s">
        <v>64</v>
      </c>
      <c r="B153" s="13" t="str">
        <f>IF(TTM!B153="","",IFERROR(MAX(MIN(TTM!B153,0.5),-0.5),""))</f>
        <v/>
      </c>
      <c r="C153" s="13">
        <f>IF(TTM!C153="","",IFERROR(MAX(MIN(TTM!C153,0.5),-0.5),""))</f>
        <v>7.2119149498454868E-2</v>
      </c>
      <c r="D153" s="13">
        <f>IF(TTM!D153="","",IFERROR(MAX(MIN(TTM!D153,0.5),-0.5),""))</f>
        <v>0.26529386431730778</v>
      </c>
      <c r="E153" s="13">
        <f>IF(TTM!E153="","",IFERROR(MAX(MIN(TTM!E153,0.5),-0.5),""))</f>
        <v>0.43499518625413064</v>
      </c>
      <c r="F153" s="13" t="str">
        <f>IF(TTM!F153="","",IFERROR(MAX(MIN(TTM!F153,0.5),-0.5),""))</f>
        <v/>
      </c>
      <c r="G153" s="13" t="str">
        <f>IF(TTM!G153="","",IFERROR(MAX(MIN(TTM!G153,0.5),-0.5),""))</f>
        <v/>
      </c>
      <c r="H153" s="13" t="str">
        <f>IF(TTM!H153="","",IFERROR(MAX(MIN(TTM!H153,0.5),-0.5),""))</f>
        <v/>
      </c>
      <c r="I153" s="13" t="str">
        <f>IF(TTM!I153="","",IFERROR(MAX(MIN(TTM!I153,0.5),-0.5),""))</f>
        <v/>
      </c>
      <c r="J153" s="13" t="str">
        <f>IF(TTM!J153="","",IFERROR(MAX(MIN(TTM!J153,0.5),-0.5),""))</f>
        <v/>
      </c>
      <c r="K153" s="13" t="str">
        <f>IF(TTM!K153="","",IFERROR(MAX(MIN(TTM!K153,0.5),-0.5),""))</f>
        <v/>
      </c>
      <c r="L153" s="13" t="str">
        <f>IF(TTM!L153="","",IFERROR(MAX(MIN(TTM!L153,0.5),-0.5),""))</f>
        <v/>
      </c>
      <c r="M153" s="13" t="str">
        <f>IF(TTM!M153="","",IFERROR(MAX(MIN(TTM!M153,0.5),-0.5),""))</f>
        <v/>
      </c>
      <c r="N153" s="13" t="str">
        <f>IF(TTM!N153="","",IFERROR(MAX(MIN(TTM!N153,0.5),-0.5),""))</f>
        <v/>
      </c>
      <c r="O153" s="13">
        <f>IF(TTM!O153="","",IFERROR(MAX(MIN(TTM!O153,0.5),-0.5),""))</f>
        <v>0.33182394762416245</v>
      </c>
      <c r="P153" s="13" t="str">
        <f>IF(TTM!P153="","",IFERROR(MAX(MIN(TTM!P153,0.5),-0.5),""))</f>
        <v/>
      </c>
      <c r="Q153" s="13" t="str">
        <f>IF(TTM!Q153="","",IFERROR(MAX(MIN(TTM!Q153,0.5),-0.5),""))</f>
        <v/>
      </c>
      <c r="R153" s="13" t="str">
        <f>IF(TTM!R153="","",IFERROR(MAX(MIN(TTM!R153,0.5),-0.5),""))</f>
        <v/>
      </c>
      <c r="S153" s="13" t="str">
        <f>IF(TTM!S153="","",IFERROR(MAX(MIN(TTM!S153,0.5),-0.5),""))</f>
        <v/>
      </c>
      <c r="T153" s="13" t="str">
        <f>IF(TTM!T153="","",IFERROR(MAX(MIN(TTM!T153,0.5),-0.5),""))</f>
        <v/>
      </c>
      <c r="U153" s="11"/>
    </row>
    <row r="154" spans="1:21" ht="14">
      <c r="A154" s="14" t="s">
        <v>65</v>
      </c>
      <c r="B154" s="13" t="str">
        <f>IF(TTM!B154="","",IFERROR(MAX(MIN(TTM!B154,0.5),-0.5),""))</f>
        <v/>
      </c>
      <c r="C154" s="13">
        <f>IF(TTM!C154="","",IFERROR(MAX(MIN(TTM!C154,0.5),-0.5),""))</f>
        <v>7.6874951605307301E-2</v>
      </c>
      <c r="D154" s="13">
        <f>IF(TTM!D154="","",IFERROR(MAX(MIN(TTM!D154,0.5),-0.5),""))</f>
        <v>0.25996910261990896</v>
      </c>
      <c r="E154" s="13">
        <f>IF(TTM!E154="","",IFERROR(MAX(MIN(TTM!E154,0.5),-0.5),""))</f>
        <v>0.40823857800152819</v>
      </c>
      <c r="F154" s="13" t="str">
        <f>IF(TTM!F154="","",IFERROR(MAX(MIN(TTM!F154,0.5),-0.5),""))</f>
        <v/>
      </c>
      <c r="G154" s="13" t="str">
        <f>IF(TTM!G154="","",IFERROR(MAX(MIN(TTM!G154,0.5),-0.5),""))</f>
        <v/>
      </c>
      <c r="H154" s="13" t="str">
        <f>IF(TTM!H154="","",IFERROR(MAX(MIN(TTM!H154,0.5),-0.5),""))</f>
        <v/>
      </c>
      <c r="I154" s="13" t="str">
        <f>IF(TTM!I154="","",IFERROR(MAX(MIN(TTM!I154,0.5),-0.5),""))</f>
        <v/>
      </c>
      <c r="J154" s="13" t="str">
        <f>IF(TTM!J154="","",IFERROR(MAX(MIN(TTM!J154,0.5),-0.5),""))</f>
        <v/>
      </c>
      <c r="K154" s="13" t="str">
        <f>IF(TTM!K154="","",IFERROR(MAX(MIN(TTM!K154,0.5),-0.5),""))</f>
        <v/>
      </c>
      <c r="L154" s="13" t="str">
        <f>IF(TTM!L154="","",IFERROR(MAX(MIN(TTM!L154,0.5),-0.5),""))</f>
        <v/>
      </c>
      <c r="M154" s="13" t="str">
        <f>IF(TTM!M154="","",IFERROR(MAX(MIN(TTM!M154,0.5),-0.5),""))</f>
        <v/>
      </c>
      <c r="N154" s="13" t="str">
        <f>IF(TTM!N154="","",IFERROR(MAX(MIN(TTM!N154,0.5),-0.5),""))</f>
        <v/>
      </c>
      <c r="O154" s="13">
        <f>IF(TTM!O154="","",IFERROR(MAX(MIN(TTM!O154,0.5),-0.5),""))</f>
        <v>0.33399416909620994</v>
      </c>
      <c r="P154" s="13" t="str">
        <f>IF(TTM!P154="","",IFERROR(MAX(MIN(TTM!P154,0.5),-0.5),""))</f>
        <v/>
      </c>
      <c r="Q154" s="13" t="str">
        <f>IF(TTM!Q154="","",IFERROR(MAX(MIN(TTM!Q154,0.5),-0.5),""))</f>
        <v/>
      </c>
      <c r="R154" s="13" t="str">
        <f>IF(TTM!R154="","",IFERROR(MAX(MIN(TTM!R154,0.5),-0.5),""))</f>
        <v/>
      </c>
      <c r="S154" s="13" t="str">
        <f>IF(TTM!S154="","",IFERROR(MAX(MIN(TTM!S154,0.5),-0.5),""))</f>
        <v/>
      </c>
      <c r="T154" s="13" t="str">
        <f>IF(TTM!T154="","",IFERROR(MAX(MIN(TTM!T154,0.5),-0.5),""))</f>
        <v/>
      </c>
      <c r="U154" s="11"/>
    </row>
    <row r="155" spans="1:21" ht="14">
      <c r="A155" s="14" t="s">
        <v>66</v>
      </c>
      <c r="B155" s="13" t="str">
        <f>IF(TTM!B155="","",IFERROR(MAX(MIN(TTM!B155,0.5),-0.5),""))</f>
        <v/>
      </c>
      <c r="C155" s="13">
        <f>IF(TTM!C155="","",IFERROR(MAX(MIN(TTM!C155,0.5),-0.5),""))</f>
        <v>8.1630753712159734E-2</v>
      </c>
      <c r="D155" s="13">
        <f>IF(TTM!D155="","",IFERROR(MAX(MIN(TTM!D155,0.5),-0.5),""))</f>
        <v>0.25464434092251015</v>
      </c>
      <c r="E155" s="13">
        <f>IF(TTM!E155="","",IFERROR(MAX(MIN(TTM!E155,0.5),-0.5),""))</f>
        <v>0.38148196974892573</v>
      </c>
      <c r="F155" s="13" t="str">
        <f>IF(TTM!F155="","",IFERROR(MAX(MIN(TTM!F155,0.5),-0.5),""))</f>
        <v/>
      </c>
      <c r="G155" s="13" t="str">
        <f>IF(TTM!G155="","",IFERROR(MAX(MIN(TTM!G155,0.5),-0.5),""))</f>
        <v/>
      </c>
      <c r="H155" s="13" t="str">
        <f>IF(TTM!H155="","",IFERROR(MAX(MIN(TTM!H155,0.5),-0.5),""))</f>
        <v/>
      </c>
      <c r="I155" s="13" t="str">
        <f>IF(TTM!I155="","",IFERROR(MAX(MIN(TTM!I155,0.5),-0.5),""))</f>
        <v/>
      </c>
      <c r="J155" s="13" t="str">
        <f>IF(TTM!J155="","",IFERROR(MAX(MIN(TTM!J155,0.5),-0.5),""))</f>
        <v/>
      </c>
      <c r="K155" s="13" t="str">
        <f>IF(TTM!K155="","",IFERROR(MAX(MIN(TTM!K155,0.5),-0.5),""))</f>
        <v/>
      </c>
      <c r="L155" s="13" t="str">
        <f>IF(TTM!L155="","",IFERROR(MAX(MIN(TTM!L155,0.5),-0.5),""))</f>
        <v/>
      </c>
      <c r="M155" s="13" t="str">
        <f>IF(TTM!M155="","",IFERROR(MAX(MIN(TTM!M155,0.5),-0.5),""))</f>
        <v/>
      </c>
      <c r="N155" s="13" t="str">
        <f>IF(TTM!N155="","",IFERROR(MAX(MIN(TTM!N155,0.5),-0.5),""))</f>
        <v/>
      </c>
      <c r="O155" s="13">
        <f>IF(TTM!O155="","",IFERROR(MAX(MIN(TTM!O155,0.5),-0.5),""))</f>
        <v>0.31748860246107535</v>
      </c>
      <c r="P155" s="13" t="str">
        <f>IF(TTM!P155="","",IFERROR(MAX(MIN(TTM!P155,0.5),-0.5),""))</f>
        <v/>
      </c>
      <c r="Q155" s="13" t="str">
        <f>IF(TTM!Q155="","",IFERROR(MAX(MIN(TTM!Q155,0.5),-0.5),""))</f>
        <v/>
      </c>
      <c r="R155" s="13" t="str">
        <f>IF(TTM!R155="","",IFERROR(MAX(MIN(TTM!R155,0.5),-0.5),""))</f>
        <v/>
      </c>
      <c r="S155" s="13" t="str">
        <f>IF(TTM!S155="","",IFERROR(MAX(MIN(TTM!S155,0.5),-0.5),""))</f>
        <v/>
      </c>
      <c r="T155" s="13" t="str">
        <f>IF(TTM!T155="","",IFERROR(MAX(MIN(TTM!T155,0.5),-0.5),""))</f>
        <v/>
      </c>
      <c r="U155" s="11"/>
    </row>
    <row r="156" spans="1:21" ht="14">
      <c r="A156" s="14" t="s">
        <v>67</v>
      </c>
      <c r="B156" s="13" t="str">
        <f>IF(TTM!B156="","",IFERROR(MAX(MIN(TTM!B156,0.5),-0.5),""))</f>
        <v/>
      </c>
      <c r="C156" s="13">
        <f>IF(TTM!C156="","",IFERROR(MAX(MIN(TTM!C156,0.5),-0.5),""))</f>
        <v>8.6386555819012154E-2</v>
      </c>
      <c r="D156" s="13">
        <f>IF(TTM!D156="","",IFERROR(MAX(MIN(TTM!D156,0.5),-0.5),""))</f>
        <v>0.24931957922511136</v>
      </c>
      <c r="E156" s="13">
        <f>IF(TTM!E156="","",IFERROR(MAX(MIN(TTM!E156,0.5),-0.5),""))</f>
        <v>0.35472536149632333</v>
      </c>
      <c r="F156" s="13" t="str">
        <f>IF(TTM!F156="","",IFERROR(MAX(MIN(TTM!F156,0.5),-0.5),""))</f>
        <v/>
      </c>
      <c r="G156" s="13" t="str">
        <f>IF(TTM!G156="","",IFERROR(MAX(MIN(TTM!G156,0.5),-0.5),""))</f>
        <v/>
      </c>
      <c r="H156" s="13" t="str">
        <f>IF(TTM!H156="","",IFERROR(MAX(MIN(TTM!H156,0.5),-0.5),""))</f>
        <v/>
      </c>
      <c r="I156" s="13" t="str">
        <f>IF(TTM!I156="","",IFERROR(MAX(MIN(TTM!I156,0.5),-0.5),""))</f>
        <v/>
      </c>
      <c r="J156" s="13" t="str">
        <f>IF(TTM!J156="","",IFERROR(MAX(MIN(TTM!J156,0.5),-0.5),""))</f>
        <v/>
      </c>
      <c r="K156" s="13" t="str">
        <f>IF(TTM!K156="","",IFERROR(MAX(MIN(TTM!K156,0.5),-0.5),""))</f>
        <v/>
      </c>
      <c r="L156" s="13" t="str">
        <f>IF(TTM!L156="","",IFERROR(MAX(MIN(TTM!L156,0.5),-0.5),""))</f>
        <v/>
      </c>
      <c r="M156" s="13" t="str">
        <f>IF(TTM!M156="","",IFERROR(MAX(MIN(TTM!M156,0.5),-0.5),""))</f>
        <v/>
      </c>
      <c r="N156" s="13" t="str">
        <f>IF(TTM!N156="","",IFERROR(MAX(MIN(TTM!N156,0.5),-0.5),""))</f>
        <v/>
      </c>
      <c r="O156" s="13">
        <f>IF(TTM!O156="","",IFERROR(MAX(MIN(TTM!O156,0.5),-0.5),""))</f>
        <v>0.30098303582594083</v>
      </c>
      <c r="P156" s="13" t="str">
        <f>IF(TTM!P156="","",IFERROR(MAX(MIN(TTM!P156,0.5),-0.5),""))</f>
        <v/>
      </c>
      <c r="Q156" s="13" t="str">
        <f>IF(TTM!Q156="","",IFERROR(MAX(MIN(TTM!Q156,0.5),-0.5),""))</f>
        <v/>
      </c>
      <c r="R156" s="13" t="str">
        <f>IF(TTM!R156="","",IFERROR(MAX(MIN(TTM!R156,0.5),-0.5),""))</f>
        <v/>
      </c>
      <c r="S156" s="13" t="str">
        <f>IF(TTM!S156="","",IFERROR(MAX(MIN(TTM!S156,0.5),-0.5),""))</f>
        <v/>
      </c>
      <c r="T156" s="13" t="str">
        <f>IF(TTM!T156="","",IFERROR(MAX(MIN(TTM!T156,0.5),-0.5),""))</f>
        <v/>
      </c>
      <c r="U156" s="11"/>
    </row>
    <row r="157" spans="1:21" ht="14">
      <c r="A157" s="14" t="s">
        <v>68</v>
      </c>
      <c r="B157" s="13" t="str">
        <f>IF(TTM!B157="","",IFERROR(MAX(MIN(TTM!B157,0.5),-0.5),""))</f>
        <v/>
      </c>
      <c r="C157" s="13">
        <f>IF(TTM!C157="","",IFERROR(MAX(MIN(TTM!C157,0.5),-0.5),""))</f>
        <v>0.10572640158941696</v>
      </c>
      <c r="D157" s="13">
        <f>IF(TTM!D157="","",IFERROR(MAX(MIN(TTM!D157,0.5),-0.5),""))</f>
        <v>0.24947383273506579</v>
      </c>
      <c r="E157" s="13">
        <f>IF(TTM!E157="","",IFERROR(MAX(MIN(TTM!E157,0.5),-0.5),""))</f>
        <v>0.36040111706226297</v>
      </c>
      <c r="F157" s="13" t="str">
        <f>IF(TTM!F157="","",IFERROR(MAX(MIN(TTM!F157,0.5),-0.5),""))</f>
        <v/>
      </c>
      <c r="G157" s="13" t="str">
        <f>IF(TTM!G157="","",IFERROR(MAX(MIN(TTM!G157,0.5),-0.5),""))</f>
        <v/>
      </c>
      <c r="H157" s="13" t="str">
        <f>IF(TTM!H157="","",IFERROR(MAX(MIN(TTM!H157,0.5),-0.5),""))</f>
        <v/>
      </c>
      <c r="I157" s="13" t="str">
        <f>IF(TTM!I157="","",IFERROR(MAX(MIN(TTM!I157,0.5),-0.5),""))</f>
        <v/>
      </c>
      <c r="J157" s="13" t="str">
        <f>IF(TTM!J157="","",IFERROR(MAX(MIN(TTM!J157,0.5),-0.5),""))</f>
        <v/>
      </c>
      <c r="K157" s="13" t="str">
        <f>IF(TTM!K157="","",IFERROR(MAX(MIN(TTM!K157,0.5),-0.5),""))</f>
        <v/>
      </c>
      <c r="L157" s="13" t="str">
        <f>IF(TTM!L157="","",IFERROR(MAX(MIN(TTM!L157,0.5),-0.5),""))</f>
        <v/>
      </c>
      <c r="M157" s="13" t="str">
        <f>IF(TTM!M157="","",IFERROR(MAX(MIN(TTM!M157,0.5),-0.5),""))</f>
        <v/>
      </c>
      <c r="N157" s="13" t="str">
        <f>IF(TTM!N157="","",IFERROR(MAX(MIN(TTM!N157,0.5),-0.5),""))</f>
        <v/>
      </c>
      <c r="O157" s="13">
        <f>IF(TTM!O157="","",IFERROR(MAX(MIN(TTM!O157,0.5),-0.5),""))</f>
        <v>0.2844774691908063</v>
      </c>
      <c r="P157" s="13" t="str">
        <f>IF(TTM!P157="","",IFERROR(MAX(MIN(TTM!P157,0.5),-0.5),""))</f>
        <v/>
      </c>
      <c r="Q157" s="13" t="str">
        <f>IF(TTM!Q157="","",IFERROR(MAX(MIN(TTM!Q157,0.5),-0.5),""))</f>
        <v/>
      </c>
      <c r="R157" s="13" t="str">
        <f>IF(TTM!R157="","",IFERROR(MAX(MIN(TTM!R157,0.5),-0.5),""))</f>
        <v/>
      </c>
      <c r="S157" s="13" t="str">
        <f>IF(TTM!S157="","",IFERROR(MAX(MIN(TTM!S157,0.5),-0.5),""))</f>
        <v/>
      </c>
      <c r="T157" s="13" t="str">
        <f>IF(TTM!T157="","",IFERROR(MAX(MIN(TTM!T157,0.5),-0.5),""))</f>
        <v/>
      </c>
      <c r="U157" s="11"/>
    </row>
    <row r="158" spans="1:21" ht="14">
      <c r="A158" s="14" t="s">
        <v>69</v>
      </c>
      <c r="B158" s="13" t="str">
        <f>IF(TTM!B158="","",IFERROR(MAX(MIN(TTM!B158,0.5),-0.5),""))</f>
        <v/>
      </c>
      <c r="C158" s="13">
        <f>IF(TTM!C158="","",IFERROR(MAX(MIN(TTM!C158,0.5),-0.5),""))</f>
        <v>0.12506624735982177</v>
      </c>
      <c r="D158" s="13">
        <f>IF(TTM!D158="","",IFERROR(MAX(MIN(TTM!D158,0.5),-0.5),""))</f>
        <v>0.24962808624502023</v>
      </c>
      <c r="E158" s="13">
        <f>IF(TTM!E158="","",IFERROR(MAX(MIN(TTM!E158,0.5),-0.5),""))</f>
        <v>0.36607687262820265</v>
      </c>
      <c r="F158" s="13" t="str">
        <f>IF(TTM!F158="","",IFERROR(MAX(MIN(TTM!F158,0.5),-0.5),""))</f>
        <v/>
      </c>
      <c r="G158" s="13" t="str">
        <f>IF(TTM!G158="","",IFERROR(MAX(MIN(TTM!G158,0.5),-0.5),""))</f>
        <v/>
      </c>
      <c r="H158" s="13" t="str">
        <f>IF(TTM!H158="","",IFERROR(MAX(MIN(TTM!H158,0.5),-0.5),""))</f>
        <v/>
      </c>
      <c r="I158" s="13" t="str">
        <f>IF(TTM!I158="","",IFERROR(MAX(MIN(TTM!I158,0.5),-0.5),""))</f>
        <v/>
      </c>
      <c r="J158" s="13" t="str">
        <f>IF(TTM!J158="","",IFERROR(MAX(MIN(TTM!J158,0.5),-0.5),""))</f>
        <v/>
      </c>
      <c r="K158" s="13" t="str">
        <f>IF(TTM!K158="","",IFERROR(MAX(MIN(TTM!K158,0.5),-0.5),""))</f>
        <v/>
      </c>
      <c r="L158" s="13" t="str">
        <f>IF(TTM!L158="","",IFERROR(MAX(MIN(TTM!L158,0.5),-0.5),""))</f>
        <v/>
      </c>
      <c r="M158" s="13" t="str">
        <f>IF(TTM!M158="","",IFERROR(MAX(MIN(TTM!M158,0.5),-0.5),""))</f>
        <v/>
      </c>
      <c r="N158" s="13" t="str">
        <f>IF(TTM!N158="","",IFERROR(MAX(MIN(TTM!N158,0.5),-0.5),""))</f>
        <v/>
      </c>
      <c r="O158" s="13">
        <f>IF(TTM!O158="","",IFERROR(MAX(MIN(TTM!O158,0.5),-0.5),""))</f>
        <v>0.26797190255567177</v>
      </c>
      <c r="P158" s="13" t="str">
        <f>IF(TTM!P158="","",IFERROR(MAX(MIN(TTM!P158,0.5),-0.5),""))</f>
        <v/>
      </c>
      <c r="Q158" s="13" t="str">
        <f>IF(TTM!Q158="","",IFERROR(MAX(MIN(TTM!Q158,0.5),-0.5),""))</f>
        <v/>
      </c>
      <c r="R158" s="13" t="str">
        <f>IF(TTM!R158="","",IFERROR(MAX(MIN(TTM!R158,0.5),-0.5),""))</f>
        <v/>
      </c>
      <c r="S158" s="13" t="str">
        <f>IF(TTM!S158="","",IFERROR(MAX(MIN(TTM!S158,0.5),-0.5),""))</f>
        <v/>
      </c>
      <c r="T158" s="13" t="str">
        <f>IF(TTM!T158="","",IFERROR(MAX(MIN(TTM!T158,0.5),-0.5),""))</f>
        <v/>
      </c>
      <c r="U158" s="11"/>
    </row>
    <row r="159" spans="1:21" ht="14">
      <c r="A159" s="14" t="s">
        <v>70</v>
      </c>
      <c r="B159" s="13" t="str">
        <f>IF(TTM!B159="","",IFERROR(MAX(MIN(TTM!B159,0.5),-0.5),""))</f>
        <v/>
      </c>
      <c r="C159" s="13">
        <f>IF(TTM!C159="","",IFERROR(MAX(MIN(TTM!C159,0.5),-0.5),""))</f>
        <v>0.14440609313022659</v>
      </c>
      <c r="D159" s="13">
        <f>IF(TTM!D159="","",IFERROR(MAX(MIN(TTM!D159,0.5),-0.5),""))</f>
        <v>0.24978233975497466</v>
      </c>
      <c r="E159" s="13">
        <f>IF(TTM!E159="","",IFERROR(MAX(MIN(TTM!E159,0.5),-0.5),""))</f>
        <v>0.37175262819414234</v>
      </c>
      <c r="F159" s="13" t="str">
        <f>IF(TTM!F159="","",IFERROR(MAX(MIN(TTM!F159,0.5),-0.5),""))</f>
        <v/>
      </c>
      <c r="G159" s="13" t="str">
        <f>IF(TTM!G159="","",IFERROR(MAX(MIN(TTM!G159,0.5),-0.5),""))</f>
        <v/>
      </c>
      <c r="H159" s="13" t="str">
        <f>IF(TTM!H159="","",IFERROR(MAX(MIN(TTM!H159,0.5),-0.5),""))</f>
        <v/>
      </c>
      <c r="I159" s="13" t="str">
        <f>IF(TTM!I159="","",IFERROR(MAX(MIN(TTM!I159,0.5),-0.5),""))</f>
        <v/>
      </c>
      <c r="J159" s="13" t="str">
        <f>IF(TTM!J159="","",IFERROR(MAX(MIN(TTM!J159,0.5),-0.5),""))</f>
        <v/>
      </c>
      <c r="K159" s="13" t="str">
        <f>IF(TTM!K159="","",IFERROR(MAX(MIN(TTM!K159,0.5),-0.5),""))</f>
        <v/>
      </c>
      <c r="L159" s="13" t="str">
        <f>IF(TTM!L159="","",IFERROR(MAX(MIN(TTM!L159,0.5),-0.5),""))</f>
        <v/>
      </c>
      <c r="M159" s="13" t="str">
        <f>IF(TTM!M159="","",IFERROR(MAX(MIN(TTM!M159,0.5),-0.5),""))</f>
        <v/>
      </c>
      <c r="N159" s="13" t="str">
        <f>IF(TTM!N159="","",IFERROR(MAX(MIN(TTM!N159,0.5),-0.5),""))</f>
        <v/>
      </c>
      <c r="O159" s="13">
        <f>IF(TTM!O159="","",IFERROR(MAX(MIN(TTM!O159,0.5),-0.5),""))</f>
        <v>0.28894925018119477</v>
      </c>
      <c r="P159" s="13" t="str">
        <f>IF(TTM!P159="","",IFERROR(MAX(MIN(TTM!P159,0.5),-0.5),""))</f>
        <v/>
      </c>
      <c r="Q159" s="13" t="str">
        <f>IF(TTM!Q159="","",IFERROR(MAX(MIN(TTM!Q159,0.5),-0.5),""))</f>
        <v/>
      </c>
      <c r="R159" s="13" t="str">
        <f>IF(TTM!R159="","",IFERROR(MAX(MIN(TTM!R159,0.5),-0.5),""))</f>
        <v/>
      </c>
      <c r="S159" s="13" t="str">
        <f>IF(TTM!S159="","",IFERROR(MAX(MIN(TTM!S159,0.5),-0.5),""))</f>
        <v/>
      </c>
      <c r="T159" s="13" t="str">
        <f>IF(TTM!T159="","",IFERROR(MAX(MIN(TTM!T159,0.5),-0.5),""))</f>
        <v/>
      </c>
      <c r="U159" s="11"/>
    </row>
    <row r="160" spans="1:21" ht="14">
      <c r="A160" s="14" t="s">
        <v>71</v>
      </c>
      <c r="B160" s="13" t="str">
        <f>IF(TTM!B160="","",IFERROR(MAX(MIN(TTM!B160,0.5),-0.5),""))</f>
        <v/>
      </c>
      <c r="C160" s="13">
        <f>IF(TTM!C160="","",IFERROR(MAX(MIN(TTM!C160,0.5),-0.5),""))</f>
        <v>0.16374593890063141</v>
      </c>
      <c r="D160" s="13">
        <f>IF(TTM!D160="","",IFERROR(MAX(MIN(TTM!D160,0.5),-0.5),""))</f>
        <v>0.24993659326492909</v>
      </c>
      <c r="E160" s="13">
        <f>IF(TTM!E160="","",IFERROR(MAX(MIN(TTM!E160,0.5),-0.5),""))</f>
        <v>0.37742838376008192</v>
      </c>
      <c r="F160" s="13" t="str">
        <f>IF(TTM!F160="","",IFERROR(MAX(MIN(TTM!F160,0.5),-0.5),""))</f>
        <v/>
      </c>
      <c r="G160" s="13" t="str">
        <f>IF(TTM!G160="","",IFERROR(MAX(MIN(TTM!G160,0.5),-0.5),""))</f>
        <v/>
      </c>
      <c r="H160" s="13" t="str">
        <f>IF(TTM!H160="","",IFERROR(MAX(MIN(TTM!H160,0.5),-0.5),""))</f>
        <v/>
      </c>
      <c r="I160" s="13" t="str">
        <f>IF(TTM!I160="","",IFERROR(MAX(MIN(TTM!I160,0.5),-0.5),""))</f>
        <v/>
      </c>
      <c r="J160" s="13" t="str">
        <f>IF(TTM!J160="","",IFERROR(MAX(MIN(TTM!J160,0.5),-0.5),""))</f>
        <v/>
      </c>
      <c r="K160" s="13" t="str">
        <f>IF(TTM!K160="","",IFERROR(MAX(MIN(TTM!K160,0.5),-0.5),""))</f>
        <v/>
      </c>
      <c r="L160" s="13" t="str">
        <f>IF(TTM!L160="","",IFERROR(MAX(MIN(TTM!L160,0.5),-0.5),""))</f>
        <v/>
      </c>
      <c r="M160" s="13" t="str">
        <f>IF(TTM!M160="","",IFERROR(MAX(MIN(TTM!M160,0.5),-0.5),""))</f>
        <v/>
      </c>
      <c r="N160" s="13" t="str">
        <f>IF(TTM!N160="","",IFERROR(MAX(MIN(TTM!N160,0.5),-0.5),""))</f>
        <v/>
      </c>
      <c r="O160" s="13">
        <f>IF(TTM!O160="","",IFERROR(MAX(MIN(TTM!O160,0.5),-0.5),""))</f>
        <v>0.30992659780671772</v>
      </c>
      <c r="P160" s="13" t="str">
        <f>IF(TTM!P160="","",IFERROR(MAX(MIN(TTM!P160,0.5),-0.5),""))</f>
        <v/>
      </c>
      <c r="Q160" s="13" t="str">
        <f>IF(TTM!Q160="","",IFERROR(MAX(MIN(TTM!Q160,0.5),-0.5),""))</f>
        <v/>
      </c>
      <c r="R160" s="13" t="str">
        <f>IF(TTM!R160="","",IFERROR(MAX(MIN(TTM!R160,0.5),-0.5),""))</f>
        <v/>
      </c>
      <c r="S160" s="13" t="str">
        <f>IF(TTM!S160="","",IFERROR(MAX(MIN(TTM!S160,0.5),-0.5),""))</f>
        <v/>
      </c>
      <c r="T160" s="13" t="str">
        <f>IF(TTM!T160="","",IFERROR(MAX(MIN(TTM!T160,0.5),-0.5),""))</f>
        <v/>
      </c>
      <c r="U160" s="11"/>
    </row>
    <row r="161" spans="1:21" ht="14">
      <c r="A161" s="14" t="s">
        <v>72</v>
      </c>
      <c r="B161" s="13" t="str">
        <f>IF(TTM!B161="","",IFERROR(MAX(MIN(TTM!B161,0.5),-0.5),""))</f>
        <v/>
      </c>
      <c r="C161" s="13">
        <f>IF(TTM!C161="","",IFERROR(MAX(MIN(TTM!C161,0.5),-0.5),""))</f>
        <v>0.16691770722645069</v>
      </c>
      <c r="D161" s="13">
        <f>IF(TTM!D161="","",IFERROR(MAX(MIN(TTM!D161,0.5),-0.5),""))</f>
        <v>0.2481674468911465</v>
      </c>
      <c r="E161" s="13">
        <f>IF(TTM!E161="","",IFERROR(MAX(MIN(TTM!E161,0.5),-0.5),""))</f>
        <v>0.37324240282464166</v>
      </c>
      <c r="F161" s="13" t="str">
        <f>IF(TTM!F161="","",IFERROR(MAX(MIN(TTM!F161,0.5),-0.5),""))</f>
        <v/>
      </c>
      <c r="G161" s="13" t="str">
        <f>IF(TTM!G161="","",IFERROR(MAX(MIN(TTM!G161,0.5),-0.5),""))</f>
        <v/>
      </c>
      <c r="H161" s="13" t="str">
        <f>IF(TTM!H161="","",IFERROR(MAX(MIN(TTM!H161,0.5),-0.5),""))</f>
        <v/>
      </c>
      <c r="I161" s="13" t="str">
        <f>IF(TTM!I161="","",IFERROR(MAX(MIN(TTM!I161,0.5),-0.5),""))</f>
        <v/>
      </c>
      <c r="J161" s="13" t="str">
        <f>IF(TTM!J161="","",IFERROR(MAX(MIN(TTM!J161,0.5),-0.5),""))</f>
        <v/>
      </c>
      <c r="K161" s="13" t="str">
        <f>IF(TTM!K161="","",IFERROR(MAX(MIN(TTM!K161,0.5),-0.5),""))</f>
        <v/>
      </c>
      <c r="L161" s="13" t="str">
        <f>IF(TTM!L161="","",IFERROR(MAX(MIN(TTM!L161,0.5),-0.5),""))</f>
        <v/>
      </c>
      <c r="M161" s="13" t="str">
        <f>IF(TTM!M161="","",IFERROR(MAX(MIN(TTM!M161,0.5),-0.5),""))</f>
        <v/>
      </c>
      <c r="N161" s="13" t="str">
        <f>IF(TTM!N161="","",IFERROR(MAX(MIN(TTM!N161,0.5),-0.5),""))</f>
        <v/>
      </c>
      <c r="O161" s="13">
        <f>IF(TTM!O161="","",IFERROR(MAX(MIN(TTM!O161,0.5),-0.5),""))</f>
        <v>0.33090394543224072</v>
      </c>
      <c r="P161" s="13" t="str">
        <f>IF(TTM!P161="","",IFERROR(MAX(MIN(TTM!P161,0.5),-0.5),""))</f>
        <v/>
      </c>
      <c r="Q161" s="13" t="str">
        <f>IF(TTM!Q161="","",IFERROR(MAX(MIN(TTM!Q161,0.5),-0.5),""))</f>
        <v/>
      </c>
      <c r="R161" s="13" t="str">
        <f>IF(TTM!R161="","",IFERROR(MAX(MIN(TTM!R161,0.5),-0.5),""))</f>
        <v/>
      </c>
      <c r="S161" s="13" t="str">
        <f>IF(TTM!S161="","",IFERROR(MAX(MIN(TTM!S161,0.5),-0.5),""))</f>
        <v/>
      </c>
      <c r="T161" s="13" t="str">
        <f>IF(TTM!T161="","",IFERROR(MAX(MIN(TTM!T161,0.5),-0.5),""))</f>
        <v/>
      </c>
      <c r="U161" s="11"/>
    </row>
    <row r="162" spans="1:21" ht="14">
      <c r="A162" s="14" t="s">
        <v>73</v>
      </c>
      <c r="B162" s="13" t="str">
        <f>IF(TTM!B162="","",IFERROR(MAX(MIN(TTM!B162,0.5),-0.5),""))</f>
        <v/>
      </c>
      <c r="C162" s="13">
        <f>IF(TTM!C162="","",IFERROR(MAX(MIN(TTM!C162,0.5),-0.5),""))</f>
        <v>0.17008947555226997</v>
      </c>
      <c r="D162" s="13">
        <f>IF(TTM!D162="","",IFERROR(MAX(MIN(TTM!D162,0.5),-0.5),""))</f>
        <v>0.24639830051736392</v>
      </c>
      <c r="E162" s="13">
        <f>IF(TTM!E162="","",IFERROR(MAX(MIN(TTM!E162,0.5),-0.5),""))</f>
        <v>0.36905642188920146</v>
      </c>
      <c r="F162" s="13" t="str">
        <f>IF(TTM!F162="","",IFERROR(MAX(MIN(TTM!F162,0.5),-0.5),""))</f>
        <v/>
      </c>
      <c r="G162" s="13" t="str">
        <f>IF(TTM!G162="","",IFERROR(MAX(MIN(TTM!G162,0.5),-0.5),""))</f>
        <v/>
      </c>
      <c r="H162" s="13" t="str">
        <f>IF(TTM!H162="","",IFERROR(MAX(MIN(TTM!H162,0.5),-0.5),""))</f>
        <v/>
      </c>
      <c r="I162" s="13" t="str">
        <f>IF(TTM!I162="","",IFERROR(MAX(MIN(TTM!I162,0.5),-0.5),""))</f>
        <v/>
      </c>
      <c r="J162" s="13" t="str">
        <f>IF(TTM!J162="","",IFERROR(MAX(MIN(TTM!J162,0.5),-0.5),""))</f>
        <v/>
      </c>
      <c r="K162" s="13" t="str">
        <f>IF(TTM!K162="","",IFERROR(MAX(MIN(TTM!K162,0.5),-0.5),""))</f>
        <v/>
      </c>
      <c r="L162" s="13" t="str">
        <f>IF(TTM!L162="","",IFERROR(MAX(MIN(TTM!L162,0.5),-0.5),""))</f>
        <v/>
      </c>
      <c r="M162" s="13" t="str">
        <f>IF(TTM!M162="","",IFERROR(MAX(MIN(TTM!M162,0.5),-0.5),""))</f>
        <v/>
      </c>
      <c r="N162" s="13" t="str">
        <f>IF(TTM!N162="","",IFERROR(MAX(MIN(TTM!N162,0.5),-0.5),""))</f>
        <v/>
      </c>
      <c r="O162" s="13">
        <f>IF(TTM!O162="","",IFERROR(MAX(MIN(TTM!O162,0.5),-0.5),""))</f>
        <v>0.35188129305776367</v>
      </c>
      <c r="P162" s="13" t="str">
        <f>IF(TTM!P162="","",IFERROR(MAX(MIN(TTM!P162,0.5),-0.5),""))</f>
        <v/>
      </c>
      <c r="Q162" s="13" t="str">
        <f>IF(TTM!Q162="","",IFERROR(MAX(MIN(TTM!Q162,0.5),-0.5),""))</f>
        <v/>
      </c>
      <c r="R162" s="13" t="str">
        <f>IF(TTM!R162="","",IFERROR(MAX(MIN(TTM!R162,0.5),-0.5),""))</f>
        <v/>
      </c>
      <c r="S162" s="13" t="str">
        <f>IF(TTM!S162="","",IFERROR(MAX(MIN(TTM!S162,0.5),-0.5),""))</f>
        <v/>
      </c>
      <c r="T162" s="13" t="str">
        <f>IF(TTM!T162="","",IFERROR(MAX(MIN(TTM!T162,0.5),-0.5),""))</f>
        <v/>
      </c>
      <c r="U162" s="11"/>
    </row>
    <row r="163" spans="1:21" ht="14">
      <c r="A163" s="14" t="s">
        <v>74</v>
      </c>
      <c r="B163" s="13" t="str">
        <f>IF(TTM!B163="","",IFERROR(MAX(MIN(TTM!B163,0.5),-0.5),""))</f>
        <v/>
      </c>
      <c r="C163" s="13">
        <f>IF(TTM!C163="","",IFERROR(MAX(MIN(TTM!C163,0.5),-0.5),""))</f>
        <v>0.17326124387808925</v>
      </c>
      <c r="D163" s="13">
        <f>IF(TTM!D163="","",IFERROR(MAX(MIN(TTM!D163,0.5),-0.5),""))</f>
        <v>0.24462915414358136</v>
      </c>
      <c r="E163" s="13">
        <f>IF(TTM!E163="","",IFERROR(MAX(MIN(TTM!E163,0.5),-0.5),""))</f>
        <v>0.36487044095376125</v>
      </c>
      <c r="F163" s="13" t="str">
        <f>IF(TTM!F163="","",IFERROR(MAX(MIN(TTM!F163,0.5),-0.5),""))</f>
        <v/>
      </c>
      <c r="G163" s="13" t="str">
        <f>IF(TTM!G163="","",IFERROR(MAX(MIN(TTM!G163,0.5),-0.5),""))</f>
        <v/>
      </c>
      <c r="H163" s="13" t="str">
        <f>IF(TTM!H163="","",IFERROR(MAX(MIN(TTM!H163,0.5),-0.5),""))</f>
        <v/>
      </c>
      <c r="I163" s="13" t="str">
        <f>IF(TTM!I163="","",IFERROR(MAX(MIN(TTM!I163,0.5),-0.5),""))</f>
        <v/>
      </c>
      <c r="J163" s="13" t="str">
        <f>IF(TTM!J163="","",IFERROR(MAX(MIN(TTM!J163,0.5),-0.5),""))</f>
        <v/>
      </c>
      <c r="K163" s="13" t="str">
        <f>IF(TTM!K163="","",IFERROR(MAX(MIN(TTM!K163,0.5),-0.5),""))</f>
        <v/>
      </c>
      <c r="L163" s="13" t="str">
        <f>IF(TTM!L163="","",IFERROR(MAX(MIN(TTM!L163,0.5),-0.5),""))</f>
        <v/>
      </c>
      <c r="M163" s="13" t="str">
        <f>IF(TTM!M163="","",IFERROR(MAX(MIN(TTM!M163,0.5),-0.5),""))</f>
        <v/>
      </c>
      <c r="N163" s="13" t="str">
        <f>IF(TTM!N163="","",IFERROR(MAX(MIN(TTM!N163,0.5),-0.5),""))</f>
        <v/>
      </c>
      <c r="O163" s="13">
        <f>IF(TTM!O163="","",IFERROR(MAX(MIN(TTM!O163,0.5),-0.5),""))</f>
        <v>0.34924818769130944</v>
      </c>
      <c r="P163" s="13" t="str">
        <f>IF(TTM!P163="","",IFERROR(MAX(MIN(TTM!P163,0.5),-0.5),""))</f>
        <v/>
      </c>
      <c r="Q163" s="13" t="str">
        <f>IF(TTM!Q163="","",IFERROR(MAX(MIN(TTM!Q163,0.5),-0.5),""))</f>
        <v/>
      </c>
      <c r="R163" s="13" t="str">
        <f>IF(TTM!R163="","",IFERROR(MAX(MIN(TTM!R163,0.5),-0.5),""))</f>
        <v/>
      </c>
      <c r="S163" s="13" t="str">
        <f>IF(TTM!S163="","",IFERROR(MAX(MIN(TTM!S163,0.5),-0.5),""))</f>
        <v/>
      </c>
      <c r="T163" s="13" t="str">
        <f>IF(TTM!T163="","",IFERROR(MAX(MIN(TTM!T163,0.5),-0.5),""))</f>
        <v/>
      </c>
      <c r="U163" s="11"/>
    </row>
    <row r="164" spans="1:21" ht="14">
      <c r="A164" s="14" t="s">
        <v>75</v>
      </c>
      <c r="B164" s="13" t="str">
        <f>IF(TTM!B164="","",IFERROR(MAX(MIN(TTM!B164,0.5),-0.5),""))</f>
        <v/>
      </c>
      <c r="C164" s="13">
        <f>IF(TTM!C164="","",IFERROR(MAX(MIN(TTM!C164,0.5),-0.5),""))</f>
        <v>0.17643301220390853</v>
      </c>
      <c r="D164" s="13">
        <f>IF(TTM!D164="","",IFERROR(MAX(MIN(TTM!D164,0.5),-0.5),""))</f>
        <v>0.24286000776979877</v>
      </c>
      <c r="E164" s="13">
        <f>IF(TTM!E164="","",IFERROR(MAX(MIN(TTM!E164,0.5),-0.5),""))</f>
        <v>0.36068446001832105</v>
      </c>
      <c r="F164" s="13" t="str">
        <f>IF(TTM!F164="","",IFERROR(MAX(MIN(TTM!F164,0.5),-0.5),""))</f>
        <v/>
      </c>
      <c r="G164" s="13" t="str">
        <f>IF(TTM!G164="","",IFERROR(MAX(MIN(TTM!G164,0.5),-0.5),""))</f>
        <v/>
      </c>
      <c r="H164" s="13" t="str">
        <f>IF(TTM!H164="","",IFERROR(MAX(MIN(TTM!H164,0.5),-0.5),""))</f>
        <v/>
      </c>
      <c r="I164" s="13" t="str">
        <f>IF(TTM!I164="","",IFERROR(MAX(MIN(TTM!I164,0.5),-0.5),""))</f>
        <v/>
      </c>
      <c r="J164" s="13" t="str">
        <f>IF(TTM!J164="","",IFERROR(MAX(MIN(TTM!J164,0.5),-0.5),""))</f>
        <v/>
      </c>
      <c r="K164" s="13" t="str">
        <f>IF(TTM!K164="","",IFERROR(MAX(MIN(TTM!K164,0.5),-0.5),""))</f>
        <v/>
      </c>
      <c r="L164" s="13" t="str">
        <f>IF(TTM!L164="","",IFERROR(MAX(MIN(TTM!L164,0.5),-0.5),""))</f>
        <v/>
      </c>
      <c r="M164" s="13" t="str">
        <f>IF(TTM!M164="","",IFERROR(MAX(MIN(TTM!M164,0.5),-0.5),""))</f>
        <v/>
      </c>
      <c r="N164" s="13" t="str">
        <f>IF(TTM!N164="","",IFERROR(MAX(MIN(TTM!N164,0.5),-0.5),""))</f>
        <v/>
      </c>
      <c r="O164" s="13">
        <f>IF(TTM!O164="","",IFERROR(MAX(MIN(TTM!O164,0.5),-0.5),""))</f>
        <v>0.34661508232485522</v>
      </c>
      <c r="P164" s="13" t="str">
        <f>IF(TTM!P164="","",IFERROR(MAX(MIN(TTM!P164,0.5),-0.5),""))</f>
        <v/>
      </c>
      <c r="Q164" s="13" t="str">
        <f>IF(TTM!Q164="","",IFERROR(MAX(MIN(TTM!Q164,0.5),-0.5),""))</f>
        <v/>
      </c>
      <c r="R164" s="13" t="str">
        <f>IF(TTM!R164="","",IFERROR(MAX(MIN(TTM!R164,0.5),-0.5),""))</f>
        <v/>
      </c>
      <c r="S164" s="13" t="str">
        <f>IF(TTM!S164="","",IFERROR(MAX(MIN(TTM!S164,0.5),-0.5),""))</f>
        <v/>
      </c>
      <c r="T164" s="13" t="str">
        <f>IF(TTM!T164="","",IFERROR(MAX(MIN(TTM!T164,0.5),-0.5),""))</f>
        <v/>
      </c>
      <c r="U164" s="11"/>
    </row>
    <row r="165" spans="1:21" ht="14">
      <c r="A165" s="14" t="s">
        <v>76</v>
      </c>
      <c r="B165" s="13" t="str">
        <f>IF(TTM!B165="","",IFERROR(MAX(MIN(TTM!B165,0.5),-0.5),""))</f>
        <v/>
      </c>
      <c r="C165" s="13">
        <f>IF(TTM!C165="","",IFERROR(MAX(MIN(TTM!C165,0.5),-0.5),""))</f>
        <v>0.18685659801099902</v>
      </c>
      <c r="D165" s="13">
        <f>IF(TTM!D165="","",IFERROR(MAX(MIN(TTM!D165,0.5),-0.5),""))</f>
        <v>0.23839961064512316</v>
      </c>
      <c r="E165" s="13">
        <f>IF(TTM!E165="","",IFERROR(MAX(MIN(TTM!E165,0.5),-0.5),""))</f>
        <v>0.36831421886518606</v>
      </c>
      <c r="F165" s="13" t="str">
        <f>IF(TTM!F165="","",IFERROR(MAX(MIN(TTM!F165,0.5),-0.5),""))</f>
        <v/>
      </c>
      <c r="G165" s="13" t="str">
        <f>IF(TTM!G165="","",IFERROR(MAX(MIN(TTM!G165,0.5),-0.5),""))</f>
        <v/>
      </c>
      <c r="H165" s="13" t="str">
        <f>IF(TTM!H165="","",IFERROR(MAX(MIN(TTM!H165,0.5),-0.5),""))</f>
        <v/>
      </c>
      <c r="I165" s="13" t="str">
        <f>IF(TTM!I165="","",IFERROR(MAX(MIN(TTM!I165,0.5),-0.5),""))</f>
        <v/>
      </c>
      <c r="J165" s="13">
        <f>IF(TTM!J165="","",IFERROR(MAX(MIN(TTM!J165,0.5),-0.5),""))</f>
        <v>-0.12867604154510445</v>
      </c>
      <c r="K165" s="13" t="str">
        <f>IF(TTM!K165="","",IFERROR(MAX(MIN(TTM!K165,0.5),-0.5),""))</f>
        <v/>
      </c>
      <c r="L165" s="13" t="str">
        <f>IF(TTM!L165="","",IFERROR(MAX(MIN(TTM!L165,0.5),-0.5),""))</f>
        <v/>
      </c>
      <c r="M165" s="13" t="str">
        <f>IF(TTM!M165="","",IFERROR(MAX(MIN(TTM!M165,0.5),-0.5),""))</f>
        <v/>
      </c>
      <c r="N165" s="13" t="str">
        <f>IF(TTM!N165="","",IFERROR(MAX(MIN(TTM!N165,0.5),-0.5),""))</f>
        <v/>
      </c>
      <c r="O165" s="13">
        <f>IF(TTM!O165="","",IFERROR(MAX(MIN(TTM!O165,0.5),-0.5),""))</f>
        <v>0.34398197695840099</v>
      </c>
      <c r="P165" s="13" t="str">
        <f>IF(TTM!P165="","",IFERROR(MAX(MIN(TTM!P165,0.5),-0.5),""))</f>
        <v/>
      </c>
      <c r="Q165" s="13" t="str">
        <f>IF(TTM!Q165="","",IFERROR(MAX(MIN(TTM!Q165,0.5),-0.5),""))</f>
        <v/>
      </c>
      <c r="R165" s="13" t="str">
        <f>IF(TTM!R165="","",IFERROR(MAX(MIN(TTM!R165,0.5),-0.5),""))</f>
        <v/>
      </c>
      <c r="S165" s="13" t="str">
        <f>IF(TTM!S165="","",IFERROR(MAX(MIN(TTM!S165,0.5),-0.5),""))</f>
        <v/>
      </c>
      <c r="T165" s="13" t="str">
        <f>IF(TTM!T165="","",IFERROR(MAX(MIN(TTM!T165,0.5),-0.5),""))</f>
        <v/>
      </c>
      <c r="U165" s="11"/>
    </row>
    <row r="166" spans="1:21" ht="14">
      <c r="A166" s="14" t="s">
        <v>77</v>
      </c>
      <c r="B166" s="13" t="str">
        <f>IF(TTM!B166="","",IFERROR(MAX(MIN(TTM!B166,0.5),-0.5),""))</f>
        <v/>
      </c>
      <c r="C166" s="13">
        <f>IF(TTM!C166="","",IFERROR(MAX(MIN(TTM!C166,0.5),-0.5),""))</f>
        <v>0.19728018381808948</v>
      </c>
      <c r="D166" s="13">
        <f>IF(TTM!D166="","",IFERROR(MAX(MIN(TTM!D166,0.5),-0.5),""))</f>
        <v>0.23393921352044755</v>
      </c>
      <c r="E166" s="13">
        <f>IF(TTM!E166="","",IFERROR(MAX(MIN(TTM!E166,0.5),-0.5),""))</f>
        <v>0.37594397771205107</v>
      </c>
      <c r="F166" s="13" t="str">
        <f>IF(TTM!F166="","",IFERROR(MAX(MIN(TTM!F166,0.5),-0.5),""))</f>
        <v/>
      </c>
      <c r="G166" s="13" t="str">
        <f>IF(TTM!G166="","",IFERROR(MAX(MIN(TTM!G166,0.5),-0.5),""))</f>
        <v/>
      </c>
      <c r="H166" s="13" t="str">
        <f>IF(TTM!H166="","",IFERROR(MAX(MIN(TTM!H166,0.5),-0.5),""))</f>
        <v/>
      </c>
      <c r="I166" s="13" t="str">
        <f>IF(TTM!I166="","",IFERROR(MAX(MIN(TTM!I166,0.5),-0.5),""))</f>
        <v/>
      </c>
      <c r="J166" s="13">
        <f>IF(TTM!J166="","",IFERROR(MAX(MIN(TTM!J166,0.5),-0.5),""))</f>
        <v>-0.10971311062268664</v>
      </c>
      <c r="K166" s="13" t="str">
        <f>IF(TTM!K166="","",IFERROR(MAX(MIN(TTM!K166,0.5),-0.5),""))</f>
        <v/>
      </c>
      <c r="L166" s="13" t="str">
        <f>IF(TTM!L166="","",IFERROR(MAX(MIN(TTM!L166,0.5),-0.5),""))</f>
        <v/>
      </c>
      <c r="M166" s="13" t="str">
        <f>IF(TTM!M166="","",IFERROR(MAX(MIN(TTM!M166,0.5),-0.5),""))</f>
        <v/>
      </c>
      <c r="N166" s="13" t="str">
        <f>IF(TTM!N166="","",IFERROR(MAX(MIN(TTM!N166,0.5),-0.5),""))</f>
        <v/>
      </c>
      <c r="O166" s="13">
        <f>IF(TTM!O166="","",IFERROR(MAX(MIN(TTM!O166,0.5),-0.5),""))</f>
        <v>0.34134887159194677</v>
      </c>
      <c r="P166" s="13" t="str">
        <f>IF(TTM!P166="","",IFERROR(MAX(MIN(TTM!P166,0.5),-0.5),""))</f>
        <v/>
      </c>
      <c r="Q166" s="13" t="str">
        <f>IF(TTM!Q166="","",IFERROR(MAX(MIN(TTM!Q166,0.5),-0.5),""))</f>
        <v/>
      </c>
      <c r="R166" s="13" t="str">
        <f>IF(TTM!R166="","",IFERROR(MAX(MIN(TTM!R166,0.5),-0.5),""))</f>
        <v/>
      </c>
      <c r="S166" s="13" t="str">
        <f>IF(TTM!S166="","",IFERROR(MAX(MIN(TTM!S166,0.5),-0.5),""))</f>
        <v/>
      </c>
      <c r="T166" s="13" t="str">
        <f>IF(TTM!T166="","",IFERROR(MAX(MIN(TTM!T166,0.5),-0.5),""))</f>
        <v/>
      </c>
      <c r="U166" s="11"/>
    </row>
    <row r="167" spans="1:21" ht="14">
      <c r="A167" s="14" t="s">
        <v>78</v>
      </c>
      <c r="B167" s="13" t="str">
        <f>IF(TTM!B167="","",IFERROR(MAX(MIN(TTM!B167,0.5),-0.5),""))</f>
        <v/>
      </c>
      <c r="C167" s="13">
        <f>IF(TTM!C167="","",IFERROR(MAX(MIN(TTM!C167,0.5),-0.5),""))</f>
        <v>0.20770376962517997</v>
      </c>
      <c r="D167" s="13">
        <f>IF(TTM!D167="","",IFERROR(MAX(MIN(TTM!D167,0.5),-0.5),""))</f>
        <v>0.22947881639577195</v>
      </c>
      <c r="E167" s="13">
        <f>IF(TTM!E167="","",IFERROR(MAX(MIN(TTM!E167,0.5),-0.5),""))</f>
        <v>0.38357373655891602</v>
      </c>
      <c r="F167" s="13" t="str">
        <f>IF(TTM!F167="","",IFERROR(MAX(MIN(TTM!F167,0.5),-0.5),""))</f>
        <v/>
      </c>
      <c r="G167" s="13" t="str">
        <f>IF(TTM!G167="","",IFERROR(MAX(MIN(TTM!G167,0.5),-0.5),""))</f>
        <v/>
      </c>
      <c r="H167" s="13" t="str">
        <f>IF(TTM!H167="","",IFERROR(MAX(MIN(TTM!H167,0.5),-0.5),""))</f>
        <v/>
      </c>
      <c r="I167" s="13" t="str">
        <f>IF(TTM!I167="","",IFERROR(MAX(MIN(TTM!I167,0.5),-0.5),""))</f>
        <v/>
      </c>
      <c r="J167" s="13">
        <f>IF(TTM!J167="","",IFERROR(MAX(MIN(TTM!J167,0.5),-0.5),""))</f>
        <v>-9.0750179700268843E-2</v>
      </c>
      <c r="K167" s="13" t="str">
        <f>IF(TTM!K167="","",IFERROR(MAX(MIN(TTM!K167,0.5),-0.5),""))</f>
        <v/>
      </c>
      <c r="L167" s="13" t="str">
        <f>IF(TTM!L167="","",IFERROR(MAX(MIN(TTM!L167,0.5),-0.5),""))</f>
        <v/>
      </c>
      <c r="M167" s="13" t="str">
        <f>IF(TTM!M167="","",IFERROR(MAX(MIN(TTM!M167,0.5),-0.5),""))</f>
        <v/>
      </c>
      <c r="N167" s="13" t="str">
        <f>IF(TTM!N167="","",IFERROR(MAX(MIN(TTM!N167,0.5),-0.5),""))</f>
        <v/>
      </c>
      <c r="O167" s="13">
        <f>IF(TTM!O167="","",IFERROR(MAX(MIN(TTM!O167,0.5),-0.5),""))</f>
        <v>0.34408387433655319</v>
      </c>
      <c r="P167" s="13" t="str">
        <f>IF(TTM!P167="","",IFERROR(MAX(MIN(TTM!P167,0.5),-0.5),""))</f>
        <v/>
      </c>
      <c r="Q167" s="13" t="str">
        <f>IF(TTM!Q167="","",IFERROR(MAX(MIN(TTM!Q167,0.5),-0.5),""))</f>
        <v/>
      </c>
      <c r="R167" s="13" t="str">
        <f>IF(TTM!R167="","",IFERROR(MAX(MIN(TTM!R167,0.5),-0.5),""))</f>
        <v/>
      </c>
      <c r="S167" s="13" t="str">
        <f>IF(TTM!S167="","",IFERROR(MAX(MIN(TTM!S167,0.5),-0.5),""))</f>
        <v/>
      </c>
      <c r="T167" s="13" t="str">
        <f>IF(TTM!T167="","",IFERROR(MAX(MIN(TTM!T167,0.5),-0.5),""))</f>
        <v/>
      </c>
      <c r="U167" s="11"/>
    </row>
    <row r="168" spans="1:21" ht="14">
      <c r="A168" s="14" t="s">
        <v>79</v>
      </c>
      <c r="B168" s="13" t="str">
        <f>IF(TTM!B168="","",IFERROR(MAX(MIN(TTM!B168,0.5),-0.5),""))</f>
        <v/>
      </c>
      <c r="C168" s="13">
        <f>IF(TTM!C168="","",IFERROR(MAX(MIN(TTM!C168,0.5),-0.5),""))</f>
        <v>0.21812735543227046</v>
      </c>
      <c r="D168" s="13">
        <f>IF(TTM!D168="","",IFERROR(MAX(MIN(TTM!D168,0.5),-0.5),""))</f>
        <v>0.22501841927109631</v>
      </c>
      <c r="E168" s="13">
        <f>IF(TTM!E168="","",IFERROR(MAX(MIN(TTM!E168,0.5),-0.5),""))</f>
        <v>0.39120349540578103</v>
      </c>
      <c r="F168" s="13">
        <f>IF(TTM!F168="","",IFERROR(MAX(MIN(TTM!F168,0.5),-0.5),""))</f>
        <v>0.5</v>
      </c>
      <c r="G168" s="13" t="str">
        <f>IF(TTM!G168="","",IFERROR(MAX(MIN(TTM!G168,0.5),-0.5),""))</f>
        <v/>
      </c>
      <c r="H168" s="13" t="str">
        <f>IF(TTM!H168="","",IFERROR(MAX(MIN(TTM!H168,0.5),-0.5),""))</f>
        <v/>
      </c>
      <c r="I168" s="13" t="str">
        <f>IF(TTM!I168="","",IFERROR(MAX(MIN(TTM!I168,0.5),-0.5),""))</f>
        <v/>
      </c>
      <c r="J168" s="13">
        <f>IF(TTM!J168="","",IFERROR(MAX(MIN(TTM!J168,0.5),-0.5),""))</f>
        <v>-7.1787248777851032E-2</v>
      </c>
      <c r="K168" s="13" t="str">
        <f>IF(TTM!K168="","",IFERROR(MAX(MIN(TTM!K168,0.5),-0.5),""))</f>
        <v/>
      </c>
      <c r="L168" s="13" t="str">
        <f>IF(TTM!L168="","",IFERROR(MAX(MIN(TTM!L168,0.5),-0.5),""))</f>
        <v/>
      </c>
      <c r="M168" s="13" t="str">
        <f>IF(TTM!M168="","",IFERROR(MAX(MIN(TTM!M168,0.5),-0.5),""))</f>
        <v/>
      </c>
      <c r="N168" s="13" t="str">
        <f>IF(TTM!N168="","",IFERROR(MAX(MIN(TTM!N168,0.5),-0.5),""))</f>
        <v/>
      </c>
      <c r="O168" s="13">
        <f>IF(TTM!O168="","",IFERROR(MAX(MIN(TTM!O168,0.5),-0.5),""))</f>
        <v>0.34681887708115966</v>
      </c>
      <c r="P168" s="13" t="str">
        <f>IF(TTM!P168="","",IFERROR(MAX(MIN(TTM!P168,0.5),-0.5),""))</f>
        <v/>
      </c>
      <c r="Q168" s="13" t="str">
        <f>IF(TTM!Q168="","",IFERROR(MAX(MIN(TTM!Q168,0.5),-0.5),""))</f>
        <v/>
      </c>
      <c r="R168" s="13" t="str">
        <f>IF(TTM!R168="","",IFERROR(MAX(MIN(TTM!R168,0.5),-0.5),""))</f>
        <v/>
      </c>
      <c r="S168" s="13" t="str">
        <f>IF(TTM!S168="","",IFERROR(MAX(MIN(TTM!S168,0.5),-0.5),""))</f>
        <v/>
      </c>
      <c r="T168" s="13" t="str">
        <f>IF(TTM!T168="","",IFERROR(MAX(MIN(TTM!T168,0.5),-0.5),""))</f>
        <v/>
      </c>
      <c r="U168" s="11"/>
    </row>
    <row r="169" spans="1:21" ht="14">
      <c r="A169" s="14" t="s">
        <v>80</v>
      </c>
      <c r="B169" s="13" t="str">
        <f>IF(TTM!B169="","",IFERROR(MAX(MIN(TTM!B169,0.5),-0.5),""))</f>
        <v/>
      </c>
      <c r="C169" s="13">
        <f>IF(TTM!C169="","",IFERROR(MAX(MIN(TTM!C169,0.5),-0.5),""))</f>
        <v>0.23144695770448076</v>
      </c>
      <c r="D169" s="13">
        <f>IF(TTM!D169="","",IFERROR(MAX(MIN(TTM!D169,0.5),-0.5),""))</f>
        <v>0.22245533076455837</v>
      </c>
      <c r="E169" s="13">
        <f>IF(TTM!E169="","",IFERROR(MAX(MIN(TTM!E169,0.5),-0.5),""))</f>
        <v>0.39623628192397942</v>
      </c>
      <c r="F169" s="13">
        <f>IF(TTM!F169="","",IFERROR(MAX(MIN(TTM!F169,0.5),-0.5),""))</f>
        <v>0.5</v>
      </c>
      <c r="G169" s="13" t="str">
        <f>IF(TTM!G169="","",IFERROR(MAX(MIN(TTM!G169,0.5),-0.5),""))</f>
        <v/>
      </c>
      <c r="H169" s="13" t="str">
        <f>IF(TTM!H169="","",IFERROR(MAX(MIN(TTM!H169,0.5),-0.5),""))</f>
        <v/>
      </c>
      <c r="I169" s="13" t="str">
        <f>IF(TTM!I169="","",IFERROR(MAX(MIN(TTM!I169,0.5),-0.5),""))</f>
        <v/>
      </c>
      <c r="J169" s="13">
        <f>IF(TTM!J169="","",IFERROR(MAX(MIN(TTM!J169,0.5),-0.5),""))</f>
        <v>-5.282431785543322E-2</v>
      </c>
      <c r="K169" s="13" t="str">
        <f>IF(TTM!K169="","",IFERROR(MAX(MIN(TTM!K169,0.5),-0.5),""))</f>
        <v/>
      </c>
      <c r="L169" s="13" t="str">
        <f>IF(TTM!L169="","",IFERROR(MAX(MIN(TTM!L169,0.5),-0.5),""))</f>
        <v/>
      </c>
      <c r="M169" s="13" t="str">
        <f>IF(TTM!M169="","",IFERROR(MAX(MIN(TTM!M169,0.5),-0.5),""))</f>
        <v/>
      </c>
      <c r="N169" s="13" t="str">
        <f>IF(TTM!N169="","",IFERROR(MAX(MIN(TTM!N169,0.5),-0.5),""))</f>
        <v/>
      </c>
      <c r="O169" s="13">
        <f>IF(TTM!O169="","",IFERROR(MAX(MIN(TTM!O169,0.5),-0.5),""))</f>
        <v>0.34955387982576608</v>
      </c>
      <c r="P169" s="13" t="str">
        <f>IF(TTM!P169="","",IFERROR(MAX(MIN(TTM!P169,0.5),-0.5),""))</f>
        <v/>
      </c>
      <c r="Q169" s="13" t="str">
        <f>IF(TTM!Q169="","",IFERROR(MAX(MIN(TTM!Q169,0.5),-0.5),""))</f>
        <v/>
      </c>
      <c r="R169" s="13" t="str">
        <f>IF(TTM!R169="","",IFERROR(MAX(MIN(TTM!R169,0.5),-0.5),""))</f>
        <v/>
      </c>
      <c r="S169" s="13" t="str">
        <f>IF(TTM!S169="","",IFERROR(MAX(MIN(TTM!S169,0.5),-0.5),""))</f>
        <v/>
      </c>
      <c r="T169" s="13" t="str">
        <f>IF(TTM!T169="","",IFERROR(MAX(MIN(TTM!T169,0.5),-0.5),""))</f>
        <v/>
      </c>
      <c r="U169" s="11"/>
    </row>
    <row r="170" spans="1:21" ht="14">
      <c r="A170" s="14" t="s">
        <v>81</v>
      </c>
      <c r="B170" s="13" t="str">
        <f>IF(TTM!B170="","",IFERROR(MAX(MIN(TTM!B170,0.5),-0.5),""))</f>
        <v/>
      </c>
      <c r="C170" s="13">
        <f>IF(TTM!C170="","",IFERROR(MAX(MIN(TTM!C170,0.5),-0.5),""))</f>
        <v>0.24476655997669106</v>
      </c>
      <c r="D170" s="13">
        <f>IF(TTM!D170="","",IFERROR(MAX(MIN(TTM!D170,0.5),-0.5),""))</f>
        <v>0.21989224225802045</v>
      </c>
      <c r="E170" s="13">
        <f>IF(TTM!E170="","",IFERROR(MAX(MIN(TTM!E170,0.5),-0.5),""))</f>
        <v>0.4012690684421778</v>
      </c>
      <c r="F170" s="13">
        <f>IF(TTM!F170="","",IFERROR(MAX(MIN(TTM!F170,0.5),-0.5),""))</f>
        <v>0.5</v>
      </c>
      <c r="G170" s="13" t="str">
        <f>IF(TTM!G170="","",IFERROR(MAX(MIN(TTM!G170,0.5),-0.5),""))</f>
        <v/>
      </c>
      <c r="H170" s="13" t="str">
        <f>IF(TTM!H170="","",IFERROR(MAX(MIN(TTM!H170,0.5),-0.5),""))</f>
        <v/>
      </c>
      <c r="I170" s="13" t="str">
        <f>IF(TTM!I170="","",IFERROR(MAX(MIN(TTM!I170,0.5),-0.5),""))</f>
        <v/>
      </c>
      <c r="J170" s="13">
        <f>IF(TTM!J170="","",IFERROR(MAX(MIN(TTM!J170,0.5),-0.5),""))</f>
        <v>-2.7477139458756863E-2</v>
      </c>
      <c r="K170" s="13" t="str">
        <f>IF(TTM!K170="","",IFERROR(MAX(MIN(TTM!K170,0.5),-0.5),""))</f>
        <v/>
      </c>
      <c r="L170" s="13" t="str">
        <f>IF(TTM!L170="","",IFERROR(MAX(MIN(TTM!L170,0.5),-0.5),""))</f>
        <v/>
      </c>
      <c r="M170" s="13" t="str">
        <f>IF(TTM!M170="","",IFERROR(MAX(MIN(TTM!M170,0.5),-0.5),""))</f>
        <v/>
      </c>
      <c r="N170" s="13" t="str">
        <f>IF(TTM!N170="","",IFERROR(MAX(MIN(TTM!N170,0.5),-0.5),""))</f>
        <v/>
      </c>
      <c r="O170" s="13">
        <f>IF(TTM!O170="","",IFERROR(MAX(MIN(TTM!O170,0.5),-0.5),""))</f>
        <v>0.3522888825703725</v>
      </c>
      <c r="P170" s="13" t="str">
        <f>IF(TTM!P170="","",IFERROR(MAX(MIN(TTM!P170,0.5),-0.5),""))</f>
        <v/>
      </c>
      <c r="Q170" s="13" t="str">
        <f>IF(TTM!Q170="","",IFERROR(MAX(MIN(TTM!Q170,0.5),-0.5),""))</f>
        <v/>
      </c>
      <c r="R170" s="13" t="str">
        <f>IF(TTM!R170="","",IFERROR(MAX(MIN(TTM!R170,0.5),-0.5),""))</f>
        <v/>
      </c>
      <c r="S170" s="13" t="str">
        <f>IF(TTM!S170="","",IFERROR(MAX(MIN(TTM!S170,0.5),-0.5),""))</f>
        <v/>
      </c>
      <c r="T170" s="13" t="str">
        <f>IF(TTM!T170="","",IFERROR(MAX(MIN(TTM!T170,0.5),-0.5),""))</f>
        <v/>
      </c>
      <c r="U170" s="11"/>
    </row>
    <row r="171" spans="1:21" ht="14">
      <c r="A171" s="14" t="s">
        <v>82</v>
      </c>
      <c r="B171" s="13" t="str">
        <f>IF(TTM!B171="","",IFERROR(MAX(MIN(TTM!B171,0.5),-0.5),""))</f>
        <v/>
      </c>
      <c r="C171" s="13">
        <f>IF(TTM!C171="","",IFERROR(MAX(MIN(TTM!C171,0.5),-0.5),""))</f>
        <v>0.25808616224890135</v>
      </c>
      <c r="D171" s="13">
        <f>IF(TTM!D171="","",IFERROR(MAX(MIN(TTM!D171,0.5),-0.5),""))</f>
        <v>0.21732915375148254</v>
      </c>
      <c r="E171" s="13">
        <f>IF(TTM!E171="","",IFERROR(MAX(MIN(TTM!E171,0.5),-0.5),""))</f>
        <v>0.40630185496037619</v>
      </c>
      <c r="F171" s="13">
        <f>IF(TTM!F171="","",IFERROR(MAX(MIN(TTM!F171,0.5),-0.5),""))</f>
        <v>0.5</v>
      </c>
      <c r="G171" s="13" t="str">
        <f>IF(TTM!G171="","",IFERROR(MAX(MIN(TTM!G171,0.5),-0.5),""))</f>
        <v/>
      </c>
      <c r="H171" s="13" t="str">
        <f>IF(TTM!H171="","",IFERROR(MAX(MIN(TTM!H171,0.5),-0.5),""))</f>
        <v/>
      </c>
      <c r="I171" s="13" t="str">
        <f>IF(TTM!I171="","",IFERROR(MAX(MIN(TTM!I171,0.5),-0.5),""))</f>
        <v/>
      </c>
      <c r="J171" s="13">
        <f>IF(TTM!J171="","",IFERROR(MAX(MIN(TTM!J171,0.5),-0.5),""))</f>
        <v>-2.1299610620805105E-3</v>
      </c>
      <c r="K171" s="13" t="str">
        <f>IF(TTM!K171="","",IFERROR(MAX(MIN(TTM!K171,0.5),-0.5),""))</f>
        <v/>
      </c>
      <c r="L171" s="13" t="str">
        <f>IF(TTM!L171="","",IFERROR(MAX(MIN(TTM!L171,0.5),-0.5),""))</f>
        <v/>
      </c>
      <c r="M171" s="13" t="str">
        <f>IF(TTM!M171="","",IFERROR(MAX(MIN(TTM!M171,0.5),-0.5),""))</f>
        <v/>
      </c>
      <c r="N171" s="13" t="str">
        <f>IF(TTM!N171="","",IFERROR(MAX(MIN(TTM!N171,0.5),-0.5),""))</f>
        <v/>
      </c>
      <c r="O171" s="13">
        <f>IF(TTM!O171="","",IFERROR(MAX(MIN(TTM!O171,0.5),-0.5),""))</f>
        <v>0.34260159970308623</v>
      </c>
      <c r="P171" s="13" t="str">
        <f>IF(TTM!P171="","",IFERROR(MAX(MIN(TTM!P171,0.5),-0.5),""))</f>
        <v/>
      </c>
      <c r="Q171" s="13" t="str">
        <f>IF(TTM!Q171="","",IFERROR(MAX(MIN(TTM!Q171,0.5),-0.5),""))</f>
        <v/>
      </c>
      <c r="R171" s="13" t="str">
        <f>IF(TTM!R171="","",IFERROR(MAX(MIN(TTM!R171,0.5),-0.5),""))</f>
        <v/>
      </c>
      <c r="S171" s="13" t="str">
        <f>IF(TTM!S171="","",IFERROR(MAX(MIN(TTM!S171,0.5),-0.5),""))</f>
        <v/>
      </c>
      <c r="T171" s="13" t="str">
        <f>IF(TTM!T171="","",IFERROR(MAX(MIN(TTM!T171,0.5),-0.5),""))</f>
        <v/>
      </c>
      <c r="U171" s="11"/>
    </row>
    <row r="172" spans="1:21" ht="14">
      <c r="A172" s="14" t="s">
        <v>83</v>
      </c>
      <c r="B172" s="13" t="str">
        <f>IF(TTM!B172="","",IFERROR(MAX(MIN(TTM!B172,0.5),-0.5),""))</f>
        <v/>
      </c>
      <c r="C172" s="13">
        <f>IF(TTM!C172="","",IFERROR(MAX(MIN(TTM!C172,0.5),-0.5),""))</f>
        <v>0.27140576452111165</v>
      </c>
      <c r="D172" s="13">
        <f>IF(TTM!D172="","",IFERROR(MAX(MIN(TTM!D172,0.5),-0.5),""))</f>
        <v>0.21476606524494463</v>
      </c>
      <c r="E172" s="13">
        <f>IF(TTM!E172="","",IFERROR(MAX(MIN(TTM!E172,0.5),-0.5),""))</f>
        <v>0.41133464147857451</v>
      </c>
      <c r="F172" s="13">
        <f>IF(TTM!F172="","",IFERROR(MAX(MIN(TTM!F172,0.5),-0.5),""))</f>
        <v>0.5</v>
      </c>
      <c r="G172" s="13" t="str">
        <f>IF(TTM!G172="","",IFERROR(MAX(MIN(TTM!G172,0.5),-0.5),""))</f>
        <v/>
      </c>
      <c r="H172" s="13" t="str">
        <f>IF(TTM!H172="","",IFERROR(MAX(MIN(TTM!H172,0.5),-0.5),""))</f>
        <v/>
      </c>
      <c r="I172" s="13" t="str">
        <f>IF(TTM!I172="","",IFERROR(MAX(MIN(TTM!I172,0.5),-0.5),""))</f>
        <v/>
      </c>
      <c r="J172" s="13">
        <f>IF(TTM!J172="","",IFERROR(MAX(MIN(TTM!J172,0.5),-0.5),""))</f>
        <v>2.3217217334595842E-2</v>
      </c>
      <c r="K172" s="13" t="str">
        <f>IF(TTM!K172="","",IFERROR(MAX(MIN(TTM!K172,0.5),-0.5),""))</f>
        <v/>
      </c>
      <c r="L172" s="13" t="str">
        <f>IF(TTM!L172="","",IFERROR(MAX(MIN(TTM!L172,0.5),-0.5),""))</f>
        <v/>
      </c>
      <c r="M172" s="13" t="str">
        <f>IF(TTM!M172="","",IFERROR(MAX(MIN(TTM!M172,0.5),-0.5),""))</f>
        <v/>
      </c>
      <c r="N172" s="13" t="str">
        <f>IF(TTM!N172="","",IFERROR(MAX(MIN(TTM!N172,0.5),-0.5),""))</f>
        <v/>
      </c>
      <c r="O172" s="13">
        <f>IF(TTM!O172="","",IFERROR(MAX(MIN(TTM!O172,0.5),-0.5),""))</f>
        <v>0.33291431683579997</v>
      </c>
      <c r="P172" s="13" t="str">
        <f>IF(TTM!P172="","",IFERROR(MAX(MIN(TTM!P172,0.5),-0.5),""))</f>
        <v/>
      </c>
      <c r="Q172" s="13" t="str">
        <f>IF(TTM!Q172="","",IFERROR(MAX(MIN(TTM!Q172,0.5),-0.5),""))</f>
        <v/>
      </c>
      <c r="R172" s="13" t="str">
        <f>IF(TTM!R172="","",IFERROR(MAX(MIN(TTM!R172,0.5),-0.5),""))</f>
        <v/>
      </c>
      <c r="S172" s="13" t="str">
        <f>IF(TTM!S172="","",IFERROR(MAX(MIN(TTM!S172,0.5),-0.5),""))</f>
        <v/>
      </c>
      <c r="T172" s="13" t="str">
        <f>IF(TTM!T172="","",IFERROR(MAX(MIN(TTM!T172,0.5),-0.5),""))</f>
        <v/>
      </c>
      <c r="U172" s="11"/>
    </row>
    <row r="173" spans="1:21" ht="14">
      <c r="A173" s="14" t="s">
        <v>84</v>
      </c>
      <c r="B173" s="13" t="str">
        <f>IF(TTM!B173="","",IFERROR(MAX(MIN(TTM!B173,0.5),-0.5),""))</f>
        <v/>
      </c>
      <c r="C173" s="13">
        <f>IF(TTM!C173="","",IFERROR(MAX(MIN(TTM!C173,0.5),-0.5),""))</f>
        <v>0.28693793670791218</v>
      </c>
      <c r="D173" s="13">
        <f>IF(TTM!D173="","",IFERROR(MAX(MIN(TTM!D173,0.5),-0.5),""))</f>
        <v>0.20858080362889775</v>
      </c>
      <c r="E173" s="13">
        <f>IF(TTM!E173="","",IFERROR(MAX(MIN(TTM!E173,0.5),-0.5),""))</f>
        <v>0.39655383556313412</v>
      </c>
      <c r="F173" s="13">
        <f>IF(TTM!F173="","",IFERROR(MAX(MIN(TTM!F173,0.5),-0.5),""))</f>
        <v>0.5</v>
      </c>
      <c r="G173" s="13" t="str">
        <f>IF(TTM!G173="","",IFERROR(MAX(MIN(TTM!G173,0.5),-0.5),""))</f>
        <v/>
      </c>
      <c r="H173" s="13" t="str">
        <f>IF(TTM!H173="","",IFERROR(MAX(MIN(TTM!H173,0.5),-0.5),""))</f>
        <v/>
      </c>
      <c r="I173" s="13" t="str">
        <f>IF(TTM!I173="","",IFERROR(MAX(MIN(TTM!I173,0.5),-0.5),""))</f>
        <v/>
      </c>
      <c r="J173" s="13">
        <f>IF(TTM!J173="","",IFERROR(MAX(MIN(TTM!J173,0.5),-0.5),""))</f>
        <v>4.8564395731272199E-2</v>
      </c>
      <c r="K173" s="13" t="str">
        <f>IF(TTM!K173="","",IFERROR(MAX(MIN(TTM!K173,0.5),-0.5),""))</f>
        <v/>
      </c>
      <c r="L173" s="13" t="str">
        <f>IF(TTM!L173="","",IFERROR(MAX(MIN(TTM!L173,0.5),-0.5),""))</f>
        <v/>
      </c>
      <c r="M173" s="13" t="str">
        <f>IF(TTM!M173="","",IFERROR(MAX(MIN(TTM!M173,0.5),-0.5),""))</f>
        <v/>
      </c>
      <c r="N173" s="13" t="str">
        <f>IF(TTM!N173="","",IFERROR(MAX(MIN(TTM!N173,0.5),-0.5),""))</f>
        <v/>
      </c>
      <c r="O173" s="13">
        <f>IF(TTM!O173="","",IFERROR(MAX(MIN(TTM!O173,0.5),-0.5),""))</f>
        <v>0.32322703396851371</v>
      </c>
      <c r="P173" s="13" t="str">
        <f>IF(TTM!P173="","",IFERROR(MAX(MIN(TTM!P173,0.5),-0.5),""))</f>
        <v/>
      </c>
      <c r="Q173" s="13" t="str">
        <f>IF(TTM!Q173="","",IFERROR(MAX(MIN(TTM!Q173,0.5),-0.5),""))</f>
        <v/>
      </c>
      <c r="R173" s="13" t="str">
        <f>IF(TTM!R173="","",IFERROR(MAX(MIN(TTM!R173,0.5),-0.5),""))</f>
        <v/>
      </c>
      <c r="S173" s="13" t="str">
        <f>IF(TTM!S173="","",IFERROR(MAX(MIN(TTM!S173,0.5),-0.5),""))</f>
        <v/>
      </c>
      <c r="T173" s="13" t="str">
        <f>IF(TTM!T173="","",IFERROR(MAX(MIN(TTM!T173,0.5),-0.5),""))</f>
        <v/>
      </c>
      <c r="U173" s="11"/>
    </row>
    <row r="174" spans="1:21" ht="14">
      <c r="A174" s="14" t="s">
        <v>85</v>
      </c>
      <c r="B174" s="13" t="str">
        <f>IF(TTM!B174="","",IFERROR(MAX(MIN(TTM!B174,0.5),-0.5),""))</f>
        <v/>
      </c>
      <c r="C174" s="13">
        <f>IF(TTM!C174="","",IFERROR(MAX(MIN(TTM!C174,0.5),-0.5),""))</f>
        <v>0.30247010889471271</v>
      </c>
      <c r="D174" s="13">
        <f>IF(TTM!D174="","",IFERROR(MAX(MIN(TTM!D174,0.5),-0.5),""))</f>
        <v>0.20239554201285084</v>
      </c>
      <c r="E174" s="13">
        <f>IF(TTM!E174="","",IFERROR(MAX(MIN(TTM!E174,0.5),-0.5),""))</f>
        <v>0.38177302964769377</v>
      </c>
      <c r="F174" s="13">
        <f>IF(TTM!F174="","",IFERROR(MAX(MIN(TTM!F174,0.5),-0.5),""))</f>
        <v>0.5</v>
      </c>
      <c r="G174" s="13" t="str">
        <f>IF(TTM!G174="","",IFERROR(MAX(MIN(TTM!G174,0.5),-0.5),""))</f>
        <v/>
      </c>
      <c r="H174" s="13" t="str">
        <f>IF(TTM!H174="","",IFERROR(MAX(MIN(TTM!H174,0.5),-0.5),""))</f>
        <v/>
      </c>
      <c r="I174" s="13" t="str">
        <f>IF(TTM!I174="","",IFERROR(MAX(MIN(TTM!I174,0.5),-0.5),""))</f>
        <v/>
      </c>
      <c r="J174" s="13">
        <f>IF(TTM!J174="","",IFERROR(MAX(MIN(TTM!J174,0.5),-0.5),""))</f>
        <v>4.5154266945809936E-2</v>
      </c>
      <c r="K174" s="13" t="str">
        <f>IF(TTM!K174="","",IFERROR(MAX(MIN(TTM!K174,0.5),-0.5),""))</f>
        <v/>
      </c>
      <c r="L174" s="13" t="str">
        <f>IF(TTM!L174="","",IFERROR(MAX(MIN(TTM!L174,0.5),-0.5),""))</f>
        <v/>
      </c>
      <c r="M174" s="13" t="str">
        <f>IF(TTM!M174="","",IFERROR(MAX(MIN(TTM!M174,0.5),-0.5),""))</f>
        <v/>
      </c>
      <c r="N174" s="13" t="str">
        <f>IF(TTM!N174="","",IFERROR(MAX(MIN(TTM!N174,0.5),-0.5),""))</f>
        <v/>
      </c>
      <c r="O174" s="13">
        <f>IF(TTM!O174="","",IFERROR(MAX(MIN(TTM!O174,0.5),-0.5),""))</f>
        <v>0.31353975110122739</v>
      </c>
      <c r="P174" s="13" t="str">
        <f>IF(TTM!P174="","",IFERROR(MAX(MIN(TTM!P174,0.5),-0.5),""))</f>
        <v/>
      </c>
      <c r="Q174" s="13" t="str">
        <f>IF(TTM!Q174="","",IFERROR(MAX(MIN(TTM!Q174,0.5),-0.5),""))</f>
        <v/>
      </c>
      <c r="R174" s="13" t="str">
        <f>IF(TTM!R174="","",IFERROR(MAX(MIN(TTM!R174,0.5),-0.5),""))</f>
        <v/>
      </c>
      <c r="S174" s="13" t="str">
        <f>IF(TTM!S174="","",IFERROR(MAX(MIN(TTM!S174,0.5),-0.5),""))</f>
        <v/>
      </c>
      <c r="T174" s="13" t="str">
        <f>IF(TTM!T174="","",IFERROR(MAX(MIN(TTM!T174,0.5),-0.5),""))</f>
        <v/>
      </c>
      <c r="U174" s="11"/>
    </row>
    <row r="175" spans="1:21" ht="14">
      <c r="A175" s="14" t="s">
        <v>86</v>
      </c>
      <c r="B175" s="13" t="str">
        <f>IF(TTM!B175="","",IFERROR(MAX(MIN(TTM!B175,0.5),-0.5),""))</f>
        <v/>
      </c>
      <c r="C175" s="13">
        <f>IF(TTM!C175="","",IFERROR(MAX(MIN(TTM!C175,0.5),-0.5),""))</f>
        <v>0.31800228108151324</v>
      </c>
      <c r="D175" s="13">
        <f>IF(TTM!D175="","",IFERROR(MAX(MIN(TTM!D175,0.5),-0.5),""))</f>
        <v>0.19621028039680394</v>
      </c>
      <c r="E175" s="13">
        <f>IF(TTM!E175="","",IFERROR(MAX(MIN(TTM!E175,0.5),-0.5),""))</f>
        <v>0.36699222373225338</v>
      </c>
      <c r="F175" s="13">
        <f>IF(TTM!F175="","",IFERROR(MAX(MIN(TTM!F175,0.5),-0.5),""))</f>
        <v>0.4906583806022175</v>
      </c>
      <c r="G175" s="13" t="str">
        <f>IF(TTM!G175="","",IFERROR(MAX(MIN(TTM!G175,0.5),-0.5),""))</f>
        <v/>
      </c>
      <c r="H175" s="13" t="str">
        <f>IF(TTM!H175="","",IFERROR(MAX(MIN(TTM!H175,0.5),-0.5),""))</f>
        <v/>
      </c>
      <c r="I175" s="13" t="str">
        <f>IF(TTM!I175="","",IFERROR(MAX(MIN(TTM!I175,0.5),-0.5),""))</f>
        <v/>
      </c>
      <c r="J175" s="13">
        <f>IF(TTM!J175="","",IFERROR(MAX(MIN(TTM!J175,0.5),-0.5),""))</f>
        <v>4.1744138160347666E-2</v>
      </c>
      <c r="K175" s="13" t="str">
        <f>IF(TTM!K175="","",IFERROR(MAX(MIN(TTM!K175,0.5),-0.5),""))</f>
        <v/>
      </c>
      <c r="L175" s="13" t="str">
        <f>IF(TTM!L175="","",IFERROR(MAX(MIN(TTM!L175,0.5),-0.5),""))</f>
        <v/>
      </c>
      <c r="M175" s="13" t="str">
        <f>IF(TTM!M175="","",IFERROR(MAX(MIN(TTM!M175,0.5),-0.5),""))</f>
        <v/>
      </c>
      <c r="N175" s="13" t="str">
        <f>IF(TTM!N175="","",IFERROR(MAX(MIN(TTM!N175,0.5),-0.5),""))</f>
        <v/>
      </c>
      <c r="O175" s="13">
        <f>IF(TTM!O175="","",IFERROR(MAX(MIN(TTM!O175,0.5),-0.5),""))</f>
        <v>0.31415345208719331</v>
      </c>
      <c r="P175" s="13" t="str">
        <f>IF(TTM!P175="","",IFERROR(MAX(MIN(TTM!P175,0.5),-0.5),""))</f>
        <v/>
      </c>
      <c r="Q175" s="13" t="str">
        <f>IF(TTM!Q175="","",IFERROR(MAX(MIN(TTM!Q175,0.5),-0.5),""))</f>
        <v/>
      </c>
      <c r="R175" s="13" t="str">
        <f>IF(TTM!R175="","",IFERROR(MAX(MIN(TTM!R175,0.5),-0.5),""))</f>
        <v/>
      </c>
      <c r="S175" s="13" t="str">
        <f>IF(TTM!S175="","",IFERROR(MAX(MIN(TTM!S175,0.5),-0.5),""))</f>
        <v/>
      </c>
      <c r="T175" s="13" t="str">
        <f>IF(TTM!T175="","",IFERROR(MAX(MIN(TTM!T175,0.5),-0.5),""))</f>
        <v/>
      </c>
      <c r="U175" s="11"/>
    </row>
    <row r="176" spans="1:21" ht="14">
      <c r="A176" s="14" t="s">
        <v>87</v>
      </c>
      <c r="B176" s="13" t="str">
        <f>IF(TTM!B176="","",IFERROR(MAX(MIN(TTM!B176,0.5),-0.5),""))</f>
        <v/>
      </c>
      <c r="C176" s="13">
        <f>IF(TTM!C176="","",IFERROR(MAX(MIN(TTM!C176,0.5),-0.5),""))</f>
        <v>0.33353445326831371</v>
      </c>
      <c r="D176" s="13">
        <f>IF(TTM!D176="","",IFERROR(MAX(MIN(TTM!D176,0.5),-0.5),""))</f>
        <v>0.19002501878075703</v>
      </c>
      <c r="E176" s="13">
        <f>IF(TTM!E176="","",IFERROR(MAX(MIN(TTM!E176,0.5),-0.5),""))</f>
        <v>0.35221141781681303</v>
      </c>
      <c r="F176" s="13">
        <f>IF(TTM!F176="","",IFERROR(MAX(MIN(TTM!F176,0.5),-0.5),""))</f>
        <v>0.47966056732222717</v>
      </c>
      <c r="G176" s="13" t="str">
        <f>IF(TTM!G176="","",IFERROR(MAX(MIN(TTM!G176,0.5),-0.5),""))</f>
        <v/>
      </c>
      <c r="H176" s="13" t="str">
        <f>IF(TTM!H176="","",IFERROR(MAX(MIN(TTM!H176,0.5),-0.5),""))</f>
        <v/>
      </c>
      <c r="I176" s="13" t="str">
        <f>IF(TTM!I176="","",IFERROR(MAX(MIN(TTM!I176,0.5),-0.5),""))</f>
        <v/>
      </c>
      <c r="J176" s="13">
        <f>IF(TTM!J176="","",IFERROR(MAX(MIN(TTM!J176,0.5),-0.5),""))</f>
        <v>3.8334009374885403E-2</v>
      </c>
      <c r="K176" s="13" t="str">
        <f>IF(TTM!K176="","",IFERROR(MAX(MIN(TTM!K176,0.5),-0.5),""))</f>
        <v/>
      </c>
      <c r="L176" s="13" t="str">
        <f>IF(TTM!L176="","",IFERROR(MAX(MIN(TTM!L176,0.5),-0.5),""))</f>
        <v/>
      </c>
      <c r="M176" s="13" t="str">
        <f>IF(TTM!M176="","",IFERROR(MAX(MIN(TTM!M176,0.5),-0.5),""))</f>
        <v/>
      </c>
      <c r="N176" s="13" t="str">
        <f>IF(TTM!N176="","",IFERROR(MAX(MIN(TTM!N176,0.5),-0.5),""))</f>
        <v/>
      </c>
      <c r="O176" s="13">
        <f>IF(TTM!O176="","",IFERROR(MAX(MIN(TTM!O176,0.5),-0.5),""))</f>
        <v>0.31476715307315922</v>
      </c>
      <c r="P176" s="13" t="str">
        <f>IF(TTM!P176="","",IFERROR(MAX(MIN(TTM!P176,0.5),-0.5),""))</f>
        <v/>
      </c>
      <c r="Q176" s="13" t="str">
        <f>IF(TTM!Q176="","",IFERROR(MAX(MIN(TTM!Q176,0.5),-0.5),""))</f>
        <v/>
      </c>
      <c r="R176" s="13" t="str">
        <f>IF(TTM!R176="","",IFERROR(MAX(MIN(TTM!R176,0.5),-0.5),""))</f>
        <v/>
      </c>
      <c r="S176" s="13" t="str">
        <f>IF(TTM!S176="","",IFERROR(MAX(MIN(TTM!S176,0.5),-0.5),""))</f>
        <v/>
      </c>
      <c r="T176" s="13" t="str">
        <f>IF(TTM!T176="","",IFERROR(MAX(MIN(TTM!T176,0.5),-0.5),""))</f>
        <v/>
      </c>
      <c r="U176" s="11"/>
    </row>
    <row r="177" spans="1:21" ht="14">
      <c r="A177" s="14" t="s">
        <v>88</v>
      </c>
      <c r="B177" s="13" t="str">
        <f>IF(TTM!B177="","",IFERROR(MAX(MIN(TTM!B177,0.5),-0.5),""))</f>
        <v/>
      </c>
      <c r="C177" s="13">
        <f>IF(TTM!C177="","",IFERROR(MAX(MIN(TTM!C177,0.5),-0.5),""))</f>
        <v>0.34019787702966742</v>
      </c>
      <c r="D177" s="13">
        <f>IF(TTM!D177="","",IFERROR(MAX(MIN(TTM!D177,0.5),-0.5),""))</f>
        <v>0.18871211914903996</v>
      </c>
      <c r="E177" s="13">
        <f>IF(TTM!E177="","",IFERROR(MAX(MIN(TTM!E177,0.5),-0.5),""))</f>
        <v>0.3156787295961932</v>
      </c>
      <c r="F177" s="13">
        <f>IF(TTM!F177="","",IFERROR(MAX(MIN(TTM!F177,0.5),-0.5),""))</f>
        <v>0.46525001264763366</v>
      </c>
      <c r="G177" s="13" t="str">
        <f>IF(TTM!G177="","",IFERROR(MAX(MIN(TTM!G177,0.5),-0.5),""))</f>
        <v/>
      </c>
      <c r="H177" s="13">
        <f>IF(TTM!H177="","",IFERROR(MAX(MIN(TTM!H177,0.5),-0.5),""))</f>
        <v>0.21235707568182943</v>
      </c>
      <c r="I177" s="13" t="str">
        <f>IF(TTM!I177="","",IFERROR(MAX(MIN(TTM!I177,0.5),-0.5),""))</f>
        <v/>
      </c>
      <c r="J177" s="13">
        <f>IF(TTM!J177="","",IFERROR(MAX(MIN(TTM!J177,0.5),-0.5),""))</f>
        <v>3.492388058942314E-2</v>
      </c>
      <c r="K177" s="13" t="str">
        <f>IF(TTM!K177="","",IFERROR(MAX(MIN(TTM!K177,0.5),-0.5),""))</f>
        <v/>
      </c>
      <c r="L177" s="13" t="str">
        <f>IF(TTM!L177="","",IFERROR(MAX(MIN(TTM!L177,0.5),-0.5),""))</f>
        <v/>
      </c>
      <c r="M177" s="13" t="str">
        <f>IF(TTM!M177="","",IFERROR(MAX(MIN(TTM!M177,0.5),-0.5),""))</f>
        <v/>
      </c>
      <c r="N177" s="13" t="str">
        <f>IF(TTM!N177="","",IFERROR(MAX(MIN(TTM!N177,0.5),-0.5),""))</f>
        <v/>
      </c>
      <c r="O177" s="13">
        <f>IF(TTM!O177="","",IFERROR(MAX(MIN(TTM!O177,0.5),-0.5),""))</f>
        <v>0.31538085405912514</v>
      </c>
      <c r="P177" s="13" t="str">
        <f>IF(TTM!P177="","",IFERROR(MAX(MIN(TTM!P177,0.5),-0.5),""))</f>
        <v/>
      </c>
      <c r="Q177" s="13" t="str">
        <f>IF(TTM!Q177="","",IFERROR(MAX(MIN(TTM!Q177,0.5),-0.5),""))</f>
        <v/>
      </c>
      <c r="R177" s="13" t="str">
        <f>IF(TTM!R177="","",IFERROR(MAX(MIN(TTM!R177,0.5),-0.5),""))</f>
        <v/>
      </c>
      <c r="S177" s="13" t="str">
        <f>IF(TTM!S177="","",IFERROR(MAX(MIN(TTM!S177,0.5),-0.5),""))</f>
        <v/>
      </c>
      <c r="T177" s="13" t="str">
        <f>IF(TTM!T177="","",IFERROR(MAX(MIN(TTM!T177,0.5),-0.5),""))</f>
        <v/>
      </c>
      <c r="U177" s="11"/>
    </row>
    <row r="178" spans="1:21" ht="14">
      <c r="A178" s="14" t="s">
        <v>89</v>
      </c>
      <c r="B178" s="13" t="str">
        <f>IF(TTM!B178="","",IFERROR(MAX(MIN(TTM!B178,0.5),-0.5),""))</f>
        <v/>
      </c>
      <c r="C178" s="13">
        <f>IF(TTM!C178="","",IFERROR(MAX(MIN(TTM!C178,0.5),-0.5),""))</f>
        <v>0.34686130079102112</v>
      </c>
      <c r="D178" s="13">
        <f>IF(TTM!D178="","",IFERROR(MAX(MIN(TTM!D178,0.5),-0.5),""))</f>
        <v>0.18739921951732291</v>
      </c>
      <c r="E178" s="13">
        <f>IF(TTM!E178="","",IFERROR(MAX(MIN(TTM!E178,0.5),-0.5),""))</f>
        <v>0.27914604137557331</v>
      </c>
      <c r="F178" s="13">
        <f>IF(TTM!F178="","",IFERROR(MAX(MIN(TTM!F178,0.5),-0.5),""))</f>
        <v>0.45083945797304026</v>
      </c>
      <c r="G178" s="13" t="str">
        <f>IF(TTM!G178="","",IFERROR(MAX(MIN(TTM!G178,0.5),-0.5),""))</f>
        <v/>
      </c>
      <c r="H178" s="13">
        <f>IF(TTM!H178="","",IFERROR(MAX(MIN(TTM!H178,0.5),-0.5),""))</f>
        <v>0.21160974887480344</v>
      </c>
      <c r="I178" s="13" t="str">
        <f>IF(TTM!I178="","",IFERROR(MAX(MIN(TTM!I178,0.5),-0.5),""))</f>
        <v/>
      </c>
      <c r="J178" s="13">
        <f>IF(TTM!J178="","",IFERROR(MAX(MIN(TTM!J178,0.5),-0.5),""))</f>
        <v>1.0636058391128196E-2</v>
      </c>
      <c r="K178" s="13" t="str">
        <f>IF(TTM!K178="","",IFERROR(MAX(MIN(TTM!K178,0.5),-0.5),""))</f>
        <v/>
      </c>
      <c r="L178" s="13" t="str">
        <f>IF(TTM!L178="","",IFERROR(MAX(MIN(TTM!L178,0.5),-0.5),""))</f>
        <v/>
      </c>
      <c r="M178" s="13" t="str">
        <f>IF(TTM!M178="","",IFERROR(MAX(MIN(TTM!M178,0.5),-0.5),""))</f>
        <v/>
      </c>
      <c r="N178" s="13" t="str">
        <f>IF(TTM!N178="","",IFERROR(MAX(MIN(TTM!N178,0.5),-0.5),""))</f>
        <v/>
      </c>
      <c r="O178" s="13">
        <f>IF(TTM!O178="","",IFERROR(MAX(MIN(TTM!O178,0.5),-0.5),""))</f>
        <v>0.31599455504509105</v>
      </c>
      <c r="P178" s="13" t="str">
        <f>IF(TTM!P178="","",IFERROR(MAX(MIN(TTM!P178,0.5),-0.5),""))</f>
        <v/>
      </c>
      <c r="Q178" s="13" t="str">
        <f>IF(TTM!Q178="","",IFERROR(MAX(MIN(TTM!Q178,0.5),-0.5),""))</f>
        <v/>
      </c>
      <c r="R178" s="13" t="str">
        <f>IF(TTM!R178="","",IFERROR(MAX(MIN(TTM!R178,0.5),-0.5),""))</f>
        <v/>
      </c>
      <c r="S178" s="13" t="str">
        <f>IF(TTM!S178="","",IFERROR(MAX(MIN(TTM!S178,0.5),-0.5),""))</f>
        <v/>
      </c>
      <c r="T178" s="13" t="str">
        <f>IF(TTM!T178="","",IFERROR(MAX(MIN(TTM!T178,0.5),-0.5),""))</f>
        <v/>
      </c>
      <c r="U178" s="11"/>
    </row>
    <row r="179" spans="1:21" ht="14">
      <c r="A179" s="14" t="s">
        <v>90</v>
      </c>
      <c r="B179" s="13" t="str">
        <f>IF(TTM!B179="","",IFERROR(MAX(MIN(TTM!B179,0.5),-0.5),""))</f>
        <v/>
      </c>
      <c r="C179" s="13">
        <f>IF(TTM!C179="","",IFERROR(MAX(MIN(TTM!C179,0.5),-0.5),""))</f>
        <v>0.35352472455237482</v>
      </c>
      <c r="D179" s="13">
        <f>IF(TTM!D179="","",IFERROR(MAX(MIN(TTM!D179,0.5),-0.5),""))</f>
        <v>0.18608631988560587</v>
      </c>
      <c r="E179" s="13">
        <f>IF(TTM!E179="","",IFERROR(MAX(MIN(TTM!E179,0.5),-0.5),""))</f>
        <v>0.24261335315495347</v>
      </c>
      <c r="F179" s="13">
        <f>IF(TTM!F179="","",IFERROR(MAX(MIN(TTM!F179,0.5),-0.5),""))</f>
        <v>0.43642890329844675</v>
      </c>
      <c r="G179" s="13" t="str">
        <f>IF(TTM!G179="","",IFERROR(MAX(MIN(TTM!G179,0.5),-0.5),""))</f>
        <v/>
      </c>
      <c r="H179" s="13">
        <f>IF(TTM!H179="","",IFERROR(MAX(MIN(TTM!H179,0.5),-0.5),""))</f>
        <v>0.21086242206777742</v>
      </c>
      <c r="I179" s="13" t="str">
        <f>IF(TTM!I179="","",IFERROR(MAX(MIN(TTM!I179,0.5),-0.5),""))</f>
        <v/>
      </c>
      <c r="J179" s="13">
        <f>IF(TTM!J179="","",IFERROR(MAX(MIN(TTM!J179,0.5),-0.5),""))</f>
        <v>-1.3651763807166747E-2</v>
      </c>
      <c r="K179" s="13" t="str">
        <f>IF(TTM!K179="","",IFERROR(MAX(MIN(TTM!K179,0.5),-0.5),""))</f>
        <v/>
      </c>
      <c r="L179" s="13" t="str">
        <f>IF(TTM!L179="","",IFERROR(MAX(MIN(TTM!L179,0.5),-0.5),""))</f>
        <v/>
      </c>
      <c r="M179" s="13" t="str">
        <f>IF(TTM!M179="","",IFERROR(MAX(MIN(TTM!M179,0.5),-0.5),""))</f>
        <v/>
      </c>
      <c r="N179" s="13" t="str">
        <f>IF(TTM!N179="","",IFERROR(MAX(MIN(TTM!N179,0.5),-0.5),""))</f>
        <v/>
      </c>
      <c r="O179" s="13">
        <f>IF(TTM!O179="","",IFERROR(MAX(MIN(TTM!O179,0.5),-0.5),""))</f>
        <v>0.27726330447417319</v>
      </c>
      <c r="P179" s="13" t="str">
        <f>IF(TTM!P179="","",IFERROR(MAX(MIN(TTM!P179,0.5),-0.5),""))</f>
        <v/>
      </c>
      <c r="Q179" s="13" t="str">
        <f>IF(TTM!Q179="","",IFERROR(MAX(MIN(TTM!Q179,0.5),-0.5),""))</f>
        <v/>
      </c>
      <c r="R179" s="13" t="str">
        <f>IF(TTM!R179="","",IFERROR(MAX(MIN(TTM!R179,0.5),-0.5),""))</f>
        <v/>
      </c>
      <c r="S179" s="13" t="str">
        <f>IF(TTM!S179="","",IFERROR(MAX(MIN(TTM!S179,0.5),-0.5),""))</f>
        <v/>
      </c>
      <c r="T179" s="13" t="str">
        <f>IF(TTM!T179="","",IFERROR(MAX(MIN(TTM!T179,0.5),-0.5),""))</f>
        <v/>
      </c>
      <c r="U179" s="11"/>
    </row>
    <row r="180" spans="1:21" ht="14">
      <c r="A180" s="14" t="s">
        <v>91</v>
      </c>
      <c r="B180" s="13" t="str">
        <f>IF(TTM!B180="","",IFERROR(MAX(MIN(TTM!B180,0.5),-0.5),""))</f>
        <v/>
      </c>
      <c r="C180" s="13">
        <f>IF(TTM!C180="","",IFERROR(MAX(MIN(TTM!C180,0.5),-0.5),""))</f>
        <v>0.36018814831372853</v>
      </c>
      <c r="D180" s="13">
        <f>IF(TTM!D180="","",IFERROR(MAX(MIN(TTM!D180,0.5),-0.5),""))</f>
        <v>0.18477342025388882</v>
      </c>
      <c r="E180" s="13">
        <f>IF(TTM!E180="","",IFERROR(MAX(MIN(TTM!E180,0.5),-0.5),""))</f>
        <v>0.20608066493433363</v>
      </c>
      <c r="F180" s="13">
        <f>IF(TTM!F180="","",IFERROR(MAX(MIN(TTM!F180,0.5),-0.5),""))</f>
        <v>0.42201834862385323</v>
      </c>
      <c r="G180" s="13" t="str">
        <f>IF(TTM!G180="","",IFERROR(MAX(MIN(TTM!G180,0.5),-0.5),""))</f>
        <v/>
      </c>
      <c r="H180" s="13">
        <f>IF(TTM!H180="","",IFERROR(MAX(MIN(TTM!H180,0.5),-0.5),""))</f>
        <v>0.21011509526075142</v>
      </c>
      <c r="I180" s="13" t="str">
        <f>IF(TTM!I180="","",IFERROR(MAX(MIN(TTM!I180,0.5),-0.5),""))</f>
        <v/>
      </c>
      <c r="J180" s="13">
        <f>IF(TTM!J180="","",IFERROR(MAX(MIN(TTM!J180,0.5),-0.5),""))</f>
        <v>-3.7939586005461691E-2</v>
      </c>
      <c r="K180" s="13" t="str">
        <f>IF(TTM!K180="","",IFERROR(MAX(MIN(TTM!K180,0.5),-0.5),""))</f>
        <v/>
      </c>
      <c r="L180" s="13" t="str">
        <f>IF(TTM!L180="","",IFERROR(MAX(MIN(TTM!L180,0.5),-0.5),""))</f>
        <v/>
      </c>
      <c r="M180" s="13" t="str">
        <f>IF(TTM!M180="","",IFERROR(MAX(MIN(TTM!M180,0.5),-0.5),""))</f>
        <v/>
      </c>
      <c r="N180" s="13" t="str">
        <f>IF(TTM!N180="","",IFERROR(MAX(MIN(TTM!N180,0.5),-0.5),""))</f>
        <v/>
      </c>
      <c r="O180" s="13">
        <f>IF(TTM!O180="","",IFERROR(MAX(MIN(TTM!O180,0.5),-0.5),""))</f>
        <v>0.23853205390325538</v>
      </c>
      <c r="P180" s="13" t="str">
        <f>IF(TTM!P180="","",IFERROR(MAX(MIN(TTM!P180,0.5),-0.5),""))</f>
        <v/>
      </c>
      <c r="Q180" s="13" t="str">
        <f>IF(TTM!Q180="","",IFERROR(MAX(MIN(TTM!Q180,0.5),-0.5),""))</f>
        <v/>
      </c>
      <c r="R180" s="13">
        <f>IF(TTM!R180="","",IFERROR(MAX(MIN(TTM!R180,0.5),-0.5),""))</f>
        <v>0.15083702932886109</v>
      </c>
      <c r="S180" s="13" t="str">
        <f>IF(TTM!S180="","",IFERROR(MAX(MIN(TTM!S180,0.5),-0.5),""))</f>
        <v/>
      </c>
      <c r="T180" s="13" t="str">
        <f>IF(TTM!T180="","",IFERROR(MAX(MIN(TTM!T180,0.5),-0.5),""))</f>
        <v/>
      </c>
      <c r="U180" s="11"/>
    </row>
    <row r="181" spans="1:21" ht="14">
      <c r="A181" s="14" t="s">
        <v>92</v>
      </c>
      <c r="B181" s="13" t="str">
        <f>IF(TTM!B181="","",IFERROR(MAX(MIN(TTM!B181,0.5),-0.5),""))</f>
        <v/>
      </c>
      <c r="C181" s="13">
        <f>IF(TTM!C181="","",IFERROR(MAX(MIN(TTM!C181,0.5),-0.5),""))</f>
        <v>0.36326178767766482</v>
      </c>
      <c r="D181" s="13">
        <f>IF(TTM!D181="","",IFERROR(MAX(MIN(TTM!D181,0.5),-0.5),""))</f>
        <v>0.18017946274984484</v>
      </c>
      <c r="E181" s="13">
        <f>IF(TTM!E181="","",IFERROR(MAX(MIN(TTM!E181,0.5),-0.5),""))</f>
        <v>0.2051294652038026</v>
      </c>
      <c r="F181" s="13">
        <f>IF(TTM!F181="","",IFERROR(MAX(MIN(TTM!F181,0.5),-0.5),""))</f>
        <v>0.40381534876947722</v>
      </c>
      <c r="G181" s="13" t="str">
        <f>IF(TTM!G181="","",IFERROR(MAX(MIN(TTM!G181,0.5),-0.5),""))</f>
        <v/>
      </c>
      <c r="H181" s="13">
        <f>IF(TTM!H181="","",IFERROR(MAX(MIN(TTM!H181,0.5),-0.5),""))</f>
        <v>0.20936776845372543</v>
      </c>
      <c r="I181" s="13" t="str">
        <f>IF(TTM!I181="","",IFERROR(MAX(MIN(TTM!I181,0.5),-0.5),""))</f>
        <v/>
      </c>
      <c r="J181" s="13">
        <f>IF(TTM!J181="","",IFERROR(MAX(MIN(TTM!J181,0.5),-0.5),""))</f>
        <v>-6.2227408203756635E-2</v>
      </c>
      <c r="K181" s="13" t="str">
        <f>IF(TTM!K181="","",IFERROR(MAX(MIN(TTM!K181,0.5),-0.5),""))</f>
        <v/>
      </c>
      <c r="L181" s="13" t="str">
        <f>IF(TTM!L181="","",IFERROR(MAX(MIN(TTM!L181,0.5),-0.5),""))</f>
        <v/>
      </c>
      <c r="M181" s="13" t="str">
        <f>IF(TTM!M181="","",IFERROR(MAX(MIN(TTM!M181,0.5),-0.5),""))</f>
        <v/>
      </c>
      <c r="N181" s="13" t="str">
        <f>IF(TTM!N181="","",IFERROR(MAX(MIN(TTM!N181,0.5),-0.5),""))</f>
        <v/>
      </c>
      <c r="O181" s="13">
        <f>IF(TTM!O181="","",IFERROR(MAX(MIN(TTM!O181,0.5),-0.5),""))</f>
        <v>0.19980080333233752</v>
      </c>
      <c r="P181" s="13" t="str">
        <f>IF(TTM!P181="","",IFERROR(MAX(MIN(TTM!P181,0.5),-0.5),""))</f>
        <v/>
      </c>
      <c r="Q181" s="13" t="str">
        <f>IF(TTM!Q181="","",IFERROR(MAX(MIN(TTM!Q181,0.5),-0.5),""))</f>
        <v/>
      </c>
      <c r="R181" s="13">
        <f>IF(TTM!R181="","",IFERROR(MAX(MIN(TTM!R181,0.5),-0.5),""))</f>
        <v>0.15575122460814902</v>
      </c>
      <c r="S181" s="13" t="str">
        <f>IF(TTM!S181="","",IFERROR(MAX(MIN(TTM!S181,0.5),-0.5),""))</f>
        <v/>
      </c>
      <c r="T181" s="13" t="str">
        <f>IF(TTM!T181="","",IFERROR(MAX(MIN(TTM!T181,0.5),-0.5),""))</f>
        <v/>
      </c>
      <c r="U181" s="11"/>
    </row>
    <row r="182" spans="1:21" ht="14">
      <c r="A182" s="14" t="s">
        <v>93</v>
      </c>
      <c r="B182" s="13" t="str">
        <f>IF(TTM!B182="","",IFERROR(MAX(MIN(TTM!B182,0.5),-0.5),""))</f>
        <v/>
      </c>
      <c r="C182" s="13">
        <f>IF(TTM!C182="","",IFERROR(MAX(MIN(TTM!C182,0.5),-0.5),""))</f>
        <v>0.3663354270416011</v>
      </c>
      <c r="D182" s="13">
        <f>IF(TTM!D182="","",IFERROR(MAX(MIN(TTM!D182,0.5),-0.5),""))</f>
        <v>0.17558550524580088</v>
      </c>
      <c r="E182" s="13">
        <f>IF(TTM!E182="","",IFERROR(MAX(MIN(TTM!E182,0.5),-0.5),""))</f>
        <v>0.20417826547327156</v>
      </c>
      <c r="F182" s="13">
        <f>IF(TTM!F182="","",IFERROR(MAX(MIN(TTM!F182,0.5),-0.5),""))</f>
        <v>0.38561234891510121</v>
      </c>
      <c r="G182" s="13" t="str">
        <f>IF(TTM!G182="","",IFERROR(MAX(MIN(TTM!G182,0.5),-0.5),""))</f>
        <v/>
      </c>
      <c r="H182" s="13">
        <f>IF(TTM!H182="","",IFERROR(MAX(MIN(TTM!H182,0.5),-0.5),""))</f>
        <v>0.20050250702974245</v>
      </c>
      <c r="I182" s="13" t="str">
        <f>IF(TTM!I182="","",IFERROR(MAX(MIN(TTM!I182,0.5),-0.5),""))</f>
        <v/>
      </c>
      <c r="J182" s="13">
        <f>IF(TTM!J182="","",IFERROR(MAX(MIN(TTM!J182,0.5),-0.5),""))</f>
        <v>-5.6132907493528388E-2</v>
      </c>
      <c r="K182" s="13" t="str">
        <f>IF(TTM!K182="","",IFERROR(MAX(MIN(TTM!K182,0.5),-0.5),""))</f>
        <v/>
      </c>
      <c r="L182" s="13" t="str">
        <f>IF(TTM!L182="","",IFERROR(MAX(MIN(TTM!L182,0.5),-0.5),""))</f>
        <v/>
      </c>
      <c r="M182" s="13" t="str">
        <f>IF(TTM!M182="","",IFERROR(MAX(MIN(TTM!M182,0.5),-0.5),""))</f>
        <v/>
      </c>
      <c r="N182" s="13" t="str">
        <f>IF(TTM!N182="","",IFERROR(MAX(MIN(TTM!N182,0.5),-0.5),""))</f>
        <v/>
      </c>
      <c r="O182" s="13">
        <f>IF(TTM!O182="","",IFERROR(MAX(MIN(TTM!O182,0.5),-0.5),""))</f>
        <v>0.16106955276141971</v>
      </c>
      <c r="P182" s="13" t="str">
        <f>IF(TTM!P182="","",IFERROR(MAX(MIN(TTM!P182,0.5),-0.5),""))</f>
        <v/>
      </c>
      <c r="Q182" s="13" t="str">
        <f>IF(TTM!Q182="","",IFERROR(MAX(MIN(TTM!Q182,0.5),-0.5),""))</f>
        <v/>
      </c>
      <c r="R182" s="13">
        <f>IF(TTM!R182="","",IFERROR(MAX(MIN(TTM!R182,0.5),-0.5),""))</f>
        <v>0.16066541988743696</v>
      </c>
      <c r="S182" s="13" t="str">
        <f>IF(TTM!S182="","",IFERROR(MAX(MIN(TTM!S182,0.5),-0.5),""))</f>
        <v/>
      </c>
      <c r="T182" s="13" t="str">
        <f>IF(TTM!T182="","",IFERROR(MAX(MIN(TTM!T182,0.5),-0.5),""))</f>
        <v/>
      </c>
      <c r="U182" s="11"/>
    </row>
    <row r="183" spans="1:21" ht="14">
      <c r="A183" s="14" t="s">
        <v>94</v>
      </c>
      <c r="B183" s="13" t="str">
        <f>IF(TTM!B183="","",IFERROR(MAX(MIN(TTM!B183,0.5),-0.5),""))</f>
        <v/>
      </c>
      <c r="C183" s="13">
        <f>IF(TTM!C183="","",IFERROR(MAX(MIN(TTM!C183,0.5),-0.5),""))</f>
        <v>0.36940906640553739</v>
      </c>
      <c r="D183" s="13">
        <f>IF(TTM!D183="","",IFERROR(MAX(MIN(TTM!D183,0.5),-0.5),""))</f>
        <v>0.17099154774175693</v>
      </c>
      <c r="E183" s="13">
        <f>IF(TTM!E183="","",IFERROR(MAX(MIN(TTM!E183,0.5),-0.5),""))</f>
        <v>0.20322706574274052</v>
      </c>
      <c r="F183" s="13">
        <f>IF(TTM!F183="","",IFERROR(MAX(MIN(TTM!F183,0.5),-0.5),""))</f>
        <v>0.3674093490607252</v>
      </c>
      <c r="G183" s="13" t="str">
        <f>IF(TTM!G183="","",IFERROR(MAX(MIN(TTM!G183,0.5),-0.5),""))</f>
        <v/>
      </c>
      <c r="H183" s="13">
        <f>IF(TTM!H183="","",IFERROR(MAX(MIN(TTM!H183,0.5),-0.5),""))</f>
        <v>0.19163724560575948</v>
      </c>
      <c r="I183" s="13" t="str">
        <f>IF(TTM!I183="","",IFERROR(MAX(MIN(TTM!I183,0.5),-0.5),""))</f>
        <v/>
      </c>
      <c r="J183" s="13">
        <f>IF(TTM!J183="","",IFERROR(MAX(MIN(TTM!J183,0.5),-0.5),""))</f>
        <v>-5.0038406783300141E-2</v>
      </c>
      <c r="K183" s="13" t="str">
        <f>IF(TTM!K183="","",IFERROR(MAX(MIN(TTM!K183,0.5),-0.5),""))</f>
        <v/>
      </c>
      <c r="L183" s="13" t="str">
        <f>IF(TTM!L183="","",IFERROR(MAX(MIN(TTM!L183,0.5),-0.5),""))</f>
        <v/>
      </c>
      <c r="M183" s="13" t="str">
        <f>IF(TTM!M183="","",IFERROR(MAX(MIN(TTM!M183,0.5),-0.5),""))</f>
        <v/>
      </c>
      <c r="N183" s="13" t="str">
        <f>IF(TTM!N183="","",IFERROR(MAX(MIN(TTM!N183,0.5),-0.5),""))</f>
        <v/>
      </c>
      <c r="O183" s="13">
        <f>IF(TTM!O183="","",IFERROR(MAX(MIN(TTM!O183,0.5),-0.5),""))</f>
        <v>0.18137920147258541</v>
      </c>
      <c r="P183" s="13" t="str">
        <f>IF(TTM!P183="","",IFERROR(MAX(MIN(TTM!P183,0.5),-0.5),""))</f>
        <v/>
      </c>
      <c r="Q183" s="13" t="str">
        <f>IF(TTM!Q183="","",IFERROR(MAX(MIN(TTM!Q183,0.5),-0.5),""))</f>
        <v/>
      </c>
      <c r="R183" s="13">
        <f>IF(TTM!R183="","",IFERROR(MAX(MIN(TTM!R183,0.5),-0.5),""))</f>
        <v>0.1655796151667249</v>
      </c>
      <c r="S183" s="13" t="str">
        <f>IF(TTM!S183="","",IFERROR(MAX(MIN(TTM!S183,0.5),-0.5),""))</f>
        <v/>
      </c>
      <c r="T183" s="13" t="str">
        <f>IF(TTM!T183="","",IFERROR(MAX(MIN(TTM!T183,0.5),-0.5),""))</f>
        <v/>
      </c>
      <c r="U183" s="11"/>
    </row>
    <row r="184" spans="1:21" ht="14">
      <c r="A184" s="14" t="s">
        <v>95</v>
      </c>
      <c r="B184" s="13" t="str">
        <f>IF(TTM!B184="","",IFERROR(MAX(MIN(TTM!B184,0.5),-0.5),""))</f>
        <v/>
      </c>
      <c r="C184" s="13">
        <f>IF(TTM!C184="","",IFERROR(MAX(MIN(TTM!C184,0.5),-0.5),""))</f>
        <v>0.37248270576947368</v>
      </c>
      <c r="D184" s="13">
        <f>IF(TTM!D184="","",IFERROR(MAX(MIN(TTM!D184,0.5),-0.5),""))</f>
        <v>0.16639759023771294</v>
      </c>
      <c r="E184" s="13">
        <f>IF(TTM!E184="","",IFERROR(MAX(MIN(TTM!E184,0.5),-0.5),""))</f>
        <v>0.20227586601220951</v>
      </c>
      <c r="F184" s="13">
        <f>IF(TTM!F184="","",IFERROR(MAX(MIN(TTM!F184,0.5),-0.5),""))</f>
        <v>0.34920634920634919</v>
      </c>
      <c r="G184" s="13" t="str">
        <f>IF(TTM!G184="","",IFERROR(MAX(MIN(TTM!G184,0.5),-0.5),""))</f>
        <v/>
      </c>
      <c r="H184" s="13">
        <f>IF(TTM!H184="","",IFERROR(MAX(MIN(TTM!H184,0.5),-0.5),""))</f>
        <v>0.18277198418177651</v>
      </c>
      <c r="I184" s="13" t="str">
        <f>IF(TTM!I184="","",IFERROR(MAX(MIN(TTM!I184,0.5),-0.5),""))</f>
        <v/>
      </c>
      <c r="J184" s="13">
        <f>IF(TTM!J184="","",IFERROR(MAX(MIN(TTM!J184,0.5),-0.5),""))</f>
        <v>-4.3943906073071894E-2</v>
      </c>
      <c r="K184" s="13" t="str">
        <f>IF(TTM!K184="","",IFERROR(MAX(MIN(TTM!K184,0.5),-0.5),""))</f>
        <v/>
      </c>
      <c r="L184" s="13" t="str">
        <f>IF(TTM!L184="","",IFERROR(MAX(MIN(TTM!L184,0.5),-0.5),""))</f>
        <v/>
      </c>
      <c r="M184" s="13" t="str">
        <f>IF(TTM!M184="","",IFERROR(MAX(MIN(TTM!M184,0.5),-0.5),""))</f>
        <v/>
      </c>
      <c r="N184" s="13" t="str">
        <f>IF(TTM!N184="","",IFERROR(MAX(MIN(TTM!N184,0.5),-0.5),""))</f>
        <v/>
      </c>
      <c r="O184" s="13">
        <f>IF(TTM!O184="","",IFERROR(MAX(MIN(TTM!O184,0.5),-0.5),""))</f>
        <v>0.20168885018375107</v>
      </c>
      <c r="P184" s="13" t="str">
        <f>IF(TTM!P184="","",IFERROR(MAX(MIN(TTM!P184,0.5),-0.5),""))</f>
        <v/>
      </c>
      <c r="Q184" s="13" t="str">
        <f>IF(TTM!Q184="","",IFERROR(MAX(MIN(TTM!Q184,0.5),-0.5),""))</f>
        <v/>
      </c>
      <c r="R184" s="13">
        <f>IF(TTM!R184="","",IFERROR(MAX(MIN(TTM!R184,0.5),-0.5),""))</f>
        <v>0.17049381044601283</v>
      </c>
      <c r="S184" s="13" t="str">
        <f>IF(TTM!S184="","",IFERROR(MAX(MIN(TTM!S184,0.5),-0.5),""))</f>
        <v/>
      </c>
      <c r="T184" s="13" t="str">
        <f>IF(TTM!T184="","",IFERROR(MAX(MIN(TTM!T184,0.5),-0.5),""))</f>
        <v/>
      </c>
      <c r="U184" s="11"/>
    </row>
    <row r="185" spans="1:21" ht="14">
      <c r="A185" s="14" t="s">
        <v>96</v>
      </c>
      <c r="B185" s="13" t="str">
        <f>IF(TTM!B185="","",IFERROR(MAX(MIN(TTM!B185,0.5),-0.5),""))</f>
        <v/>
      </c>
      <c r="C185" s="13">
        <f>IF(TTM!C185="","",IFERROR(MAX(MIN(TTM!C185,0.5),-0.5),""))</f>
        <v>0.37652926669382919</v>
      </c>
      <c r="D185" s="13">
        <f>IF(TTM!D185="","",IFERROR(MAX(MIN(TTM!D185,0.5),-0.5),""))</f>
        <v>0.16515420123907737</v>
      </c>
      <c r="E185" s="13">
        <f>IF(TTM!E185="","",IFERROR(MAX(MIN(TTM!E185,0.5),-0.5),""))</f>
        <v>0.15277276007235793</v>
      </c>
      <c r="F185" s="13">
        <f>IF(TTM!F185="","",IFERROR(MAX(MIN(TTM!F185,0.5),-0.5),""))</f>
        <v>0.34396736222578916</v>
      </c>
      <c r="G185" s="13" t="str">
        <f>IF(TTM!G185="","",IFERROR(MAX(MIN(TTM!G185,0.5),-0.5),""))</f>
        <v/>
      </c>
      <c r="H185" s="13">
        <f>IF(TTM!H185="","",IFERROR(MAX(MIN(TTM!H185,0.5),-0.5),""))</f>
        <v>0.17390672275779354</v>
      </c>
      <c r="I185" s="13" t="str">
        <f>IF(TTM!I185="","",IFERROR(MAX(MIN(TTM!I185,0.5),-0.5),""))</f>
        <v/>
      </c>
      <c r="J185" s="13">
        <f>IF(TTM!J185="","",IFERROR(MAX(MIN(TTM!J185,0.5),-0.5),""))</f>
        <v>-3.7849405362843654E-2</v>
      </c>
      <c r="K185" s="13" t="str">
        <f>IF(TTM!K185="","",IFERROR(MAX(MIN(TTM!K185,0.5),-0.5),""))</f>
        <v/>
      </c>
      <c r="L185" s="13" t="str">
        <f>IF(TTM!L185="","",IFERROR(MAX(MIN(TTM!L185,0.5),-0.5),""))</f>
        <v/>
      </c>
      <c r="M185" s="13" t="str">
        <f>IF(TTM!M185="","",IFERROR(MAX(MIN(TTM!M185,0.5),-0.5),""))</f>
        <v/>
      </c>
      <c r="N185" s="13" t="str">
        <f>IF(TTM!N185="","",IFERROR(MAX(MIN(TTM!N185,0.5),-0.5),""))</f>
        <v/>
      </c>
      <c r="O185" s="13">
        <f>IF(TTM!O185="","",IFERROR(MAX(MIN(TTM!O185,0.5),-0.5),""))</f>
        <v>0.22199849889491677</v>
      </c>
      <c r="P185" s="13" t="str">
        <f>IF(TTM!P185="","",IFERROR(MAX(MIN(TTM!P185,0.5),-0.5),""))</f>
        <v/>
      </c>
      <c r="Q185" s="13" t="str">
        <f>IF(TTM!Q185="","",IFERROR(MAX(MIN(TTM!Q185,0.5),-0.5),""))</f>
        <v/>
      </c>
      <c r="R185" s="13">
        <f>IF(TTM!R185="","",IFERROR(MAX(MIN(TTM!R185,0.5),-0.5),""))</f>
        <v>0.16844175598644537</v>
      </c>
      <c r="S185" s="13" t="str">
        <f>IF(TTM!S185="","",IFERROR(MAX(MIN(TTM!S185,0.5),-0.5),""))</f>
        <v/>
      </c>
      <c r="T185" s="13" t="str">
        <f>IF(TTM!T185="","",IFERROR(MAX(MIN(TTM!T185,0.5),-0.5),""))</f>
        <v/>
      </c>
      <c r="U185" s="11"/>
    </row>
    <row r="186" spans="1:21" ht="14">
      <c r="A186" s="14" t="s">
        <v>97</v>
      </c>
      <c r="B186" s="13" t="str">
        <f>IF(TTM!B186="","",IFERROR(MAX(MIN(TTM!B186,0.5),-0.5),""))</f>
        <v/>
      </c>
      <c r="C186" s="13">
        <f>IF(TTM!C186="","",IFERROR(MAX(MIN(TTM!C186,0.5),-0.5),""))</f>
        <v>0.38057582761818476</v>
      </c>
      <c r="D186" s="13">
        <f>IF(TTM!D186="","",IFERROR(MAX(MIN(TTM!D186,0.5),-0.5),""))</f>
        <v>0.16391081224044177</v>
      </c>
      <c r="E186" s="13">
        <f>IF(TTM!E186="","",IFERROR(MAX(MIN(TTM!E186,0.5),-0.5),""))</f>
        <v>0.10326965413250637</v>
      </c>
      <c r="F186" s="13">
        <f>IF(TTM!F186="","",IFERROR(MAX(MIN(TTM!F186,0.5),-0.5),""))</f>
        <v>0.3387283752452292</v>
      </c>
      <c r="G186" s="13" t="str">
        <f>IF(TTM!G186="","",IFERROR(MAX(MIN(TTM!G186,0.5),-0.5),""))</f>
        <v/>
      </c>
      <c r="H186" s="13">
        <f>IF(TTM!H186="","",IFERROR(MAX(MIN(TTM!H186,0.5),-0.5),""))</f>
        <v>0.31567377533285462</v>
      </c>
      <c r="I186" s="13" t="str">
        <f>IF(TTM!I186="","",IFERROR(MAX(MIN(TTM!I186,0.5),-0.5),""))</f>
        <v/>
      </c>
      <c r="J186" s="13">
        <f>IF(TTM!J186="","",IFERROR(MAX(MIN(TTM!J186,0.5),-0.5),""))</f>
        <v>-3.3781127529278809E-2</v>
      </c>
      <c r="K186" s="13" t="str">
        <f>IF(TTM!K186="","",IFERROR(MAX(MIN(TTM!K186,0.5),-0.5),""))</f>
        <v/>
      </c>
      <c r="L186" s="13" t="str">
        <f>IF(TTM!L186="","",IFERROR(MAX(MIN(TTM!L186,0.5),-0.5),""))</f>
        <v/>
      </c>
      <c r="M186" s="13" t="str">
        <f>IF(TTM!M186="","",IFERROR(MAX(MIN(TTM!M186,0.5),-0.5),""))</f>
        <v/>
      </c>
      <c r="N186" s="13" t="str">
        <f>IF(TTM!N186="","",IFERROR(MAX(MIN(TTM!N186,0.5),-0.5),""))</f>
        <v/>
      </c>
      <c r="O186" s="13">
        <f>IF(TTM!O186="","",IFERROR(MAX(MIN(TTM!O186,0.5),-0.5),""))</f>
        <v>0.24230814760608246</v>
      </c>
      <c r="P186" s="13" t="str">
        <f>IF(TTM!P186="","",IFERROR(MAX(MIN(TTM!P186,0.5),-0.5),""))</f>
        <v/>
      </c>
      <c r="Q186" s="13" t="str">
        <f>IF(TTM!Q186="","",IFERROR(MAX(MIN(TTM!Q186,0.5),-0.5),""))</f>
        <v/>
      </c>
      <c r="R186" s="13">
        <f>IF(TTM!R186="","",IFERROR(MAX(MIN(TTM!R186,0.5),-0.5),""))</f>
        <v>0.16638970152687793</v>
      </c>
      <c r="S186" s="13" t="str">
        <f>IF(TTM!S186="","",IFERROR(MAX(MIN(TTM!S186,0.5),-0.5),""))</f>
        <v/>
      </c>
      <c r="T186" s="13" t="str">
        <f>IF(TTM!T186="","",IFERROR(MAX(MIN(TTM!T186,0.5),-0.5),""))</f>
        <v/>
      </c>
      <c r="U186" s="11"/>
    </row>
    <row r="187" spans="1:21" ht="14">
      <c r="A187" s="14" t="s">
        <v>98</v>
      </c>
      <c r="B187" s="13" t="str">
        <f>IF(TTM!B187="","",IFERROR(MAX(MIN(TTM!B187,0.5),-0.5),""))</f>
        <v/>
      </c>
      <c r="C187" s="13">
        <f>IF(TTM!C187="","",IFERROR(MAX(MIN(TTM!C187,0.5),-0.5),""))</f>
        <v>0.38462238854254027</v>
      </c>
      <c r="D187" s="13">
        <f>IF(TTM!D187="","",IFERROR(MAX(MIN(TTM!D187,0.5),-0.5),""))</f>
        <v>0.16266742324180616</v>
      </c>
      <c r="E187" s="13">
        <f>IF(TTM!E187="","",IFERROR(MAX(MIN(TTM!E187,0.5),-0.5),""))</f>
        <v>5.3766548192654799E-2</v>
      </c>
      <c r="F187" s="13">
        <f>IF(TTM!F187="","",IFERROR(MAX(MIN(TTM!F187,0.5),-0.5),""))</f>
        <v>0.33348938826466917</v>
      </c>
      <c r="G187" s="13" t="str">
        <f>IF(TTM!G187="","",IFERROR(MAX(MIN(TTM!G187,0.5),-0.5),""))</f>
        <v/>
      </c>
      <c r="H187" s="13">
        <f>IF(TTM!H187="","",IFERROR(MAX(MIN(TTM!H187,0.5),-0.5),""))</f>
        <v>0.45744082790791574</v>
      </c>
      <c r="I187" s="13" t="str">
        <f>IF(TTM!I187="","",IFERROR(MAX(MIN(TTM!I187,0.5),-0.5),""))</f>
        <v/>
      </c>
      <c r="J187" s="13">
        <f>IF(TTM!J187="","",IFERROR(MAX(MIN(TTM!J187,0.5),-0.5),""))</f>
        <v>-2.9712849695713958E-2</v>
      </c>
      <c r="K187" s="13" t="str">
        <f>IF(TTM!K187="","",IFERROR(MAX(MIN(TTM!K187,0.5),-0.5),""))</f>
        <v/>
      </c>
      <c r="L187" s="13" t="str">
        <f>IF(TTM!L187="","",IFERROR(MAX(MIN(TTM!L187,0.5),-0.5),""))</f>
        <v/>
      </c>
      <c r="M187" s="13" t="str">
        <f>IF(TTM!M187="","",IFERROR(MAX(MIN(TTM!M187,0.5),-0.5),""))</f>
        <v/>
      </c>
      <c r="N187" s="13" t="str">
        <f>IF(TTM!N187="","",IFERROR(MAX(MIN(TTM!N187,0.5),-0.5),""))</f>
        <v/>
      </c>
      <c r="O187" s="13">
        <f>IF(TTM!O187="","",IFERROR(MAX(MIN(TTM!O187,0.5),-0.5),""))</f>
        <v>0.24354123507342812</v>
      </c>
      <c r="P187" s="13" t="str">
        <f>IF(TTM!P187="","",IFERROR(MAX(MIN(TTM!P187,0.5),-0.5),""))</f>
        <v/>
      </c>
      <c r="Q187" s="13" t="str">
        <f>IF(TTM!Q187="","",IFERROR(MAX(MIN(TTM!Q187,0.5),-0.5),""))</f>
        <v/>
      </c>
      <c r="R187" s="13">
        <f>IF(TTM!R187="","",IFERROR(MAX(MIN(TTM!R187,0.5),-0.5),""))</f>
        <v>0.16433764706731047</v>
      </c>
      <c r="S187" s="13" t="str">
        <f>IF(TTM!S187="","",IFERROR(MAX(MIN(TTM!S187,0.5),-0.5),""))</f>
        <v/>
      </c>
      <c r="T187" s="13" t="str">
        <f>IF(TTM!T187="","",IFERROR(MAX(MIN(TTM!T187,0.5),-0.5),""))</f>
        <v/>
      </c>
      <c r="U187" s="11"/>
    </row>
    <row r="188" spans="1:21" ht="14">
      <c r="A188" s="14" t="s">
        <v>99</v>
      </c>
      <c r="B188" s="13" t="str">
        <f>IF(TTM!B188="","",IFERROR(MAX(MIN(TTM!B188,0.5),-0.5),""))</f>
        <v/>
      </c>
      <c r="C188" s="13">
        <f>IF(TTM!C188="","",IFERROR(MAX(MIN(TTM!C188,0.5),-0.5),""))</f>
        <v>0.38866894946689584</v>
      </c>
      <c r="D188" s="13">
        <f>IF(TTM!D188="","",IFERROR(MAX(MIN(TTM!D188,0.5),-0.5),""))</f>
        <v>0.16142403424317059</v>
      </c>
      <c r="E188" s="13">
        <f>IF(TTM!E188="","",IFERROR(MAX(MIN(TTM!E188,0.5),-0.5),""))</f>
        <v>4.2634422528032194E-3</v>
      </c>
      <c r="F188" s="13">
        <f>IF(TTM!F188="","",IFERROR(MAX(MIN(TTM!F188,0.5),-0.5),""))</f>
        <v>0.32825040128410915</v>
      </c>
      <c r="G188" s="13">
        <f>IF(TTM!G188="","",IFERROR(MAX(MIN(TTM!G188,0.5),-0.5),""))</f>
        <v>-8.7069975503248484E-4</v>
      </c>
      <c r="H188" s="13">
        <f>IF(TTM!H188="","",IFERROR(MAX(MIN(TTM!H188,0.5),-0.5),""))</f>
        <v>0.5</v>
      </c>
      <c r="I188" s="13" t="str">
        <f>IF(TTM!I188="","",IFERROR(MAX(MIN(TTM!I188,0.5),-0.5),""))</f>
        <v/>
      </c>
      <c r="J188" s="13">
        <f>IF(TTM!J188="","",IFERROR(MAX(MIN(TTM!J188,0.5),-0.5),""))</f>
        <v>-2.5644571862149114E-2</v>
      </c>
      <c r="K188" s="13" t="str">
        <f>IF(TTM!K188="","",IFERROR(MAX(MIN(TTM!K188,0.5),-0.5),""))</f>
        <v/>
      </c>
      <c r="L188" s="13" t="str">
        <f>IF(TTM!L188="","",IFERROR(MAX(MIN(TTM!L188,0.5),-0.5),""))</f>
        <v/>
      </c>
      <c r="M188" s="13" t="str">
        <f>IF(TTM!M188="","",IFERROR(MAX(MIN(TTM!M188,0.5),-0.5),""))</f>
        <v/>
      </c>
      <c r="N188" s="13" t="str">
        <f>IF(TTM!N188="","",IFERROR(MAX(MIN(TTM!N188,0.5),-0.5),""))</f>
        <v/>
      </c>
      <c r="O188" s="13">
        <f>IF(TTM!O188="","",IFERROR(MAX(MIN(TTM!O188,0.5),-0.5),""))</f>
        <v>0.24477432254077375</v>
      </c>
      <c r="P188" s="13" t="str">
        <f>IF(TTM!P188="","",IFERROR(MAX(MIN(TTM!P188,0.5),-0.5),""))</f>
        <v/>
      </c>
      <c r="Q188" s="13" t="str">
        <f>IF(TTM!Q188="","",IFERROR(MAX(MIN(TTM!Q188,0.5),-0.5),""))</f>
        <v/>
      </c>
      <c r="R188" s="13">
        <f>IF(TTM!R188="","",IFERROR(MAX(MIN(TTM!R188,0.5),-0.5),""))</f>
        <v>0.16228559260774303</v>
      </c>
      <c r="S188" s="13" t="str">
        <f>IF(TTM!S188="","",IFERROR(MAX(MIN(TTM!S188,0.5),-0.5),""))</f>
        <v/>
      </c>
      <c r="T188" s="13" t="str">
        <f>IF(TTM!T188="","",IFERROR(MAX(MIN(TTM!T188,0.5),-0.5),""))</f>
        <v/>
      </c>
      <c r="U188" s="11"/>
    </row>
    <row r="189" spans="1:21" ht="14">
      <c r="A189" s="14" t="s">
        <v>100</v>
      </c>
      <c r="B189" s="13" t="str">
        <f>IF(TTM!B189="","",IFERROR(MAX(MIN(TTM!B189,0.5),-0.5),""))</f>
        <v/>
      </c>
      <c r="C189" s="13">
        <f>IF(TTM!C189="","",IFERROR(MAX(MIN(TTM!C189,0.5),-0.5),""))</f>
        <v>0.38721414643035906</v>
      </c>
      <c r="D189" s="13">
        <f>IF(TTM!D189="","",IFERROR(MAX(MIN(TTM!D189,0.5),-0.5),""))</f>
        <v>0.15532130681395487</v>
      </c>
      <c r="E189" s="13">
        <f>IF(TTM!E189="","",IFERROR(MAX(MIN(TTM!E189,0.5),-0.5),""))</f>
        <v>1.919332017027606E-2</v>
      </c>
      <c r="F189" s="13">
        <f>IF(TTM!F189="","",IFERROR(MAX(MIN(TTM!F189,0.5),-0.5),""))</f>
        <v>0.30064490552072259</v>
      </c>
      <c r="G189" s="13">
        <f>IF(TTM!G189="","",IFERROR(MAX(MIN(TTM!G189,0.5),-0.5),""))</f>
        <v>-8.2743087127087299E-3</v>
      </c>
      <c r="H189" s="13">
        <f>IF(TTM!H189="","",IFERROR(MAX(MIN(TTM!H189,0.5),-0.5),""))</f>
        <v>0.5</v>
      </c>
      <c r="I189" s="13" t="str">
        <f>IF(TTM!I189="","",IFERROR(MAX(MIN(TTM!I189,0.5),-0.5),""))</f>
        <v/>
      </c>
      <c r="J189" s="13">
        <f>IF(TTM!J189="","",IFERROR(MAX(MIN(TTM!J189,0.5),-0.5),""))</f>
        <v>-2.1576294028584263E-2</v>
      </c>
      <c r="K189" s="13" t="str">
        <f>IF(TTM!K189="","",IFERROR(MAX(MIN(TTM!K189,0.5),-0.5),""))</f>
        <v/>
      </c>
      <c r="L189" s="13" t="str">
        <f>IF(TTM!L189="","",IFERROR(MAX(MIN(TTM!L189,0.5),-0.5),""))</f>
        <v/>
      </c>
      <c r="M189" s="13" t="str">
        <f>IF(TTM!M189="","",IFERROR(MAX(MIN(TTM!M189,0.5),-0.5),""))</f>
        <v/>
      </c>
      <c r="N189" s="13" t="str">
        <f>IF(TTM!N189="","",IFERROR(MAX(MIN(TTM!N189,0.5),-0.5),""))</f>
        <v/>
      </c>
      <c r="O189" s="13">
        <f>IF(TTM!O189="","",IFERROR(MAX(MIN(TTM!O189,0.5),-0.5),""))</f>
        <v>0.24600741000811938</v>
      </c>
      <c r="P189" s="13" t="str">
        <f>IF(TTM!P189="","",IFERROR(MAX(MIN(TTM!P189,0.5),-0.5),""))</f>
        <v/>
      </c>
      <c r="Q189" s="13" t="str">
        <f>IF(TTM!Q189="","",IFERROR(MAX(MIN(TTM!Q189,0.5),-0.5),""))</f>
        <v/>
      </c>
      <c r="R189" s="13">
        <f>IF(TTM!R189="","",IFERROR(MAX(MIN(TTM!R189,0.5),-0.5),""))</f>
        <v>0.11077289507419256</v>
      </c>
      <c r="S189" s="13" t="str">
        <f>IF(TTM!S189="","",IFERROR(MAX(MIN(TTM!S189,0.5),-0.5),""))</f>
        <v/>
      </c>
      <c r="T189" s="13" t="str">
        <f>IF(TTM!T189="","",IFERROR(MAX(MIN(TTM!T189,0.5),-0.5),""))</f>
        <v/>
      </c>
      <c r="U189" s="11"/>
    </row>
    <row r="190" spans="1:21" ht="14">
      <c r="A190" s="14" t="s">
        <v>101</v>
      </c>
      <c r="B190" s="13" t="str">
        <f>IF(TTM!B190="","",IFERROR(MAX(MIN(TTM!B190,0.5),-0.5),""))</f>
        <v/>
      </c>
      <c r="C190" s="13">
        <f>IF(TTM!C190="","",IFERROR(MAX(MIN(TTM!C190,0.5),-0.5),""))</f>
        <v>0.38575934339382223</v>
      </c>
      <c r="D190" s="13">
        <f>IF(TTM!D190="","",IFERROR(MAX(MIN(TTM!D190,0.5),-0.5),""))</f>
        <v>0.14921857938473918</v>
      </c>
      <c r="E190" s="13">
        <f>IF(TTM!E190="","",IFERROR(MAX(MIN(TTM!E190,0.5),-0.5),""))</f>
        <v>3.4123198087748899E-2</v>
      </c>
      <c r="F190" s="13">
        <f>IF(TTM!F190="","",IFERROR(MAX(MIN(TTM!F190,0.5),-0.5),""))</f>
        <v>0.27303940975733609</v>
      </c>
      <c r="G190" s="13">
        <f>IF(TTM!G190="","",IFERROR(MAX(MIN(TTM!G190,0.5),-0.5),""))</f>
        <v>-1.5677917670384976E-2</v>
      </c>
      <c r="H190" s="13">
        <f>IF(TTM!H190="","",IFERROR(MAX(MIN(TTM!H190,0.5),-0.5),""))</f>
        <v>0.5</v>
      </c>
      <c r="I190" s="13" t="str">
        <f>IF(TTM!I190="","",IFERROR(MAX(MIN(TTM!I190,0.5),-0.5),""))</f>
        <v/>
      </c>
      <c r="J190" s="13">
        <f>IF(TTM!J190="","",IFERROR(MAX(MIN(TTM!J190,0.5),-0.5),""))</f>
        <v>-5.7363821860040493E-2</v>
      </c>
      <c r="K190" s="13" t="str">
        <f>IF(TTM!K190="","",IFERROR(MAX(MIN(TTM!K190,0.5),-0.5),""))</f>
        <v/>
      </c>
      <c r="L190" s="13" t="str">
        <f>IF(TTM!L190="","",IFERROR(MAX(MIN(TTM!L190,0.5),-0.5),""))</f>
        <v/>
      </c>
      <c r="M190" s="13" t="str">
        <f>IF(TTM!M190="","",IFERROR(MAX(MIN(TTM!M190,0.5),-0.5),""))</f>
        <v/>
      </c>
      <c r="N190" s="13" t="str">
        <f>IF(TTM!N190="","",IFERROR(MAX(MIN(TTM!N190,0.5),-0.5),""))</f>
        <v/>
      </c>
      <c r="O190" s="13">
        <f>IF(TTM!O190="","",IFERROR(MAX(MIN(TTM!O190,0.5),-0.5),""))</f>
        <v>0.247240497475465</v>
      </c>
      <c r="P190" s="13" t="str">
        <f>IF(TTM!P190="","",IFERROR(MAX(MIN(TTM!P190,0.5),-0.5),""))</f>
        <v/>
      </c>
      <c r="Q190" s="13" t="str">
        <f>IF(TTM!Q190="","",IFERROR(MAX(MIN(TTM!Q190,0.5),-0.5),""))</f>
        <v/>
      </c>
      <c r="R190" s="13">
        <f>IF(TTM!R190="","",IFERROR(MAX(MIN(TTM!R190,0.5),-0.5),""))</f>
        <v>5.9260197540642087E-2</v>
      </c>
      <c r="S190" s="13" t="str">
        <f>IF(TTM!S190="","",IFERROR(MAX(MIN(TTM!S190,0.5),-0.5),""))</f>
        <v/>
      </c>
      <c r="T190" s="13" t="str">
        <f>IF(TTM!T190="","",IFERROR(MAX(MIN(TTM!T190,0.5),-0.5),""))</f>
        <v/>
      </c>
      <c r="U190" s="11"/>
    </row>
    <row r="191" spans="1:21" ht="14">
      <c r="A191" s="14" t="s">
        <v>102</v>
      </c>
      <c r="B191" s="13" t="str">
        <f>IF(TTM!B191="","",IFERROR(MAX(MIN(TTM!B191,0.5),-0.5),""))</f>
        <v/>
      </c>
      <c r="C191" s="13">
        <f>IF(TTM!C191="","",IFERROR(MAX(MIN(TTM!C191,0.5),-0.5),""))</f>
        <v>0.38430454035728545</v>
      </c>
      <c r="D191" s="13">
        <f>IF(TTM!D191="","",IFERROR(MAX(MIN(TTM!D191,0.5),-0.5),""))</f>
        <v>0.14311585195552345</v>
      </c>
      <c r="E191" s="13">
        <f>IF(TTM!E191="","",IFERROR(MAX(MIN(TTM!E191,0.5),-0.5),""))</f>
        <v>4.9053076005221741E-2</v>
      </c>
      <c r="F191" s="13">
        <f>IF(TTM!F191="","",IFERROR(MAX(MIN(TTM!F191,0.5),-0.5),""))</f>
        <v>0.24543391399394954</v>
      </c>
      <c r="G191" s="13">
        <f>IF(TTM!G191="","",IFERROR(MAX(MIN(TTM!G191,0.5),-0.5),""))</f>
        <v>-2.3081526628061223E-2</v>
      </c>
      <c r="H191" s="13">
        <f>IF(TTM!H191="","",IFERROR(MAX(MIN(TTM!H191,0.5),-0.5),""))</f>
        <v>0.40990859374595634</v>
      </c>
      <c r="I191" s="13" t="str">
        <f>IF(TTM!I191="","",IFERROR(MAX(MIN(TTM!I191,0.5),-0.5),""))</f>
        <v/>
      </c>
      <c r="J191" s="13">
        <f>IF(TTM!J191="","",IFERROR(MAX(MIN(TTM!J191,0.5),-0.5),""))</f>
        <v>-9.3151349691496729E-2</v>
      </c>
      <c r="K191" s="13" t="str">
        <f>IF(TTM!K191="","",IFERROR(MAX(MIN(TTM!K191,0.5),-0.5),""))</f>
        <v/>
      </c>
      <c r="L191" s="13" t="str">
        <f>IF(TTM!L191="","",IFERROR(MAX(MIN(TTM!L191,0.5),-0.5),""))</f>
        <v/>
      </c>
      <c r="M191" s="13" t="str">
        <f>IF(TTM!M191="","",IFERROR(MAX(MIN(TTM!M191,0.5),-0.5),""))</f>
        <v/>
      </c>
      <c r="N191" s="13" t="str">
        <f>IF(TTM!N191="","",IFERROR(MAX(MIN(TTM!N191,0.5),-0.5),""))</f>
        <v/>
      </c>
      <c r="O191" s="13">
        <f>IF(TTM!O191="","",IFERROR(MAX(MIN(TTM!O191,0.5),-0.5),""))</f>
        <v>0.24491422157427389</v>
      </c>
      <c r="P191" s="13" t="str">
        <f>IF(TTM!P191="","",IFERROR(MAX(MIN(TTM!P191,0.5),-0.5),""))</f>
        <v/>
      </c>
      <c r="Q191" s="13" t="str">
        <f>IF(TTM!Q191="","",IFERROR(MAX(MIN(TTM!Q191,0.5),-0.5),""))</f>
        <v/>
      </c>
      <c r="R191" s="13">
        <f>IF(TTM!R191="","",IFERROR(MAX(MIN(TTM!R191,0.5),-0.5),""))</f>
        <v>7.747500007091606E-3</v>
      </c>
      <c r="S191" s="13" t="str">
        <f>IF(TTM!S191="","",IFERROR(MAX(MIN(TTM!S191,0.5),-0.5),""))</f>
        <v/>
      </c>
      <c r="T191" s="13" t="str">
        <f>IF(TTM!T191="","",IFERROR(MAX(MIN(TTM!T191,0.5),-0.5),""))</f>
        <v/>
      </c>
      <c r="U191" s="11"/>
    </row>
    <row r="192" spans="1:21" ht="14">
      <c r="A192" s="14" t="s">
        <v>103</v>
      </c>
      <c r="B192" s="13">
        <f>IF(TTM!B192="","",IFERROR(MAX(MIN(TTM!B192,0.5),-0.5),""))</f>
        <v>-0.13459356002615769</v>
      </c>
      <c r="C192" s="13">
        <f>IF(TTM!C192="","",IFERROR(MAX(MIN(TTM!C192,0.5),-0.5),""))</f>
        <v>0.38284973732074862</v>
      </c>
      <c r="D192" s="13">
        <f>IF(TTM!D192="","",IFERROR(MAX(MIN(TTM!D192,0.5),-0.5),""))</f>
        <v>0.13701312452630773</v>
      </c>
      <c r="E192" s="13">
        <f>IF(TTM!E192="","",IFERROR(MAX(MIN(TTM!E192,0.5),-0.5),""))</f>
        <v>6.3982953922694583E-2</v>
      </c>
      <c r="F192" s="13">
        <f>IF(TTM!F192="","",IFERROR(MAX(MIN(TTM!F192,0.5),-0.5),""))</f>
        <v>0.21782841823056301</v>
      </c>
      <c r="G192" s="13">
        <f>IF(TTM!G192="","",IFERROR(MAX(MIN(TTM!G192,0.5),-0.5),""))</f>
        <v>-3.0485135585737465E-2</v>
      </c>
      <c r="H192" s="13">
        <f>IF(TTM!H192="","",IFERROR(MAX(MIN(TTM!H192,0.5),-0.5),""))</f>
        <v>0.29805158629916173</v>
      </c>
      <c r="I192" s="13">
        <f>IF(TTM!I192="","",IFERROR(MAX(MIN(TTM!I192,0.5),-0.5),""))</f>
        <v>-9.468095449253161E-2</v>
      </c>
      <c r="J192" s="13">
        <f>IF(TTM!J192="","",IFERROR(MAX(MIN(TTM!J192,0.5),-0.5),""))</f>
        <v>-0.12893887752295297</v>
      </c>
      <c r="K192" s="13" t="str">
        <f>IF(TTM!K192="","",IFERROR(MAX(MIN(TTM!K192,0.5),-0.5),""))</f>
        <v/>
      </c>
      <c r="L192" s="13" t="str">
        <f>IF(TTM!L192="","",IFERROR(MAX(MIN(TTM!L192,0.5),-0.5),""))</f>
        <v/>
      </c>
      <c r="M192" s="13" t="str">
        <f>IF(TTM!M192="","",IFERROR(MAX(MIN(TTM!M192,0.5),-0.5),""))</f>
        <v/>
      </c>
      <c r="N192" s="13" t="str">
        <f>IF(TTM!N192="","",IFERROR(MAX(MIN(TTM!N192,0.5),-0.5),""))</f>
        <v/>
      </c>
      <c r="O192" s="13">
        <f>IF(TTM!O192="","",IFERROR(MAX(MIN(TTM!O192,0.5),-0.5),""))</f>
        <v>0.24258794567308278</v>
      </c>
      <c r="P192" s="13" t="str">
        <f>IF(TTM!P192="","",IFERROR(MAX(MIN(TTM!P192,0.5),-0.5),""))</f>
        <v/>
      </c>
      <c r="Q192" s="13" t="str">
        <f>IF(TTM!Q192="","",IFERROR(MAX(MIN(TTM!Q192,0.5),-0.5),""))</f>
        <v/>
      </c>
      <c r="R192" s="13">
        <f>IF(TTM!R192="","",IFERROR(MAX(MIN(TTM!R192,0.5),-0.5),""))</f>
        <v>-4.3765197526458868E-2</v>
      </c>
      <c r="S192" s="13" t="str">
        <f>IF(TTM!S192="","",IFERROR(MAX(MIN(TTM!S192,0.5),-0.5),""))</f>
        <v/>
      </c>
      <c r="T192" s="13" t="str">
        <f>IF(TTM!T192="","",IFERROR(MAX(MIN(TTM!T192,0.5),-0.5),""))</f>
        <v/>
      </c>
      <c r="U192" s="11"/>
    </row>
    <row r="193" spans="1:21" ht="14">
      <c r="A193" s="14" t="s">
        <v>104</v>
      </c>
      <c r="B193" s="13">
        <f>IF(TTM!B193="","",IFERROR(MAX(MIN(TTM!B193,0.5),-0.5),""))</f>
        <v>-0.12102775759034894</v>
      </c>
      <c r="C193" s="13">
        <f ca="1">IF(TTM!C193="","",IFERROR(MAX(MIN(TTM!C193,0.5),-0.5),""))</f>
        <v>0.34073285699428585</v>
      </c>
      <c r="D193" s="13">
        <f ca="1">IF(TTM!D193="","",IFERROR(MAX(MIN(TTM!D193,0.5),-0.5),""))</f>
        <v>8.0307112302293815E-2</v>
      </c>
      <c r="E193" s="13">
        <f ca="1">IF(TTM!E193="","",IFERROR(MAX(MIN(TTM!E193,0.5),-0.5),""))</f>
        <v>-3.5957066082905748E-2</v>
      </c>
      <c r="F193" s="13">
        <f ca="1">IF(TTM!F193="","",IFERROR(MAX(MIN(TTM!F193,0.5),-0.5),""))</f>
        <v>0.19035995003655862</v>
      </c>
      <c r="G193" s="13">
        <f ca="1">IF(TTM!G193="","",IFERROR(MAX(MIN(TTM!G193,0.5),-0.5),""))</f>
        <v>-2.2429410033092307E-2</v>
      </c>
      <c r="H193" s="13">
        <f>IF(TTM!H193="","",IFERROR(MAX(MIN(TTM!H193,0.5),-0.5),""))</f>
        <v>0.18619457885236701</v>
      </c>
      <c r="I193" s="13">
        <f ca="1">IF(TTM!I193="","",IFERROR(MAX(MIN(TTM!I193,0.5),-0.5),""))</f>
        <v>-6.5981768500977658E-2</v>
      </c>
      <c r="J193" s="13">
        <f ca="1">IF(TTM!J193="","",IFERROR(MAX(MIN(TTM!J193,0.5),-0.5),""))</f>
        <v>-0.26513571310671602</v>
      </c>
      <c r="K193" s="13" t="str">
        <f>IF(TTM!K193="","",IFERROR(MAX(MIN(TTM!K193,0.5),-0.5),""))</f>
        <v/>
      </c>
      <c r="L193" s="13">
        <f ca="1">IF(TTM!L193="","",IFERROR(MAX(MIN(TTM!L193,0.5),-0.5),""))</f>
        <v>0.37474075489502207</v>
      </c>
      <c r="M193" s="13" t="str">
        <f>IF(TTM!M193="","",IFERROR(MAX(MIN(TTM!M193,0.5),-0.5),""))</f>
        <v/>
      </c>
      <c r="N193" s="13">
        <f ca="1">IF(TTM!N193="","",IFERROR(MAX(MIN(TTM!N193,0.5),-0.5),""))</f>
        <v>-0.5</v>
      </c>
      <c r="O193" s="13">
        <f>IF(TTM!O193="","",IFERROR(MAX(MIN(TTM!O193,0.5),-0.5),""))</f>
        <v>0.24026166977189167</v>
      </c>
      <c r="P193" s="13" t="str">
        <f>IF(TTM!P193="","",IFERROR(MAX(MIN(TTM!P193,0.5),-0.5),""))</f>
        <v/>
      </c>
      <c r="Q193" s="13" t="str">
        <f>IF(TTM!Q193="","",IFERROR(MAX(MIN(TTM!Q193,0.5),-0.5),""))</f>
        <v/>
      </c>
      <c r="R193" s="13">
        <f>IF(TTM!R193="","",IFERROR(MAX(MIN(TTM!R193,0.5),-0.5),""))</f>
        <v>-1.0332404322251458E-2</v>
      </c>
      <c r="S193" s="13" t="str">
        <f>IF(TTM!S193="","",IFERROR(MAX(MIN(TTM!S193,0.5),-0.5),""))</f>
        <v/>
      </c>
      <c r="T193" s="13" t="str">
        <f>IF(TTM!T193="","",IFERROR(MAX(MIN(TTM!T193,0.5),-0.5),""))</f>
        <v/>
      </c>
      <c r="U193" s="11"/>
    </row>
    <row r="194" spans="1:21" ht="14">
      <c r="A194" s="14" t="s">
        <v>105</v>
      </c>
      <c r="B194" s="13">
        <f>IF(TTM!B194="","",IFERROR(MAX(MIN(TTM!B194,0.5),-0.5),""))</f>
        <v>-0.10746195515454018</v>
      </c>
      <c r="C194" s="13">
        <f ca="1">IF(TTM!C194="","",IFERROR(MAX(MIN(TTM!C194,0.5),-0.5),""))</f>
        <v>0.31275790310228335</v>
      </c>
      <c r="D194" s="13">
        <f ca="1">IF(TTM!D194="","",IFERROR(MAX(MIN(TTM!D194,0.5),-0.5),""))</f>
        <v>4.466551149858574E-2</v>
      </c>
      <c r="E194" s="13">
        <f ca="1">IF(TTM!E194="","",IFERROR(MAX(MIN(TTM!E194,0.5),-0.5),""))</f>
        <v>-7.6075611581123248E-2</v>
      </c>
      <c r="F194" s="13">
        <f ca="1">IF(TTM!F194="","",IFERROR(MAX(MIN(TTM!F194,0.5),-0.5),""))</f>
        <v>0.16467522399554191</v>
      </c>
      <c r="G194" s="13">
        <f ca="1">IF(TTM!G194="","",IFERROR(MAX(MIN(TTM!G194,0.5),-0.5),""))</f>
        <v>-8.4640528371294807E-2</v>
      </c>
      <c r="H194" s="13">
        <f>IF(TTM!H194="","",IFERROR(MAX(MIN(TTM!H194,0.5),-0.5),""))</f>
        <v>0.1910536064097175</v>
      </c>
      <c r="I194" s="13">
        <f ca="1">IF(TTM!I194="","",IFERROR(MAX(MIN(TTM!I194,0.5),-0.5),""))</f>
        <v>-3.6359509675824554E-2</v>
      </c>
      <c r="J194" s="13">
        <f ca="1">IF(TTM!J194="","",IFERROR(MAX(MIN(TTM!J194,0.5),-0.5),""))</f>
        <v>-0.25349956631356824</v>
      </c>
      <c r="K194" s="13" t="str">
        <f>IF(TTM!K194="","",IFERROR(MAX(MIN(TTM!K194,0.5),-0.5),""))</f>
        <v/>
      </c>
      <c r="L194" s="13">
        <f ca="1">IF(TTM!L194="","",IFERROR(MAX(MIN(TTM!L194,0.5),-0.5),""))</f>
        <v>0.43679411354001774</v>
      </c>
      <c r="M194" s="13" t="str">
        <f>IF(TTM!M194="","",IFERROR(MAX(MIN(TTM!M194,0.5),-0.5),""))</f>
        <v/>
      </c>
      <c r="N194" s="13">
        <f ca="1">IF(TTM!N194="","",IFERROR(MAX(MIN(TTM!N194,0.5),-0.5),""))</f>
        <v>-0.5</v>
      </c>
      <c r="O194" s="13">
        <f>IF(TTM!O194="","",IFERROR(MAX(MIN(TTM!O194,0.5),-0.5),""))</f>
        <v>0.23793539387070056</v>
      </c>
      <c r="P194" s="13" t="str">
        <f>IF(TTM!P194="","",IFERROR(MAX(MIN(TTM!P194,0.5),-0.5),""))</f>
        <v/>
      </c>
      <c r="Q194" s="13" t="str">
        <f>IF(TTM!Q194="","",IFERROR(MAX(MIN(TTM!Q194,0.5),-0.5),""))</f>
        <v/>
      </c>
      <c r="R194" s="13">
        <f>IF(TTM!R194="","",IFERROR(MAX(MIN(TTM!R194,0.5),-0.5),""))</f>
        <v>2.3100388881955959E-2</v>
      </c>
      <c r="S194" s="13" t="str">
        <f>IF(TTM!S194="","",IFERROR(MAX(MIN(TTM!S194,0.5),-0.5),""))</f>
        <v/>
      </c>
      <c r="T194" s="13" t="str">
        <f>IF(TTM!T194="","",IFERROR(MAX(MIN(TTM!T194,0.5),-0.5),""))</f>
        <v/>
      </c>
      <c r="U194" s="11"/>
    </row>
    <row r="195" spans="1:21" ht="14">
      <c r="A195" s="14" t="s">
        <v>106</v>
      </c>
      <c r="B195" s="13">
        <f>IF(TTM!B195="","",IFERROR(MAX(MIN(TTM!B195,0.5),-0.5),""))</f>
        <v>-9.3896152718731432E-2</v>
      </c>
      <c r="C195" s="13">
        <f ca="1">IF(TTM!C195="","",IFERROR(MAX(MIN(TTM!C195,0.5),-0.5),""))</f>
        <v>0.2710642983575744</v>
      </c>
      <c r="D195" s="13">
        <f ca="1">IF(TTM!D195="","",IFERROR(MAX(MIN(TTM!D195,0.5),-0.5),""))</f>
        <v>4.3302098635121952E-2</v>
      </c>
      <c r="E195" s="13">
        <f ca="1">IF(TTM!E195="","",IFERROR(MAX(MIN(TTM!E195,0.5),-0.5),""))</f>
        <v>-7.7659585355914551E-2</v>
      </c>
      <c r="F195" s="13">
        <f ca="1">IF(TTM!F195="","",IFERROR(MAX(MIN(TTM!F195,0.5),-0.5),""))</f>
        <v>0.14762904580369687</v>
      </c>
      <c r="G195" s="13">
        <f ca="1">IF(TTM!G195="","",IFERROR(MAX(MIN(TTM!G195,0.5),-0.5),""))</f>
        <v>-7.7318839616560844E-2</v>
      </c>
      <c r="H195" s="13">
        <f>IF(TTM!H195="","",IFERROR(MAX(MIN(TTM!H195,0.5),-0.5),""))</f>
        <v>0.19591263396706798</v>
      </c>
      <c r="I195" s="13">
        <f ca="1">IF(TTM!I195="","",IFERROR(MAX(MIN(TTM!I195,0.5),-0.5),""))</f>
        <v>3.0754125173723449E-2</v>
      </c>
      <c r="J195" s="13">
        <f ca="1">IF(TTM!J195="","",IFERROR(MAX(MIN(TTM!J195,0.5),-0.5),""))</f>
        <v>-0.33099266377014669</v>
      </c>
      <c r="K195" s="13" t="str">
        <f>IF(TTM!K195="","",IFERROR(MAX(MIN(TTM!K195,0.5),-0.5),""))</f>
        <v/>
      </c>
      <c r="L195" s="13">
        <f ca="1">IF(TTM!L195="","",IFERROR(MAX(MIN(TTM!L195,0.5),-0.5),""))</f>
        <v>0.41624266812192873</v>
      </c>
      <c r="M195" s="13" t="str">
        <f>IF(TTM!M195="","",IFERROR(MAX(MIN(TTM!M195,0.5),-0.5),""))</f>
        <v/>
      </c>
      <c r="N195" s="13">
        <f ca="1">IF(TTM!N195="","",IFERROR(MAX(MIN(TTM!N195,0.5),-0.5),""))</f>
        <v>-0.5</v>
      </c>
      <c r="O195" s="13">
        <f>IF(TTM!O195="","",IFERROR(MAX(MIN(TTM!O195,0.5),-0.5),""))</f>
        <v>0.23020290239807548</v>
      </c>
      <c r="P195" s="13" t="str">
        <f>IF(TTM!P195="","",IFERROR(MAX(MIN(TTM!P195,0.5),-0.5),""))</f>
        <v/>
      </c>
      <c r="Q195" s="13" t="str">
        <f>IF(TTM!Q195="","",IFERROR(MAX(MIN(TTM!Q195,0.5),-0.5),""))</f>
        <v/>
      </c>
      <c r="R195" s="13">
        <f>IF(TTM!R195="","",IFERROR(MAX(MIN(TTM!R195,0.5),-0.5),""))</f>
        <v>5.6533182086163376E-2</v>
      </c>
      <c r="S195" s="13" t="str">
        <f>IF(TTM!S195="","",IFERROR(MAX(MIN(TTM!S195,0.5),-0.5),""))</f>
        <v/>
      </c>
      <c r="T195" s="13" t="str">
        <f>IF(TTM!T195="","",IFERROR(MAX(MIN(TTM!T195,0.5),-0.5),""))</f>
        <v/>
      </c>
      <c r="U195" s="11"/>
    </row>
    <row r="196" spans="1:21" ht="14">
      <c r="A196" s="14" t="s">
        <v>107</v>
      </c>
      <c r="B196" s="13">
        <f>IF(TTM!B196="","",IFERROR(MAX(MIN(TTM!B196,0.5),-0.5),""))</f>
        <v>-8.033035028292268E-2</v>
      </c>
      <c r="C196" s="13">
        <f ca="1">IF(TTM!C196="","",IFERROR(MAX(MIN(TTM!C196,0.5),-0.5),""))</f>
        <v>0.25659121666793239</v>
      </c>
      <c r="D196" s="13">
        <f ca="1">IF(TTM!D196="","",IFERROR(MAX(MIN(TTM!D196,0.5),-0.5),""))</f>
        <v>2.2785081239808751E-2</v>
      </c>
      <c r="E196" s="13">
        <f ca="1">IF(TTM!E196="","",IFERROR(MAX(MIN(TTM!E196,0.5),-0.5),""))</f>
        <v>-0.10203333992237909</v>
      </c>
      <c r="F196" s="13">
        <f ca="1">IF(TTM!F196="","",IFERROR(MAX(MIN(TTM!F196,0.5),-0.5),""))</f>
        <v>9.6336498208081447E-2</v>
      </c>
      <c r="G196" s="13">
        <f ca="1">IF(TTM!G196="","",IFERROR(MAX(MIN(TTM!G196,0.5),-0.5),""))</f>
        <v>-6.2005248027818788E-2</v>
      </c>
      <c r="H196" s="13">
        <f>IF(TTM!H196="","",IFERROR(MAX(MIN(TTM!H196,0.5),-0.5),""))</f>
        <v>0.20077166152441847</v>
      </c>
      <c r="I196" s="13">
        <f ca="1">IF(TTM!I196="","",IFERROR(MAX(MIN(TTM!I196,0.5),-0.5),""))</f>
        <v>6.7036976409468957E-2</v>
      </c>
      <c r="J196" s="13">
        <f ca="1">IF(TTM!J196="","",IFERROR(MAX(MIN(TTM!J196,0.5),-0.5),""))</f>
        <v>-0.25605496487056878</v>
      </c>
      <c r="K196" s="13" t="str">
        <f>IF(TTM!K196="","",IFERROR(MAX(MIN(TTM!K196,0.5),-0.5),""))</f>
        <v/>
      </c>
      <c r="L196" s="13">
        <f ca="1">IF(TTM!L196="","",IFERROR(MAX(MIN(TTM!L196,0.5),-0.5),""))</f>
        <v>0.38726794286917837</v>
      </c>
      <c r="M196" s="13" t="str">
        <f>IF(TTM!M196="","",IFERROR(MAX(MIN(TTM!M196,0.5),-0.5),""))</f>
        <v/>
      </c>
      <c r="N196" s="13">
        <f ca="1">IF(TTM!N196="","",IFERROR(MAX(MIN(TTM!N196,0.5),-0.5),""))</f>
        <v>-0.5</v>
      </c>
      <c r="O196" s="13">
        <f>IF(TTM!O196="","",IFERROR(MAX(MIN(TTM!O196,0.5),-0.5),""))</f>
        <v>0.22247041092545036</v>
      </c>
      <c r="P196" s="13" t="str">
        <f>IF(TTM!P196="","",IFERROR(MAX(MIN(TTM!P196,0.5),-0.5),""))</f>
        <v/>
      </c>
      <c r="Q196" s="13" t="str">
        <f>IF(TTM!Q196="","",IFERROR(MAX(MIN(TTM!Q196,0.5),-0.5),""))</f>
        <v/>
      </c>
      <c r="R196" s="13">
        <f>IF(TTM!R196="","",IFERROR(MAX(MIN(TTM!R196,0.5),-0.5),""))</f>
        <v>8.9965975290370787E-2</v>
      </c>
      <c r="S196" s="13" t="str">
        <f>IF(TTM!S196="","",IFERROR(MAX(MIN(TTM!S196,0.5),-0.5),""))</f>
        <v/>
      </c>
      <c r="T196" s="13" t="str">
        <f>IF(TTM!T196="","",IFERROR(MAX(MIN(TTM!T196,0.5),-0.5),""))</f>
        <v/>
      </c>
      <c r="U196" s="11"/>
    </row>
    <row r="197" spans="1:21" ht="14">
      <c r="A197" s="14" t="s">
        <v>108</v>
      </c>
      <c r="B197" s="13">
        <f>IF(TTM!B197="","",IFERROR(MAX(MIN(TTM!B197,0.5),-0.5),""))</f>
        <v>-6.0444895811385874E-2</v>
      </c>
      <c r="C197" s="13">
        <f ca="1">IF(TTM!C197="","",IFERROR(MAX(MIN(TTM!C197,0.5),-0.5),""))</f>
        <v>0.25751425484641483</v>
      </c>
      <c r="D197" s="13">
        <f ca="1">IF(TTM!D197="","",IFERROR(MAX(MIN(TTM!D197,0.5),-0.5),""))</f>
        <v>3.0276642848463178E-2</v>
      </c>
      <c r="E197" s="13">
        <f ca="1">IF(TTM!E197="","",IFERROR(MAX(MIN(TTM!E197,0.5),-0.5),""))</f>
        <v>-1.0232717207777865E-2</v>
      </c>
      <c r="F197" s="13">
        <f ca="1">IF(TTM!F197="","",IFERROR(MAX(MIN(TTM!F197,0.5),-0.5),""))</f>
        <v>8.6148937113262283E-2</v>
      </c>
      <c r="G197" s="13">
        <f ca="1">IF(TTM!G197="","",IFERROR(MAX(MIN(TTM!G197,0.5),-0.5),""))</f>
        <v>-5.0894502793981604E-2</v>
      </c>
      <c r="H197" s="13">
        <f>IF(TTM!H197="","",IFERROR(MAX(MIN(TTM!H197,0.5),-0.5),""))</f>
        <v>0.20563068908176899</v>
      </c>
      <c r="I197" s="13">
        <f ca="1">IF(TTM!I197="","",IFERROR(MAX(MIN(TTM!I197,0.5),-0.5),""))</f>
        <v>9.7768315123336558E-2</v>
      </c>
      <c r="J197" s="13">
        <f ca="1">IF(TTM!J197="","",IFERROR(MAX(MIN(TTM!J197,0.5),-0.5),""))</f>
        <v>-0.26668052958269717</v>
      </c>
      <c r="K197" s="13" t="str">
        <f>IF(TTM!K197="","",IFERROR(MAX(MIN(TTM!K197,0.5),-0.5),""))</f>
        <v/>
      </c>
      <c r="L197" s="13">
        <f ca="1">IF(TTM!L197="","",IFERROR(MAX(MIN(TTM!L197,0.5),-0.5),""))</f>
        <v>0.36966302918216004</v>
      </c>
      <c r="M197" s="13" t="str">
        <f>IF(TTM!M197="","",IFERROR(MAX(MIN(TTM!M197,0.5),-0.5),""))</f>
        <v/>
      </c>
      <c r="N197" s="13">
        <f ca="1">IF(TTM!N197="","",IFERROR(MAX(MIN(TTM!N197,0.5),-0.5),""))</f>
        <v>-0.38855102685590853</v>
      </c>
      <c r="O197" s="13">
        <f>IF(TTM!O197="","",IFERROR(MAX(MIN(TTM!O197,0.5),-0.5),""))</f>
        <v>0.21473791945282525</v>
      </c>
      <c r="P197" s="13" t="str">
        <f>IF(TTM!P197="","",IFERROR(MAX(MIN(TTM!P197,0.5),-0.5),""))</f>
        <v/>
      </c>
      <c r="Q197" s="13" t="str">
        <f>IF(TTM!Q197="","",IFERROR(MAX(MIN(TTM!Q197,0.5),-0.5),""))</f>
        <v/>
      </c>
      <c r="R197" s="13">
        <f>IF(TTM!R197="","",IFERROR(MAX(MIN(TTM!R197,0.5),-0.5),""))</f>
        <v>7.5680431566839027E-2</v>
      </c>
      <c r="S197" s="13">
        <f>IF(TTM!S197="","",IFERROR(MAX(MIN(TTM!S197,0.5),-0.5),""))</f>
        <v>0.17935058346017249</v>
      </c>
      <c r="T197" s="13" t="str">
        <f>IF(TTM!T197="","",IFERROR(MAX(MIN(TTM!T197,0.5),-0.5),""))</f>
        <v/>
      </c>
      <c r="U197" s="11"/>
    </row>
    <row r="198" spans="1:21" ht="14">
      <c r="A198" s="14" t="s">
        <v>109</v>
      </c>
      <c r="B198" s="13">
        <f>IF(TTM!B198="","",IFERROR(MAX(MIN(TTM!B198,0.5),-0.5),""))</f>
        <v>-4.0559441339849067E-2</v>
      </c>
      <c r="C198" s="13">
        <f ca="1">IF(TTM!C198="","",IFERROR(MAX(MIN(TTM!C198,0.5),-0.5),""))</f>
        <v>0.26111922930078302</v>
      </c>
      <c r="D198" s="13">
        <f ca="1">IF(TTM!D198="","",IFERROR(MAX(MIN(TTM!D198,0.5),-0.5),""))</f>
        <v>3.7175403355861142E-2</v>
      </c>
      <c r="E198" s="13">
        <f ca="1">IF(TTM!E198="","",IFERROR(MAX(MIN(TTM!E198,0.5),-0.5),""))</f>
        <v>4.904224091154983E-2</v>
      </c>
      <c r="F198" s="13">
        <f ca="1">IF(TTM!F198="","",IFERROR(MAX(MIN(TTM!F198,0.5),-0.5),""))</f>
        <v>8.3319954823053349E-2</v>
      </c>
      <c r="G198" s="13">
        <f ca="1">IF(TTM!G198="","",IFERROR(MAX(MIN(TTM!G198,0.5),-0.5),""))</f>
        <v>1.6368648663008585E-2</v>
      </c>
      <c r="H198" s="13">
        <f ca="1">IF(TTM!H198="","",IFERROR(MAX(MIN(TTM!H198,0.5),-0.5),""))</f>
        <v>0.20195704355724056</v>
      </c>
      <c r="I198" s="13">
        <f ca="1">IF(TTM!I198="","",IFERROR(MAX(MIN(TTM!I198,0.5),-0.5),""))</f>
        <v>0.10642898667111177</v>
      </c>
      <c r="J198" s="13">
        <f ca="1">IF(TTM!J198="","",IFERROR(MAX(MIN(TTM!J198,0.5),-0.5),""))</f>
        <v>-0.32619113160407731</v>
      </c>
      <c r="K198" s="13" t="str">
        <f>IF(TTM!K198="","",IFERROR(MAX(MIN(TTM!K198,0.5),-0.5),""))</f>
        <v/>
      </c>
      <c r="L198" s="13">
        <f ca="1">IF(TTM!L198="","",IFERROR(MAX(MIN(TTM!L198,0.5),-0.5),""))</f>
        <v>0.33632147359233694</v>
      </c>
      <c r="M198" s="13" t="str">
        <f>IF(TTM!M198="","",IFERROR(MAX(MIN(TTM!M198,0.5),-0.5),""))</f>
        <v/>
      </c>
      <c r="N198" s="13">
        <f ca="1">IF(TTM!N198="","",IFERROR(MAX(MIN(TTM!N198,0.5),-0.5),""))</f>
        <v>-0.41913757514698841</v>
      </c>
      <c r="O198" s="13">
        <f>IF(TTM!O198="","",IFERROR(MAX(MIN(TTM!O198,0.5),-0.5),""))</f>
        <v>0.20700542798020014</v>
      </c>
      <c r="P198" s="13" t="str">
        <f>IF(TTM!P198="","",IFERROR(MAX(MIN(TTM!P198,0.5),-0.5),""))</f>
        <v/>
      </c>
      <c r="Q198" s="13" t="str">
        <f>IF(TTM!Q198="","",IFERROR(MAX(MIN(TTM!Q198,0.5),-0.5),""))</f>
        <v/>
      </c>
      <c r="R198" s="13">
        <f>IF(TTM!R198="","",IFERROR(MAX(MIN(TTM!R198,0.5),-0.5),""))</f>
        <v>6.1394887843307266E-2</v>
      </c>
      <c r="S198" s="13">
        <f>IF(TTM!S198="","",IFERROR(MAX(MIN(TTM!S198,0.5),-0.5),""))</f>
        <v>0.1499728606184032</v>
      </c>
      <c r="T198" s="13" t="str">
        <f>IF(TTM!T198="","",IFERROR(MAX(MIN(TTM!T198,0.5),-0.5),""))</f>
        <v/>
      </c>
      <c r="U198" s="11"/>
    </row>
    <row r="199" spans="1:21" ht="14">
      <c r="A199" s="14" t="s">
        <v>110</v>
      </c>
      <c r="B199" s="13">
        <f>IF(TTM!B199="","",IFERROR(MAX(MIN(TTM!B199,0.5),-0.5),""))</f>
        <v>-2.0673986868312261E-2</v>
      </c>
      <c r="C199" s="13">
        <f ca="1">IF(TTM!C199="","",IFERROR(MAX(MIN(TTM!C199,0.5),-0.5),""))</f>
        <v>0.32363352342739599</v>
      </c>
      <c r="D199" s="13">
        <f ca="1">IF(TTM!D199="","",IFERROR(MAX(MIN(TTM!D199,0.5),-0.5),""))</f>
        <v>3.9265305822744637E-2</v>
      </c>
      <c r="E199" s="13">
        <f ca="1">IF(TTM!E199="","",IFERROR(MAX(MIN(TTM!E199,0.5),-0.5),""))</f>
        <v>8.3125459483259445E-2</v>
      </c>
      <c r="F199" s="13">
        <f ca="1">IF(TTM!F199="","",IFERROR(MAX(MIN(TTM!F199,0.5),-0.5),""))</f>
        <v>6.7549119573430738E-2</v>
      </c>
      <c r="G199" s="13">
        <f ca="1">IF(TTM!G199="","",IFERROR(MAX(MIN(TTM!G199,0.5),-0.5),""))</f>
        <v>4.5026077316179022E-3</v>
      </c>
      <c r="H199" s="13">
        <f ca="1">IF(TTM!H199="","",IFERROR(MAX(MIN(TTM!H199,0.5),-0.5),""))</f>
        <v>0.20801841153447631</v>
      </c>
      <c r="I199" s="13">
        <f ca="1">IF(TTM!I199="","",IFERROR(MAX(MIN(TTM!I199,0.5),-0.5),""))</f>
        <v>9.2264578487414289E-2</v>
      </c>
      <c r="J199" s="13">
        <f ca="1">IF(TTM!J199="","",IFERROR(MAX(MIN(TTM!J199,0.5),-0.5),""))</f>
        <v>-0.30932166048142484</v>
      </c>
      <c r="K199" s="13" t="str">
        <f>IF(TTM!K199="","",IFERROR(MAX(MIN(TTM!K199,0.5),-0.5),""))</f>
        <v/>
      </c>
      <c r="L199" s="13">
        <f ca="1">IF(TTM!L199="","",IFERROR(MAX(MIN(TTM!L199,0.5),-0.5),""))</f>
        <v>0.31359626612771163</v>
      </c>
      <c r="M199" s="13" t="str">
        <f>IF(TTM!M199="","",IFERROR(MAX(MIN(TTM!M199,0.5),-0.5),""))</f>
        <v/>
      </c>
      <c r="N199" s="13">
        <f ca="1">IF(TTM!N199="","",IFERROR(MAX(MIN(TTM!N199,0.5),-0.5),""))</f>
        <v>-0.35799923672333139</v>
      </c>
      <c r="O199" s="13">
        <f>IF(TTM!O199="","",IFERROR(MAX(MIN(TTM!O199,0.5),-0.5),""))</f>
        <v>0.18423415059562739</v>
      </c>
      <c r="P199" s="13" t="str">
        <f>IF(TTM!P199="","",IFERROR(MAX(MIN(TTM!P199,0.5),-0.5),""))</f>
        <v/>
      </c>
      <c r="Q199" s="13" t="str">
        <f>IF(TTM!Q199="","",IFERROR(MAX(MIN(TTM!Q199,0.5),-0.5),""))</f>
        <v/>
      </c>
      <c r="R199" s="13">
        <f>IF(TTM!R199="","",IFERROR(MAX(MIN(TTM!R199,0.5),-0.5),""))</f>
        <v>4.7109344119775506E-2</v>
      </c>
      <c r="S199" s="13">
        <f>IF(TTM!S199="","",IFERROR(MAX(MIN(TTM!S199,0.5),-0.5),""))</f>
        <v>0.12059513777663393</v>
      </c>
      <c r="T199" s="13" t="str">
        <f>IF(TTM!T199="","",IFERROR(MAX(MIN(TTM!T199,0.5),-0.5),""))</f>
        <v/>
      </c>
      <c r="U199" s="11"/>
    </row>
    <row r="200" spans="1:21" ht="14">
      <c r="A200" s="14" t="s">
        <v>111</v>
      </c>
      <c r="B200" s="13">
        <f>IF(TTM!B200="","",IFERROR(MAX(MIN(TTM!B200,0.5),-0.5),""))</f>
        <v>-7.8853239677544897E-4</v>
      </c>
      <c r="C200" s="13">
        <f ca="1">IF(TTM!C200="","",IFERROR(MAX(MIN(TTM!C200,0.5),-0.5),""))</f>
        <v>0.32641129529630497</v>
      </c>
      <c r="D200" s="13">
        <f ca="1">IF(TTM!D200="","",IFERROR(MAX(MIN(TTM!D200,0.5),-0.5),""))</f>
        <v>3.3722228804894006E-2</v>
      </c>
      <c r="E200" s="13">
        <f ca="1">IF(TTM!E200="","",IFERROR(MAX(MIN(TTM!E200,0.5),-0.5),""))</f>
        <v>0.12490428528564954</v>
      </c>
      <c r="F200" s="13">
        <f ca="1">IF(TTM!F200="","",IFERROR(MAX(MIN(TTM!F200,0.5),-0.5),""))</f>
        <v>6.672101120953626E-2</v>
      </c>
      <c r="G200" s="13">
        <f ca="1">IF(TTM!G200="","",IFERROR(MAX(MIN(TTM!G200,0.5),-0.5),""))</f>
        <v>-2.1228126118679906E-2</v>
      </c>
      <c r="H200" s="13">
        <f ca="1">IF(TTM!H200="","",IFERROR(MAX(MIN(TTM!H200,0.5),-0.5),""))</f>
        <v>0.21762917648967059</v>
      </c>
      <c r="I200" s="13">
        <f ca="1">IF(TTM!I200="","",IFERROR(MAX(MIN(TTM!I200,0.5),-0.5),""))</f>
        <v>0.10372998769257948</v>
      </c>
      <c r="J200" s="13">
        <f ca="1">IF(TTM!J200="","",IFERROR(MAX(MIN(TTM!J200,0.5),-0.5),""))</f>
        <v>-0.40893001660441158</v>
      </c>
      <c r="K200" s="13" t="str">
        <f>IF(TTM!K200="","",IFERROR(MAX(MIN(TTM!K200,0.5),-0.5),""))</f>
        <v/>
      </c>
      <c r="L200" s="13">
        <f ca="1">IF(TTM!L200="","",IFERROR(MAX(MIN(TTM!L200,0.5),-0.5),""))</f>
        <v>0.25130455740172886</v>
      </c>
      <c r="M200" s="13" t="str">
        <f>IF(TTM!M200="","",IFERROR(MAX(MIN(TTM!M200,0.5),-0.5),""))</f>
        <v/>
      </c>
      <c r="N200" s="13">
        <f ca="1">IF(TTM!N200="","",IFERROR(MAX(MIN(TTM!N200,0.5),-0.5),""))</f>
        <v>-0.43594858216967397</v>
      </c>
      <c r="O200" s="13">
        <f>IF(TTM!O200="","",IFERROR(MAX(MIN(TTM!O200,0.5),-0.5),""))</f>
        <v>0.16146287321105468</v>
      </c>
      <c r="P200" s="13" t="str">
        <f>IF(TTM!P200="","",IFERROR(MAX(MIN(TTM!P200,0.5),-0.5),""))</f>
        <v/>
      </c>
      <c r="Q200" s="13" t="str">
        <f>IF(TTM!Q200="","",IFERROR(MAX(MIN(TTM!Q200,0.5),-0.5),""))</f>
        <v/>
      </c>
      <c r="R200" s="13">
        <f>IF(TTM!R200="","",IFERROR(MAX(MIN(TTM!R200,0.5),-0.5),""))</f>
        <v>3.2823800396243739E-2</v>
      </c>
      <c r="S200" s="13">
        <f>IF(TTM!S200="","",IFERROR(MAX(MIN(TTM!S200,0.5),-0.5),""))</f>
        <v>9.1217414934864641E-2</v>
      </c>
      <c r="T200" s="13" t="str">
        <f>IF(TTM!T200="","",IFERROR(MAX(MIN(TTM!T200,0.5),-0.5),""))</f>
        <v/>
      </c>
      <c r="U200" s="11"/>
    </row>
    <row r="201" spans="1:21" ht="14">
      <c r="A201" s="14" t="s">
        <v>112</v>
      </c>
      <c r="B201" s="13">
        <f>IF(TTM!B201="","",IFERROR(MAX(MIN(TTM!B201,0.5),-0.5),""))</f>
        <v>6.332574924656457E-3</v>
      </c>
      <c r="C201" s="13">
        <f ca="1">IF(TTM!C201="","",IFERROR(MAX(MIN(TTM!C201,0.5),-0.5),""))</f>
        <v>0.33621009457732076</v>
      </c>
      <c r="D201" s="13">
        <f ca="1">IF(TTM!D201="","",IFERROR(MAX(MIN(TTM!D201,0.5),-0.5),""))</f>
        <v>3.1837305784689317E-2</v>
      </c>
      <c r="E201" s="13">
        <f ca="1">IF(TTM!E201="","",IFERROR(MAX(MIN(TTM!E201,0.5),-0.5),""))</f>
        <v>0.15968001082442729</v>
      </c>
      <c r="F201" s="13">
        <f ca="1">IF(TTM!F201="","",IFERROR(MAX(MIN(TTM!F201,0.5),-0.5),""))</f>
        <v>6.3808824829607952E-2</v>
      </c>
      <c r="G201" s="13">
        <f ca="1">IF(TTM!G201="","",IFERROR(MAX(MIN(TTM!G201,0.5),-0.5),""))</f>
        <v>-6.0853540025584504E-2</v>
      </c>
      <c r="H201" s="13">
        <f ca="1">IF(TTM!H201="","",IFERROR(MAX(MIN(TTM!H201,0.5),-0.5),""))</f>
        <v>0.21365374387686031</v>
      </c>
      <c r="I201" s="13">
        <f ca="1">IF(TTM!I201="","",IFERROR(MAX(MIN(TTM!I201,0.5),-0.5),""))</f>
        <v>0.10261635387520235</v>
      </c>
      <c r="J201" s="13">
        <f ca="1">IF(TTM!J201="","",IFERROR(MAX(MIN(TTM!J201,0.5),-0.5),""))</f>
        <v>-0.32646849508455722</v>
      </c>
      <c r="K201" s="13" t="str">
        <f>IF(TTM!K201="","",IFERROR(MAX(MIN(TTM!K201,0.5),-0.5),""))</f>
        <v/>
      </c>
      <c r="L201" s="13">
        <f ca="1">IF(TTM!L201="","",IFERROR(MAX(MIN(TTM!L201,0.5),-0.5),""))</f>
        <v>0.22284193798187985</v>
      </c>
      <c r="M201" s="13" t="str">
        <f>IF(TTM!M201="","",IFERROR(MAX(MIN(TTM!M201,0.5),-0.5),""))</f>
        <v/>
      </c>
      <c r="N201" s="13">
        <f ca="1">IF(TTM!N201="","",IFERROR(MAX(MIN(TTM!N201,0.5),-0.5),""))</f>
        <v>-0.39628228707881824</v>
      </c>
      <c r="O201" s="13">
        <f>IF(TTM!O201="","",IFERROR(MAX(MIN(TTM!O201,0.5),-0.5),""))</f>
        <v>0.13869159582648194</v>
      </c>
      <c r="P201" s="13" t="str">
        <f>IF(TTM!P201="","",IFERROR(MAX(MIN(TTM!P201,0.5),-0.5),""))</f>
        <v/>
      </c>
      <c r="Q201" s="13" t="str">
        <f>IF(TTM!Q201="","",IFERROR(MAX(MIN(TTM!Q201,0.5),-0.5),""))</f>
        <v/>
      </c>
      <c r="R201" s="13">
        <f>IF(TTM!R201="","",IFERROR(MAX(MIN(TTM!R201,0.5),-0.5),""))</f>
        <v>4.8380268149468525E-2</v>
      </c>
      <c r="S201" s="13">
        <f>IF(TTM!S201="","",IFERROR(MAX(MIN(TTM!S201,0.5),-0.5),""))</f>
        <v>6.1839692093095346E-2</v>
      </c>
      <c r="T201" s="13" t="str">
        <f>IF(TTM!T201="","",IFERROR(MAX(MIN(TTM!T201,0.5),-0.5),""))</f>
        <v/>
      </c>
      <c r="U201" s="11"/>
    </row>
    <row r="202" spans="1:21" ht="14">
      <c r="A202" s="14" t="s">
        <v>113</v>
      </c>
      <c r="B202" s="13">
        <f>IF(TTM!B202="","",IFERROR(MAX(MIN(TTM!B202,0.5),-0.5),""))</f>
        <v>1.3453682246088363E-2</v>
      </c>
      <c r="C202" s="13">
        <f ca="1">IF(TTM!C202="","",IFERROR(MAX(MIN(TTM!C202,0.5),-0.5),""))</f>
        <v>0.35031285261945388</v>
      </c>
      <c r="D202" s="13">
        <f ca="1">IF(TTM!D202="","",IFERROR(MAX(MIN(TTM!D202,0.5),-0.5),""))</f>
        <v>2.511158717164472E-2</v>
      </c>
      <c r="E202" s="13">
        <f ca="1">IF(TTM!E202="","",IFERROR(MAX(MIN(TTM!E202,0.5),-0.5),""))</f>
        <v>0.22434800360753554</v>
      </c>
      <c r="F202" s="13">
        <f ca="1">IF(TTM!F202="","",IFERROR(MAX(MIN(TTM!F202,0.5),-0.5),""))</f>
        <v>6.2114851235987312E-2</v>
      </c>
      <c r="G202" s="13">
        <f ca="1">IF(TTM!G202="","",IFERROR(MAX(MIN(TTM!G202,0.5),-0.5),""))</f>
        <v>-8.730781700763042E-2</v>
      </c>
      <c r="H202" s="13">
        <f ca="1">IF(TTM!H202="","",IFERROR(MAX(MIN(TTM!H202,0.5),-0.5),""))</f>
        <v>0.21365374387686031</v>
      </c>
      <c r="I202" s="13">
        <f ca="1">IF(TTM!I202="","",IFERROR(MAX(MIN(TTM!I202,0.5),-0.5),""))</f>
        <v>9.1338710737979972E-2</v>
      </c>
      <c r="J202" s="13">
        <f ca="1">IF(TTM!J202="","",IFERROR(MAX(MIN(TTM!J202,0.5),-0.5),""))</f>
        <v>-0.33055704225835275</v>
      </c>
      <c r="K202" s="13" t="str">
        <f>IF(TTM!K202="","",IFERROR(MAX(MIN(TTM!K202,0.5),-0.5),""))</f>
        <v/>
      </c>
      <c r="L202" s="13">
        <f ca="1">IF(TTM!L202="","",IFERROR(MAX(MIN(TTM!L202,0.5),-0.5),""))</f>
        <v>0.2190749629624722</v>
      </c>
      <c r="M202" s="13" t="str">
        <f>IF(TTM!M202="","",IFERROR(MAX(MIN(TTM!M202,0.5),-0.5),""))</f>
        <v/>
      </c>
      <c r="N202" s="13">
        <f ca="1">IF(TTM!N202="","",IFERROR(MAX(MIN(TTM!N202,0.5),-0.5),""))</f>
        <v>-0.25121012933270975</v>
      </c>
      <c r="O202" s="13">
        <f>IF(TTM!O202="","",IFERROR(MAX(MIN(TTM!O202,0.5),-0.5),""))</f>
        <v>0.11592031844190923</v>
      </c>
      <c r="P202" s="13" t="str">
        <f>IF(TTM!P202="","",IFERROR(MAX(MIN(TTM!P202,0.5),-0.5),""))</f>
        <v/>
      </c>
      <c r="Q202" s="13" t="str">
        <f>IF(TTM!Q202="","",IFERROR(MAX(MIN(TTM!Q202,0.5),-0.5),""))</f>
        <v/>
      </c>
      <c r="R202" s="13">
        <f>IF(TTM!R202="","",IFERROR(MAX(MIN(TTM!R202,0.5),-0.5),""))</f>
        <v>6.3936735902693317E-2</v>
      </c>
      <c r="S202" s="13">
        <f>IF(TTM!S202="","",IFERROR(MAX(MIN(TTM!S202,0.5),-0.5),""))</f>
        <v>8.885819077142447E-2</v>
      </c>
      <c r="T202" s="13" t="str">
        <f>IF(TTM!T202="","",IFERROR(MAX(MIN(TTM!T202,0.5),-0.5),""))</f>
        <v/>
      </c>
      <c r="U202" s="11"/>
    </row>
    <row r="203" spans="1:21" ht="14">
      <c r="A203" s="14" t="s">
        <v>114</v>
      </c>
      <c r="B203" s="13">
        <f>IF(TTM!B203="","",IFERROR(MAX(MIN(TTM!B203,0.5),-0.5),""))</f>
        <v>2.057478956752027E-2</v>
      </c>
      <c r="C203" s="13">
        <f ca="1">IF(TTM!C203="","",IFERROR(MAX(MIN(TTM!C203,0.5),-0.5),""))</f>
        <v>0.34930893129378987</v>
      </c>
      <c r="D203" s="13">
        <f ca="1">IF(TTM!D203="","",IFERROR(MAX(MIN(TTM!D203,0.5),-0.5),""))</f>
        <v>3.6835113139944795E-2</v>
      </c>
      <c r="E203" s="13">
        <f ca="1">IF(TTM!E203="","",IFERROR(MAX(MIN(TTM!E203,0.5),-0.5),""))</f>
        <v>0.14880623670421256</v>
      </c>
      <c r="F203" s="13">
        <f ca="1">IF(TTM!F203="","",IFERROR(MAX(MIN(TTM!F203,0.5),-0.5),""))</f>
        <v>8.7963843089246499E-2</v>
      </c>
      <c r="G203" s="13">
        <f ca="1">IF(TTM!G203="","",IFERROR(MAX(MIN(TTM!G203,0.5),-0.5),""))</f>
        <v>-5.8322431254831053E-2</v>
      </c>
      <c r="H203" s="13">
        <f ca="1">IF(TTM!H203="","",IFERROR(MAX(MIN(TTM!H203,0.5),-0.5),""))</f>
        <v>0.20471743500615747</v>
      </c>
      <c r="I203" s="13">
        <f ca="1">IF(TTM!I203="","",IFERROR(MAX(MIN(TTM!I203,0.5),-0.5),""))</f>
        <v>5.7987456989719119E-2</v>
      </c>
      <c r="J203" s="13">
        <f ca="1">IF(TTM!J203="","",IFERROR(MAX(MIN(TTM!J203,0.5),-0.5),""))</f>
        <v>-0.34214688644251656</v>
      </c>
      <c r="K203" s="13" t="str">
        <f>IF(TTM!K203="","",IFERROR(MAX(MIN(TTM!K203,0.5),-0.5),""))</f>
        <v/>
      </c>
      <c r="L203" s="13">
        <f ca="1">IF(TTM!L203="","",IFERROR(MAX(MIN(TTM!L203,0.5),-0.5),""))</f>
        <v>-2.0721041073296753E-2</v>
      </c>
      <c r="M203" s="13" t="str">
        <f>IF(TTM!M203="","",IFERROR(MAX(MIN(TTM!M203,0.5),-0.5),""))</f>
        <v/>
      </c>
      <c r="N203" s="13">
        <f ca="1">IF(TTM!N203="","",IFERROR(MAX(MIN(TTM!N203,0.5),-0.5),""))</f>
        <v>-0.23050094103126897</v>
      </c>
      <c r="O203" s="13">
        <f ca="1">IF(TTM!O203="","",IFERROR(MAX(MIN(TTM!O203,0.5),-0.5),""))</f>
        <v>0.13401077352995297</v>
      </c>
      <c r="P203" s="13" t="str">
        <f>IF(TTM!P203="","",IFERROR(MAX(MIN(TTM!P203,0.5),-0.5),""))</f>
        <v/>
      </c>
      <c r="Q203" s="13" t="str">
        <f>IF(TTM!Q203="","",IFERROR(MAX(MIN(TTM!Q203,0.5),-0.5),""))</f>
        <v/>
      </c>
      <c r="R203" s="13">
        <f>IF(TTM!R203="","",IFERROR(MAX(MIN(TTM!R203,0.5),-0.5),""))</f>
        <v>7.949320365591811E-2</v>
      </c>
      <c r="S203" s="13">
        <f>IF(TTM!S203="","",IFERROR(MAX(MIN(TTM!S203,0.5),-0.5),""))</f>
        <v>0.11587668944975359</v>
      </c>
      <c r="T203" s="13" t="str">
        <f>IF(TTM!T203="","",IFERROR(MAX(MIN(TTM!T203,0.5),-0.5),""))</f>
        <v/>
      </c>
      <c r="U203" s="11"/>
    </row>
    <row r="204" spans="1:21" ht="14">
      <c r="A204" s="14" t="s">
        <v>115</v>
      </c>
      <c r="B204" s="13">
        <f>IF(TTM!B204="","",IFERROR(MAX(MIN(TTM!B204,0.5),-0.5),""))</f>
        <v>2.7695896888952173E-2</v>
      </c>
      <c r="C204" s="13">
        <f ca="1">IF(TTM!C204="","",IFERROR(MAX(MIN(TTM!C204,0.5),-0.5),""))</f>
        <v>0.31446703243014962</v>
      </c>
      <c r="D204" s="13">
        <f ca="1">IF(TTM!D204="","",IFERROR(MAX(MIN(TTM!D204,0.5),-0.5),""))</f>
        <v>3.411281348679155E-2</v>
      </c>
      <c r="E204" s="13">
        <f ca="1">IF(TTM!E204="","",IFERROR(MAX(MIN(TTM!E204,0.5),-0.5),""))</f>
        <v>7.7327457812636058E-2</v>
      </c>
      <c r="F204" s="13">
        <f ca="1">IF(TTM!F204="","",IFERROR(MAX(MIN(TTM!F204,0.5),-0.5),""))</f>
        <v>0.10152334824834108</v>
      </c>
      <c r="G204" s="13">
        <f ca="1">IF(TTM!G204="","",IFERROR(MAX(MIN(TTM!G204,0.5),-0.5),""))</f>
        <v>-1.051239253403289E-2</v>
      </c>
      <c r="H204" s="13">
        <f ca="1">IF(TTM!H204="","",IFERROR(MAX(MIN(TTM!H204,0.5),-0.5),""))</f>
        <v>0.19764636620157358</v>
      </c>
      <c r="I204" s="13">
        <f ca="1">IF(TTM!I204="","",IFERROR(MAX(MIN(TTM!I204,0.5),-0.5),""))</f>
        <v>4.5028931078065146E-2</v>
      </c>
      <c r="J204" s="13">
        <f ca="1">IF(TTM!J204="","",IFERROR(MAX(MIN(TTM!J204,0.5),-0.5),""))</f>
        <v>-0.33536805655494351</v>
      </c>
      <c r="K204" s="13" t="str">
        <f>IF(TTM!K204="","",IFERROR(MAX(MIN(TTM!K204,0.5),-0.5),""))</f>
        <v/>
      </c>
      <c r="L204" s="13">
        <f ca="1">IF(TTM!L204="","",IFERROR(MAX(MIN(TTM!L204,0.5),-0.5),""))</f>
        <v>-3.5816412087504669E-2</v>
      </c>
      <c r="M204" s="13" t="str">
        <f>IF(TTM!M204="","",IFERROR(MAX(MIN(TTM!M204,0.5),-0.5),""))</f>
        <v/>
      </c>
      <c r="N204" s="13">
        <f ca="1">IF(TTM!N204="","",IFERROR(MAX(MIN(TTM!N204,0.5),-0.5),""))</f>
        <v>-2.2753118910854676E-2</v>
      </c>
      <c r="O204" s="13">
        <f ca="1">IF(TTM!O204="","",IFERROR(MAX(MIN(TTM!O204,0.5),-0.5),""))</f>
        <v>0.15210122861799671</v>
      </c>
      <c r="P204" s="13" t="str">
        <f>IF(TTM!P204="","",IFERROR(MAX(MIN(TTM!P204,0.5),-0.5),""))</f>
        <v/>
      </c>
      <c r="Q204" s="13" t="str">
        <f>IF(TTM!Q204="","",IFERROR(MAX(MIN(TTM!Q204,0.5),-0.5),""))</f>
        <v/>
      </c>
      <c r="R204" s="13">
        <f>IF(TTM!R204="","",IFERROR(MAX(MIN(TTM!R204,0.5),-0.5),""))</f>
        <v>9.5049671409142902E-2</v>
      </c>
      <c r="S204" s="13">
        <f>IF(TTM!S204="","",IFERROR(MAX(MIN(TTM!S204,0.5),-0.5),""))</f>
        <v>0.14289518812808272</v>
      </c>
      <c r="T204" s="13" t="str">
        <f>IF(TTM!T204="","",IFERROR(MAX(MIN(TTM!T204,0.5),-0.5),""))</f>
        <v/>
      </c>
      <c r="U204" s="11"/>
    </row>
    <row r="205" spans="1:21" ht="14">
      <c r="A205" s="14" t="s">
        <v>116</v>
      </c>
      <c r="B205" s="13">
        <f ca="1">IF(TTM!B205="","",IFERROR(MAX(MIN(TTM!B205,0.5),-0.5),""))</f>
        <v>-0.5</v>
      </c>
      <c r="C205" s="13">
        <f ca="1">IF(TTM!C205="","",IFERROR(MAX(MIN(TTM!C205,0.5),-0.5),""))</f>
        <v>0.33545101565850255</v>
      </c>
      <c r="D205" s="13">
        <f ca="1">IF(TTM!D205="","",IFERROR(MAX(MIN(TTM!D205,0.5),-0.5),""))</f>
        <v>3.7447982265213439E-2</v>
      </c>
      <c r="E205" s="13">
        <f ca="1">IF(TTM!E205="","",IFERROR(MAX(MIN(TTM!E205,0.5),-0.5),""))</f>
        <v>0.20444087548484058</v>
      </c>
      <c r="F205" s="13">
        <f ca="1">IF(TTM!F205="","",IFERROR(MAX(MIN(TTM!F205,0.5),-0.5),""))</f>
        <v>0.10957594872115434</v>
      </c>
      <c r="G205" s="13">
        <f ca="1">IF(TTM!G205="","",IFERROR(MAX(MIN(TTM!G205,0.5),-0.5),""))</f>
        <v>3.3479970776851303E-2</v>
      </c>
      <c r="H205" s="13">
        <f ca="1">IF(TTM!H205="","",IFERROR(MAX(MIN(TTM!H205,0.5),-0.5),""))</f>
        <v>0.21692482667604202</v>
      </c>
      <c r="I205" s="13">
        <f ca="1">IF(TTM!I205="","",IFERROR(MAX(MIN(TTM!I205,0.5),-0.5),""))</f>
        <v>1.489016761856307E-2</v>
      </c>
      <c r="J205" s="13">
        <f ca="1">IF(TTM!J205="","",IFERROR(MAX(MIN(TTM!J205,0.5),-0.5),""))</f>
        <v>-0.35077707075453163</v>
      </c>
      <c r="K205" s="13" t="str">
        <f>IF(TTM!K205="","",IFERROR(MAX(MIN(TTM!K205,0.5),-0.5),""))</f>
        <v/>
      </c>
      <c r="L205" s="13">
        <f ca="1">IF(TTM!L205="","",IFERROR(MAX(MIN(TTM!L205,0.5),-0.5),""))</f>
        <v>-3.4656242871805312E-2</v>
      </c>
      <c r="M205" s="13" t="str">
        <f>IF(TTM!M205="","",IFERROR(MAX(MIN(TTM!M205,0.5),-0.5),""))</f>
        <v/>
      </c>
      <c r="N205" s="13">
        <f ca="1">IF(TTM!N205="","",IFERROR(MAX(MIN(TTM!N205,0.5),-0.5),""))</f>
        <v>-4.4000749828490629E-2</v>
      </c>
      <c r="O205" s="13">
        <f ca="1">IF(TTM!O205="","",IFERROR(MAX(MIN(TTM!O205,0.5),-0.5),""))</f>
        <v>0.17740089848559884</v>
      </c>
      <c r="P205" s="13" t="str">
        <f>IF(TTM!P205="","",IFERROR(MAX(MIN(TTM!P205,0.5),-0.5),""))</f>
        <v/>
      </c>
      <c r="Q205" s="13" t="str">
        <f>IF(TTM!Q205="","",IFERROR(MAX(MIN(TTM!Q205,0.5),-0.5),""))</f>
        <v/>
      </c>
      <c r="R205" s="13">
        <f>IF(TTM!R205="","",IFERROR(MAX(MIN(TTM!R205,0.5),-0.5),""))</f>
        <v>0.11094579847723789</v>
      </c>
      <c r="S205" s="13">
        <f>IF(TTM!S205="","",IFERROR(MAX(MIN(TTM!S205,0.5),-0.5),""))</f>
        <v>0.16991368680641183</v>
      </c>
      <c r="T205" s="13" t="str">
        <f ca="1">IF(TTM!T205="","",IFERROR(MAX(MIN(TTM!T205,0.5),-0.5),""))</f>
        <v/>
      </c>
      <c r="U205" s="11"/>
    </row>
    <row r="206" spans="1:21" ht="14">
      <c r="A206" s="14" t="s">
        <v>117</v>
      </c>
      <c r="B206" s="13">
        <f ca="1">IF(TTM!B206="","",IFERROR(MAX(MIN(TTM!B206,0.5),-0.5),""))</f>
        <v>-0.5</v>
      </c>
      <c r="C206" s="13">
        <f ca="1">IF(TTM!C206="","",IFERROR(MAX(MIN(TTM!C206,0.5),-0.5),""))</f>
        <v>0.32838242610043999</v>
      </c>
      <c r="D206" s="13">
        <f ca="1">IF(TTM!D206="","",IFERROR(MAX(MIN(TTM!D206,0.5),-0.5),""))</f>
        <v>5.7296307933888777E-2</v>
      </c>
      <c r="E206" s="13">
        <f ca="1">IF(TTM!E206="","",IFERROR(MAX(MIN(TTM!E206,0.5),-0.5),""))</f>
        <v>0.10619926356522079</v>
      </c>
      <c r="F206" s="13">
        <f ca="1">IF(TTM!F206="","",IFERROR(MAX(MIN(TTM!F206,0.5),-0.5),""))</f>
        <v>0.12561088627793332</v>
      </c>
      <c r="G206" s="13">
        <f ca="1">IF(TTM!G206="","",IFERROR(MAX(MIN(TTM!G206,0.5),-0.5),""))</f>
        <v>7.4573234790455398E-2</v>
      </c>
      <c r="H206" s="13">
        <f ca="1">IF(TTM!H206="","",IFERROR(MAX(MIN(TTM!H206,0.5),-0.5),""))</f>
        <v>0.20346641830468651</v>
      </c>
      <c r="I206" s="13">
        <f ca="1">IF(TTM!I206="","",IFERROR(MAX(MIN(TTM!I206,0.5),-0.5),""))</f>
        <v>-2.7883969512853053E-2</v>
      </c>
      <c r="J206" s="13">
        <f ca="1">IF(TTM!J206="","",IFERROR(MAX(MIN(TTM!J206,0.5),-0.5),""))</f>
        <v>-0.33281396514071376</v>
      </c>
      <c r="K206" s="13" t="str">
        <f>IF(TTM!K206="","",IFERROR(MAX(MIN(TTM!K206,0.5),-0.5),""))</f>
        <v/>
      </c>
      <c r="L206" s="13">
        <f ca="1">IF(TTM!L206="","",IFERROR(MAX(MIN(TTM!L206,0.5),-0.5),""))</f>
        <v>-6.7894982994084502E-2</v>
      </c>
      <c r="M206" s="13" t="str">
        <f>IF(TTM!M206="","",IFERROR(MAX(MIN(TTM!M206,0.5),-0.5),""))</f>
        <v/>
      </c>
      <c r="N206" s="13">
        <f ca="1">IF(TTM!N206="","",IFERROR(MAX(MIN(TTM!N206,0.5),-0.5),""))</f>
        <v>-2.3704659720722138E-2</v>
      </c>
      <c r="O206" s="13">
        <f ca="1">IF(TTM!O206="","",IFERROR(MAX(MIN(TTM!O206,0.5),-0.5),""))</f>
        <v>0.20270056835320094</v>
      </c>
      <c r="P206" s="13" t="str">
        <f>IF(TTM!P206="","",IFERROR(MAX(MIN(TTM!P206,0.5),-0.5),""))</f>
        <v/>
      </c>
      <c r="Q206" s="13" t="str">
        <f>IF(TTM!Q206="","",IFERROR(MAX(MIN(TTM!Q206,0.5),-0.5),""))</f>
        <v/>
      </c>
      <c r="R206" s="13">
        <f>IF(TTM!R206="","",IFERROR(MAX(MIN(TTM!R206,0.5),-0.5),""))</f>
        <v>0.12684192554533286</v>
      </c>
      <c r="S206" s="13">
        <f>IF(TTM!S206="","",IFERROR(MAX(MIN(TTM!S206,0.5),-0.5),""))</f>
        <v>0.19313564129423133</v>
      </c>
      <c r="T206" s="13" t="str">
        <f ca="1">IF(TTM!T206="","",IFERROR(MAX(MIN(TTM!T206,0.5),-0.5),""))</f>
        <v/>
      </c>
      <c r="U206" s="11"/>
    </row>
    <row r="207" spans="1:21" ht="14">
      <c r="A207" s="14" t="s">
        <v>118</v>
      </c>
      <c r="B207" s="13">
        <f ca="1">IF(TTM!B207="","",IFERROR(MAX(MIN(TTM!B207,0.5),-0.5),""))</f>
        <v>-0.5</v>
      </c>
      <c r="C207" s="13">
        <f ca="1">IF(TTM!C207="","",IFERROR(MAX(MIN(TTM!C207,0.5),-0.5),""))</f>
        <v>0.33006552530131444</v>
      </c>
      <c r="D207" s="13">
        <f ca="1">IF(TTM!D207="","",IFERROR(MAX(MIN(TTM!D207,0.5),-0.5),""))</f>
        <v>5.0011223709512817E-2</v>
      </c>
      <c r="E207" s="13">
        <f ca="1">IF(TTM!E207="","",IFERROR(MAX(MIN(TTM!E207,0.5),-0.5),""))</f>
        <v>0.1565612275857782</v>
      </c>
      <c r="F207" s="13">
        <f ca="1">IF(TTM!F207="","",IFERROR(MAX(MIN(TTM!F207,0.5),-0.5),""))</f>
        <v>0.12076199022438887</v>
      </c>
      <c r="G207" s="13">
        <f ca="1">IF(TTM!G207="","",IFERROR(MAX(MIN(TTM!G207,0.5),-0.5),""))</f>
        <v>6.0348295489988615E-2</v>
      </c>
      <c r="H207" s="13">
        <f ca="1">IF(TTM!H207="","",IFERROR(MAX(MIN(TTM!H207,0.5),-0.5),""))</f>
        <v>0.20432524025627255</v>
      </c>
      <c r="I207" s="13">
        <f ca="1">IF(TTM!I207="","",IFERROR(MAX(MIN(TTM!I207,0.5),-0.5),""))</f>
        <v>-3.1008673504279521E-2</v>
      </c>
      <c r="J207" s="13">
        <f ca="1">IF(TTM!J207="","",IFERROR(MAX(MIN(TTM!J207,0.5),-0.5),""))</f>
        <v>-0.29698317518335793</v>
      </c>
      <c r="K207" s="13" t="str">
        <f>IF(TTM!K207="","",IFERROR(MAX(MIN(TTM!K207,0.5),-0.5),""))</f>
        <v/>
      </c>
      <c r="L207" s="13">
        <f ca="1">IF(TTM!L207="","",IFERROR(MAX(MIN(TTM!L207,0.5),-0.5),""))</f>
        <v>0.15280841280702273</v>
      </c>
      <c r="M207" s="13" t="str">
        <f>IF(TTM!M207="","",IFERROR(MAX(MIN(TTM!M207,0.5),-0.5),""))</f>
        <v/>
      </c>
      <c r="N207" s="13">
        <f ca="1">IF(TTM!N207="","",IFERROR(MAX(MIN(TTM!N207,0.5),-0.5),""))</f>
        <v>2.7515782548116693E-3</v>
      </c>
      <c r="O207" s="13">
        <f ca="1">IF(TTM!O207="","",IFERROR(MAX(MIN(TTM!O207,0.5),-0.5),""))</f>
        <v>0.16949346170234261</v>
      </c>
      <c r="P207" s="13" t="str">
        <f>IF(TTM!P207="","",IFERROR(MAX(MIN(TTM!P207,0.5),-0.5),""))</f>
        <v/>
      </c>
      <c r="Q207" s="13" t="str">
        <f>IF(TTM!Q207="","",IFERROR(MAX(MIN(TTM!Q207,0.5),-0.5),""))</f>
        <v/>
      </c>
      <c r="R207" s="13">
        <f>IF(TTM!R207="","",IFERROR(MAX(MIN(TTM!R207,0.5),-0.5),""))</f>
        <v>0.14273805261342784</v>
      </c>
      <c r="S207" s="13">
        <f>IF(TTM!S207="","",IFERROR(MAX(MIN(TTM!S207,0.5),-0.5),""))</f>
        <v>0.21635759578205077</v>
      </c>
      <c r="T207" s="13" t="str">
        <f ca="1">IF(TTM!T207="","",IFERROR(MAX(MIN(TTM!T207,0.5),-0.5),""))</f>
        <v/>
      </c>
      <c r="U207" s="11"/>
    </row>
    <row r="208" spans="1:21" ht="14">
      <c r="A208" s="14" t="s">
        <v>119</v>
      </c>
      <c r="B208" s="13">
        <f ca="1">IF(TTM!B208="","",IFERROR(MAX(MIN(TTM!B208,0.5),-0.5),""))</f>
        <v>-0.5</v>
      </c>
      <c r="C208" s="13">
        <f ca="1">IF(TTM!C208="","",IFERROR(MAX(MIN(TTM!C208,0.5),-0.5),""))</f>
        <v>0.38720955691815406</v>
      </c>
      <c r="D208" s="13">
        <f ca="1">IF(TTM!D208="","",IFERROR(MAX(MIN(TTM!D208,0.5),-0.5),""))</f>
        <v>5.5461341376688331E-2</v>
      </c>
      <c r="E208" s="13">
        <f ca="1">IF(TTM!E208="","",IFERROR(MAX(MIN(TTM!E208,0.5),-0.5),""))</f>
        <v>0.26681310980423378</v>
      </c>
      <c r="F208" s="13">
        <f ca="1">IF(TTM!F208="","",IFERROR(MAX(MIN(TTM!F208,0.5),-0.5),""))</f>
        <v>0.1197914096014918</v>
      </c>
      <c r="G208" s="13">
        <f ca="1">IF(TTM!G208="","",IFERROR(MAX(MIN(TTM!G208,0.5),-0.5),""))</f>
        <v>4.8206908007566426E-2</v>
      </c>
      <c r="H208" s="13">
        <f ca="1">IF(TTM!H208="","",IFERROR(MAX(MIN(TTM!H208,0.5),-0.5),""))</f>
        <v>0.19935281488761172</v>
      </c>
      <c r="I208" s="13">
        <f ca="1">IF(TTM!I208="","",IFERROR(MAX(MIN(TTM!I208,0.5),-0.5),""))</f>
        <v>-5.363229028952423E-2</v>
      </c>
      <c r="J208" s="13">
        <f ca="1">IF(TTM!J208="","",IFERROR(MAX(MIN(TTM!J208,0.5),-0.5),""))</f>
        <v>-0.28828622126196463</v>
      </c>
      <c r="K208" s="13" t="str">
        <f>IF(TTM!K208="","",IFERROR(MAX(MIN(TTM!K208,0.5),-0.5),""))</f>
        <v/>
      </c>
      <c r="L208" s="13">
        <f ca="1">IF(TTM!L208="","",IFERROR(MAX(MIN(TTM!L208,0.5),-0.5),""))</f>
        <v>0.1642794923987356</v>
      </c>
      <c r="M208" s="13" t="str">
        <f>IF(TTM!M208="","",IFERROR(MAX(MIN(TTM!M208,0.5),-0.5),""))</f>
        <v/>
      </c>
      <c r="N208" s="13">
        <f ca="1">IF(TTM!N208="","",IFERROR(MAX(MIN(TTM!N208,0.5),-0.5),""))</f>
        <v>-6.5489096921696145E-3</v>
      </c>
      <c r="O208" s="13">
        <f ca="1">IF(TTM!O208="","",IFERROR(MAX(MIN(TTM!O208,0.5),-0.5),""))</f>
        <v>0.13628635505148426</v>
      </c>
      <c r="P208" s="13" t="str">
        <f>IF(TTM!P208="","",IFERROR(MAX(MIN(TTM!P208,0.5),-0.5),""))</f>
        <v/>
      </c>
      <c r="Q208" s="13" t="str">
        <f>IF(TTM!Q208="","",IFERROR(MAX(MIN(TTM!Q208,0.5),-0.5),""))</f>
        <v/>
      </c>
      <c r="R208" s="13">
        <f>IF(TTM!R208="","",IFERROR(MAX(MIN(TTM!R208,0.5),-0.5),""))</f>
        <v>0.15863417968152282</v>
      </c>
      <c r="S208" s="13">
        <f>IF(TTM!S208="","",IFERROR(MAX(MIN(TTM!S208,0.5),-0.5),""))</f>
        <v>0.23957955026987027</v>
      </c>
      <c r="T208" s="13" t="str">
        <f ca="1">IF(TTM!T208="","",IFERROR(MAX(MIN(TTM!T208,0.5),-0.5),""))</f>
        <v/>
      </c>
      <c r="U208" s="11"/>
    </row>
    <row r="209" spans="1:21" ht="14">
      <c r="A209" s="14" t="s">
        <v>120</v>
      </c>
      <c r="B209" s="13">
        <f ca="1">IF(TTM!B209="","",IFERROR(MAX(MIN(TTM!B209,0.5),-0.5),""))</f>
        <v>-0.5</v>
      </c>
      <c r="C209" s="13">
        <f ca="1">IF(TTM!C209="","",IFERROR(MAX(MIN(TTM!C209,0.5),-0.5),""))</f>
        <v>0.22301832208671829</v>
      </c>
      <c r="D209" s="13">
        <f ca="1">IF(TTM!D209="","",IFERROR(MAX(MIN(TTM!D209,0.5),-0.5),""))</f>
        <v>-9.8411166314677057E-2</v>
      </c>
      <c r="E209" s="13">
        <f ca="1">IF(TTM!E209="","",IFERROR(MAX(MIN(TTM!E209,0.5),-0.5),""))</f>
        <v>-0.1805855883482915</v>
      </c>
      <c r="F209" s="13">
        <f ca="1">IF(TTM!F209="","",IFERROR(MAX(MIN(TTM!F209,0.5),-0.5),""))</f>
        <v>7.356934470022132E-2</v>
      </c>
      <c r="G209" s="13">
        <f ca="1">IF(TTM!G209="","",IFERROR(MAX(MIN(TTM!G209,0.5),-0.5),""))</f>
        <v>-0.35325601512480159</v>
      </c>
      <c r="H209" s="13">
        <f ca="1">IF(TTM!H209="","",IFERROR(MAX(MIN(TTM!H209,0.5),-0.5),""))</f>
        <v>0.19292733515309124</v>
      </c>
      <c r="I209" s="13">
        <f ca="1">IF(TTM!I209="","",IFERROR(MAX(MIN(TTM!I209,0.5),-0.5),""))</f>
        <v>-0.10577487029072871</v>
      </c>
      <c r="J209" s="13">
        <f ca="1">IF(TTM!J209="","",IFERROR(MAX(MIN(TTM!J209,0.5),-0.5),""))</f>
        <v>-0.5</v>
      </c>
      <c r="K209" s="13" t="str">
        <f>IF(TTM!K209="","",IFERROR(MAX(MIN(TTM!K209,0.5),-0.5),""))</f>
        <v/>
      </c>
      <c r="L209" s="13">
        <f ca="1">IF(TTM!L209="","",IFERROR(MAX(MIN(TTM!L209,0.5),-0.5),""))</f>
        <v>0.5</v>
      </c>
      <c r="M209" s="13" t="str">
        <f>IF(TTM!M209="","",IFERROR(MAX(MIN(TTM!M209,0.5),-0.5),""))</f>
        <v/>
      </c>
      <c r="N209" s="13">
        <f ca="1">IF(TTM!N209="","",IFERROR(MAX(MIN(TTM!N209,0.5),-0.5),""))</f>
        <v>-9.5320406235168409E-2</v>
      </c>
      <c r="O209" s="13">
        <f ca="1">IF(TTM!O209="","",IFERROR(MAX(MIN(TTM!O209,0.5),-0.5),""))</f>
        <v>-0.5</v>
      </c>
      <c r="P209" s="13" t="str">
        <f>IF(TTM!P209="","",IFERROR(MAX(MIN(TTM!P209,0.5),-0.5),""))</f>
        <v/>
      </c>
      <c r="Q209" s="13" t="str">
        <f>IF(TTM!Q209="","",IFERROR(MAX(MIN(TTM!Q209,0.5),-0.5),""))</f>
        <v/>
      </c>
      <c r="R209" s="13">
        <f>IF(TTM!R209="","",IFERROR(MAX(MIN(TTM!R209,0.5),-0.5),""))</f>
        <v>1.2084860208297854E-2</v>
      </c>
      <c r="S209" s="13">
        <f>IF(TTM!S209="","",IFERROR(MAX(MIN(TTM!S209,0.5),-0.5),""))</f>
        <v>0.26280150475768976</v>
      </c>
      <c r="T209" s="13" t="str">
        <f ca="1">IF(TTM!T209="","",IFERROR(MAX(MIN(TTM!T209,0.5),-0.5),""))</f>
        <v/>
      </c>
      <c r="U209" s="11"/>
    </row>
    <row r="210" spans="1:21" ht="14">
      <c r="A210" s="14" t="s">
        <v>121</v>
      </c>
      <c r="B210" s="13">
        <f ca="1">IF(TTM!B210="","",IFERROR(MAX(MIN(TTM!B210,0.5),-0.5),""))</f>
        <v>-0.5</v>
      </c>
      <c r="C210" s="13">
        <f ca="1">IF(TTM!C210="","",IFERROR(MAX(MIN(TTM!C210,0.5),-0.5),""))</f>
        <v>0.22757820664660283</v>
      </c>
      <c r="D210" s="13">
        <f ca="1">IF(TTM!D210="","",IFERROR(MAX(MIN(TTM!D210,0.5),-0.5),""))</f>
        <v>-0.5</v>
      </c>
      <c r="E210" s="13">
        <f ca="1">IF(TTM!E210="","",IFERROR(MAX(MIN(TTM!E210,0.5),-0.5),""))</f>
        <v>-8.5623941742135223E-2</v>
      </c>
      <c r="F210" s="13">
        <f ca="1">IF(TTM!F210="","",IFERROR(MAX(MIN(TTM!F210,0.5),-0.5),""))</f>
        <v>-0.5</v>
      </c>
      <c r="G210" s="13">
        <f ca="1">IF(TTM!G210="","",IFERROR(MAX(MIN(TTM!G210,0.5),-0.5),""))</f>
        <v>-0.5</v>
      </c>
      <c r="H210" s="13">
        <f ca="1">IF(TTM!H210="","",IFERROR(MAX(MIN(TTM!H210,0.5),-0.5),""))</f>
        <v>-7.6288042257611599E-2</v>
      </c>
      <c r="I210" s="13">
        <f ca="1">IF(TTM!I210="","",IFERROR(MAX(MIN(TTM!I210,0.5),-0.5),""))</f>
        <v>0.5</v>
      </c>
      <c r="J210" s="13">
        <f ca="1">IF(TTM!J210="","",IFERROR(MAX(MIN(TTM!J210,0.5),-0.5),""))</f>
        <v>-0.5</v>
      </c>
      <c r="K210" s="13" t="str">
        <f>IF(TTM!K210="","",IFERROR(MAX(MIN(TTM!K210,0.5),-0.5),""))</f>
        <v/>
      </c>
      <c r="L210" s="13">
        <f ca="1">IF(TTM!L210="","",IFERROR(MAX(MIN(TTM!L210,0.5),-0.5),""))</f>
        <v>3.098291204792325E-3</v>
      </c>
      <c r="M210" s="13" t="str">
        <f>IF(TTM!M210="","",IFERROR(MAX(MIN(TTM!M210,0.5),-0.5),""))</f>
        <v/>
      </c>
      <c r="N210" s="13">
        <f ca="1">IF(TTM!N210="","",IFERROR(MAX(MIN(TTM!N210,0.5),-0.5),""))</f>
        <v>-0.5</v>
      </c>
      <c r="O210" s="13">
        <f ca="1">IF(TTM!O210="","",IFERROR(MAX(MIN(TTM!O210,0.5),-0.5),""))</f>
        <v>-0.5</v>
      </c>
      <c r="P210" s="13" t="str">
        <f>IF(TTM!P210="","",IFERROR(MAX(MIN(TTM!P210,0.5),-0.5),""))</f>
        <v/>
      </c>
      <c r="Q210" s="13" t="str">
        <f>IF(TTM!Q210="","",IFERROR(MAX(MIN(TTM!Q210,0.5),-0.5),""))</f>
        <v/>
      </c>
      <c r="R210" s="13">
        <f>IF(TTM!R210="","",IFERROR(MAX(MIN(TTM!R210,0.5),-0.5),""))</f>
        <v>-0.13446445926492712</v>
      </c>
      <c r="S210" s="13">
        <f>IF(TTM!S210="","",IFERROR(MAX(MIN(TTM!S210,0.5),-0.5),""))</f>
        <v>0.33760373095510293</v>
      </c>
      <c r="T210" s="13">
        <f ca="1">IF(TTM!T210="","",IFERROR(MAX(MIN(TTM!T210,0.5),-0.5),""))</f>
        <v>0.29499999999999976</v>
      </c>
      <c r="U210" s="11"/>
    </row>
    <row r="211" spans="1:21" ht="14">
      <c r="A211" s="14" t="s">
        <v>122</v>
      </c>
      <c r="B211" s="13">
        <f ca="1">IF(TTM!B211="","",IFERROR(MAX(MIN(TTM!B211,0.5),-0.5),""))</f>
        <v>-0.5</v>
      </c>
      <c r="C211" s="13">
        <f ca="1">IF(TTM!C211="","",IFERROR(MAX(MIN(TTM!C211,0.5),-0.5),""))</f>
        <v>0.18943787475627097</v>
      </c>
      <c r="D211" s="13">
        <f ca="1">IF(TTM!D211="","",IFERROR(MAX(MIN(TTM!D211,0.5),-0.5),""))</f>
        <v>-0.5</v>
      </c>
      <c r="E211" s="13">
        <f ca="1">IF(TTM!E211="","",IFERROR(MAX(MIN(TTM!E211,0.5),-0.5),""))</f>
        <v>-1.6081979279818776E-2</v>
      </c>
      <c r="F211" s="13">
        <f ca="1">IF(TTM!F211="","",IFERROR(MAX(MIN(TTM!F211,0.5),-0.5),""))</f>
        <v>-0.5</v>
      </c>
      <c r="G211" s="13">
        <f ca="1">IF(TTM!G211="","",IFERROR(MAX(MIN(TTM!G211,0.5),-0.5),""))</f>
        <v>-0.5</v>
      </c>
      <c r="H211" s="13">
        <f ca="1">IF(TTM!H211="","",IFERROR(MAX(MIN(TTM!H211,0.5),-0.5),""))</f>
        <v>-0.15184238628384722</v>
      </c>
      <c r="I211" s="13">
        <f ca="1">IF(TTM!I211="","",IFERROR(MAX(MIN(TTM!I211,0.5),-0.5),""))</f>
        <v>0.5</v>
      </c>
      <c r="J211" s="13">
        <f ca="1">IF(TTM!J211="","",IFERROR(MAX(MIN(TTM!J211,0.5),-0.5),""))</f>
        <v>-0.5</v>
      </c>
      <c r="K211" s="13" t="str">
        <f>IF(TTM!K211="","",IFERROR(MAX(MIN(TTM!K211,0.5),-0.5),""))</f>
        <v/>
      </c>
      <c r="L211" s="13">
        <f ca="1">IF(TTM!L211="","",IFERROR(MAX(MIN(TTM!L211,0.5),-0.5),""))</f>
        <v>-0.5</v>
      </c>
      <c r="M211" s="13" t="str">
        <f>IF(TTM!M211="","",IFERROR(MAX(MIN(TTM!M211,0.5),-0.5),""))</f>
        <v/>
      </c>
      <c r="N211" s="13">
        <f ca="1">IF(TTM!N211="","",IFERROR(MAX(MIN(TTM!N211,0.5),-0.5),""))</f>
        <v>-0.5</v>
      </c>
      <c r="O211" s="13">
        <f ca="1">IF(TTM!O211="","",IFERROR(MAX(MIN(TTM!O211,0.5),-0.5),""))</f>
        <v>-0.5</v>
      </c>
      <c r="P211" s="13" t="str">
        <f>IF(TTM!P211="","",IFERROR(MAX(MIN(TTM!P211,0.5),-0.5),""))</f>
        <v/>
      </c>
      <c r="Q211" s="13" t="str">
        <f>IF(TTM!Q211="","",IFERROR(MAX(MIN(TTM!Q211,0.5),-0.5),""))</f>
        <v/>
      </c>
      <c r="R211" s="13">
        <f>IF(TTM!R211="","",IFERROR(MAX(MIN(TTM!R211,0.5),-0.5),""))</f>
        <v>-0.28101377873815209</v>
      </c>
      <c r="S211" s="13">
        <f>IF(TTM!S211="","",IFERROR(MAX(MIN(TTM!S211,0.5),-0.5),""))</f>
        <v>0.4124059571525161</v>
      </c>
      <c r="T211" s="13">
        <f ca="1">IF(TTM!T211="","",IFERROR(MAX(MIN(TTM!T211,0.5),-0.5),""))</f>
        <v>0.29499999999999976</v>
      </c>
      <c r="U211" s="11"/>
    </row>
    <row r="212" spans="1:21" ht="14">
      <c r="A212" s="14" t="s">
        <v>123</v>
      </c>
      <c r="B212" s="13">
        <f ca="1">IF(TTM!B212="","",IFERROR(MAX(MIN(TTM!B212,0.5),-0.5),""))</f>
        <v>-0.5</v>
      </c>
      <c r="C212" s="13">
        <f ca="1">IF(TTM!C212="","",IFERROR(MAX(MIN(TTM!C212,0.5),-0.5),""))</f>
        <v>0.13259357710589537</v>
      </c>
      <c r="D212" s="13">
        <f ca="1">IF(TTM!D212="","",IFERROR(MAX(MIN(TTM!D212,0.5),-0.5),""))</f>
        <v>-0.5</v>
      </c>
      <c r="E212" s="13">
        <f ca="1">IF(TTM!E212="","",IFERROR(MAX(MIN(TTM!E212,0.5),-0.5),""))</f>
        <v>-4.7520018473099924E-2</v>
      </c>
      <c r="F212" s="13">
        <f ca="1">IF(TTM!F212="","",IFERROR(MAX(MIN(TTM!F212,0.5),-0.5),""))</f>
        <v>-0.5</v>
      </c>
      <c r="G212" s="13">
        <f ca="1">IF(TTM!G212="","",IFERROR(MAX(MIN(TTM!G212,0.5),-0.5),""))</f>
        <v>-0.5</v>
      </c>
      <c r="H212" s="13">
        <f ca="1">IF(TTM!H212="","",IFERROR(MAX(MIN(TTM!H212,0.5),-0.5),""))</f>
        <v>-0.300817329336239</v>
      </c>
      <c r="I212" s="13">
        <f ca="1">IF(TTM!I212="","",IFERROR(MAX(MIN(TTM!I212,0.5),-0.5),""))</f>
        <v>0.43875052310107487</v>
      </c>
      <c r="J212" s="13">
        <f ca="1">IF(TTM!J212="","",IFERROR(MAX(MIN(TTM!J212,0.5),-0.5),""))</f>
        <v>-0.5</v>
      </c>
      <c r="K212" s="13" t="str">
        <f>IF(TTM!K212="","",IFERROR(MAX(MIN(TTM!K212,0.5),-0.5),""))</f>
        <v/>
      </c>
      <c r="L212" s="13">
        <f ca="1">IF(TTM!L212="","",IFERROR(MAX(MIN(TTM!L212,0.5),-0.5),""))</f>
        <v>-0.5</v>
      </c>
      <c r="M212" s="13" t="str">
        <f>IF(TTM!M212="","",IFERROR(MAX(MIN(TTM!M212,0.5),-0.5),""))</f>
        <v/>
      </c>
      <c r="N212" s="13">
        <f ca="1">IF(TTM!N212="","",IFERROR(MAX(MIN(TTM!N212,0.5),-0.5),""))</f>
        <v>-0.5</v>
      </c>
      <c r="O212" s="13">
        <f ca="1">IF(TTM!O212="","",IFERROR(MAX(MIN(TTM!O212,0.5),-0.5),""))</f>
        <v>-0.5</v>
      </c>
      <c r="P212" s="13" t="str">
        <f>IF(TTM!P212="","",IFERROR(MAX(MIN(TTM!P212,0.5),-0.5),""))</f>
        <v/>
      </c>
      <c r="Q212" s="13" t="str">
        <f>IF(TTM!Q212="","",IFERROR(MAX(MIN(TTM!Q212,0.5),-0.5),""))</f>
        <v/>
      </c>
      <c r="R212" s="13">
        <f>IF(TTM!R212="","",IFERROR(MAX(MIN(TTM!R212,0.5),-0.5),""))</f>
        <v>-0.42756309821137706</v>
      </c>
      <c r="S212" s="13">
        <f>IF(TTM!S212="","",IFERROR(MAX(MIN(TTM!S212,0.5),-0.5),""))</f>
        <v>0.48720818334992921</v>
      </c>
      <c r="T212" s="13">
        <f ca="1">IF(TTM!T212="","",IFERROR(MAX(MIN(TTM!T212,0.5),-0.5),""))</f>
        <v>0.29499999999999976</v>
      </c>
      <c r="U212" s="11"/>
    </row>
    <row r="213" spans="1:21" ht="14">
      <c r="A213" s="14" t="s">
        <v>124</v>
      </c>
      <c r="B213" s="13">
        <f ca="1">IF(TTM!B213="","",IFERROR(MAX(MIN(TTM!B213,0.5),-0.5),""))</f>
        <v>-0.5</v>
      </c>
      <c r="C213" s="13">
        <f ca="1">IF(TTM!C213="","",IFERROR(MAX(MIN(TTM!C213,0.5),-0.5),""))</f>
        <v>0.15057195608887558</v>
      </c>
      <c r="D213" s="13">
        <f ca="1">IF(TTM!D213="","",IFERROR(MAX(MIN(TTM!D213,0.5),-0.5),""))</f>
        <v>-0.5</v>
      </c>
      <c r="E213" s="13">
        <f ca="1">IF(TTM!E213="","",IFERROR(MAX(MIN(TTM!E213,0.5),-0.5),""))</f>
        <v>0.33602491502399146</v>
      </c>
      <c r="F213" s="13">
        <f ca="1">IF(TTM!F213="","",IFERROR(MAX(MIN(TTM!F213,0.5),-0.5),""))</f>
        <v>-0.5</v>
      </c>
      <c r="G213" s="13">
        <f ca="1">IF(TTM!G213="","",IFERROR(MAX(MIN(TTM!G213,0.5),-0.5),""))</f>
        <v>-0.5</v>
      </c>
      <c r="H213" s="13">
        <f ca="1">IF(TTM!H213="","",IFERROR(MAX(MIN(TTM!H213,0.5),-0.5),""))</f>
        <v>-0.47572048993315452</v>
      </c>
      <c r="I213" s="13">
        <f ca="1">IF(TTM!I213="","",IFERROR(MAX(MIN(TTM!I213,0.5),-0.5),""))</f>
        <v>0.30667933194392871</v>
      </c>
      <c r="J213" s="13">
        <f ca="1">IF(TTM!J213="","",IFERROR(MAX(MIN(TTM!J213,0.5),-0.5),""))</f>
        <v>-0.5</v>
      </c>
      <c r="K213" s="13" t="str">
        <f>IF(TTM!K213="","",IFERROR(MAX(MIN(TTM!K213,0.5),-0.5),""))</f>
        <v/>
      </c>
      <c r="L213" s="13">
        <f ca="1">IF(TTM!L213="","",IFERROR(MAX(MIN(TTM!L213,0.5),-0.5),""))</f>
        <v>-0.5</v>
      </c>
      <c r="M213" s="13" t="str">
        <f>IF(TTM!M213="","",IFERROR(MAX(MIN(TTM!M213,0.5),-0.5),""))</f>
        <v/>
      </c>
      <c r="N213" s="13">
        <f ca="1">IF(TTM!N213="","",IFERROR(MAX(MIN(TTM!N213,0.5),-0.5),""))</f>
        <v>-0.5</v>
      </c>
      <c r="O213" s="13">
        <f ca="1">IF(TTM!O213="","",IFERROR(MAX(MIN(TTM!O213,0.5),-0.5),""))</f>
        <v>-0.5</v>
      </c>
      <c r="P213" s="13">
        <f ca="1">IF(TTM!P213="","",IFERROR(MAX(MIN(TTM!P213,0.5),-0.5),""))</f>
        <v>8.771929824561403E-2</v>
      </c>
      <c r="Q213" s="13" t="str">
        <f>IF(TTM!Q213="","",IFERROR(MAX(MIN(TTM!Q213,0.5),-0.5),""))</f>
        <v/>
      </c>
      <c r="R213" s="13">
        <f>IF(TTM!R213="","",IFERROR(MAX(MIN(TTM!R213,0.5),-0.5),""))</f>
        <v>-0.34564778282688025</v>
      </c>
      <c r="S213" s="13">
        <f>IF(TTM!S213="","",IFERROR(MAX(MIN(TTM!S213,0.5),-0.5),""))</f>
        <v>0.5</v>
      </c>
      <c r="T213" s="13">
        <f ca="1">IF(TTM!T213="","",IFERROR(MAX(MIN(TTM!T213,0.5),-0.5),""))</f>
        <v>0.29499999999999976</v>
      </c>
      <c r="U213" s="11"/>
    </row>
    <row r="214" spans="1:21" ht="14">
      <c r="A214" s="14" t="s">
        <v>125</v>
      </c>
      <c r="B214" s="13">
        <f ca="1">IF(TTM!B214="","",IFERROR(MAX(MIN(TTM!B214,0.5),-0.5),""))</f>
        <v>-0.5</v>
      </c>
      <c r="C214" s="13">
        <f ca="1">IF(TTM!C214="","",IFERROR(MAX(MIN(TTM!C214,0.5),-0.5),""))</f>
        <v>6.2890077781997247E-2</v>
      </c>
      <c r="D214" s="13">
        <f ca="1">IF(TTM!D214="","",IFERROR(MAX(MIN(TTM!D214,0.5),-0.5),""))</f>
        <v>-0.34875416503422935</v>
      </c>
      <c r="E214" s="13">
        <f ca="1">IF(TTM!E214="","",IFERROR(MAX(MIN(TTM!E214,0.5),-0.5),""))</f>
        <v>0.21974789434729974</v>
      </c>
      <c r="F214" s="13">
        <f ca="1">IF(TTM!F214="","",IFERROR(MAX(MIN(TTM!F214,0.5),-0.5),""))</f>
        <v>-0.5</v>
      </c>
      <c r="G214" s="13">
        <f ca="1">IF(TTM!G214="","",IFERROR(MAX(MIN(TTM!G214,0.5),-0.5),""))</f>
        <v>-0.13535976893347129</v>
      </c>
      <c r="H214" s="13">
        <f ca="1">IF(TTM!H214="","",IFERROR(MAX(MIN(TTM!H214,0.5),-0.5),""))</f>
        <v>-0.25613160808999241</v>
      </c>
      <c r="I214" s="13">
        <f ca="1">IF(TTM!I214="","",IFERROR(MAX(MIN(TTM!I214,0.5),-0.5),""))</f>
        <v>-0.5</v>
      </c>
      <c r="J214" s="13">
        <f ca="1">IF(TTM!J214="","",IFERROR(MAX(MIN(TTM!J214,0.5),-0.5),""))</f>
        <v>-0.44031284661011505</v>
      </c>
      <c r="K214" s="13" t="str">
        <f>IF(TTM!K214="","",IFERROR(MAX(MIN(TTM!K214,0.5),-0.5),""))</f>
        <v/>
      </c>
      <c r="L214" s="13">
        <f ca="1">IF(TTM!L214="","",IFERROR(MAX(MIN(TTM!L214,0.5),-0.5),""))</f>
        <v>-0.5</v>
      </c>
      <c r="M214" s="13" t="str">
        <f>IF(TTM!M214="","",IFERROR(MAX(MIN(TTM!M214,0.5),-0.5),""))</f>
        <v/>
      </c>
      <c r="N214" s="13">
        <f ca="1">IF(TTM!N214="","",IFERROR(MAX(MIN(TTM!N214,0.5),-0.5),""))</f>
        <v>-0.5</v>
      </c>
      <c r="O214" s="13">
        <f ca="1">IF(TTM!O214="","",IFERROR(MAX(MIN(TTM!O214,0.5),-0.5),""))</f>
        <v>-0.5</v>
      </c>
      <c r="P214" s="13">
        <f ca="1">IF(TTM!P214="","",IFERROR(MAX(MIN(TTM!P214,0.5),-0.5),""))</f>
        <v>8.771929824561403E-2</v>
      </c>
      <c r="Q214" s="13" t="str">
        <f>IF(TTM!Q214="","",IFERROR(MAX(MIN(TTM!Q214,0.5),-0.5),""))</f>
        <v/>
      </c>
      <c r="R214" s="13">
        <f>IF(TTM!R214="","",IFERROR(MAX(MIN(TTM!R214,0.5),-0.5),""))</f>
        <v>-0.26373246744238338</v>
      </c>
      <c r="S214" s="13">
        <f>IF(TTM!S214="","",IFERROR(MAX(MIN(TTM!S214,0.5),-0.5),""))</f>
        <v>0.5</v>
      </c>
      <c r="T214" s="13">
        <f ca="1">IF(TTM!T214="","",IFERROR(MAX(MIN(TTM!T214,0.5),-0.5),""))</f>
        <v>0.5</v>
      </c>
      <c r="U214" s="11"/>
    </row>
    <row r="215" spans="1:21" ht="14">
      <c r="A215" s="14" t="s">
        <v>126</v>
      </c>
      <c r="B215" s="13">
        <f ca="1">IF(TTM!B215="","",IFERROR(MAX(MIN(TTM!B215,0.5),-0.5),""))</f>
        <v>-0.5</v>
      </c>
      <c r="C215" s="13">
        <f ca="1">IF(TTM!C215="","",IFERROR(MAX(MIN(TTM!C215,0.5),-0.5),""))</f>
        <v>3.5571743670998482E-2</v>
      </c>
      <c r="D215" s="13">
        <f ca="1">IF(TTM!D215="","",IFERROR(MAX(MIN(TTM!D215,0.5),-0.5),""))</f>
        <v>-0.27227299216368467</v>
      </c>
      <c r="E215" s="13">
        <f ca="1">IF(TTM!E215="","",IFERROR(MAX(MIN(TTM!E215,0.5),-0.5),""))</f>
        <v>8.0561028265126802E-2</v>
      </c>
      <c r="F215" s="13">
        <f ca="1">IF(TTM!F215="","",IFERROR(MAX(MIN(TTM!F215,0.5),-0.5),""))</f>
        <v>-0.46572080494200846</v>
      </c>
      <c r="G215" s="13">
        <f ca="1">IF(TTM!G215="","",IFERROR(MAX(MIN(TTM!G215,0.5),-0.5),""))</f>
        <v>-0.11206101048619799</v>
      </c>
      <c r="H215" s="13">
        <f ca="1">IF(TTM!H215="","",IFERROR(MAX(MIN(TTM!H215,0.5),-0.5),""))</f>
        <v>-0.22821706564056626</v>
      </c>
      <c r="I215" s="13">
        <f ca="1">IF(TTM!I215="","",IFERROR(MAX(MIN(TTM!I215,0.5),-0.5),""))</f>
        <v>-0.5</v>
      </c>
      <c r="J215" s="13">
        <f ca="1">IF(TTM!J215="","",IFERROR(MAX(MIN(TTM!J215,0.5),-0.5),""))</f>
        <v>-0.24091007861587027</v>
      </c>
      <c r="K215" s="13" t="str">
        <f>IF(TTM!K215="","",IFERROR(MAX(MIN(TTM!K215,0.5),-0.5),""))</f>
        <v/>
      </c>
      <c r="L215" s="13">
        <f ca="1">IF(TTM!L215="","",IFERROR(MAX(MIN(TTM!L215,0.5),-0.5),""))</f>
        <v>-0.5</v>
      </c>
      <c r="M215" s="13" t="str">
        <f>IF(TTM!M215="","",IFERROR(MAX(MIN(TTM!M215,0.5),-0.5),""))</f>
        <v/>
      </c>
      <c r="N215" s="13">
        <f ca="1">IF(TTM!N215="","",IFERROR(MAX(MIN(TTM!N215,0.5),-0.5),""))</f>
        <v>-0.23625834927728251</v>
      </c>
      <c r="O215" s="13">
        <f ca="1">IF(TTM!O215="","",IFERROR(MAX(MIN(TTM!O215,0.5),-0.5),""))</f>
        <v>-0.5</v>
      </c>
      <c r="P215" s="13">
        <f ca="1">IF(TTM!P215="","",IFERROR(MAX(MIN(TTM!P215,0.5),-0.5),""))</f>
        <v>8.771929824561403E-2</v>
      </c>
      <c r="Q215" s="13" t="str">
        <f>IF(TTM!Q215="","",IFERROR(MAX(MIN(TTM!Q215,0.5),-0.5),""))</f>
        <v/>
      </c>
      <c r="R215" s="13">
        <f>IF(TTM!R215="","",IFERROR(MAX(MIN(TTM!R215,0.5),-0.5),""))</f>
        <v>-0.18181715205788654</v>
      </c>
      <c r="S215" s="13">
        <f>IF(TTM!S215="","",IFERROR(MAX(MIN(TTM!S215,0.5),-0.5),""))</f>
        <v>0.5</v>
      </c>
      <c r="T215" s="13">
        <f ca="1">IF(TTM!T215="","",IFERROR(MAX(MIN(TTM!T215,0.5),-0.5),""))</f>
        <v>0.5</v>
      </c>
      <c r="U215" s="11"/>
    </row>
    <row r="216" spans="1:21" ht="14">
      <c r="A216" s="14" t="s">
        <v>127</v>
      </c>
      <c r="B216" s="13">
        <f ca="1">IF(TTM!B216="","",IFERROR(MAX(MIN(TTM!B216,0.5),-0.5),""))</f>
        <v>-0.2324915046584077</v>
      </c>
      <c r="C216" s="13">
        <f ca="1">IF(TTM!C216="","",IFERROR(MAX(MIN(TTM!C216,0.5),-0.5),""))</f>
        <v>5.4530195665563955E-2</v>
      </c>
      <c r="D216" s="13">
        <f ca="1">IF(TTM!D216="","",IFERROR(MAX(MIN(TTM!D216,0.5),-0.5),""))</f>
        <v>-8.6094724616896434E-2</v>
      </c>
      <c r="E216" s="13">
        <f ca="1">IF(TTM!E216="","",IFERROR(MAX(MIN(TTM!E216,0.5),-0.5),""))</f>
        <v>3.6937210200452264E-4</v>
      </c>
      <c r="F216" s="13">
        <f ca="1">IF(TTM!F216="","",IFERROR(MAX(MIN(TTM!F216,0.5),-0.5),""))</f>
        <v>-0.29033806062951739</v>
      </c>
      <c r="G216" s="13">
        <f ca="1">IF(TTM!G216="","",IFERROR(MAX(MIN(TTM!G216,0.5),-0.5),""))</f>
        <v>2.7132787156114363E-2</v>
      </c>
      <c r="H216" s="13">
        <f ca="1">IF(TTM!H216="","",IFERROR(MAX(MIN(TTM!H216,0.5),-0.5),""))</f>
        <v>-0.13922335494874236</v>
      </c>
      <c r="I216" s="13">
        <f ca="1">IF(TTM!I216="","",IFERROR(MAX(MIN(TTM!I216,0.5),-0.5),""))</f>
        <v>-0.41714278623099738</v>
      </c>
      <c r="J216" s="13">
        <f ca="1">IF(TTM!J216="","",IFERROR(MAX(MIN(TTM!J216,0.5),-0.5),""))</f>
        <v>-0.24604242144081226</v>
      </c>
      <c r="K216" s="13" t="str">
        <f>IF(TTM!K216="","",IFERROR(MAX(MIN(TTM!K216,0.5),-0.5),""))</f>
        <v/>
      </c>
      <c r="L216" s="13">
        <f ca="1">IF(TTM!L216="","",IFERROR(MAX(MIN(TTM!L216,0.5),-0.5),""))</f>
        <v>-0.5</v>
      </c>
      <c r="M216" s="13" t="str">
        <f>IF(TTM!M216="","",IFERROR(MAX(MIN(TTM!M216,0.5),-0.5),""))</f>
        <v/>
      </c>
      <c r="N216" s="13">
        <f ca="1">IF(TTM!N216="","",IFERROR(MAX(MIN(TTM!N216,0.5),-0.5),""))</f>
        <v>-0.21817939677427506</v>
      </c>
      <c r="O216" s="13">
        <f ca="1">IF(TTM!O216="","",IFERROR(MAX(MIN(TTM!O216,0.5),-0.5),""))</f>
        <v>-0.5</v>
      </c>
      <c r="P216" s="13">
        <f ca="1">IF(TTM!P216="","",IFERROR(MAX(MIN(TTM!P216,0.5),-0.5),""))</f>
        <v>0.16264811242766603</v>
      </c>
      <c r="Q216" s="13" t="str">
        <f>IF(TTM!Q216="","",IFERROR(MAX(MIN(TTM!Q216,0.5),-0.5),""))</f>
        <v/>
      </c>
      <c r="R216" s="13">
        <f>IF(TTM!R216="","",IFERROR(MAX(MIN(TTM!R216,0.5),-0.5),""))</f>
        <v>-9.9901836673389699E-2</v>
      </c>
      <c r="S216" s="13">
        <f>IF(TTM!S216="","",IFERROR(MAX(MIN(TTM!S216,0.5),-0.5),""))</f>
        <v>0.5</v>
      </c>
      <c r="T216" s="13">
        <f ca="1">IF(TTM!T216="","",IFERROR(MAX(MIN(TTM!T216,0.5),-0.5),""))</f>
        <v>0.5</v>
      </c>
      <c r="U216" s="11"/>
    </row>
    <row r="217" spans="1:21" ht="14">
      <c r="A217" s="14" t="s">
        <v>128</v>
      </c>
      <c r="B217" s="13">
        <f ca="1">IF(TTM!B217="","",IFERROR(MAX(MIN(TTM!B217,0.5),-0.5),""))</f>
        <v>9.480075239341211E-2</v>
      </c>
      <c r="C217" s="13">
        <f ca="1">IF(TTM!C217="","",IFERROR(MAX(MIN(TTM!C217,0.5),-0.5),""))</f>
        <v>3.668471949405798E-2</v>
      </c>
      <c r="D217" s="13">
        <f ca="1">IF(TTM!D217="","",IFERROR(MAX(MIN(TTM!D217,0.5),-0.5),""))</f>
        <v>4.1265429030845693E-2</v>
      </c>
      <c r="E217" s="13">
        <f ca="1">IF(TTM!E217="","",IFERROR(MAX(MIN(TTM!E217,0.5),-0.5),""))</f>
        <v>-0.15482897322103042</v>
      </c>
      <c r="F217" s="13">
        <f ca="1">IF(TTM!F217="","",IFERROR(MAX(MIN(TTM!F217,0.5),-0.5),""))</f>
        <v>-0.12670465902832578</v>
      </c>
      <c r="G217" s="13">
        <f ca="1">IF(TTM!G217="","",IFERROR(MAX(MIN(TTM!G217,0.5),-0.5),""))</f>
        <v>6.8110189865184814E-2</v>
      </c>
      <c r="H217" s="13">
        <f ca="1">IF(TTM!H217="","",IFERROR(MAX(MIN(TTM!H217,0.5),-0.5),""))</f>
        <v>-2.5025936196000582E-2</v>
      </c>
      <c r="I217" s="13">
        <f ca="1">IF(TTM!I217="","",IFERROR(MAX(MIN(TTM!I217,0.5),-0.5),""))</f>
        <v>-0.26373478492490082</v>
      </c>
      <c r="J217" s="13">
        <f ca="1">IF(TTM!J217="","",IFERROR(MAX(MIN(TTM!J217,0.5),-0.5),""))</f>
        <v>-0.25286812735033165</v>
      </c>
      <c r="K217" s="13">
        <f>IF(TTM!K217="","",IFERROR(MAX(MIN(TTM!K217,0.5),-0.5),""))</f>
        <v>-2.8916814370780475E-2</v>
      </c>
      <c r="L217" s="13">
        <f ca="1">IF(TTM!L217="","",IFERROR(MAX(MIN(TTM!L217,0.5),-0.5),""))</f>
        <v>-0.36510112792022181</v>
      </c>
      <c r="M217" s="13">
        <f ca="1">IF(TTM!M217="","",IFERROR(MAX(MIN(TTM!M217,0.5),-0.5),""))</f>
        <v>-0.24060150375939848</v>
      </c>
      <c r="N217" s="13">
        <f ca="1">IF(TTM!N217="","",IFERROR(MAX(MIN(TTM!N217,0.5),-0.5),""))</f>
        <v>-2.1717653284270944E-2</v>
      </c>
      <c r="O217" s="13">
        <f ca="1">IF(TTM!O217="","",IFERROR(MAX(MIN(TTM!O217,0.5),-0.5),""))</f>
        <v>-0.5</v>
      </c>
      <c r="P217" s="13">
        <f ca="1">IF(TTM!P217="","",IFERROR(MAX(MIN(TTM!P217,0.5),-0.5),""))</f>
        <v>0.23757692660971802</v>
      </c>
      <c r="Q217" s="13" t="str">
        <f>IF(TTM!Q217="","",IFERROR(MAX(MIN(TTM!Q217,0.5),-0.5),""))</f>
        <v/>
      </c>
      <c r="R217" s="13">
        <f>IF(TTM!R217="","",IFERROR(MAX(MIN(TTM!R217,0.5),-0.5),""))</f>
        <v>-8.650155777555471E-2</v>
      </c>
      <c r="S217" s="13">
        <f>IF(TTM!S217="","",IFERROR(MAX(MIN(TTM!S217,0.5),-0.5),""))</f>
        <v>0.5</v>
      </c>
      <c r="T217" s="13">
        <f ca="1">IF(TTM!T217="","",IFERROR(MAX(MIN(TTM!T217,0.5),-0.5),""))</f>
        <v>0.5</v>
      </c>
      <c r="U217" s="11"/>
    </row>
    <row r="218" spans="1:21" ht="14">
      <c r="A218" s="14" t="s">
        <v>129</v>
      </c>
      <c r="B218" s="13">
        <f ca="1">IF(TTM!B218="","",IFERROR(MAX(MIN(TTM!B218,0.5),-0.5),""))</f>
        <v>0.15098977635242011</v>
      </c>
      <c r="C218" s="13">
        <f ca="1">IF(TTM!C218="","",IFERROR(MAX(MIN(TTM!C218,0.5),-0.5),""))</f>
        <v>0.10803465437304502</v>
      </c>
      <c r="D218" s="13">
        <f ca="1">IF(TTM!D218="","",IFERROR(MAX(MIN(TTM!D218,0.5),-0.5),""))</f>
        <v>5.7812003008770943E-2</v>
      </c>
      <c r="E218" s="13">
        <f ca="1">IF(TTM!E218="","",IFERROR(MAX(MIN(TTM!E218,0.5),-0.5),""))</f>
        <v>-0.10420732310241167</v>
      </c>
      <c r="F218" s="13">
        <f ca="1">IF(TTM!F218="","",IFERROR(MAX(MIN(TTM!F218,0.5),-0.5),""))</f>
        <v>-4.5993908479828427E-2</v>
      </c>
      <c r="G218" s="13">
        <f ca="1">IF(TTM!G218="","",IFERROR(MAX(MIN(TTM!G218,0.5),-0.5),""))</f>
        <v>-2.6112202541919927E-2</v>
      </c>
      <c r="H218" s="13">
        <f ca="1">IF(TTM!H218="","",IFERROR(MAX(MIN(TTM!H218,0.5),-0.5),""))</f>
        <v>-1.2763597094987925E-2</v>
      </c>
      <c r="I218" s="13">
        <f ca="1">IF(TTM!I218="","",IFERROR(MAX(MIN(TTM!I218,0.5),-0.5),""))</f>
        <v>-0.13614394308742742</v>
      </c>
      <c r="J218" s="13">
        <f ca="1">IF(TTM!J218="","",IFERROR(MAX(MIN(TTM!J218,0.5),-0.5),""))</f>
        <v>-8.0271979943805416E-2</v>
      </c>
      <c r="K218" s="13">
        <f>IF(TTM!K218="","",IFERROR(MAX(MIN(TTM!K218,0.5),-0.5),""))</f>
        <v>-2.1652608838109294E-3</v>
      </c>
      <c r="L218" s="13">
        <f ca="1">IF(TTM!L218="","",IFERROR(MAX(MIN(TTM!L218,0.5),-0.5),""))</f>
        <v>-0.30538020254626563</v>
      </c>
      <c r="M218" s="13">
        <f ca="1">IF(TTM!M218="","",IFERROR(MAX(MIN(TTM!M218,0.5),-0.5),""))</f>
        <v>-0.33655075187969929</v>
      </c>
      <c r="N218" s="13">
        <f ca="1">IF(TTM!N218="","",IFERROR(MAX(MIN(TTM!N218,0.5),-0.5),""))</f>
        <v>0.15895015407913249</v>
      </c>
      <c r="O218" s="13">
        <f ca="1">IF(TTM!O218="","",IFERROR(MAX(MIN(TTM!O218,0.5),-0.5),""))</f>
        <v>-0.5</v>
      </c>
      <c r="P218" s="13">
        <f ca="1">IF(TTM!P218="","",IFERROR(MAX(MIN(TTM!P218,0.5),-0.5),""))</f>
        <v>0.3189289553301678</v>
      </c>
      <c r="Q218" s="13" t="str">
        <f>IF(TTM!Q218="","",IFERROR(MAX(MIN(TTM!Q218,0.5),-0.5),""))</f>
        <v/>
      </c>
      <c r="R218" s="13">
        <f>IF(TTM!R218="","",IFERROR(MAX(MIN(TTM!R218,0.5),-0.5),""))</f>
        <v>-7.3101278877719722E-2</v>
      </c>
      <c r="S218" s="13">
        <f ca="1">IF(TTM!S218="","",IFERROR(MAX(MIN(TTM!S218,0.5),-0.5),""))</f>
        <v>0.5</v>
      </c>
      <c r="T218" s="13">
        <f ca="1">IF(TTM!T218="","",IFERROR(MAX(MIN(TTM!T218,0.5),-0.5),""))</f>
        <v>1.9337259382965629E-3</v>
      </c>
      <c r="U218" s="11"/>
    </row>
    <row r="219" spans="1:21" ht="14">
      <c r="A219" s="14" t="s">
        <v>130</v>
      </c>
      <c r="B219" s="13">
        <f ca="1">IF(TTM!B219="","",IFERROR(MAX(MIN(TTM!B219,0.5),-0.5),""))</f>
        <v>0.16602939819879006</v>
      </c>
      <c r="C219" s="13">
        <f ca="1">IF(TTM!C219="","",IFERROR(MAX(MIN(TTM!C219,0.5),-0.5),""))</f>
        <v>0.14616865923651229</v>
      </c>
      <c r="D219" s="13">
        <f ca="1">IF(TTM!D219="","",IFERROR(MAX(MIN(TTM!D219,0.5),-0.5),""))</f>
        <v>6.6229973548008025E-2</v>
      </c>
      <c r="E219" s="13">
        <f ca="1">IF(TTM!E219="","",IFERROR(MAX(MIN(TTM!E219,0.5),-0.5),""))</f>
        <v>-4.26557216524074E-2</v>
      </c>
      <c r="F219" s="13">
        <f ca="1">IF(TTM!F219="","",IFERROR(MAX(MIN(TTM!F219,0.5),-0.5),""))</f>
        <v>-1.4700092823753015E-2</v>
      </c>
      <c r="G219" s="13">
        <f ca="1">IF(TTM!G219="","",IFERROR(MAX(MIN(TTM!G219,0.5),-0.5),""))</f>
        <v>-0.14133197943834352</v>
      </c>
      <c r="H219" s="13">
        <f ca="1">IF(TTM!H219="","",IFERROR(MAX(MIN(TTM!H219,0.5),-0.5),""))</f>
        <v>-9.4560327267117668E-3</v>
      </c>
      <c r="I219" s="13">
        <f ca="1">IF(TTM!I219="","",IFERROR(MAX(MIN(TTM!I219,0.5),-0.5),""))</f>
        <v>-8.3510721636208513E-2</v>
      </c>
      <c r="J219" s="13">
        <f ca="1">IF(TTM!J219="","",IFERROR(MAX(MIN(TTM!J219,0.5),-0.5),""))</f>
        <v>-6.2103990758425723E-2</v>
      </c>
      <c r="K219" s="13">
        <f>IF(TTM!K219="","",IFERROR(MAX(MIN(TTM!K219,0.5),-0.5),""))</f>
        <v>2.4586292603158616E-2</v>
      </c>
      <c r="L219" s="13">
        <f ca="1">IF(TTM!L219="","",IFERROR(MAX(MIN(TTM!L219,0.5),-0.5),""))</f>
        <v>-0.15585604436750031</v>
      </c>
      <c r="M219" s="13">
        <f ca="1">IF(TTM!M219="","",IFERROR(MAX(MIN(TTM!M219,0.5),-0.5),""))</f>
        <v>-0.25062979418242581</v>
      </c>
      <c r="N219" s="13">
        <f ca="1">IF(TTM!N219="","",IFERROR(MAX(MIN(TTM!N219,0.5),-0.5),""))</f>
        <v>0.23923064377468933</v>
      </c>
      <c r="O219" s="13">
        <f ca="1">IF(TTM!O219="","",IFERROR(MAX(MIN(TTM!O219,0.5),-0.5),""))</f>
        <v>-0.17841605329166565</v>
      </c>
      <c r="P219" s="13">
        <f ca="1">IF(TTM!P219="","",IFERROR(MAX(MIN(TTM!P219,0.5),-0.5),""))</f>
        <v>0.40028098405061757</v>
      </c>
      <c r="Q219" s="13" t="str">
        <f>IF(TTM!Q219="","",IFERROR(MAX(MIN(TTM!Q219,0.5),-0.5),""))</f>
        <v/>
      </c>
      <c r="R219" s="13">
        <f>IF(TTM!R219="","",IFERROR(MAX(MIN(TTM!R219,0.5),-0.5),""))</f>
        <v>-5.9700999979884734E-2</v>
      </c>
      <c r="S219" s="13">
        <f ca="1">IF(TTM!S219="","",IFERROR(MAX(MIN(TTM!S219,0.5),-0.5),""))</f>
        <v>0.5</v>
      </c>
      <c r="T219" s="13">
        <f ca="1">IF(TTM!T219="","",IFERROR(MAX(MIN(TTM!T219,0.5),-0.5),""))</f>
        <v>-3.6617555157503374E-2</v>
      </c>
      <c r="U219" s="11"/>
    </row>
    <row r="220" spans="1:21" ht="14">
      <c r="A220" s="14" t="s">
        <v>131</v>
      </c>
      <c r="B220" s="13">
        <f ca="1">IF(TTM!B220="","",IFERROR(MAX(MIN(TTM!B220,0.5),-0.5),""))</f>
        <v>0.19946105713860349</v>
      </c>
      <c r="C220" s="13">
        <f ca="1">IF(TTM!C220="","",IFERROR(MAX(MIN(TTM!C220,0.5),-0.5),""))</f>
        <v>0.16738701349778456</v>
      </c>
      <c r="D220" s="13">
        <f ca="1">IF(TTM!D220="","",IFERROR(MAX(MIN(TTM!D220,0.5),-0.5),""))</f>
        <v>3.2037747453373754E-2</v>
      </c>
      <c r="E220" s="13">
        <f ca="1">IF(TTM!E220="","",IFERROR(MAX(MIN(TTM!E220,0.5),-0.5),""))</f>
        <v>0.12282745792079175</v>
      </c>
      <c r="F220" s="13">
        <f ca="1">IF(TTM!F220="","",IFERROR(MAX(MIN(TTM!F220,0.5),-0.5),""))</f>
        <v>2.2755658869990106E-2</v>
      </c>
      <c r="G220" s="13">
        <f ca="1">IF(TTM!G220="","",IFERROR(MAX(MIN(TTM!G220,0.5),-0.5),""))</f>
        <v>-0.17326367526327541</v>
      </c>
      <c r="H220" s="13">
        <f ca="1">IF(TTM!H220="","",IFERROR(MAX(MIN(TTM!H220,0.5),-0.5),""))</f>
        <v>1.3619222098705714E-2</v>
      </c>
      <c r="I220" s="13">
        <f ca="1">IF(TTM!I220="","",IFERROR(MAX(MIN(TTM!I220,0.5),-0.5),""))</f>
        <v>-8.8778510063008548E-2</v>
      </c>
      <c r="J220" s="13">
        <f ca="1">IF(TTM!J220="","",IFERROR(MAX(MIN(TTM!J220,0.5),-0.5),""))</f>
        <v>-4.1568153143844773E-2</v>
      </c>
      <c r="K220" s="13">
        <f>IF(TTM!K220="","",IFERROR(MAX(MIN(TTM!K220,0.5),-0.5),""))</f>
        <v>5.1337846090128161E-2</v>
      </c>
      <c r="L220" s="13">
        <f ca="1">IF(TTM!L220="","",IFERROR(MAX(MIN(TTM!L220,0.5),-0.5),""))</f>
        <v>-9.4681627666175106E-2</v>
      </c>
      <c r="M220" s="13">
        <f ca="1">IF(TTM!M220="","",IFERROR(MAX(MIN(TTM!M220,0.5),-0.5),""))</f>
        <v>-0.19384191085421063</v>
      </c>
      <c r="N220" s="13">
        <f ca="1">IF(TTM!N220="","",IFERROR(MAX(MIN(TTM!N220,0.5),-0.5),""))</f>
        <v>0.19924058197106306</v>
      </c>
      <c r="O220" s="13">
        <f ca="1">IF(TTM!O220="","",IFERROR(MAX(MIN(TTM!O220,0.5),-0.5),""))</f>
        <v>-6.3882202086207165E-2</v>
      </c>
      <c r="P220" s="13">
        <f ca="1">IF(TTM!P220="","",IFERROR(MAX(MIN(TTM!P220,0.5),-0.5),""))</f>
        <v>0.40163663102144775</v>
      </c>
      <c r="Q220" s="13" t="str">
        <f>IF(TTM!Q220="","",IFERROR(MAX(MIN(TTM!Q220,0.5),-0.5),""))</f>
        <v/>
      </c>
      <c r="R220" s="13">
        <f>IF(TTM!R220="","",IFERROR(MAX(MIN(TTM!R220,0.5),-0.5),""))</f>
        <v>-4.6300721082049752E-2</v>
      </c>
      <c r="S220" s="13">
        <f ca="1">IF(TTM!S220="","",IFERROR(MAX(MIN(TTM!S220,0.5),-0.5),""))</f>
        <v>0.48019262772474314</v>
      </c>
      <c r="T220" s="13">
        <f ca="1">IF(TTM!T220="","",IFERROR(MAX(MIN(TTM!T220,0.5),-0.5),""))</f>
        <v>-9.9779069704794512E-2</v>
      </c>
      <c r="U220" s="11"/>
    </row>
    <row r="221" spans="1:21" ht="14">
      <c r="A221" s="14" t="s">
        <v>132</v>
      </c>
      <c r="B221" s="13">
        <f ca="1">IF(TTM!B221="","",IFERROR(MAX(MIN(TTM!B221,0.5),-0.5),""))</f>
        <v>0.21867752964185377</v>
      </c>
      <c r="C221" s="13">
        <f ca="1">IF(TTM!C221="","",IFERROR(MAX(MIN(TTM!C221,0.5),-0.5),""))</f>
        <v>0.26619426198551405</v>
      </c>
      <c r="D221" s="13">
        <f ca="1">IF(TTM!D221="","",IFERROR(MAX(MIN(TTM!D221,0.5),-0.5),""))</f>
        <v>4.9436808282576974E-2</v>
      </c>
      <c r="E221" s="13">
        <f ca="1">IF(TTM!E221="","",IFERROR(MAX(MIN(TTM!E221,0.5),-0.5),""))</f>
        <v>0.27653378521374172</v>
      </c>
      <c r="F221" s="13">
        <f ca="1">IF(TTM!F221="","",IFERROR(MAX(MIN(TTM!F221,0.5),-0.5),""))</f>
        <v>4.4136391776720421E-2</v>
      </c>
      <c r="G221" s="13">
        <f ca="1">IF(TTM!G221="","",IFERROR(MAX(MIN(TTM!G221,0.5),-0.5),""))</f>
        <v>-0.12685137426038526</v>
      </c>
      <c r="H221" s="13">
        <f ca="1">IF(TTM!H221="","",IFERROR(MAX(MIN(TTM!H221,0.5),-0.5),""))</f>
        <v>4.20210893147865E-2</v>
      </c>
      <c r="I221" s="13">
        <f ca="1">IF(TTM!I221="","",IFERROR(MAX(MIN(TTM!I221,0.5),-0.5),""))</f>
        <v>-7.0887630597694595E-2</v>
      </c>
      <c r="J221" s="13">
        <f ca="1">IF(TTM!J221="","",IFERROR(MAX(MIN(TTM!J221,0.5),-0.5),""))</f>
        <v>-2.2675418691836279E-2</v>
      </c>
      <c r="K221" s="13">
        <f>IF(TTM!K221="","",IFERROR(MAX(MIN(TTM!K221,0.5),-0.5),""))</f>
        <v>7.8089399577097707E-2</v>
      </c>
      <c r="L221" s="13">
        <f ca="1">IF(TTM!L221="","",IFERROR(MAX(MIN(TTM!L221,0.5),-0.5),""))</f>
        <v>4.6773390895370734E-2</v>
      </c>
      <c r="M221" s="13">
        <f ca="1">IF(TTM!M221="","",IFERROR(MAX(MIN(TTM!M221,0.5),-0.5),""))</f>
        <v>-0.13322643284335506</v>
      </c>
      <c r="N221" s="13">
        <f ca="1">IF(TTM!N221="","",IFERROR(MAX(MIN(TTM!N221,0.5),-0.5),""))</f>
        <v>0.1946319378628103</v>
      </c>
      <c r="O221" s="13">
        <f ca="1">IF(TTM!O221="","",IFERROR(MAX(MIN(TTM!O221,0.5),-0.5),""))</f>
        <v>5.065164911925131E-2</v>
      </c>
      <c r="P221" s="13">
        <f ca="1">IF(TTM!P221="","",IFERROR(MAX(MIN(TTM!P221,0.5),-0.5),""))</f>
        <v>0.40299227799227799</v>
      </c>
      <c r="Q221" s="13" t="str">
        <f>IF(TTM!Q221="","",IFERROR(MAX(MIN(TTM!Q221,0.5),-0.5),""))</f>
        <v/>
      </c>
      <c r="R221" s="13">
        <f ca="1">IF(TTM!R221="","",IFERROR(MAX(MIN(TTM!R221,0.5),-0.5),""))</f>
        <v>-8.6312647172612222E-3</v>
      </c>
      <c r="S221" s="13">
        <f ca="1">IF(TTM!S221="","",IFERROR(MAX(MIN(TTM!S221,0.5),-0.5),""))</f>
        <v>0.4454835756129541</v>
      </c>
      <c r="T221" s="13">
        <f ca="1">IF(TTM!T221="","",IFERROR(MAX(MIN(TTM!T221,0.5),-0.5),""))</f>
        <v>-6.9948196711188279E-2</v>
      </c>
      <c r="U221" s="11"/>
    </row>
    <row r="222" spans="1:21" ht="14">
      <c r="A222" s="14" t="s">
        <v>133</v>
      </c>
      <c r="B222" s="13">
        <f ca="1">IF(TTM!B222="","",IFERROR(MAX(MIN(TTM!B222,0.5),-0.5),""))</f>
        <v>0.24119352699030147</v>
      </c>
      <c r="C222" s="13">
        <f ca="1">IF(TTM!C222="","",IFERROR(MAX(MIN(TTM!C222,0.5),-0.5),""))</f>
        <v>0.27364681941025509</v>
      </c>
      <c r="D222" s="13">
        <f ca="1">IF(TTM!D222="","",IFERROR(MAX(MIN(TTM!D222,0.5),-0.5),""))</f>
        <v>9.3962317939284584E-2</v>
      </c>
      <c r="E222" s="13">
        <f ca="1">IF(TTM!E222="","",IFERROR(MAX(MIN(TTM!E222,0.5),-0.5),""))</f>
        <v>0.26736712391853285</v>
      </c>
      <c r="F222" s="13">
        <f ca="1">IF(TTM!F222="","",IFERROR(MAX(MIN(TTM!F222,0.5),-0.5),""))</f>
        <v>3.4629017918721798E-2</v>
      </c>
      <c r="G222" s="13">
        <f ca="1">IF(TTM!G222="","",IFERROR(MAX(MIN(TTM!G222,0.5),-0.5),""))</f>
        <v>-4.2672200906911789E-3</v>
      </c>
      <c r="H222" s="13">
        <f ca="1">IF(TTM!H222="","",IFERROR(MAX(MIN(TTM!H222,0.5),-0.5),""))</f>
        <v>8.4792167089295975E-2</v>
      </c>
      <c r="I222" s="13">
        <f ca="1">IF(TTM!I222="","",IFERROR(MAX(MIN(TTM!I222,0.5),-0.5),""))</f>
        <v>-2.6476775008905992E-2</v>
      </c>
      <c r="J222" s="13">
        <f ca="1">IF(TTM!J222="","",IFERROR(MAX(MIN(TTM!J222,0.5),-0.5),""))</f>
        <v>1.8675055140649141E-2</v>
      </c>
      <c r="K222" s="13">
        <f>IF(TTM!K222="","",IFERROR(MAX(MIN(TTM!K222,0.5),-0.5),""))</f>
        <v>7.8511391055736082E-2</v>
      </c>
      <c r="L222" s="13">
        <f ca="1">IF(TTM!L222="","",IFERROR(MAX(MIN(TTM!L222,0.5),-0.5),""))</f>
        <v>0.17122295996655743</v>
      </c>
      <c r="M222" s="13">
        <f ca="1">IF(TTM!M222="","",IFERROR(MAX(MIN(TTM!M222,0.5),-0.5),""))</f>
        <v>2.5867391996556993E-3</v>
      </c>
      <c r="N222" s="13">
        <f ca="1">IF(TTM!N222="","",IFERROR(MAX(MIN(TTM!N222,0.5),-0.5),""))</f>
        <v>0.14324504432423568</v>
      </c>
      <c r="O222" s="13">
        <f ca="1">IF(TTM!O222="","",IFERROR(MAX(MIN(TTM!O222,0.5),-0.5),""))</f>
        <v>9.9382429356135088E-2</v>
      </c>
      <c r="P222" s="13">
        <f ca="1">IF(TTM!P222="","",IFERROR(MAX(MIN(TTM!P222,0.5),-0.5),""))</f>
        <v>0.39124047935523348</v>
      </c>
      <c r="Q222" s="13" t="str">
        <f>IF(TTM!Q222="","",IFERROR(MAX(MIN(TTM!Q222,0.5),-0.5),""))</f>
        <v/>
      </c>
      <c r="R222" s="13">
        <f ca="1">IF(TTM!R222="","",IFERROR(MAX(MIN(TTM!R222,0.5),-0.5),""))</f>
        <v>4.5848205982294124E-2</v>
      </c>
      <c r="S222" s="13">
        <f ca="1">IF(TTM!S222="","",IFERROR(MAX(MIN(TTM!S222,0.5),-0.5),""))</f>
        <v>0.40080622241413943</v>
      </c>
      <c r="T222" s="13">
        <f ca="1">IF(TTM!T222="","",IFERROR(MAX(MIN(TTM!T222,0.5),-0.5),""))</f>
        <v>-7.2750565565901926E-2</v>
      </c>
      <c r="U222" s="11"/>
    </row>
    <row r="223" spans="1:21" ht="14">
      <c r="A223" s="14" t="s">
        <v>134</v>
      </c>
      <c r="B223" s="13">
        <f ca="1">IF(TTM!B223="","",IFERROR(MAX(MIN(TTM!B223,0.5),-0.5),""))</f>
        <v>0.25469268719046256</v>
      </c>
      <c r="C223" s="13">
        <f ca="1">IF(TTM!C223="","",IFERROR(MAX(MIN(TTM!C223,0.5),-0.5),""))</f>
        <v>0.29099933697743585</v>
      </c>
      <c r="D223" s="13">
        <f ca="1">IF(TTM!D223="","",IFERROR(MAX(MIN(TTM!D223,0.5),-0.5),""))</f>
        <v>7.4548680559406E-2</v>
      </c>
      <c r="E223" s="13">
        <f ca="1">IF(TTM!E223="","",IFERROR(MAX(MIN(TTM!E223,0.5),-0.5),""))</f>
        <v>0.33344498044156928</v>
      </c>
      <c r="F223" s="13">
        <f ca="1">IF(TTM!F223="","",IFERROR(MAX(MIN(TTM!F223,0.5),-0.5),""))</f>
        <v>3.0878716463972708E-2</v>
      </c>
      <c r="G223" s="13">
        <f ca="1">IF(TTM!G223="","",IFERROR(MAX(MIN(TTM!G223,0.5),-0.5),""))</f>
        <v>-0.19411925295054858</v>
      </c>
      <c r="H223" s="13">
        <f ca="1">IF(TTM!H223="","",IFERROR(MAX(MIN(TTM!H223,0.5),-0.5),""))</f>
        <v>9.7284473388147122E-2</v>
      </c>
      <c r="I223" s="13">
        <f ca="1">IF(TTM!I223="","",IFERROR(MAX(MIN(TTM!I223,0.5),-0.5),""))</f>
        <v>1.4550072079941877E-2</v>
      </c>
      <c r="J223" s="13">
        <f ca="1">IF(TTM!J223="","",IFERROR(MAX(MIN(TTM!J223,0.5),-0.5),""))</f>
        <v>3.5568488177281532E-2</v>
      </c>
      <c r="K223" s="13">
        <f>IF(TTM!K223="","",IFERROR(MAX(MIN(TTM!K223,0.5),-0.5),""))</f>
        <v>7.8933382534374458E-2</v>
      </c>
      <c r="L223" s="13">
        <f ca="1">IF(TTM!L223="","",IFERROR(MAX(MIN(TTM!L223,0.5),-0.5),""))</f>
        <v>0.13075569389700731</v>
      </c>
      <c r="M223" s="13">
        <f ca="1">IF(TTM!M223="","",IFERROR(MAX(MIN(TTM!M223,0.5),-0.5),""))</f>
        <v>5.6135383537773725E-2</v>
      </c>
      <c r="N223" s="13">
        <f ca="1">IF(TTM!N223="","",IFERROR(MAX(MIN(TTM!N223,0.5),-0.5),""))</f>
        <v>0.10075710532131672</v>
      </c>
      <c r="O223" s="13">
        <f ca="1">IF(TTM!O223="","",IFERROR(MAX(MIN(TTM!O223,0.5),-0.5),""))</f>
        <v>0.14811320959301888</v>
      </c>
      <c r="P223" s="13">
        <f ca="1">IF(TTM!P223="","",IFERROR(MAX(MIN(TTM!P223,0.5),-0.5),""))</f>
        <v>0.37948868071818892</v>
      </c>
      <c r="Q223" s="13" t="str">
        <f>IF(TTM!Q223="","",IFERROR(MAX(MIN(TTM!Q223,0.5),-0.5),""))</f>
        <v/>
      </c>
      <c r="R223" s="13">
        <f ca="1">IF(TTM!R223="","",IFERROR(MAX(MIN(TTM!R223,0.5),-0.5),""))</f>
        <v>9.576694453501515E-2</v>
      </c>
      <c r="S223" s="13">
        <f ca="1">IF(TTM!S223="","",IFERROR(MAX(MIN(TTM!S223,0.5),-0.5),""))</f>
        <v>0.44551040143942344</v>
      </c>
      <c r="T223" s="13">
        <f ca="1">IF(TTM!T223="","",IFERROR(MAX(MIN(TTM!T223,0.5),-0.5),""))</f>
        <v>-0.12346734378885404</v>
      </c>
      <c r="U223" s="11"/>
    </row>
    <row r="224" spans="1:21" ht="14">
      <c r="A224" s="14" t="s">
        <v>135</v>
      </c>
      <c r="B224" s="13">
        <f ca="1">IF(TTM!B224="","",IFERROR(MAX(MIN(TTM!B224,0.5),-0.5),""))</f>
        <v>0.16630760253276752</v>
      </c>
      <c r="C224" s="13">
        <f ca="1">IF(TTM!C224="","",IFERROR(MAX(MIN(TTM!C224,0.5),-0.5),""))</f>
        <v>0.22282541391868482</v>
      </c>
      <c r="D224" s="13">
        <f ca="1">IF(TTM!D224="","",IFERROR(MAX(MIN(TTM!D224,0.5),-0.5),""))</f>
        <v>7.188126759176279E-2</v>
      </c>
      <c r="E224" s="13">
        <f ca="1">IF(TTM!E224="","",IFERROR(MAX(MIN(TTM!E224,0.5),-0.5),""))</f>
        <v>0.24107142933514145</v>
      </c>
      <c r="F224" s="13">
        <f ca="1">IF(TTM!F224="","",IFERROR(MAX(MIN(TTM!F224,0.5),-0.5),""))</f>
        <v>6.2690972005041812E-2</v>
      </c>
      <c r="G224" s="13">
        <f ca="1">IF(TTM!G224="","",IFERROR(MAX(MIN(TTM!G224,0.5),-0.5),""))</f>
        <v>-0.21967752966836418</v>
      </c>
      <c r="H224" s="13">
        <f ca="1">IF(TTM!H224="","",IFERROR(MAX(MIN(TTM!H224,0.5),-0.5),""))</f>
        <v>0.1110307252622101</v>
      </c>
      <c r="I224" s="13">
        <f ca="1">IF(TTM!I224="","",IFERROR(MAX(MIN(TTM!I224,0.5),-0.5),""))</f>
        <v>4.3904621789367951E-2</v>
      </c>
      <c r="J224" s="13">
        <f ca="1">IF(TTM!J224="","",IFERROR(MAX(MIN(TTM!J224,0.5),-0.5),""))</f>
        <v>6.4078304091788787E-2</v>
      </c>
      <c r="K224" s="13">
        <f>IF(TTM!K224="","",IFERROR(MAX(MIN(TTM!K224,0.5),-0.5),""))</f>
        <v>7.9355374013012833E-2</v>
      </c>
      <c r="L224" s="13">
        <f ca="1">IF(TTM!L224="","",IFERROR(MAX(MIN(TTM!L224,0.5),-0.5),""))</f>
        <v>0.20413896948027627</v>
      </c>
      <c r="M224" s="13">
        <f ca="1">IF(TTM!M224="","",IFERROR(MAX(MIN(TTM!M224,0.5),-0.5),""))</f>
        <v>6.4088961250232543E-2</v>
      </c>
      <c r="N224" s="13">
        <f ca="1">IF(TTM!N224="","",IFERROR(MAX(MIN(TTM!N224,0.5),-0.5),""))</f>
        <v>0.11318971819175758</v>
      </c>
      <c r="O224" s="13">
        <f ca="1">IF(TTM!O224="","",IFERROR(MAX(MIN(TTM!O224,0.5),-0.5),""))</f>
        <v>0.18955303282097724</v>
      </c>
      <c r="P224" s="13">
        <f ca="1">IF(TTM!P224="","",IFERROR(MAX(MIN(TTM!P224,0.5),-0.5),""))</f>
        <v>0.42335772833723651</v>
      </c>
      <c r="Q224" s="13" t="str">
        <f>IF(TTM!Q224="","",IFERROR(MAX(MIN(TTM!Q224,0.5),-0.5),""))</f>
        <v/>
      </c>
      <c r="R224" s="13">
        <f ca="1">IF(TTM!R224="","",IFERROR(MAX(MIN(TTM!R224,0.5),-0.5),""))</f>
        <v>0.11695750942091221</v>
      </c>
      <c r="S224" s="13">
        <f ca="1">IF(TTM!S224="","",IFERROR(MAX(MIN(TTM!S224,0.5),-0.5),""))</f>
        <v>0.46094372567534847</v>
      </c>
      <c r="T224" s="13">
        <f ca="1">IF(TTM!T224="","",IFERROR(MAX(MIN(TTM!T224,0.5),-0.5),""))</f>
        <v>-7.3094571931619071E-2</v>
      </c>
      <c r="U224" s="11"/>
    </row>
    <row r="225" spans="1:21" ht="14">
      <c r="A225" s="14" t="s">
        <v>136</v>
      </c>
      <c r="B225" s="13">
        <f ca="1">IF(TTM!B225="","",IFERROR(MAX(MIN(TTM!B225,0.5),-0.5),""))</f>
        <v>0.18262782699218827</v>
      </c>
      <c r="C225" s="13">
        <f ca="1">IF(TTM!C225="","",IFERROR(MAX(MIN(TTM!C225,0.5),-0.5),""))</f>
        <v>0.25583288040373542</v>
      </c>
      <c r="D225" s="13">
        <f ca="1">IF(TTM!D225="","",IFERROR(MAX(MIN(TTM!D225,0.5),-0.5),""))</f>
        <v>6.4190648389860244E-2</v>
      </c>
      <c r="E225" s="13">
        <f ca="1">IF(TTM!E225="","",IFERROR(MAX(MIN(TTM!E225,0.5),-0.5),""))</f>
        <v>0.22404301774719912</v>
      </c>
      <c r="F225" s="13">
        <f ca="1">IF(TTM!F225="","",IFERROR(MAX(MIN(TTM!F225,0.5),-0.5),""))</f>
        <v>6.2672206438151093E-2</v>
      </c>
      <c r="G225" s="13">
        <f ca="1">IF(TTM!G225="","",IFERROR(MAX(MIN(TTM!G225,0.5),-0.5),""))</f>
        <v>-0.28112844599800707</v>
      </c>
      <c r="H225" s="13">
        <f ca="1">IF(TTM!H225="","",IFERROR(MAX(MIN(TTM!H225,0.5),-0.5),""))</f>
        <v>0.12283560277063282</v>
      </c>
      <c r="I225" s="13">
        <f ca="1">IF(TTM!I225="","",IFERROR(MAX(MIN(TTM!I225,0.5),-0.5),""))</f>
        <v>8.1207708575274068E-2</v>
      </c>
      <c r="J225" s="13">
        <f ca="1">IF(TTM!J225="","",IFERROR(MAX(MIN(TTM!J225,0.5),-0.5),""))</f>
        <v>0.11420662523242342</v>
      </c>
      <c r="K225" s="13">
        <f ca="1">IF(TTM!K225="","",IFERROR(MAX(MIN(TTM!K225,0.5),-0.5),""))</f>
        <v>8.3101850796040516E-2</v>
      </c>
      <c r="L225" s="13">
        <f ca="1">IF(TTM!L225="","",IFERROR(MAX(MIN(TTM!L225,0.5),-0.5),""))</f>
        <v>0.19085569252665815</v>
      </c>
      <c r="M225" s="13">
        <f ca="1">IF(TTM!M225="","",IFERROR(MAX(MIN(TTM!M225,0.5),-0.5),""))</f>
        <v>6.9700031723201633E-2</v>
      </c>
      <c r="N225" s="13">
        <f ca="1">IF(TTM!N225="","",IFERROR(MAX(MIN(TTM!N225,0.5),-0.5),""))</f>
        <v>9.6124840341100734E-2</v>
      </c>
      <c r="O225" s="13">
        <f ca="1">IF(TTM!O225="","",IFERROR(MAX(MIN(TTM!O225,0.5),-0.5),""))</f>
        <v>0.2309928560489356</v>
      </c>
      <c r="P225" s="13">
        <f ca="1">IF(TTM!P225="","",IFERROR(MAX(MIN(TTM!P225,0.5),-0.5),""))</f>
        <v>0.46722677595628415</v>
      </c>
      <c r="Q225" s="13" t="str">
        <f>IF(TTM!Q225="","",IFERROR(MAX(MIN(TTM!Q225,0.5),-0.5),""))</f>
        <v/>
      </c>
      <c r="R225" s="13">
        <f ca="1">IF(TTM!R225="","",IFERROR(MAX(MIN(TTM!R225,0.5),-0.5),""))</f>
        <v>0.12051884557153406</v>
      </c>
      <c r="S225" s="13">
        <f ca="1">IF(TTM!S225="","",IFERROR(MAX(MIN(TTM!S225,0.5),-0.5),""))</f>
        <v>0.46078902550236056</v>
      </c>
      <c r="T225" s="13">
        <f ca="1">IF(TTM!T225="","",IFERROR(MAX(MIN(TTM!T225,0.5),-0.5),""))</f>
        <v>-7.6116165379697898E-2</v>
      </c>
      <c r="U225" s="11"/>
    </row>
    <row r="226" spans="1:21" ht="14">
      <c r="A226" s="14" t="s">
        <v>137</v>
      </c>
      <c r="B226" s="13">
        <f ca="1">IF(TTM!B226="","",IFERROR(MAX(MIN(TTM!B226,0.5),-0.5),""))</f>
        <v>0.17654654873272507</v>
      </c>
      <c r="C226" s="13">
        <f ca="1">IF(TTM!C226="","",IFERROR(MAX(MIN(TTM!C226,0.5),-0.5),""))</f>
        <v>0.26378634048095961</v>
      </c>
      <c r="D226" s="13">
        <f ca="1">IF(TTM!D226="","",IFERROR(MAX(MIN(TTM!D226,0.5),-0.5),""))</f>
        <v>6.393520310319406E-2</v>
      </c>
      <c r="E226" s="13">
        <f ca="1">IF(TTM!E226="","",IFERROR(MAX(MIN(TTM!E226,0.5),-0.5),""))</f>
        <v>0.2705454509039813</v>
      </c>
      <c r="F226" s="13">
        <f ca="1">IF(TTM!F226="","",IFERROR(MAX(MIN(TTM!F226,0.5),-0.5),""))</f>
        <v>5.9519688089190934E-2</v>
      </c>
      <c r="G226" s="13">
        <f ca="1">IF(TTM!G226="","",IFERROR(MAX(MIN(TTM!G226,0.5),-0.5),""))</f>
        <v>-0.3173688240766821</v>
      </c>
      <c r="H226" s="13">
        <f ca="1">IF(TTM!H226="","",IFERROR(MAX(MIN(TTM!H226,0.5),-0.5),""))</f>
        <v>0.11252806308809314</v>
      </c>
      <c r="I226" s="13">
        <f ca="1">IF(TTM!I226="","",IFERROR(MAX(MIN(TTM!I226,0.5),-0.5),""))</f>
        <v>7.4704024557941534E-2</v>
      </c>
      <c r="J226" s="13">
        <f ca="1">IF(TTM!J226="","",IFERROR(MAX(MIN(TTM!J226,0.5),-0.5),""))</f>
        <v>0.11958071549407877</v>
      </c>
      <c r="K226" s="13">
        <f ca="1">IF(TTM!K226="","",IFERROR(MAX(MIN(TTM!K226,0.5),-0.5),""))</f>
        <v>8.5103732561829681E-2</v>
      </c>
      <c r="L226" s="13">
        <f ca="1">IF(TTM!L226="","",IFERROR(MAX(MIN(TTM!L226,0.5),-0.5),""))</f>
        <v>0.17831758616484591</v>
      </c>
      <c r="M226" s="13">
        <f ca="1">IF(TTM!M226="","",IFERROR(MAX(MIN(TTM!M226,0.5),-0.5),""))</f>
        <v>6.5160007828339028E-2</v>
      </c>
      <c r="N226" s="13">
        <f ca="1">IF(TTM!N226="","",IFERROR(MAX(MIN(TTM!N226,0.5),-0.5),""))</f>
        <v>0.11526837801691411</v>
      </c>
      <c r="O226" s="13">
        <f ca="1">IF(TTM!O226="","",IFERROR(MAX(MIN(TTM!O226,0.5),-0.5),""))</f>
        <v>0.23505250608842401</v>
      </c>
      <c r="P226" s="13">
        <f ca="1">IF(TTM!P226="","",IFERROR(MAX(MIN(TTM!P226,0.5),-0.5),""))</f>
        <v>0.48600267944352049</v>
      </c>
      <c r="Q226" s="13" t="str">
        <f>IF(TTM!Q226="","",IFERROR(MAX(MIN(TTM!Q226,0.5),-0.5),""))</f>
        <v/>
      </c>
      <c r="R226" s="13">
        <f ca="1">IF(TTM!R226="","",IFERROR(MAX(MIN(TTM!R226,0.5),-0.5),""))</f>
        <v>0.11734773379678351</v>
      </c>
      <c r="S226" s="13">
        <f ca="1">IF(TTM!S226="","",IFERROR(MAX(MIN(TTM!S226,0.5),-0.5),""))</f>
        <v>0.48231903315278535</v>
      </c>
      <c r="T226" s="13">
        <f ca="1">IF(TTM!T226="","",IFERROR(MAX(MIN(TTM!T226,0.5),-0.5),""))</f>
        <v>-7.3063625027561405E-2</v>
      </c>
      <c r="U226" s="11"/>
    </row>
    <row r="227" spans="1:21" ht="14">
      <c r="A227" s="14" t="s">
        <v>138</v>
      </c>
      <c r="B227" s="13">
        <f ca="1">IF(TTM!B227="","",IFERROR(MAX(MIN(TTM!B227,0.5),-0.5),""))</f>
        <v>0.16920618299800105</v>
      </c>
      <c r="C227" s="13">
        <f ca="1">IF(TTM!C227="","",IFERROR(MAX(MIN(TTM!C227,0.5),-0.5),""))</f>
        <v>0.24626972512133338</v>
      </c>
      <c r="D227" s="13">
        <f ca="1">IF(TTM!D227="","",IFERROR(MAX(MIN(TTM!D227,0.5),-0.5),""))</f>
        <v>8.9501473616630217E-2</v>
      </c>
      <c r="E227" s="13">
        <f ca="1">IF(TTM!E227="","",IFERROR(MAX(MIN(TTM!E227,0.5),-0.5),""))</f>
        <v>0.29873798988665506</v>
      </c>
      <c r="F227" s="13">
        <f ca="1">IF(TTM!F227="","",IFERROR(MAX(MIN(TTM!F227,0.5),-0.5),""))</f>
        <v>6.0515963957097095E-2</v>
      </c>
      <c r="G227" s="13">
        <f ca="1">IF(TTM!G227="","",IFERROR(MAX(MIN(TTM!G227,0.5),-0.5),""))</f>
        <v>-5.9608488098637863E-2</v>
      </c>
      <c r="H227" s="13">
        <f ca="1">IF(TTM!H227="","",IFERROR(MAX(MIN(TTM!H227,0.5),-0.5),""))</f>
        <v>0.12477381849996497</v>
      </c>
      <c r="I227" s="13">
        <f ca="1">IF(TTM!I227="","",IFERROR(MAX(MIN(TTM!I227,0.5),-0.5),""))</f>
        <v>6.7206907258523782E-2</v>
      </c>
      <c r="J227" s="13">
        <f ca="1">IF(TTM!J227="","",IFERROR(MAX(MIN(TTM!J227,0.5),-0.5),""))</f>
        <v>0.14661752529258784</v>
      </c>
      <c r="K227" s="13">
        <f ca="1">IF(TTM!K227="","",IFERROR(MAX(MIN(TTM!K227,0.5),-0.5),""))</f>
        <v>8.8092408379195519E-2</v>
      </c>
      <c r="L227" s="13">
        <f ca="1">IF(TTM!L227="","",IFERROR(MAX(MIN(TTM!L227,0.5),-0.5),""))</f>
        <v>0.19096389088819327</v>
      </c>
      <c r="M227" s="13">
        <f ca="1">IF(TTM!M227="","",IFERROR(MAX(MIN(TTM!M227,0.5),-0.5),""))</f>
        <v>5.5218177783371562E-2</v>
      </c>
      <c r="N227" s="13">
        <f ca="1">IF(TTM!N227="","",IFERROR(MAX(MIN(TTM!N227,0.5),-0.5),""))</f>
        <v>0.12588989269309936</v>
      </c>
      <c r="O227" s="13">
        <f ca="1">IF(TTM!O227="","",IFERROR(MAX(MIN(TTM!O227,0.5),-0.5),""))</f>
        <v>0.24317180616740089</v>
      </c>
      <c r="P227" s="13">
        <f ca="1">IF(TTM!P227="","",IFERROR(MAX(MIN(TTM!P227,0.5),-0.5),""))</f>
        <v>0.5</v>
      </c>
      <c r="Q227" s="13" t="str">
        <f>IF(TTM!Q227="","",IFERROR(MAX(MIN(TTM!Q227,0.5),-0.5),""))</f>
        <v/>
      </c>
      <c r="R227" s="13">
        <f ca="1">IF(TTM!R227="","",IFERROR(MAX(MIN(TTM!R227,0.5),-0.5),""))</f>
        <v>0.11591305671411356</v>
      </c>
      <c r="S227" s="13">
        <f ca="1">IF(TTM!S227="","",IFERROR(MAX(MIN(TTM!S227,0.5),-0.5),""))</f>
        <v>0.4285738718138884</v>
      </c>
      <c r="T227" s="13">
        <f ca="1">IF(TTM!T227="","",IFERROR(MAX(MIN(TTM!T227,0.5),-0.5),""))</f>
        <v>-3.563497962434574E-3</v>
      </c>
      <c r="U227" s="11"/>
    </row>
    <row r="228" spans="1:21" ht="14">
      <c r="A228" s="14" t="s">
        <v>139</v>
      </c>
      <c r="B228" s="13">
        <f ca="1">IF(TTM!B228="","",IFERROR(MAX(MIN(TTM!B228,0.5),-0.5),""))</f>
        <v>0.21457564575645757</v>
      </c>
      <c r="C228" s="13">
        <f ca="1">IF(TTM!C228="","",IFERROR(MAX(MIN(TTM!C228,0.5),-0.5),""))</f>
        <v>0.26631094915842446</v>
      </c>
      <c r="D228" s="13">
        <f ca="1">IF(TTM!D228="","",IFERROR(MAX(MIN(TTM!D228,0.5),-0.5),""))</f>
        <v>0.10288188741227415</v>
      </c>
      <c r="E228" s="13">
        <f ca="1">IF(TTM!E228="","",IFERROR(MAX(MIN(TTM!E228,0.5),-0.5),""))</f>
        <v>0.31482260552517177</v>
      </c>
      <c r="F228" s="13">
        <f ca="1">IF(TTM!F228="","",IFERROR(MAX(MIN(TTM!F228,0.5),-0.5),""))</f>
        <v>6.6152149944873215E-2</v>
      </c>
      <c r="G228" s="13">
        <f ca="1">IF(TTM!G228="","",IFERROR(MAX(MIN(TTM!G228,0.5),-0.5),""))</f>
        <v>-6.8816067422357463E-2</v>
      </c>
      <c r="H228" s="13">
        <f ca="1">IF(TTM!H228="","",IFERROR(MAX(MIN(TTM!H228,0.5),-0.5),""))</f>
        <v>0.12558284115635684</v>
      </c>
      <c r="I228" s="13">
        <f ca="1">IF(TTM!I228="","",IFERROR(MAX(MIN(TTM!I228,0.5),-0.5),""))</f>
        <v>6.577355491883588E-2</v>
      </c>
      <c r="J228" s="13">
        <f ca="1">IF(TTM!J228="","",IFERROR(MAX(MIN(TTM!J228,0.5),-0.5),""))</f>
        <v>0.14415685208159842</v>
      </c>
      <c r="K228" s="13">
        <f ca="1">IF(TTM!K228="","",IFERROR(MAX(MIN(TTM!K228,0.5),-0.5),""))</f>
        <v>8.8351333446909236E-2</v>
      </c>
      <c r="L228" s="13">
        <f ca="1">IF(TTM!L228="","",IFERROR(MAX(MIN(TTM!L228,0.5),-0.5),""))</f>
        <v>0.18746589833846697</v>
      </c>
      <c r="M228" s="13">
        <f ca="1">IF(TTM!M228="","",IFERROR(MAX(MIN(TTM!M228,0.5),-0.5),""))</f>
        <v>5.7483436482454908E-2</v>
      </c>
      <c r="N228" s="13">
        <f ca="1">IF(TTM!N228="","",IFERROR(MAX(MIN(TTM!N228,0.5),-0.5),""))</f>
        <v>0.13769950716643306</v>
      </c>
      <c r="O228" s="13" t="str">
        <f>IF(TTM!O228="","",IFERROR(MAX(MIN(TTM!O228,0.5),-0.5),""))</f>
        <v/>
      </c>
      <c r="P228" s="13">
        <f ca="1">IF(TTM!P228="","",IFERROR(MAX(MIN(TTM!P228,0.5),-0.5),""))</f>
        <v>0.5</v>
      </c>
      <c r="Q228" s="13" t="str">
        <f>IF(TTM!Q228="","",IFERROR(MAX(MIN(TTM!Q228,0.5),-0.5),""))</f>
        <v/>
      </c>
      <c r="R228" s="13">
        <f ca="1">IF(TTM!R228="","",IFERROR(MAX(MIN(TTM!R228,0.5),-0.5),""))</f>
        <v>0.12246865959498554</v>
      </c>
      <c r="S228" s="13">
        <f ca="1">IF(TTM!S228="","",IFERROR(MAX(MIN(TTM!S228,0.5),-0.5),""))</f>
        <v>0.43310121047168409</v>
      </c>
      <c r="T228" s="13">
        <f ca="1">IF(TTM!T228="","",IFERROR(MAX(MIN(TTM!T228,0.5),-0.5),""))</f>
        <v>-2.9374487437560577E-3</v>
      </c>
      <c r="U228" s="11"/>
    </row>
    <row r="229" spans="1:21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</row>
    <row r="230" spans="1:21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</row>
    <row r="231" spans="1:21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</row>
    <row r="232" spans="1:21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</row>
    <row r="233" spans="1:21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</row>
    <row r="234" spans="1:21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</row>
    <row r="235" spans="1:21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</row>
    <row r="236" spans="1:21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</row>
    <row r="237" spans="1:21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</row>
    <row r="238" spans="1:21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</row>
    <row r="239" spans="1:21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</row>
    <row r="240" spans="1:21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</row>
    <row r="241" spans="1:21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</row>
    <row r="242" spans="1:21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</row>
    <row r="243" spans="1:21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</row>
    <row r="244" spans="1:21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</row>
    <row r="245" spans="1:21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</row>
    <row r="246" spans="1:21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</row>
    <row r="247" spans="1:21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</row>
    <row r="248" spans="1:21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</row>
    <row r="249" spans="1:21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</row>
    <row r="250" spans="1:21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</row>
    <row r="251" spans="1:21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</row>
    <row r="252" spans="1:21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</row>
    <row r="253" spans="1:21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</row>
    <row r="254" spans="1:21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</row>
    <row r="255" spans="1:21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</row>
    <row r="256" spans="1:21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</row>
    <row r="257" spans="1:21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</row>
    <row r="258" spans="1:21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</row>
    <row r="259" spans="1:21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</row>
    <row r="260" spans="1:21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</row>
    <row r="261" spans="1:21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</row>
    <row r="262" spans="1:21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</row>
    <row r="263" spans="1:21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</row>
    <row r="264" spans="1:21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</row>
    <row r="265" spans="1:21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</row>
    <row r="266" spans="1:21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</row>
    <row r="267" spans="1:21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</row>
    <row r="268" spans="1:21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</row>
    <row r="269" spans="1:21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</row>
    <row r="270" spans="1:21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</row>
    <row r="271" spans="1:21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</row>
    <row r="272" spans="1:21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</row>
    <row r="273" spans="1:21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</row>
    <row r="274" spans="1:21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</row>
    <row r="275" spans="1:21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</row>
    <row r="276" spans="1:21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</row>
    <row r="277" spans="1:21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</row>
    <row r="278" spans="1:21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</row>
    <row r="279" spans="1:21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</row>
    <row r="280" spans="1:21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</row>
    <row r="281" spans="1:21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</row>
    <row r="282" spans="1:21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</row>
    <row r="283" spans="1:21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</row>
    <row r="284" spans="1:21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</row>
    <row r="285" spans="1:21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</row>
    <row r="286" spans="1:21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</row>
    <row r="287" spans="1:21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</row>
    <row r="288" spans="1:21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</row>
    <row r="289" spans="1:21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</row>
    <row r="290" spans="1:21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</row>
    <row r="291" spans="1:21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</row>
    <row r="292" spans="1:21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</row>
    <row r="293" spans="1:21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</row>
    <row r="294" spans="1:21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</row>
    <row r="295" spans="1:21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</row>
    <row r="296" spans="1:21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</row>
    <row r="297" spans="1:21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</row>
    <row r="298" spans="1:21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</row>
    <row r="299" spans="1:21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</row>
    <row r="300" spans="1:21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</row>
    <row r="301" spans="1:21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</row>
    <row r="302" spans="1:21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</row>
    <row r="303" spans="1:21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</row>
    <row r="304" spans="1:21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</row>
    <row r="305" spans="1:21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</row>
    <row r="306" spans="1:21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</row>
    <row r="307" spans="1:21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</row>
    <row r="308" spans="1:21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</row>
    <row r="309" spans="1:21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</row>
    <row r="310" spans="1:21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</row>
    <row r="311" spans="1:21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</row>
    <row r="312" spans="1:21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</row>
    <row r="313" spans="1:21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</row>
    <row r="314" spans="1:21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</row>
    <row r="315" spans="1:21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</row>
    <row r="316" spans="1:21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</row>
    <row r="317" spans="1:21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</row>
    <row r="318" spans="1:21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</row>
    <row r="319" spans="1:21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</row>
    <row r="320" spans="1:21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</row>
    <row r="321" spans="1:21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</row>
    <row r="322" spans="1:21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</row>
    <row r="323" spans="1:21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</row>
    <row r="324" spans="1:21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</row>
    <row r="325" spans="1:21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</row>
    <row r="326" spans="1:21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</row>
    <row r="327" spans="1:21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</row>
    <row r="328" spans="1:21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</row>
    <row r="329" spans="1:21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</row>
    <row r="330" spans="1:21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</row>
    <row r="331" spans="1:21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</row>
    <row r="332" spans="1:21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</row>
    <row r="333" spans="1:21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</row>
    <row r="334" spans="1:21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</row>
    <row r="335" spans="1:21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</row>
    <row r="336" spans="1:21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</row>
    <row r="337" spans="1:21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</row>
    <row r="338" spans="1:21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</row>
    <row r="339" spans="1:21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</row>
    <row r="340" spans="1:21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</row>
    <row r="341" spans="1:21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</row>
    <row r="342" spans="1:21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</row>
    <row r="343" spans="1:21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</row>
    <row r="344" spans="1:21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</row>
    <row r="345" spans="1:21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</row>
    <row r="346" spans="1:21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</row>
    <row r="347" spans="1:21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</row>
    <row r="348" spans="1:21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</row>
    <row r="349" spans="1:21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</row>
    <row r="350" spans="1:21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</row>
    <row r="351" spans="1:21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</row>
    <row r="352" spans="1:21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</row>
    <row r="353" spans="1:21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</row>
    <row r="354" spans="1:21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</row>
    <row r="355" spans="1:21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</row>
    <row r="356" spans="1:21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</row>
    <row r="357" spans="1:21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</row>
    <row r="358" spans="1:21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</row>
    <row r="359" spans="1:21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</row>
    <row r="360" spans="1:21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</row>
    <row r="361" spans="1:21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</row>
    <row r="362" spans="1:21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</row>
    <row r="363" spans="1:21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</row>
    <row r="364" spans="1:21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</row>
    <row r="365" spans="1:21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</row>
    <row r="366" spans="1:21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</row>
    <row r="367" spans="1:21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</row>
    <row r="368" spans="1:21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</row>
    <row r="369" spans="1:21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</row>
    <row r="370" spans="1:21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</row>
    <row r="371" spans="1:21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</row>
    <row r="372" spans="1:21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</row>
    <row r="373" spans="1:21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</row>
    <row r="374" spans="1:21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</row>
    <row r="375" spans="1:21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</row>
    <row r="376" spans="1:21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</row>
    <row r="377" spans="1:21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</row>
    <row r="378" spans="1:21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</row>
    <row r="379" spans="1:21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</row>
    <row r="380" spans="1:21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</row>
    <row r="381" spans="1:21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</row>
    <row r="382" spans="1:21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</row>
    <row r="383" spans="1:21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</row>
    <row r="384" spans="1:21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</row>
    <row r="385" spans="1:21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</row>
    <row r="386" spans="1:21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</row>
    <row r="387" spans="1:21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</row>
    <row r="388" spans="1:21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</row>
    <row r="389" spans="1:21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</row>
    <row r="390" spans="1:21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</row>
    <row r="391" spans="1:21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</row>
    <row r="392" spans="1:21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</row>
    <row r="393" spans="1:21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</row>
    <row r="394" spans="1:21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</row>
    <row r="395" spans="1:21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</row>
    <row r="396" spans="1:21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</row>
    <row r="397" spans="1:21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</row>
    <row r="398" spans="1:21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</row>
    <row r="399" spans="1:21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</row>
    <row r="400" spans="1:21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</row>
    <row r="401" spans="1:21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</row>
    <row r="402" spans="1:21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</row>
    <row r="403" spans="1:21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</row>
    <row r="404" spans="1:21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</row>
    <row r="405" spans="1:21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</row>
    <row r="406" spans="1:21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</row>
    <row r="407" spans="1:21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</row>
    <row r="408" spans="1:21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</row>
    <row r="409" spans="1:21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</row>
    <row r="410" spans="1:21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</row>
    <row r="411" spans="1:21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</row>
    <row r="412" spans="1:21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</row>
    <row r="413" spans="1:21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</row>
    <row r="414" spans="1:21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</row>
    <row r="415" spans="1:21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</row>
    <row r="416" spans="1:21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</row>
    <row r="417" spans="1:21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</row>
    <row r="418" spans="1:21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</row>
    <row r="419" spans="1:21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</row>
    <row r="420" spans="1:21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</row>
    <row r="421" spans="1:21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</row>
    <row r="422" spans="1:21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</row>
    <row r="423" spans="1:21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</row>
    <row r="424" spans="1:21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</row>
    <row r="425" spans="1:21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</row>
    <row r="426" spans="1:21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</row>
    <row r="427" spans="1:21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</row>
    <row r="428" spans="1:21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</row>
    <row r="429" spans="1:21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</row>
    <row r="430" spans="1:21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</row>
    <row r="431" spans="1:21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</row>
    <row r="432" spans="1:21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</row>
    <row r="433" spans="1:21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</row>
    <row r="434" spans="1:21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</row>
    <row r="435" spans="1:21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</row>
    <row r="436" spans="1:21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</row>
    <row r="437" spans="1:21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</row>
    <row r="438" spans="1:21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</row>
    <row r="439" spans="1:21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</row>
    <row r="440" spans="1:21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</row>
    <row r="441" spans="1:21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</row>
    <row r="442" spans="1:21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</row>
    <row r="443" spans="1:21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</row>
    <row r="444" spans="1:21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</row>
    <row r="445" spans="1:21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</row>
    <row r="446" spans="1:21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</row>
    <row r="447" spans="1:21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</row>
    <row r="448" spans="1:21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</row>
    <row r="449" spans="1:21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</row>
    <row r="450" spans="1:21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</row>
    <row r="451" spans="1:21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</row>
    <row r="452" spans="1:21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</row>
    <row r="453" spans="1:21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</row>
    <row r="454" spans="1:21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</row>
    <row r="455" spans="1:21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</row>
    <row r="456" spans="1:21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</row>
    <row r="457" spans="1:21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</row>
    <row r="458" spans="1:21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</row>
    <row r="459" spans="1:21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</row>
    <row r="460" spans="1:21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</row>
    <row r="461" spans="1:21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</row>
    <row r="462" spans="1:21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</row>
    <row r="463" spans="1:21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</row>
    <row r="464" spans="1:21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</row>
    <row r="465" spans="1:21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</row>
    <row r="466" spans="1:21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</row>
    <row r="467" spans="1:21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</row>
    <row r="468" spans="1:21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</row>
    <row r="469" spans="1:21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</row>
    <row r="470" spans="1:21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</row>
    <row r="471" spans="1:21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</row>
    <row r="472" spans="1:21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</row>
    <row r="473" spans="1:21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</row>
    <row r="474" spans="1:21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</row>
    <row r="475" spans="1:21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</row>
    <row r="476" spans="1:21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</row>
    <row r="477" spans="1:21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</row>
    <row r="478" spans="1:21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</row>
    <row r="479" spans="1:21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</row>
    <row r="480" spans="1:21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</row>
    <row r="481" spans="1:21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</row>
    <row r="482" spans="1:21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</row>
    <row r="483" spans="1:21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</row>
    <row r="484" spans="1:21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</row>
    <row r="485" spans="1:21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</row>
    <row r="486" spans="1:21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</row>
    <row r="487" spans="1:21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</row>
    <row r="488" spans="1:21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</row>
    <row r="489" spans="1:21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</row>
    <row r="490" spans="1:21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</row>
    <row r="491" spans="1:21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</row>
    <row r="492" spans="1:21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</row>
    <row r="493" spans="1:21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</row>
    <row r="494" spans="1:21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</row>
    <row r="495" spans="1:21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</row>
    <row r="496" spans="1:21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</row>
    <row r="497" spans="1:21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</row>
    <row r="498" spans="1:21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</row>
    <row r="499" spans="1:21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</row>
    <row r="500" spans="1:21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</row>
    <row r="501" spans="1:21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</row>
    <row r="502" spans="1:21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</row>
    <row r="503" spans="1:21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</row>
    <row r="504" spans="1:21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</row>
    <row r="505" spans="1:21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</row>
    <row r="506" spans="1:21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</row>
    <row r="507" spans="1:21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</row>
    <row r="508" spans="1:21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</row>
    <row r="509" spans="1:21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</row>
    <row r="510" spans="1:21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</row>
    <row r="511" spans="1:21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</row>
    <row r="512" spans="1:21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</row>
    <row r="513" spans="1:21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</row>
    <row r="514" spans="1:21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</row>
    <row r="515" spans="1:21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</row>
    <row r="516" spans="1:21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</row>
    <row r="517" spans="1:21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</row>
    <row r="518" spans="1:21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</row>
    <row r="519" spans="1:21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</row>
    <row r="520" spans="1:21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</row>
    <row r="521" spans="1:21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</row>
    <row r="522" spans="1:21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</row>
    <row r="523" spans="1:21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</row>
    <row r="524" spans="1:21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</row>
    <row r="525" spans="1:21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</row>
    <row r="526" spans="1:21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</row>
    <row r="527" spans="1:21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</row>
    <row r="528" spans="1:21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</row>
    <row r="529" spans="1:21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</row>
    <row r="530" spans="1:21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</row>
    <row r="531" spans="1:21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</row>
    <row r="532" spans="1:21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</row>
    <row r="533" spans="1:21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</row>
    <row r="534" spans="1:21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</row>
    <row r="535" spans="1:21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</row>
    <row r="536" spans="1:21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</row>
    <row r="537" spans="1:21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</row>
    <row r="538" spans="1:21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</row>
    <row r="539" spans="1:21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</row>
    <row r="540" spans="1:21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</row>
    <row r="541" spans="1:21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</row>
    <row r="542" spans="1:21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</row>
    <row r="543" spans="1:21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</row>
    <row r="544" spans="1:21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</row>
    <row r="545" spans="1:21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</row>
    <row r="546" spans="1:21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</row>
    <row r="547" spans="1:21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</row>
    <row r="548" spans="1:21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</row>
    <row r="549" spans="1:21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</row>
    <row r="550" spans="1:21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</row>
    <row r="551" spans="1:21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</row>
    <row r="552" spans="1:21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</row>
    <row r="553" spans="1:21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</row>
    <row r="554" spans="1:21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</row>
    <row r="555" spans="1:21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</row>
    <row r="556" spans="1:21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</row>
    <row r="557" spans="1:21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</row>
    <row r="558" spans="1:21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</row>
    <row r="559" spans="1:21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</row>
    <row r="560" spans="1:21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</row>
    <row r="561" spans="1:21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</row>
    <row r="562" spans="1:21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</row>
    <row r="563" spans="1:21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</row>
    <row r="564" spans="1:21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</row>
    <row r="565" spans="1:21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</row>
    <row r="566" spans="1:21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</row>
    <row r="567" spans="1:21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</row>
    <row r="568" spans="1:21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</row>
    <row r="569" spans="1:21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</row>
    <row r="570" spans="1:21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</row>
    <row r="571" spans="1:21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</row>
    <row r="572" spans="1:21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</row>
    <row r="573" spans="1:21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</row>
    <row r="574" spans="1:21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</row>
    <row r="575" spans="1:21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</row>
    <row r="576" spans="1:21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</row>
    <row r="577" spans="1:21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</row>
    <row r="578" spans="1:21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</row>
    <row r="579" spans="1:21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</row>
    <row r="580" spans="1:21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</row>
    <row r="581" spans="1:21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</row>
    <row r="582" spans="1:21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</row>
    <row r="583" spans="1:21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</row>
    <row r="584" spans="1:21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</row>
    <row r="585" spans="1:21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</row>
    <row r="586" spans="1:21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</row>
    <row r="587" spans="1:21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</row>
    <row r="588" spans="1:21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</row>
    <row r="589" spans="1:21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</row>
    <row r="590" spans="1:21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</row>
    <row r="591" spans="1:21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</row>
    <row r="592" spans="1:21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</row>
    <row r="593" spans="1:21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</row>
    <row r="594" spans="1:21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</row>
    <row r="595" spans="1:21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</row>
    <row r="596" spans="1:21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</row>
    <row r="597" spans="1:21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</row>
    <row r="598" spans="1:21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</row>
    <row r="599" spans="1:21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</row>
    <row r="600" spans="1:21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</row>
    <row r="601" spans="1:21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</row>
    <row r="602" spans="1:21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</row>
    <row r="603" spans="1:21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</row>
    <row r="604" spans="1:21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</row>
    <row r="605" spans="1:21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</row>
    <row r="606" spans="1:21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</row>
    <row r="607" spans="1:21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</row>
    <row r="608" spans="1:21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</row>
    <row r="609" spans="1:21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</row>
    <row r="610" spans="1:21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</row>
    <row r="611" spans="1:21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</row>
    <row r="612" spans="1:21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</row>
    <row r="613" spans="1:21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</row>
    <row r="614" spans="1:21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</row>
    <row r="615" spans="1:21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</row>
    <row r="616" spans="1:21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</row>
    <row r="617" spans="1:21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</row>
    <row r="618" spans="1:21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</row>
    <row r="619" spans="1:21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</row>
    <row r="620" spans="1:21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</row>
    <row r="621" spans="1:21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</row>
    <row r="622" spans="1:21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</row>
    <row r="623" spans="1:21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</row>
    <row r="624" spans="1:21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</row>
    <row r="625" spans="1:21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</row>
    <row r="626" spans="1:21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</row>
    <row r="627" spans="1:21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</row>
    <row r="628" spans="1:21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</row>
    <row r="629" spans="1:21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</row>
    <row r="630" spans="1:21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</row>
    <row r="631" spans="1:21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</row>
    <row r="632" spans="1:21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</row>
    <row r="633" spans="1:21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</row>
    <row r="634" spans="1:21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</row>
    <row r="635" spans="1:21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</row>
    <row r="636" spans="1:21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</row>
    <row r="637" spans="1:21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</row>
    <row r="638" spans="1:21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</row>
    <row r="639" spans="1:21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</row>
    <row r="640" spans="1:21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</row>
    <row r="641" spans="1:21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</row>
    <row r="642" spans="1:21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</row>
    <row r="643" spans="1:21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</row>
    <row r="644" spans="1:21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</row>
    <row r="645" spans="1:21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</row>
    <row r="646" spans="1:21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</row>
    <row r="647" spans="1:21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</row>
    <row r="648" spans="1:21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</row>
    <row r="649" spans="1:21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</row>
    <row r="650" spans="1:21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</row>
    <row r="651" spans="1:21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</row>
    <row r="652" spans="1:21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</row>
    <row r="653" spans="1:21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</row>
    <row r="654" spans="1:21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</row>
    <row r="655" spans="1:21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</row>
    <row r="656" spans="1:21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</row>
    <row r="657" spans="1:21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</row>
    <row r="658" spans="1:21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</row>
    <row r="659" spans="1:21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</row>
    <row r="660" spans="1:21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</row>
    <row r="661" spans="1:21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</row>
    <row r="662" spans="1:21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</row>
    <row r="663" spans="1:21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</row>
    <row r="664" spans="1:21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</row>
    <row r="665" spans="1:21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</row>
    <row r="666" spans="1:21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</row>
    <row r="667" spans="1:21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</row>
    <row r="668" spans="1:21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</row>
    <row r="669" spans="1:21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</row>
    <row r="670" spans="1:21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</row>
    <row r="671" spans="1:21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</row>
    <row r="672" spans="1:21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</row>
    <row r="673" spans="1:21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</row>
    <row r="674" spans="1:21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</row>
    <row r="675" spans="1:21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</row>
    <row r="676" spans="1:21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</row>
    <row r="677" spans="1:21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</row>
    <row r="678" spans="1:21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</row>
    <row r="679" spans="1:21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</row>
    <row r="680" spans="1:21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</row>
    <row r="681" spans="1:21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</row>
    <row r="682" spans="1:21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</row>
    <row r="683" spans="1:21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</row>
    <row r="684" spans="1:21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</row>
    <row r="685" spans="1:21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</row>
    <row r="686" spans="1:21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</row>
    <row r="687" spans="1:21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</row>
    <row r="688" spans="1:21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</row>
    <row r="689" spans="1:21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</row>
    <row r="690" spans="1:21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</row>
    <row r="691" spans="1:21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</row>
    <row r="692" spans="1:21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</row>
    <row r="693" spans="1:21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</row>
    <row r="694" spans="1:21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</row>
    <row r="695" spans="1:21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</row>
    <row r="696" spans="1:21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</row>
    <row r="697" spans="1:21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</row>
    <row r="698" spans="1:21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</row>
    <row r="699" spans="1:21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</row>
    <row r="700" spans="1:21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</row>
    <row r="701" spans="1:21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</row>
    <row r="702" spans="1:21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</row>
    <row r="703" spans="1:21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</row>
    <row r="704" spans="1:21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</row>
    <row r="705" spans="1:21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</row>
    <row r="706" spans="1:21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</row>
    <row r="707" spans="1:21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</row>
    <row r="708" spans="1:21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</row>
    <row r="709" spans="1:21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</row>
    <row r="710" spans="1:21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</row>
    <row r="711" spans="1:21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</row>
    <row r="712" spans="1:21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</row>
    <row r="713" spans="1:21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</row>
    <row r="714" spans="1:21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</row>
    <row r="715" spans="1:21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</row>
    <row r="716" spans="1:21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</row>
    <row r="717" spans="1:21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</row>
    <row r="718" spans="1:21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</row>
    <row r="719" spans="1:21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</row>
    <row r="720" spans="1:21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</row>
    <row r="721" spans="1:21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</row>
    <row r="722" spans="1:21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</row>
    <row r="723" spans="1:21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</row>
    <row r="724" spans="1:21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</row>
    <row r="725" spans="1:21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</row>
    <row r="726" spans="1:21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</row>
    <row r="727" spans="1:21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</row>
    <row r="728" spans="1:21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</row>
    <row r="729" spans="1:21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</row>
    <row r="730" spans="1:21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</row>
    <row r="731" spans="1:21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</row>
    <row r="732" spans="1:21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</row>
    <row r="733" spans="1:21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</row>
    <row r="734" spans="1:21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</row>
    <row r="735" spans="1:21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</row>
    <row r="736" spans="1:21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</row>
    <row r="737" spans="1:21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</row>
    <row r="738" spans="1:21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</row>
    <row r="739" spans="1:21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</row>
    <row r="740" spans="1:21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</row>
    <row r="741" spans="1:21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</row>
    <row r="742" spans="1:21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</row>
    <row r="743" spans="1:21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</row>
    <row r="744" spans="1:21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</row>
    <row r="745" spans="1:21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</row>
    <row r="746" spans="1:21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</row>
    <row r="747" spans="1:21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</row>
    <row r="748" spans="1:21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</row>
    <row r="749" spans="1:21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</row>
    <row r="750" spans="1:21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</row>
    <row r="751" spans="1:21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</row>
    <row r="752" spans="1:21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</row>
    <row r="753" spans="1:21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</row>
    <row r="754" spans="1:21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</row>
    <row r="755" spans="1:21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</row>
    <row r="756" spans="1:21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</row>
    <row r="757" spans="1:21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</row>
    <row r="758" spans="1:21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</row>
    <row r="759" spans="1:21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</row>
    <row r="760" spans="1:21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</row>
    <row r="761" spans="1:21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</row>
    <row r="762" spans="1:21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</row>
    <row r="763" spans="1:21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</row>
    <row r="764" spans="1:21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</row>
    <row r="765" spans="1:21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</row>
    <row r="766" spans="1:21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</row>
    <row r="767" spans="1:21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</row>
    <row r="768" spans="1:21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</row>
    <row r="769" spans="1:21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</row>
    <row r="770" spans="1:21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</row>
    <row r="771" spans="1:21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</row>
    <row r="772" spans="1:21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</row>
    <row r="773" spans="1:21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</row>
    <row r="774" spans="1:21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</row>
    <row r="775" spans="1:21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</row>
    <row r="776" spans="1:21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</row>
    <row r="777" spans="1:21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</row>
    <row r="778" spans="1:21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</row>
    <row r="779" spans="1:21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</row>
    <row r="780" spans="1:21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</row>
    <row r="781" spans="1:21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</row>
    <row r="782" spans="1:21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</row>
    <row r="783" spans="1:21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</row>
    <row r="784" spans="1:21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</row>
    <row r="785" spans="1:21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</row>
    <row r="786" spans="1:21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</row>
    <row r="787" spans="1:21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</row>
    <row r="788" spans="1:21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</row>
    <row r="789" spans="1:21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</row>
    <row r="790" spans="1:21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</row>
    <row r="791" spans="1:21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</row>
    <row r="792" spans="1:21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</row>
    <row r="793" spans="1:21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</row>
    <row r="794" spans="1:21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</row>
    <row r="795" spans="1:21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</row>
    <row r="796" spans="1:21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</row>
    <row r="797" spans="1:21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</row>
    <row r="798" spans="1:21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</row>
    <row r="799" spans="1:21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</row>
    <row r="800" spans="1:21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</row>
    <row r="801" spans="1:21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</row>
    <row r="802" spans="1:21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</row>
    <row r="803" spans="1:21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</row>
    <row r="804" spans="1:21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</row>
    <row r="805" spans="1:21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</row>
    <row r="806" spans="1:21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</row>
    <row r="807" spans="1:21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</row>
    <row r="808" spans="1:21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</row>
    <row r="809" spans="1:21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</row>
    <row r="810" spans="1:21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</row>
    <row r="811" spans="1:21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</row>
    <row r="812" spans="1:21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</row>
    <row r="813" spans="1:21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</row>
    <row r="814" spans="1:21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</row>
    <row r="815" spans="1:21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</row>
    <row r="816" spans="1:21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</row>
    <row r="817" spans="1:21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</row>
    <row r="818" spans="1:21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</row>
    <row r="819" spans="1:21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</row>
    <row r="820" spans="1:21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</row>
    <row r="821" spans="1:21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</row>
    <row r="822" spans="1:21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</row>
    <row r="823" spans="1:21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</row>
    <row r="824" spans="1:21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</row>
    <row r="825" spans="1:21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</row>
    <row r="826" spans="1:21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</row>
    <row r="827" spans="1:21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</row>
    <row r="828" spans="1:21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</row>
    <row r="829" spans="1:21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</row>
    <row r="830" spans="1:21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</row>
    <row r="831" spans="1:21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</row>
    <row r="832" spans="1:21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</row>
    <row r="833" spans="1:21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</row>
    <row r="834" spans="1:21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</row>
    <row r="835" spans="1:21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</row>
    <row r="836" spans="1:21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</row>
    <row r="837" spans="1:21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</row>
    <row r="838" spans="1:21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</row>
    <row r="839" spans="1:21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</row>
    <row r="840" spans="1:21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</row>
    <row r="841" spans="1:21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</row>
    <row r="842" spans="1:21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</row>
    <row r="843" spans="1:21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</row>
    <row r="844" spans="1:21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</row>
    <row r="845" spans="1:21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</row>
    <row r="846" spans="1:21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</row>
    <row r="847" spans="1:21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</row>
    <row r="848" spans="1:21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</row>
    <row r="849" spans="1:21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</row>
    <row r="850" spans="1:21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</row>
    <row r="851" spans="1:21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</row>
    <row r="852" spans="1:21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</row>
    <row r="853" spans="1:21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</row>
    <row r="854" spans="1:21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</row>
    <row r="855" spans="1:21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</row>
    <row r="856" spans="1:21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</row>
    <row r="857" spans="1:21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</row>
    <row r="858" spans="1:21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</row>
    <row r="859" spans="1:21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</row>
    <row r="860" spans="1:21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</row>
    <row r="861" spans="1:21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</row>
    <row r="862" spans="1:21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</row>
    <row r="863" spans="1:21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</row>
    <row r="864" spans="1:21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</row>
    <row r="865" spans="1:21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</row>
    <row r="866" spans="1:21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</row>
    <row r="867" spans="1:21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</row>
    <row r="868" spans="1:21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</row>
    <row r="869" spans="1:21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</row>
    <row r="870" spans="1:21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</row>
    <row r="871" spans="1:21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</row>
    <row r="872" spans="1:21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</row>
    <row r="873" spans="1:21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</row>
    <row r="874" spans="1:21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</row>
    <row r="875" spans="1:21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</row>
    <row r="876" spans="1:21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</row>
    <row r="877" spans="1:21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</row>
    <row r="878" spans="1:21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</row>
    <row r="879" spans="1:21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</row>
    <row r="880" spans="1:21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</row>
    <row r="881" spans="1:21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</row>
    <row r="882" spans="1:21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</row>
    <row r="883" spans="1:21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</row>
    <row r="884" spans="1:21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</row>
    <row r="885" spans="1:21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</row>
    <row r="886" spans="1:21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</row>
    <row r="887" spans="1:21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</row>
    <row r="888" spans="1:21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</row>
    <row r="889" spans="1:21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</row>
    <row r="890" spans="1:21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</row>
    <row r="891" spans="1:21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</row>
    <row r="892" spans="1:21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</row>
    <row r="893" spans="1:21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</row>
    <row r="894" spans="1:21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</row>
    <row r="895" spans="1:21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</row>
    <row r="896" spans="1:21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</row>
    <row r="897" spans="1:21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</row>
    <row r="898" spans="1:21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</row>
    <row r="899" spans="1:21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</row>
    <row r="900" spans="1:21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</row>
    <row r="901" spans="1:21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</row>
    <row r="902" spans="1:21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</row>
    <row r="903" spans="1:21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</row>
    <row r="904" spans="1:21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</row>
    <row r="905" spans="1:21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</row>
    <row r="906" spans="1:21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</row>
    <row r="907" spans="1:21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</row>
    <row r="908" spans="1:21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</row>
    <row r="909" spans="1:21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</row>
    <row r="910" spans="1:21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</row>
    <row r="911" spans="1:21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</row>
    <row r="912" spans="1:21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</row>
    <row r="913" spans="1:21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</row>
    <row r="914" spans="1:21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</row>
    <row r="915" spans="1:21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</row>
    <row r="916" spans="1:21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</row>
    <row r="917" spans="1:21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</row>
    <row r="918" spans="1:21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</row>
    <row r="919" spans="1:21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</row>
    <row r="920" spans="1:21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</row>
    <row r="921" spans="1:21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</row>
    <row r="922" spans="1:21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</row>
    <row r="923" spans="1:21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</row>
    <row r="924" spans="1:21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</row>
    <row r="925" spans="1:21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</row>
    <row r="926" spans="1:21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</row>
    <row r="927" spans="1:21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</row>
    <row r="928" spans="1:21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</row>
    <row r="929" spans="1:21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</row>
    <row r="930" spans="1:21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</row>
    <row r="931" spans="1:21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</row>
    <row r="932" spans="1:21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</row>
    <row r="933" spans="1:21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</row>
    <row r="934" spans="1:21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</row>
    <row r="935" spans="1:21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</row>
    <row r="936" spans="1:21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</row>
    <row r="937" spans="1:21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</row>
    <row r="938" spans="1:21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</row>
    <row r="939" spans="1:21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</row>
    <row r="940" spans="1:21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</row>
    <row r="941" spans="1:21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</row>
    <row r="942" spans="1:21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</row>
    <row r="943" spans="1:21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</row>
    <row r="944" spans="1:21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</row>
    <row r="945" spans="1:21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</row>
    <row r="946" spans="1:21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</row>
    <row r="947" spans="1:21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</row>
    <row r="948" spans="1:21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</row>
    <row r="949" spans="1:21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</row>
    <row r="950" spans="1:21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</row>
    <row r="951" spans="1:21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</row>
    <row r="952" spans="1:21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</row>
    <row r="953" spans="1:21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</row>
    <row r="954" spans="1:21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</row>
    <row r="955" spans="1:21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</row>
    <row r="956" spans="1:21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</row>
    <row r="957" spans="1:21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</row>
    <row r="958" spans="1:21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</row>
    <row r="959" spans="1:21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</row>
    <row r="960" spans="1:21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</row>
    <row r="961" spans="1:21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</row>
    <row r="962" spans="1:21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</row>
    <row r="963" spans="1:21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</row>
    <row r="964" spans="1:21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</row>
    <row r="965" spans="1:21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</row>
    <row r="966" spans="1:21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</row>
    <row r="967" spans="1:21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</row>
    <row r="968" spans="1:21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</row>
    <row r="969" spans="1:21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</row>
    <row r="970" spans="1:21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</row>
    <row r="971" spans="1:21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</row>
    <row r="972" spans="1:21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</row>
    <row r="973" spans="1:21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</row>
    <row r="974" spans="1:21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</row>
    <row r="975" spans="1:21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</row>
    <row r="976" spans="1:21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</row>
    <row r="977" spans="1:21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</row>
    <row r="978" spans="1:21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</row>
    <row r="979" spans="1:21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</row>
    <row r="980" spans="1:21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</row>
    <row r="981" spans="1:21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</row>
    <row r="982" spans="1:21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</row>
    <row r="983" spans="1:21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</row>
    <row r="984" spans="1:21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</row>
    <row r="985" spans="1:21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</row>
    <row r="986" spans="1:21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</row>
    <row r="987" spans="1:21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</row>
    <row r="988" spans="1:21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</row>
    <row r="989" spans="1:21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</row>
    <row r="990" spans="1:21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</row>
    <row r="991" spans="1:21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</row>
    <row r="992" spans="1:21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</row>
    <row r="993" spans="1:21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</row>
    <row r="994" spans="1:21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</row>
    <row r="995" spans="1:21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</row>
    <row r="996" spans="1:21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</row>
    <row r="997" spans="1:21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</row>
    <row r="998" spans="1:21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</row>
    <row r="999" spans="1:21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</row>
    <row r="1000" spans="1:21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</row>
  </sheetData>
  <conditionalFormatting sqref="B2:T228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rgb="FF999999"/>
    <outlinePr summaryBelow="0" summaryRight="0"/>
  </sheetPr>
  <dimension ref="A1:T10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6.5" customWidth="1"/>
  </cols>
  <sheetData>
    <row r="1" spans="1:20" ht="72" customHeight="1">
      <c r="A1" s="70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71" t="s">
        <v>11</v>
      </c>
      <c r="N1" s="72" t="s">
        <v>12</v>
      </c>
      <c r="O1" s="73" t="s">
        <v>13</v>
      </c>
      <c r="P1" s="71" t="s">
        <v>14</v>
      </c>
      <c r="Q1" s="72" t="s">
        <v>329</v>
      </c>
      <c r="R1" s="6" t="s">
        <v>16</v>
      </c>
      <c r="S1" s="8" t="s">
        <v>17</v>
      </c>
      <c r="T1" s="9" t="s">
        <v>18</v>
      </c>
    </row>
    <row r="2" spans="1:20" ht="13">
      <c r="A2" s="74" t="s">
        <v>321</v>
      </c>
    </row>
    <row r="3" spans="1:20" ht="13">
      <c r="A3" s="74">
        <v>1997</v>
      </c>
      <c r="D3" s="75">
        <v>2742</v>
      </c>
    </row>
    <row r="4" spans="1:20" ht="13">
      <c r="A4" s="74">
        <v>1998</v>
      </c>
      <c r="C4" s="75">
        <v>35237</v>
      </c>
      <c r="D4" s="75">
        <v>13827</v>
      </c>
    </row>
    <row r="5" spans="1:20" ht="13">
      <c r="A5" s="74">
        <v>1999</v>
      </c>
      <c r="C5" s="75">
        <v>482410</v>
      </c>
      <c r="D5" s="75">
        <v>38699</v>
      </c>
    </row>
    <row r="6" spans="1:20" ht="13">
      <c r="A6" s="74">
        <v>2000</v>
      </c>
      <c r="C6" s="75">
        <v>1235396</v>
      </c>
      <c r="D6" s="75">
        <v>94631</v>
      </c>
      <c r="E6" s="75">
        <v>780</v>
      </c>
    </row>
    <row r="7" spans="1:20" ht="13">
      <c r="A7" s="74">
        <v>2001</v>
      </c>
      <c r="C7" s="75">
        <v>1171753</v>
      </c>
      <c r="D7" s="75">
        <v>222220</v>
      </c>
      <c r="E7" s="75">
        <v>5314</v>
      </c>
      <c r="O7" s="75">
        <v>139</v>
      </c>
    </row>
    <row r="8" spans="1:20" ht="13">
      <c r="A8" s="74">
        <v>2002</v>
      </c>
      <c r="C8" s="75">
        <v>1003606</v>
      </c>
      <c r="D8" s="75">
        <v>1499075</v>
      </c>
      <c r="E8" s="75">
        <v>12210</v>
      </c>
      <c r="O8" s="75">
        <v>6676</v>
      </c>
    </row>
    <row r="9" spans="1:20" ht="13">
      <c r="A9" s="74">
        <v>2003</v>
      </c>
      <c r="C9" s="75">
        <v>863661</v>
      </c>
      <c r="D9" s="75">
        <v>2339813</v>
      </c>
      <c r="E9" s="75">
        <v>21535</v>
      </c>
      <c r="O9" s="75">
        <v>924</v>
      </c>
    </row>
    <row r="10" spans="1:20" ht="13">
      <c r="A10" s="74">
        <v>2004</v>
      </c>
      <c r="C10" s="75">
        <v>914372</v>
      </c>
      <c r="D10" s="75">
        <v>1843013</v>
      </c>
      <c r="E10" s="75">
        <v>40873</v>
      </c>
      <c r="O10" s="75">
        <v>991</v>
      </c>
    </row>
    <row r="11" spans="1:20" ht="13">
      <c r="A11" s="74">
        <v>2005</v>
      </c>
      <c r="C11" s="75">
        <v>962660</v>
      </c>
      <c r="D11" s="75">
        <v>2119455</v>
      </c>
      <c r="E11" s="75">
        <v>67428</v>
      </c>
      <c r="O11" s="75">
        <v>3990</v>
      </c>
    </row>
    <row r="12" spans="1:20" ht="13">
      <c r="A12" s="74">
        <v>2006</v>
      </c>
      <c r="C12" s="75">
        <v>1123103</v>
      </c>
      <c r="D12" s="75">
        <v>2237586</v>
      </c>
      <c r="E12" s="75">
        <v>101315</v>
      </c>
      <c r="O12" s="75">
        <v>8575</v>
      </c>
    </row>
    <row r="13" spans="1:20" ht="13">
      <c r="A13" s="74">
        <v>2007</v>
      </c>
      <c r="C13" s="75">
        <v>1409409</v>
      </c>
      <c r="D13" s="75">
        <v>2665332</v>
      </c>
      <c r="E13" s="75">
        <v>168991</v>
      </c>
      <c r="O13" s="75">
        <v>13382</v>
      </c>
    </row>
    <row r="14" spans="1:20" ht="13">
      <c r="A14" s="74">
        <v>2008</v>
      </c>
      <c r="C14" s="75">
        <v>1884806</v>
      </c>
      <c r="D14" s="75">
        <v>2937013</v>
      </c>
      <c r="E14" s="75">
        <v>224878</v>
      </c>
      <c r="O14" s="75">
        <v>22644</v>
      </c>
    </row>
    <row r="15" spans="1:20" ht="13">
      <c r="A15" s="74">
        <v>2009</v>
      </c>
      <c r="C15" s="75">
        <v>2338212</v>
      </c>
      <c r="D15" s="75">
        <v>2743051</v>
      </c>
      <c r="E15" s="75">
        <v>300051</v>
      </c>
      <c r="F15" s="75">
        <v>352089</v>
      </c>
      <c r="J15" s="75">
        <v>68552</v>
      </c>
      <c r="L15" s="75"/>
      <c r="O15" s="75">
        <v>22997</v>
      </c>
    </row>
    <row r="16" spans="1:20" ht="13">
      <c r="A16" s="74">
        <v>2010</v>
      </c>
      <c r="C16" s="75">
        <v>3084905</v>
      </c>
      <c r="D16" s="75">
        <v>3033645</v>
      </c>
      <c r="E16" s="75">
        <v>450001</v>
      </c>
      <c r="F16" s="75">
        <v>484635</v>
      </c>
      <c r="J16" s="75">
        <v>83560</v>
      </c>
      <c r="L16" s="75"/>
      <c r="O16" s="75">
        <v>31653</v>
      </c>
    </row>
    <row r="17" spans="1:20" ht="13">
      <c r="A17" s="74">
        <v>2011</v>
      </c>
      <c r="C17" s="75">
        <v>4355610</v>
      </c>
      <c r="D17" s="75">
        <v>3449009</v>
      </c>
      <c r="E17" s="75">
        <v>573840</v>
      </c>
      <c r="F17" s="75">
        <v>637063</v>
      </c>
      <c r="J17" s="75">
        <v>124721</v>
      </c>
      <c r="L17" s="75"/>
      <c r="O17" s="75">
        <v>46766</v>
      </c>
    </row>
    <row r="18" spans="1:20" ht="13">
      <c r="A18" s="74">
        <v>2012</v>
      </c>
      <c r="C18" s="75">
        <v>5260956</v>
      </c>
      <c r="D18" s="75">
        <v>4030347</v>
      </c>
      <c r="E18" s="75">
        <v>681932</v>
      </c>
      <c r="F18" s="75">
        <v>763000</v>
      </c>
      <c r="H18" s="75">
        <v>565684</v>
      </c>
      <c r="J18" s="75">
        <v>196599</v>
      </c>
      <c r="L18" s="75"/>
      <c r="O18" s="75">
        <v>58770</v>
      </c>
      <c r="R18" s="75">
        <v>98981</v>
      </c>
    </row>
    <row r="19" spans="1:20" ht="13">
      <c r="A19" s="74">
        <v>2013</v>
      </c>
      <c r="C19" s="75">
        <v>6793306</v>
      </c>
      <c r="D19" s="75">
        <v>4771259</v>
      </c>
      <c r="E19" s="75">
        <v>909456</v>
      </c>
      <c r="F19" s="75">
        <v>945000</v>
      </c>
      <c r="H19" s="75">
        <v>614063</v>
      </c>
      <c r="J19" s="75">
        <v>228822</v>
      </c>
      <c r="L19" s="75"/>
      <c r="O19" s="75">
        <v>69113</v>
      </c>
      <c r="R19" s="75">
        <v>169883</v>
      </c>
    </row>
    <row r="20" spans="1:20" ht="13">
      <c r="A20" s="74">
        <v>2014</v>
      </c>
      <c r="C20" s="75">
        <v>8441971</v>
      </c>
      <c r="D20" s="75">
        <v>5763485</v>
      </c>
      <c r="E20" s="75">
        <v>1200673</v>
      </c>
      <c r="F20" s="75">
        <v>1246000</v>
      </c>
      <c r="G20" s="75">
        <v>375560</v>
      </c>
      <c r="H20" s="75">
        <v>660354</v>
      </c>
      <c r="J20" s="75">
        <v>256543</v>
      </c>
      <c r="L20" s="75"/>
      <c r="O20" s="75">
        <v>92923</v>
      </c>
      <c r="R20" s="75">
        <v>178457</v>
      </c>
    </row>
    <row r="21" spans="1:20" ht="13">
      <c r="A21" s="74">
        <v>2015</v>
      </c>
      <c r="B21" s="75">
        <v>919041</v>
      </c>
      <c r="C21" s="75">
        <v>9223987</v>
      </c>
      <c r="D21" s="75">
        <v>6672317</v>
      </c>
      <c r="E21" s="75">
        <v>1678744</v>
      </c>
      <c r="F21" s="75">
        <v>1492000</v>
      </c>
      <c r="G21" s="75">
        <v>536819</v>
      </c>
      <c r="H21" s="75">
        <v>154985</v>
      </c>
      <c r="I21" s="75">
        <v>421711</v>
      </c>
      <c r="J21" s="75">
        <v>300515</v>
      </c>
      <c r="L21" s="75"/>
      <c r="O21" s="75">
        <v>91502</v>
      </c>
      <c r="R21" s="75">
        <v>271837</v>
      </c>
    </row>
    <row r="22" spans="1:20" ht="13">
      <c r="A22" s="74">
        <v>2016</v>
      </c>
      <c r="B22" s="75">
        <v>1655576</v>
      </c>
      <c r="C22" s="75">
        <v>10743000</v>
      </c>
      <c r="D22" s="75">
        <v>8773564</v>
      </c>
      <c r="E22" s="75">
        <v>2766762</v>
      </c>
      <c r="F22" s="75">
        <v>1480000</v>
      </c>
      <c r="G22" s="75">
        <v>794969</v>
      </c>
      <c r="H22" s="75">
        <v>527416</v>
      </c>
      <c r="I22" s="75">
        <v>411162</v>
      </c>
      <c r="J22" s="75">
        <v>337068</v>
      </c>
      <c r="L22" s="75">
        <v>446000</v>
      </c>
      <c r="O22" s="75">
        <v>114695</v>
      </c>
      <c r="R22" s="75">
        <v>275682</v>
      </c>
    </row>
    <row r="23" spans="1:20" ht="13">
      <c r="A23" s="74">
        <v>2017</v>
      </c>
      <c r="B23" s="75">
        <v>2561721</v>
      </c>
      <c r="C23" s="75">
        <v>12681000</v>
      </c>
      <c r="D23" s="75">
        <v>10059844</v>
      </c>
      <c r="E23" s="75">
        <v>4112604</v>
      </c>
      <c r="F23" s="75">
        <v>1556000</v>
      </c>
      <c r="G23" s="75">
        <v>1241734</v>
      </c>
      <c r="H23" s="75">
        <v>520185</v>
      </c>
      <c r="I23" s="75">
        <v>523940</v>
      </c>
      <c r="J23" s="75">
        <v>447979</v>
      </c>
      <c r="L23" s="75">
        <v>428000</v>
      </c>
      <c r="O23" s="75">
        <v>158991</v>
      </c>
      <c r="R23" s="75">
        <v>310415</v>
      </c>
      <c r="S23" s="75">
        <v>19710</v>
      </c>
      <c r="T23" s="75">
        <v>144866</v>
      </c>
    </row>
    <row r="24" spans="1:20" ht="13">
      <c r="A24" s="74">
        <v>2018</v>
      </c>
      <c r="B24" s="75">
        <v>3651985</v>
      </c>
      <c r="C24" s="75">
        <v>14527000</v>
      </c>
      <c r="D24" s="75">
        <v>11223000</v>
      </c>
      <c r="E24" s="75">
        <v>4518459</v>
      </c>
      <c r="F24" s="75">
        <v>1615000</v>
      </c>
      <c r="G24" s="75">
        <v>1047465</v>
      </c>
      <c r="H24" s="75">
        <v>630946</v>
      </c>
      <c r="I24" s="75">
        <v>530614</v>
      </c>
      <c r="J24" s="75">
        <v>675691</v>
      </c>
      <c r="L24" s="75">
        <v>381000</v>
      </c>
      <c r="O24" s="75">
        <v>562740</v>
      </c>
      <c r="R24" s="75">
        <v>333089</v>
      </c>
      <c r="S24" s="75">
        <v>38713</v>
      </c>
      <c r="T24" s="75">
        <v>189674</v>
      </c>
    </row>
    <row r="25" spans="1:20" ht="13">
      <c r="A25" s="74">
        <v>2019</v>
      </c>
      <c r="B25" s="75">
        <v>4805239</v>
      </c>
      <c r="C25" s="75">
        <v>15066000</v>
      </c>
      <c r="D25" s="75">
        <v>12067000</v>
      </c>
      <c r="E25" s="75">
        <v>5104623</v>
      </c>
      <c r="F25" s="75">
        <v>1560000</v>
      </c>
      <c r="G25" s="75">
        <v>942102</v>
      </c>
      <c r="H25" s="75">
        <v>619408</v>
      </c>
      <c r="I25" s="75">
        <v>524876</v>
      </c>
      <c r="J25" s="75">
        <v>486178</v>
      </c>
      <c r="K25" s="75">
        <v>5880</v>
      </c>
      <c r="L25" s="75">
        <v>340000</v>
      </c>
      <c r="O25" s="75">
        <v>254094</v>
      </c>
      <c r="R25" s="75">
        <v>392116</v>
      </c>
      <c r="S25" s="75">
        <v>28385</v>
      </c>
      <c r="T25" s="75">
        <v>139109</v>
      </c>
    </row>
    <row r="26" spans="1:20" ht="13">
      <c r="A26" s="76" t="s">
        <v>330</v>
      </c>
      <c r="B26" s="75">
        <v>3378199</v>
      </c>
      <c r="C26" s="75">
        <v>6796000</v>
      </c>
      <c r="D26" s="75">
        <v>5199000</v>
      </c>
      <c r="E26" s="75">
        <v>2802797</v>
      </c>
      <c r="F26" s="75">
        <v>604000</v>
      </c>
      <c r="G26" s="75">
        <v>305451</v>
      </c>
      <c r="H26" s="75">
        <v>615466</v>
      </c>
      <c r="I26" s="75">
        <v>131334</v>
      </c>
      <c r="J26" s="75">
        <v>511892</v>
      </c>
      <c r="K26" s="75">
        <v>14877</v>
      </c>
      <c r="L26" s="75">
        <v>82000</v>
      </c>
      <c r="O26" s="75">
        <v>183173</v>
      </c>
      <c r="R26" s="75">
        <v>128926</v>
      </c>
      <c r="S26" s="75">
        <v>22595</v>
      </c>
      <c r="T26" s="75">
        <v>98413</v>
      </c>
    </row>
    <row r="27" spans="1:20" ht="13">
      <c r="A27" s="74">
        <v>2021</v>
      </c>
      <c r="B27" s="75">
        <v>5991760</v>
      </c>
      <c r="C27" s="75">
        <v>10958000</v>
      </c>
      <c r="D27" s="75">
        <v>8598000</v>
      </c>
      <c r="E27" s="75">
        <v>3143131</v>
      </c>
      <c r="F27" s="75">
        <v>902000</v>
      </c>
      <c r="G27" s="75">
        <v>409395</v>
      </c>
      <c r="H27" s="75">
        <v>125659</v>
      </c>
      <c r="I27" s="75">
        <v>322843</v>
      </c>
      <c r="J27" s="75">
        <v>167112</v>
      </c>
      <c r="K27" s="75">
        <v>18693</v>
      </c>
      <c r="L27" s="75">
        <v>162000</v>
      </c>
      <c r="O27" s="75">
        <v>29420</v>
      </c>
      <c r="R27" s="75">
        <v>186424</v>
      </c>
      <c r="S27" s="75">
        <v>19021</v>
      </c>
      <c r="T27" s="75">
        <v>19091</v>
      </c>
    </row>
    <row r="28" spans="1:20" ht="13">
      <c r="A28" s="74">
        <v>2022</v>
      </c>
      <c r="B28" s="75">
        <v>8399000</v>
      </c>
      <c r="C28" s="75">
        <v>17090000</v>
      </c>
      <c r="D28" s="75">
        <v>11667000</v>
      </c>
      <c r="E28" s="75">
        <v>2868451</v>
      </c>
      <c r="F28" s="75">
        <v>1492000</v>
      </c>
      <c r="G28" s="75">
        <v>570635</v>
      </c>
      <c r="H28" s="75">
        <v>454166</v>
      </c>
      <c r="I28" s="75">
        <v>537972</v>
      </c>
      <c r="J28" s="75">
        <v>307406</v>
      </c>
      <c r="K28" s="75">
        <v>50213</v>
      </c>
      <c r="L28" s="75">
        <v>246000</v>
      </c>
      <c r="O28" s="75">
        <v>103775</v>
      </c>
      <c r="R28" s="75">
        <v>328118</v>
      </c>
      <c r="S28" s="75">
        <v>31388</v>
      </c>
      <c r="T28" s="75">
        <v>28335</v>
      </c>
    </row>
    <row r="29" spans="1:20" ht="13">
      <c r="A29" s="74">
        <v>2023</v>
      </c>
      <c r="B29" s="75">
        <v>9917000</v>
      </c>
      <c r="C29" s="75">
        <v>21365000</v>
      </c>
      <c r="D29" s="75">
        <v>12839000</v>
      </c>
      <c r="E29" s="75">
        <v>6230752</v>
      </c>
      <c r="F29" s="75">
        <v>1788000</v>
      </c>
      <c r="G29" s="75">
        <v>535959</v>
      </c>
      <c r="H29" s="75">
        <v>642340</v>
      </c>
      <c r="I29" s="75">
        <v>706040</v>
      </c>
      <c r="J29" s="75">
        <v>595657</v>
      </c>
      <c r="K29" s="75">
        <v>61007</v>
      </c>
      <c r="L29" s="75">
        <v>377000</v>
      </c>
      <c r="O29" s="75">
        <v>244585</v>
      </c>
      <c r="R29" s="75">
        <v>362292</v>
      </c>
      <c r="S29" s="75">
        <v>55436</v>
      </c>
      <c r="T29" s="75">
        <v>48406</v>
      </c>
    </row>
    <row r="30" spans="1:20" ht="13">
      <c r="A30" s="74">
        <v>2024</v>
      </c>
      <c r="H30" s="75">
        <v>703268</v>
      </c>
      <c r="J30" s="75">
        <v>783162</v>
      </c>
      <c r="K30" s="75">
        <v>79772</v>
      </c>
      <c r="O30" s="75">
        <v>314189</v>
      </c>
      <c r="S30" s="75">
        <v>73054</v>
      </c>
      <c r="T30" s="75">
        <v>51482</v>
      </c>
    </row>
    <row r="31" spans="1:20" ht="13">
      <c r="H31" s="75"/>
      <c r="O31" s="75"/>
    </row>
    <row r="32" spans="1:20" ht="13">
      <c r="A32" s="74" t="s">
        <v>322</v>
      </c>
      <c r="O32" s="75"/>
    </row>
    <row r="33" spans="1:18" ht="13">
      <c r="A33" s="74">
        <v>1997</v>
      </c>
      <c r="D33" s="75">
        <v>-28434</v>
      </c>
    </row>
    <row r="34" spans="1:18" ht="13">
      <c r="A34" s="74">
        <v>1998</v>
      </c>
      <c r="C34" s="75">
        <v>-52952</v>
      </c>
      <c r="D34" s="75">
        <v>-28728</v>
      </c>
    </row>
    <row r="35" spans="1:18" ht="13">
      <c r="A35" s="74">
        <v>1999</v>
      </c>
      <c r="C35" s="75">
        <v>-58041</v>
      </c>
      <c r="D35" s="75">
        <v>-18824</v>
      </c>
    </row>
    <row r="36" spans="1:18" ht="13">
      <c r="A36" s="74">
        <v>2000</v>
      </c>
      <c r="C36" s="75">
        <v>-31525</v>
      </c>
      <c r="D36" s="75">
        <v>-109351</v>
      </c>
      <c r="E36" s="75">
        <v>-3729</v>
      </c>
    </row>
    <row r="37" spans="1:18" ht="13">
      <c r="A37" s="74">
        <v>2001</v>
      </c>
      <c r="C37" s="75">
        <v>6750</v>
      </c>
      <c r="D37" s="75">
        <v>-12977</v>
      </c>
      <c r="E37" s="75">
        <v>-1977</v>
      </c>
      <c r="O37" s="75">
        <v>-897</v>
      </c>
    </row>
    <row r="38" spans="1:18" ht="13">
      <c r="A38" s="74">
        <v>2002</v>
      </c>
      <c r="C38" s="75">
        <v>22654</v>
      </c>
      <c r="D38" s="75">
        <v>257400</v>
      </c>
      <c r="E38" s="75">
        <v>3319</v>
      </c>
      <c r="O38" s="75">
        <v>-414</v>
      </c>
    </row>
    <row r="39" spans="1:18" ht="13">
      <c r="A39" s="74">
        <v>2003</v>
      </c>
      <c r="C39" s="75">
        <v>26003</v>
      </c>
      <c r="D39" s="75">
        <v>366027</v>
      </c>
      <c r="E39" s="75">
        <v>7748</v>
      </c>
      <c r="O39" s="75">
        <v>-427</v>
      </c>
    </row>
    <row r="40" spans="1:18" ht="13">
      <c r="A40" s="74">
        <v>2004</v>
      </c>
      <c r="C40" s="75">
        <v>44799</v>
      </c>
      <c r="D40" s="75">
        <v>409630</v>
      </c>
      <c r="E40" s="75">
        <v>16992</v>
      </c>
      <c r="O40" s="75">
        <v>-688</v>
      </c>
    </row>
    <row r="41" spans="1:18" ht="13">
      <c r="A41" s="74">
        <v>2005</v>
      </c>
      <c r="C41" s="75">
        <v>64848</v>
      </c>
      <c r="D41" s="75">
        <v>573564</v>
      </c>
      <c r="E41" s="75">
        <v>31135</v>
      </c>
      <c r="O41" s="75">
        <v>1298</v>
      </c>
    </row>
    <row r="42" spans="1:18" ht="13">
      <c r="A42" s="74">
        <v>2006</v>
      </c>
      <c r="C42" s="75">
        <v>97021</v>
      </c>
      <c r="D42" s="75">
        <v>557874</v>
      </c>
      <c r="E42" s="75">
        <v>35939</v>
      </c>
      <c r="O42" s="75">
        <v>2864</v>
      </c>
    </row>
    <row r="43" spans="1:18" ht="13">
      <c r="A43" s="74">
        <v>2007</v>
      </c>
      <c r="C43" s="75">
        <v>230785</v>
      </c>
      <c r="D43" s="75">
        <v>666164</v>
      </c>
      <c r="E43" s="75">
        <v>63782</v>
      </c>
      <c r="O43" s="75">
        <v>3586</v>
      </c>
    </row>
    <row r="44" spans="1:18" ht="13">
      <c r="A44" s="74">
        <v>2008</v>
      </c>
      <c r="C44" s="75">
        <v>332542</v>
      </c>
      <c r="D44" s="75">
        <v>713283</v>
      </c>
      <c r="E44" s="75">
        <v>81110</v>
      </c>
      <c r="O44" s="75">
        <v>7968</v>
      </c>
    </row>
    <row r="45" spans="1:18" ht="13">
      <c r="A45" s="74">
        <v>2009</v>
      </c>
      <c r="C45" s="75">
        <v>510028</v>
      </c>
      <c r="D45" s="75">
        <v>617237</v>
      </c>
      <c r="E45" s="75">
        <v>117381</v>
      </c>
      <c r="F45" s="75">
        <v>191314</v>
      </c>
      <c r="J45" s="75">
        <v>-8821</v>
      </c>
      <c r="O45" s="75">
        <v>7850</v>
      </c>
    </row>
    <row r="46" spans="1:18" ht="13">
      <c r="A46" s="74">
        <v>2010</v>
      </c>
      <c r="C46" s="75">
        <v>837261</v>
      </c>
      <c r="D46" s="75">
        <v>651524</v>
      </c>
      <c r="E46" s="75">
        <v>185101</v>
      </c>
      <c r="F46" s="75">
        <v>253780</v>
      </c>
      <c r="J46" s="75">
        <v>-4414</v>
      </c>
      <c r="O46" s="75">
        <v>11151</v>
      </c>
    </row>
    <row r="47" spans="1:18" ht="13">
      <c r="A47" s="74">
        <v>2011</v>
      </c>
      <c r="C47" s="75">
        <v>1452746</v>
      </c>
      <c r="D47" s="75">
        <v>655398</v>
      </c>
      <c r="E47" s="75">
        <v>202113</v>
      </c>
      <c r="F47" s="75">
        <v>305574</v>
      </c>
      <c r="J47" s="75">
        <v>6057</v>
      </c>
      <c r="O47" s="75">
        <v>14663</v>
      </c>
    </row>
    <row r="48" spans="1:18" ht="13">
      <c r="A48" s="74">
        <v>2012</v>
      </c>
      <c r="C48" s="75">
        <v>1894934</v>
      </c>
      <c r="D48" s="75">
        <v>744701</v>
      </c>
      <c r="E48" s="75">
        <v>140533</v>
      </c>
      <c r="F48" s="75">
        <v>322000</v>
      </c>
      <c r="H48" s="75">
        <v>120127</v>
      </c>
      <c r="J48" s="75">
        <v>6866</v>
      </c>
      <c r="O48" s="75">
        <v>18571</v>
      </c>
      <c r="R48" s="75">
        <v>14930</v>
      </c>
    </row>
    <row r="49" spans="1:20" ht="13">
      <c r="A49" s="74">
        <v>2013</v>
      </c>
      <c r="C49" s="75">
        <v>2530389</v>
      </c>
      <c r="D49" s="75">
        <v>793926</v>
      </c>
      <c r="E49" s="75">
        <v>183961</v>
      </c>
      <c r="F49" s="75">
        <v>330000</v>
      </c>
      <c r="H49" s="75">
        <v>128565</v>
      </c>
      <c r="J49" s="75">
        <v>-14239</v>
      </c>
      <c r="O49" s="75">
        <v>11132</v>
      </c>
      <c r="R49" s="75">
        <v>28964</v>
      </c>
    </row>
    <row r="50" spans="1:20" ht="13">
      <c r="A50" s="74">
        <v>2014</v>
      </c>
      <c r="C50" s="75">
        <v>3281132</v>
      </c>
      <c r="D50" s="75">
        <v>930365</v>
      </c>
      <c r="E50" s="75">
        <v>5119</v>
      </c>
      <c r="F50" s="75">
        <v>409000</v>
      </c>
      <c r="G50" s="75">
        <v>-327</v>
      </c>
      <c r="H50" s="75">
        <v>114840</v>
      </c>
      <c r="J50" s="75">
        <v>-9710</v>
      </c>
      <c r="O50" s="75">
        <v>22516</v>
      </c>
      <c r="R50" s="75">
        <v>28961</v>
      </c>
    </row>
    <row r="51" spans="1:20" ht="13">
      <c r="A51" s="74">
        <v>2015</v>
      </c>
      <c r="B51" s="75">
        <v>-123697</v>
      </c>
      <c r="C51" s="75">
        <v>3531401</v>
      </c>
      <c r="D51" s="75">
        <v>914195</v>
      </c>
      <c r="E51" s="75">
        <v>107411</v>
      </c>
      <c r="F51" s="75">
        <v>325000</v>
      </c>
      <c r="G51" s="75">
        <v>-16365</v>
      </c>
      <c r="H51" s="75" t="s">
        <v>328</v>
      </c>
      <c r="I51" s="75">
        <v>-39928</v>
      </c>
      <c r="J51" s="75">
        <v>-6484</v>
      </c>
      <c r="O51" s="75">
        <v>22623</v>
      </c>
      <c r="R51" s="75">
        <v>-11897</v>
      </c>
    </row>
    <row r="52" spans="1:20" ht="13">
      <c r="A52" s="74">
        <v>2016</v>
      </c>
      <c r="B52" s="75">
        <v>-132993</v>
      </c>
      <c r="C52" s="75">
        <v>4156135</v>
      </c>
      <c r="D52" s="75">
        <v>1358701</v>
      </c>
      <c r="E52" s="75">
        <v>-122254</v>
      </c>
      <c r="F52" s="75">
        <v>268000</v>
      </c>
      <c r="G52" s="75">
        <v>-22620</v>
      </c>
      <c r="H52" s="75">
        <v>98202</v>
      </c>
      <c r="I52" s="75">
        <v>48011</v>
      </c>
      <c r="J52" s="75">
        <v>-55524</v>
      </c>
      <c r="L52" s="75">
        <v>226000</v>
      </c>
      <c r="M52" s="77"/>
      <c r="O52" s="75">
        <v>27290</v>
      </c>
      <c r="R52" s="75">
        <v>24802</v>
      </c>
    </row>
    <row r="53" spans="1:20" ht="13">
      <c r="A53" s="74">
        <v>2017</v>
      </c>
      <c r="B53" s="75">
        <v>-2020</v>
      </c>
      <c r="C53" s="75">
        <v>4928000</v>
      </c>
      <c r="D53" s="75">
        <v>1556832</v>
      </c>
      <c r="E53" s="75">
        <v>585014</v>
      </c>
      <c r="F53" s="75">
        <v>236000</v>
      </c>
      <c r="G53" s="75">
        <v>-11209</v>
      </c>
      <c r="H53" s="75">
        <v>106966</v>
      </c>
      <c r="I53" s="75">
        <v>85065</v>
      </c>
      <c r="J53" s="75">
        <v>-105639</v>
      </c>
      <c r="L53" s="75">
        <v>139000</v>
      </c>
      <c r="M53" s="77"/>
      <c r="O53" s="75">
        <v>32912</v>
      </c>
      <c r="R53" s="75">
        <v>10189</v>
      </c>
      <c r="S53" s="75">
        <v>3535</v>
      </c>
      <c r="T53" s="75">
        <v>-24499</v>
      </c>
    </row>
    <row r="54" spans="1:20" ht="13">
      <c r="A54" s="74">
        <v>2018</v>
      </c>
      <c r="B54" s="75">
        <v>101145</v>
      </c>
      <c r="C54" s="75">
        <v>5767000</v>
      </c>
      <c r="D54" s="75">
        <v>1742000</v>
      </c>
      <c r="E54" s="75">
        <v>523420</v>
      </c>
      <c r="F54" s="75">
        <v>299000</v>
      </c>
      <c r="G54" s="75">
        <v>-6998</v>
      </c>
      <c r="H54" s="75">
        <v>124771</v>
      </c>
      <c r="I54" s="75">
        <v>60878</v>
      </c>
      <c r="J54" s="75">
        <v>-186657</v>
      </c>
      <c r="L54" s="75">
        <v>-15000</v>
      </c>
      <c r="M54" s="77"/>
      <c r="O54" s="75">
        <v>65233</v>
      </c>
      <c r="R54" s="75">
        <v>31660</v>
      </c>
      <c r="S54" s="75">
        <v>2394</v>
      </c>
      <c r="T54" s="75">
        <v>-45137</v>
      </c>
    </row>
    <row r="55" spans="1:20" ht="13">
      <c r="A55" s="74">
        <v>2019</v>
      </c>
      <c r="B55" s="75">
        <v>-383481</v>
      </c>
      <c r="C55" s="75">
        <v>5814000</v>
      </c>
      <c r="D55" s="75">
        <v>1871000</v>
      </c>
      <c r="E55" s="75">
        <v>878202</v>
      </c>
      <c r="F55" s="75">
        <v>313000</v>
      </c>
      <c r="G55" s="75">
        <v>56321</v>
      </c>
      <c r="H55" s="75">
        <v>134236</v>
      </c>
      <c r="I55" s="75">
        <v>13876</v>
      </c>
      <c r="J55" s="75">
        <v>-126176</v>
      </c>
      <c r="K55" s="75">
        <v>-7675</v>
      </c>
      <c r="L55" s="75">
        <v>58000</v>
      </c>
      <c r="M55" s="77"/>
      <c r="O55" s="75">
        <v>73033</v>
      </c>
      <c r="R55" s="75">
        <v>62203</v>
      </c>
      <c r="S55" s="75">
        <v>4823</v>
      </c>
      <c r="T55" s="75">
        <v>-28862</v>
      </c>
    </row>
    <row r="56" spans="1:20" ht="13">
      <c r="A56" s="74">
        <v>2020</v>
      </c>
      <c r="B56" s="75">
        <v>-3308992</v>
      </c>
      <c r="C56" s="75">
        <v>911000</v>
      </c>
      <c r="D56" s="75">
        <v>-634000</v>
      </c>
      <c r="E56" s="75">
        <v>-31523</v>
      </c>
      <c r="F56" s="75">
        <v>-160000</v>
      </c>
      <c r="G56" s="75">
        <v>-41943</v>
      </c>
      <c r="H56" s="75">
        <v>112081</v>
      </c>
      <c r="I56" s="75">
        <v>-143561</v>
      </c>
      <c r="J56" s="75">
        <v>-124249</v>
      </c>
      <c r="K56" s="75">
        <v>-3074</v>
      </c>
      <c r="L56" s="75">
        <v>10000</v>
      </c>
      <c r="M56" s="77"/>
      <c r="O56" s="75">
        <v>17432</v>
      </c>
      <c r="R56" s="75">
        <v>-55124</v>
      </c>
      <c r="S56" s="75">
        <v>5938</v>
      </c>
      <c r="T56" s="75">
        <v>3493</v>
      </c>
    </row>
    <row r="57" spans="1:20" ht="13">
      <c r="A57" s="74">
        <v>2021</v>
      </c>
      <c r="B57" s="75">
        <v>721566</v>
      </c>
      <c r="C57" s="75">
        <v>2930000</v>
      </c>
      <c r="D57" s="75">
        <v>1076000</v>
      </c>
      <c r="E57" s="75">
        <v>-61221</v>
      </c>
      <c r="F57" s="75">
        <v>-20000</v>
      </c>
      <c r="G57" s="75">
        <v>20840</v>
      </c>
      <c r="H57" s="75">
        <v>-48550</v>
      </c>
      <c r="I57" s="75">
        <v>-56919</v>
      </c>
      <c r="J57" s="75">
        <v>-34267</v>
      </c>
      <c r="K57" s="75">
        <v>729</v>
      </c>
      <c r="L57" s="75">
        <v>-86000</v>
      </c>
      <c r="M57" s="77"/>
      <c r="O57" s="75">
        <v>-45764</v>
      </c>
      <c r="R57" s="75">
        <v>117</v>
      </c>
      <c r="S57" s="75">
        <v>10690</v>
      </c>
      <c r="T57" s="75">
        <v>-6201</v>
      </c>
    </row>
    <row r="58" spans="1:20" ht="13">
      <c r="A58" s="74">
        <v>2022</v>
      </c>
      <c r="B58" s="75">
        <v>1980300</v>
      </c>
      <c r="C58" s="75">
        <v>5354000</v>
      </c>
      <c r="D58" s="75">
        <v>1981000</v>
      </c>
      <c r="E58" s="75">
        <v>126253</v>
      </c>
      <c r="F58" s="75">
        <v>196000</v>
      </c>
      <c r="G58" s="75">
        <v>75208</v>
      </c>
      <c r="H58" s="75">
        <v>3989</v>
      </c>
      <c r="I58" s="75">
        <v>34804</v>
      </c>
      <c r="J58" s="75">
        <v>-876</v>
      </c>
      <c r="K58" s="75">
        <v>-1452</v>
      </c>
      <c r="L58" s="75">
        <v>-14000</v>
      </c>
      <c r="M58" s="77"/>
      <c r="O58" s="75">
        <v>-17957</v>
      </c>
      <c r="R58" s="75">
        <v>5034</v>
      </c>
      <c r="S58" s="75">
        <v>18072</v>
      </c>
      <c r="T58" s="75">
        <v>-667</v>
      </c>
    </row>
    <row r="59" spans="1:20" ht="13">
      <c r="A59" s="74">
        <v>2023</v>
      </c>
      <c r="B59" s="75">
        <v>1562000</v>
      </c>
      <c r="C59" s="75">
        <v>6344000</v>
      </c>
      <c r="D59" s="75">
        <v>2274000</v>
      </c>
      <c r="E59" s="75">
        <v>1699563</v>
      </c>
      <c r="F59" s="75">
        <v>238000</v>
      </c>
      <c r="G59" s="75">
        <v>48726</v>
      </c>
      <c r="H59" s="75">
        <v>25120</v>
      </c>
      <c r="I59" s="75">
        <v>101809</v>
      </c>
      <c r="J59" s="75">
        <v>50823</v>
      </c>
      <c r="K59" s="75">
        <v>4764</v>
      </c>
      <c r="L59" s="75">
        <v>78000</v>
      </c>
      <c r="M59" s="77"/>
      <c r="O59" s="75">
        <v>85377</v>
      </c>
      <c r="R59" s="75">
        <v>34985</v>
      </c>
      <c r="S59" s="75">
        <v>22214</v>
      </c>
      <c r="T59" s="75">
        <v>3294</v>
      </c>
    </row>
    <row r="60" spans="1:20" ht="13">
      <c r="A60" s="74">
        <v>2024</v>
      </c>
      <c r="H60" s="75">
        <v>85821</v>
      </c>
      <c r="J60" s="75">
        <v>103378</v>
      </c>
      <c r="K60" s="75">
        <v>6364</v>
      </c>
      <c r="O60" s="75">
        <v>124696</v>
      </c>
      <c r="S60" s="75">
        <v>27370</v>
      </c>
      <c r="T60" s="75">
        <v>464</v>
      </c>
    </row>
    <row r="62" spans="1:20" ht="13">
      <c r="A62" s="74" t="s">
        <v>331</v>
      </c>
    </row>
    <row r="63" spans="1:20" ht="13">
      <c r="A63" s="74">
        <v>1997</v>
      </c>
      <c r="D63" s="78">
        <f>D33/D3</f>
        <v>-10.369803063457331</v>
      </c>
    </row>
    <row r="64" spans="1:20" ht="13">
      <c r="A64" s="74">
        <v>1998</v>
      </c>
      <c r="C64" s="78">
        <f t="shared" ref="C64:D64" si="0">C34/C4</f>
        <v>-1.5027385986321196</v>
      </c>
      <c r="D64" s="78">
        <f t="shared" si="0"/>
        <v>-2.0776741158602734</v>
      </c>
    </row>
    <row r="65" spans="1:18" ht="13">
      <c r="A65" s="74">
        <v>1999</v>
      </c>
      <c r="C65" s="78">
        <f t="shared" ref="C65:D65" si="1">C35/C5</f>
        <v>-0.12031467009390352</v>
      </c>
      <c r="D65" s="78">
        <f t="shared" si="1"/>
        <v>-0.48642083774774542</v>
      </c>
    </row>
    <row r="66" spans="1:18" ht="13">
      <c r="A66" s="74">
        <v>2000</v>
      </c>
      <c r="C66" s="78">
        <f t="shared" ref="C66:E66" si="2">C36/C6</f>
        <v>-2.5518133456802514E-2</v>
      </c>
      <c r="D66" s="78">
        <f t="shared" si="2"/>
        <v>-1.1555515634411557</v>
      </c>
      <c r="E66" s="78">
        <f t="shared" si="2"/>
        <v>-4.7807692307692307</v>
      </c>
    </row>
    <row r="67" spans="1:18" ht="13">
      <c r="A67" s="74">
        <v>2001</v>
      </c>
      <c r="C67" s="78">
        <f t="shared" ref="C67:E67" si="3">C37/C7</f>
        <v>5.7605997168345205E-3</v>
      </c>
      <c r="D67" s="78">
        <f t="shared" si="3"/>
        <v>-5.839708397083971E-2</v>
      </c>
      <c r="E67" s="78">
        <f t="shared" si="3"/>
        <v>-0.37203613097478361</v>
      </c>
      <c r="O67" s="78">
        <f t="shared" ref="O67:O90" si="4">O37/O7</f>
        <v>-6.4532374100719423</v>
      </c>
    </row>
    <row r="68" spans="1:18" ht="13">
      <c r="A68" s="74">
        <v>2002</v>
      </c>
      <c r="C68" s="78">
        <f t="shared" ref="C68:E68" si="5">C38/C8</f>
        <v>2.257260319288645E-2</v>
      </c>
      <c r="D68" s="78">
        <f t="shared" si="5"/>
        <v>0.1717058852959325</v>
      </c>
      <c r="E68" s="78">
        <f t="shared" si="5"/>
        <v>0.27182637182637182</v>
      </c>
      <c r="O68" s="78">
        <f t="shared" si="4"/>
        <v>-6.2013181545835828E-2</v>
      </c>
    </row>
    <row r="69" spans="1:18" ht="13">
      <c r="A69" s="74">
        <v>2003</v>
      </c>
      <c r="C69" s="78">
        <f t="shared" ref="C69:E69" si="6">C39/C9</f>
        <v>3.010787797527039E-2</v>
      </c>
      <c r="D69" s="78">
        <f t="shared" si="6"/>
        <v>0.15643429624504179</v>
      </c>
      <c r="E69" s="78">
        <f t="shared" si="6"/>
        <v>0.35978639424193176</v>
      </c>
      <c r="O69" s="78">
        <f t="shared" si="4"/>
        <v>-0.4621212121212121</v>
      </c>
    </row>
    <row r="70" spans="1:18" ht="13">
      <c r="A70" s="74">
        <v>2004</v>
      </c>
      <c r="C70" s="78">
        <f t="shared" ref="C70:E70" si="7">C40/C10</f>
        <v>4.8994282414597121E-2</v>
      </c>
      <c r="D70" s="78">
        <f t="shared" si="7"/>
        <v>0.222261047534662</v>
      </c>
      <c r="E70" s="78">
        <f t="shared" si="7"/>
        <v>0.4157267633890343</v>
      </c>
      <c r="O70" s="78">
        <f t="shared" si="4"/>
        <v>-0.69424823410696268</v>
      </c>
    </row>
    <row r="71" spans="1:18" ht="13">
      <c r="A71" s="74">
        <v>2005</v>
      </c>
      <c r="C71" s="78">
        <f t="shared" ref="C71:E71" si="8">C41/C11</f>
        <v>6.7363347391602435E-2</v>
      </c>
      <c r="D71" s="78">
        <f t="shared" si="8"/>
        <v>0.2706186260147066</v>
      </c>
      <c r="E71" s="78">
        <f t="shared" si="8"/>
        <v>0.46175179450673309</v>
      </c>
      <c r="O71" s="78">
        <f t="shared" si="4"/>
        <v>0.32531328320802005</v>
      </c>
    </row>
    <row r="72" spans="1:18" ht="13">
      <c r="A72" s="74">
        <v>2006</v>
      </c>
      <c r="C72" s="78">
        <f t="shared" ref="C72:E72" si="9">C42/C12</f>
        <v>8.6386555819012154E-2</v>
      </c>
      <c r="D72" s="78">
        <f t="shared" si="9"/>
        <v>0.24931957922511136</v>
      </c>
      <c r="E72" s="78">
        <f t="shared" si="9"/>
        <v>0.35472536149632333</v>
      </c>
      <c r="O72" s="78">
        <f t="shared" si="4"/>
        <v>0.33399416909620994</v>
      </c>
    </row>
    <row r="73" spans="1:18" ht="13">
      <c r="A73" s="74">
        <v>2007</v>
      </c>
      <c r="C73" s="78">
        <f t="shared" ref="C73:E73" si="10">C43/C13</f>
        <v>0.16374593890063141</v>
      </c>
      <c r="D73" s="78">
        <f t="shared" si="10"/>
        <v>0.24993659326492909</v>
      </c>
      <c r="E73" s="78">
        <f t="shared" si="10"/>
        <v>0.37742838376008192</v>
      </c>
      <c r="O73" s="78">
        <f t="shared" si="4"/>
        <v>0.26797190255567177</v>
      </c>
    </row>
    <row r="74" spans="1:18" ht="13">
      <c r="A74" s="74">
        <v>2008</v>
      </c>
      <c r="C74" s="78">
        <f t="shared" ref="C74:E74" si="11">C44/C14</f>
        <v>0.17643301220390853</v>
      </c>
      <c r="D74" s="78">
        <f t="shared" si="11"/>
        <v>0.24286000776979877</v>
      </c>
      <c r="E74" s="78">
        <f t="shared" si="11"/>
        <v>0.36068446001832105</v>
      </c>
      <c r="O74" s="78">
        <f t="shared" si="4"/>
        <v>0.35188129305776367</v>
      </c>
    </row>
    <row r="75" spans="1:18" ht="13">
      <c r="A75" s="74">
        <v>2009</v>
      </c>
      <c r="C75" s="78">
        <f t="shared" ref="C75:F75" si="12">C45/C15</f>
        <v>0.21812735543227046</v>
      </c>
      <c r="D75" s="78">
        <f t="shared" si="12"/>
        <v>0.22501841927109631</v>
      </c>
      <c r="E75" s="78">
        <f t="shared" si="12"/>
        <v>0.39120349540578103</v>
      </c>
      <c r="F75" s="78">
        <f t="shared" si="12"/>
        <v>0.54336829608422865</v>
      </c>
      <c r="J75" s="78">
        <f t="shared" ref="J75:J80" si="13">J45/J15</f>
        <v>-0.12867604154510445</v>
      </c>
      <c r="O75" s="78">
        <f t="shared" si="4"/>
        <v>0.34134887159194677</v>
      </c>
    </row>
    <row r="76" spans="1:18" ht="13">
      <c r="A76" s="74">
        <v>2010</v>
      </c>
      <c r="C76" s="78">
        <f t="shared" ref="C76:F76" si="14">C46/C16</f>
        <v>0.27140576452111165</v>
      </c>
      <c r="D76" s="78">
        <f t="shared" si="14"/>
        <v>0.21476606524494463</v>
      </c>
      <c r="E76" s="78">
        <f t="shared" si="14"/>
        <v>0.41133464147857451</v>
      </c>
      <c r="F76" s="78">
        <f t="shared" si="14"/>
        <v>0.5236518204421885</v>
      </c>
      <c r="J76" s="78">
        <f t="shared" si="13"/>
        <v>-5.282431785543322E-2</v>
      </c>
      <c r="O76" s="78">
        <f t="shared" si="4"/>
        <v>0.3522888825703725</v>
      </c>
    </row>
    <row r="77" spans="1:18" ht="13">
      <c r="A77" s="74">
        <v>2011</v>
      </c>
      <c r="C77" s="78">
        <f t="shared" ref="C77:F77" si="15">C47/C17</f>
        <v>0.33353445326831371</v>
      </c>
      <c r="D77" s="78">
        <f t="shared" si="15"/>
        <v>0.19002501878075703</v>
      </c>
      <c r="E77" s="78">
        <f t="shared" si="15"/>
        <v>0.35221141781681303</v>
      </c>
      <c r="F77" s="78">
        <f t="shared" si="15"/>
        <v>0.47966056732222717</v>
      </c>
      <c r="J77" s="78">
        <f t="shared" si="13"/>
        <v>4.8564395731272199E-2</v>
      </c>
      <c r="O77" s="78">
        <f t="shared" si="4"/>
        <v>0.31353975110122739</v>
      </c>
      <c r="R77" s="78"/>
    </row>
    <row r="78" spans="1:18" ht="13">
      <c r="A78" s="74">
        <v>2012</v>
      </c>
      <c r="C78" s="78">
        <f t="shared" ref="C78:F78" si="16">C48/C18</f>
        <v>0.36018814831372853</v>
      </c>
      <c r="D78" s="78">
        <f t="shared" si="16"/>
        <v>0.18477342025388882</v>
      </c>
      <c r="E78" s="78">
        <f t="shared" si="16"/>
        <v>0.20608066493433363</v>
      </c>
      <c r="F78" s="78">
        <f t="shared" si="16"/>
        <v>0.42201834862385323</v>
      </c>
      <c r="H78" s="78">
        <f t="shared" ref="H78:H79" si="17">H48/H18</f>
        <v>0.21235707568182943</v>
      </c>
      <c r="J78" s="78">
        <f t="shared" si="13"/>
        <v>3.492388058942314E-2</v>
      </c>
      <c r="O78" s="78">
        <f t="shared" si="4"/>
        <v>0.31599455504509105</v>
      </c>
      <c r="R78" s="78">
        <f t="shared" ref="R78:R89" si="18">R48/R18</f>
        <v>0.15083702932886109</v>
      </c>
    </row>
    <row r="79" spans="1:18" ht="13">
      <c r="A79" s="74">
        <v>2013</v>
      </c>
      <c r="C79" s="78">
        <f t="shared" ref="C79:F79" si="19">C49/C19</f>
        <v>0.37248270576947368</v>
      </c>
      <c r="D79" s="78">
        <f t="shared" si="19"/>
        <v>0.16639759023771294</v>
      </c>
      <c r="E79" s="78">
        <f t="shared" si="19"/>
        <v>0.20227586601220951</v>
      </c>
      <c r="F79" s="78">
        <f t="shared" si="19"/>
        <v>0.34920634920634919</v>
      </c>
      <c r="H79" s="78">
        <f t="shared" si="17"/>
        <v>0.20936776845372543</v>
      </c>
      <c r="J79" s="78">
        <f t="shared" si="13"/>
        <v>-6.2227408203756635E-2</v>
      </c>
      <c r="O79" s="78">
        <f t="shared" si="4"/>
        <v>0.16106955276141971</v>
      </c>
      <c r="R79" s="78">
        <f t="shared" si="18"/>
        <v>0.17049381044601283</v>
      </c>
    </row>
    <row r="80" spans="1:18" ht="13">
      <c r="A80" s="74">
        <v>2014</v>
      </c>
      <c r="C80" s="78">
        <f t="shared" ref="C80:H80" si="20">C50/C20</f>
        <v>0.38866894946689584</v>
      </c>
      <c r="D80" s="78">
        <f t="shared" si="20"/>
        <v>0.16142403424317059</v>
      </c>
      <c r="E80" s="78">
        <f t="shared" si="20"/>
        <v>4.2634422528032194E-3</v>
      </c>
      <c r="F80" s="78">
        <f t="shared" si="20"/>
        <v>0.32825040128410915</v>
      </c>
      <c r="G80" s="78">
        <f t="shared" si="20"/>
        <v>-8.7069975503248484E-4</v>
      </c>
      <c r="H80" s="78">
        <f t="shared" si="20"/>
        <v>0.17390672275779354</v>
      </c>
      <c r="J80" s="78">
        <f t="shared" si="13"/>
        <v>-3.7849405362843654E-2</v>
      </c>
      <c r="O80" s="78">
        <f t="shared" si="4"/>
        <v>0.24230814760608246</v>
      </c>
      <c r="R80" s="78">
        <f t="shared" si="18"/>
        <v>0.16228559260774303</v>
      </c>
    </row>
    <row r="81" spans="1:20" ht="13">
      <c r="A81" s="74">
        <v>2015</v>
      </c>
      <c r="B81" s="78">
        <f t="shared" ref="B81:J81" si="21">B51/B21</f>
        <v>-0.13459356002615769</v>
      </c>
      <c r="C81" s="78">
        <f t="shared" si="21"/>
        <v>0.38284973732074862</v>
      </c>
      <c r="D81" s="78">
        <f t="shared" si="21"/>
        <v>0.13701312452630773</v>
      </c>
      <c r="E81" s="78">
        <f t="shared" si="21"/>
        <v>6.3982953922694583E-2</v>
      </c>
      <c r="F81" s="78">
        <f t="shared" si="21"/>
        <v>0.21782841823056301</v>
      </c>
      <c r="G81" s="78">
        <f t="shared" si="21"/>
        <v>-3.0485135585737465E-2</v>
      </c>
      <c r="H81" s="78" t="e">
        <f t="shared" si="21"/>
        <v>#VALUE!</v>
      </c>
      <c r="I81" s="78">
        <f t="shared" si="21"/>
        <v>-9.468095449253161E-2</v>
      </c>
      <c r="J81" s="78">
        <f t="shared" si="21"/>
        <v>-2.1576294028584263E-2</v>
      </c>
      <c r="O81" s="78">
        <f t="shared" si="4"/>
        <v>0.247240497475465</v>
      </c>
      <c r="R81" s="78">
        <f t="shared" si="18"/>
        <v>-4.3765197526458868E-2</v>
      </c>
    </row>
    <row r="82" spans="1:20" ht="13">
      <c r="A82" s="74">
        <v>2016</v>
      </c>
      <c r="B82" s="78">
        <f t="shared" ref="B82:J82" si="22">B52/B22</f>
        <v>-8.033035028292268E-2</v>
      </c>
      <c r="C82" s="78">
        <f t="shared" si="22"/>
        <v>0.38686912408079682</v>
      </c>
      <c r="D82" s="78">
        <f t="shared" si="22"/>
        <v>0.15486306363069785</v>
      </c>
      <c r="E82" s="78">
        <f t="shared" si="22"/>
        <v>-4.4186670194255956E-2</v>
      </c>
      <c r="F82" s="78">
        <f t="shared" si="22"/>
        <v>0.18108108108108109</v>
      </c>
      <c r="G82" s="78">
        <f t="shared" si="22"/>
        <v>-2.845393971337247E-2</v>
      </c>
      <c r="H82" s="78">
        <f t="shared" si="22"/>
        <v>0.18619457885236701</v>
      </c>
      <c r="I82" s="78">
        <f t="shared" si="22"/>
        <v>0.11676905939751242</v>
      </c>
      <c r="J82" s="78">
        <f t="shared" si="22"/>
        <v>-0.16472640535440919</v>
      </c>
      <c r="L82" s="78">
        <f t="shared" ref="L82:L84" si="23">L52/L22</f>
        <v>0.50672645739910316</v>
      </c>
      <c r="O82" s="78">
        <f t="shared" si="4"/>
        <v>0.23793539387070056</v>
      </c>
      <c r="R82" s="78">
        <f t="shared" si="18"/>
        <v>8.9965975290370787E-2</v>
      </c>
    </row>
    <row r="83" spans="1:20" ht="13">
      <c r="A83" s="74">
        <v>2017</v>
      </c>
      <c r="B83" s="78">
        <f t="shared" ref="B83:J83" si="24">B53/B23</f>
        <v>-7.8853239677544897E-4</v>
      </c>
      <c r="C83" s="78">
        <f t="shared" si="24"/>
        <v>0.38861288541913097</v>
      </c>
      <c r="D83" s="78">
        <f t="shared" si="24"/>
        <v>0.1547570717796419</v>
      </c>
      <c r="E83" s="78">
        <f t="shared" si="24"/>
        <v>0.14224904707576999</v>
      </c>
      <c r="F83" s="78">
        <f t="shared" si="24"/>
        <v>0.15167095115681234</v>
      </c>
      <c r="G83" s="78">
        <f t="shared" si="24"/>
        <v>-9.0268930382835615E-3</v>
      </c>
      <c r="H83" s="78">
        <f t="shared" si="24"/>
        <v>0.20563068908176899</v>
      </c>
      <c r="I83" s="78">
        <f t="shared" si="24"/>
        <v>0.16235637668435318</v>
      </c>
      <c r="J83" s="78">
        <f t="shared" si="24"/>
        <v>-0.23581239299163576</v>
      </c>
      <c r="L83" s="78">
        <f t="shared" si="23"/>
        <v>0.32476635514018692</v>
      </c>
      <c r="O83" s="78">
        <f t="shared" si="4"/>
        <v>0.20700542798020014</v>
      </c>
      <c r="R83" s="78">
        <f t="shared" si="18"/>
        <v>3.2823800396243739E-2</v>
      </c>
      <c r="S83" s="78">
        <f t="shared" ref="S83:T83" si="25">S53/S23</f>
        <v>0.17935058346017249</v>
      </c>
      <c r="T83" s="78">
        <f t="shared" si="25"/>
        <v>-0.16911490618916791</v>
      </c>
    </row>
    <row r="84" spans="1:20" ht="13">
      <c r="A84" s="74">
        <v>2018</v>
      </c>
      <c r="B84" s="78">
        <f t="shared" ref="B84:J84" si="26">B54/B24</f>
        <v>2.7695896888952173E-2</v>
      </c>
      <c r="C84" s="78">
        <f t="shared" si="26"/>
        <v>0.39698492462311558</v>
      </c>
      <c r="D84" s="78">
        <f t="shared" si="26"/>
        <v>0.15521696516083044</v>
      </c>
      <c r="E84" s="78">
        <f t="shared" si="26"/>
        <v>0.11584037832367185</v>
      </c>
      <c r="F84" s="78">
        <f t="shared" si="26"/>
        <v>0.18513931888544891</v>
      </c>
      <c r="G84" s="78">
        <f t="shared" si="26"/>
        <v>-6.6808914856343648E-3</v>
      </c>
      <c r="H84" s="78">
        <f t="shared" si="26"/>
        <v>0.19775226406063276</v>
      </c>
      <c r="I84" s="78">
        <f t="shared" si="26"/>
        <v>0.11473123588898898</v>
      </c>
      <c r="J84" s="78">
        <f t="shared" si="26"/>
        <v>-0.27624609473857131</v>
      </c>
      <c r="L84" s="78">
        <f t="shared" si="23"/>
        <v>-3.937007874015748E-2</v>
      </c>
      <c r="O84" s="78">
        <f t="shared" si="4"/>
        <v>0.11592031844190923</v>
      </c>
      <c r="R84" s="78">
        <f t="shared" si="18"/>
        <v>9.5049671409142902E-2</v>
      </c>
      <c r="S84" s="78">
        <f t="shared" ref="S84:T84" si="27">S54/S24</f>
        <v>6.1839692093095346E-2</v>
      </c>
      <c r="T84" s="78">
        <f t="shared" si="27"/>
        <v>-0.23797146683256534</v>
      </c>
    </row>
    <row r="85" spans="1:20" ht="13">
      <c r="A85" s="74">
        <v>2019</v>
      </c>
      <c r="B85" s="78">
        <f t="shared" ref="B85:L85" si="28">B55/B25</f>
        <v>-7.980477141719694E-2</v>
      </c>
      <c r="C85" s="78">
        <f t="shared" si="28"/>
        <v>0.38590203106332138</v>
      </c>
      <c r="D85" s="78">
        <f t="shared" si="28"/>
        <v>0.15505096544294356</v>
      </c>
      <c r="E85" s="78">
        <f t="shared" si="28"/>
        <v>0.17204052091604022</v>
      </c>
      <c r="F85" s="78">
        <f t="shared" si="28"/>
        <v>0.20064102564102565</v>
      </c>
      <c r="G85" s="78">
        <f t="shared" si="28"/>
        <v>5.9782274106200815E-2</v>
      </c>
      <c r="H85" s="78">
        <f t="shared" si="28"/>
        <v>0.21671660682458088</v>
      </c>
      <c r="I85" s="78">
        <f t="shared" si="28"/>
        <v>2.6436720292030879E-2</v>
      </c>
      <c r="J85" s="78">
        <f t="shared" si="28"/>
        <v>-0.25952634631760385</v>
      </c>
      <c r="K85" s="78">
        <f t="shared" si="28"/>
        <v>-1.3052721088435375</v>
      </c>
      <c r="L85" s="78">
        <f t="shared" si="28"/>
        <v>0.17058823529411765</v>
      </c>
      <c r="O85" s="78">
        <f t="shared" si="4"/>
        <v>0.28742512613442267</v>
      </c>
      <c r="R85" s="78">
        <f t="shared" si="18"/>
        <v>0.15863417968152282</v>
      </c>
      <c r="S85" s="78">
        <f t="shared" ref="S85:T85" si="29">S55/S25</f>
        <v>0.16991368680641183</v>
      </c>
      <c r="T85" s="78">
        <f t="shared" si="29"/>
        <v>-0.20747758951613482</v>
      </c>
    </row>
    <row r="86" spans="1:20" ht="13">
      <c r="A86" s="74">
        <v>2020</v>
      </c>
      <c r="B86" s="78">
        <f t="shared" ref="B86:L86" si="30">B56/B26</f>
        <v>-0.97951364025624299</v>
      </c>
      <c r="C86" s="78">
        <f t="shared" si="30"/>
        <v>0.13404944084755738</v>
      </c>
      <c r="D86" s="78">
        <f t="shared" si="30"/>
        <v>-0.12194652817849587</v>
      </c>
      <c r="E86" s="78">
        <f t="shared" si="30"/>
        <v>-1.1246979356692619E-2</v>
      </c>
      <c r="F86" s="78">
        <f t="shared" si="30"/>
        <v>-0.26490066225165565</v>
      </c>
      <c r="G86" s="78">
        <f t="shared" si="30"/>
        <v>-0.1373149866918098</v>
      </c>
      <c r="H86" s="78">
        <f t="shared" si="30"/>
        <v>0.18210754127766604</v>
      </c>
      <c r="I86" s="78">
        <f t="shared" si="30"/>
        <v>-1.0930985121902934</v>
      </c>
      <c r="J86" s="78">
        <f t="shared" si="30"/>
        <v>-0.24272502793558015</v>
      </c>
      <c r="K86" s="78">
        <f t="shared" si="30"/>
        <v>-0.20662768031189083</v>
      </c>
      <c r="L86" s="78">
        <f t="shared" si="30"/>
        <v>0.12195121951219512</v>
      </c>
      <c r="O86" s="78">
        <f t="shared" si="4"/>
        <v>9.5166864112068913E-2</v>
      </c>
      <c r="R86" s="78">
        <f t="shared" si="18"/>
        <v>-0.42756309821137706</v>
      </c>
      <c r="S86" s="78">
        <f t="shared" ref="S86:T86" si="31">S56/S26</f>
        <v>0.26280150475768976</v>
      </c>
      <c r="T86" s="78">
        <f t="shared" si="31"/>
        <v>3.5493278327050286E-2</v>
      </c>
    </row>
    <row r="87" spans="1:20" ht="13">
      <c r="A87" s="74">
        <v>2021</v>
      </c>
      <c r="B87" s="78">
        <f t="shared" ref="B87:L87" si="32">B57/B27</f>
        <v>0.12042638556951547</v>
      </c>
      <c r="C87" s="78">
        <f t="shared" si="32"/>
        <v>0.26738455922613613</v>
      </c>
      <c r="D87" s="78">
        <f t="shared" si="32"/>
        <v>0.12514538264712724</v>
      </c>
      <c r="E87" s="78">
        <f t="shared" si="32"/>
        <v>-1.9477711873924441E-2</v>
      </c>
      <c r="F87" s="78">
        <f t="shared" si="32"/>
        <v>-2.2172949002217297E-2</v>
      </c>
      <c r="G87" s="78">
        <f t="shared" si="32"/>
        <v>5.090438329730456E-2</v>
      </c>
      <c r="H87" s="78">
        <f t="shared" si="32"/>
        <v>-0.38636309376964645</v>
      </c>
      <c r="I87" s="78">
        <f t="shared" si="32"/>
        <v>-0.17630551072812481</v>
      </c>
      <c r="J87" s="78">
        <f t="shared" si="32"/>
        <v>-0.20505409545693906</v>
      </c>
      <c r="K87" s="78">
        <f t="shared" si="32"/>
        <v>3.8998555609051515E-2</v>
      </c>
      <c r="L87" s="78">
        <f t="shared" si="32"/>
        <v>-0.53086419753086422</v>
      </c>
      <c r="O87" s="78">
        <f t="shared" si="4"/>
        <v>-1.5555404486743711</v>
      </c>
      <c r="R87" s="78">
        <f t="shared" si="18"/>
        <v>6.2760159636098358E-4</v>
      </c>
      <c r="S87" s="78">
        <f t="shared" ref="S87:T87" si="33">S57/S27</f>
        <v>0.56201040954734238</v>
      </c>
      <c r="T87" s="78">
        <f t="shared" si="33"/>
        <v>-0.32481273898695723</v>
      </c>
    </row>
    <row r="88" spans="1:20" ht="13">
      <c r="A88" s="74">
        <v>2022</v>
      </c>
      <c r="B88" s="78">
        <f t="shared" ref="B88:L88" si="34">B58/B28</f>
        <v>0.2357780688177164</v>
      </c>
      <c r="C88" s="78">
        <f t="shared" si="34"/>
        <v>0.31328262141603275</v>
      </c>
      <c r="D88" s="78">
        <f t="shared" si="34"/>
        <v>0.16979514871003687</v>
      </c>
      <c r="E88" s="78">
        <f t="shared" si="34"/>
        <v>4.4014347813506313E-2</v>
      </c>
      <c r="F88" s="78">
        <f t="shared" si="34"/>
        <v>0.13136729222520108</v>
      </c>
      <c r="G88" s="78">
        <f t="shared" si="34"/>
        <v>0.13179703312975896</v>
      </c>
      <c r="H88" s="78">
        <f t="shared" si="34"/>
        <v>8.7831321587261042E-3</v>
      </c>
      <c r="I88" s="78">
        <f t="shared" si="34"/>
        <v>6.4694816830615717E-2</v>
      </c>
      <c r="J88" s="78">
        <f t="shared" si="34"/>
        <v>-2.8496516008145577E-3</v>
      </c>
      <c r="K88" s="78">
        <f t="shared" si="34"/>
        <v>-2.8916814370780475E-2</v>
      </c>
      <c r="L88" s="78">
        <f t="shared" si="34"/>
        <v>-5.6910569105691054E-2</v>
      </c>
      <c r="O88" s="78">
        <f t="shared" si="4"/>
        <v>-0.17303782221151529</v>
      </c>
      <c r="R88" s="78">
        <f t="shared" si="18"/>
        <v>1.5342041582601381E-2</v>
      </c>
      <c r="S88" s="78">
        <f t="shared" ref="S88:T88" si="35">S58/S28</f>
        <v>0.57576143749203512</v>
      </c>
      <c r="T88" s="78">
        <f t="shared" si="35"/>
        <v>-2.3539791776954297E-2</v>
      </c>
    </row>
    <row r="89" spans="1:20" ht="13">
      <c r="A89" s="74">
        <v>2023</v>
      </c>
      <c r="B89" s="78">
        <f t="shared" ref="B89:L89" si="36">B59/B29</f>
        <v>0.15750731067863266</v>
      </c>
      <c r="C89" s="78">
        <f t="shared" si="36"/>
        <v>0.29693423824011234</v>
      </c>
      <c r="D89" s="78">
        <f t="shared" si="36"/>
        <v>0.17711659786587741</v>
      </c>
      <c r="E89" s="78">
        <f t="shared" si="36"/>
        <v>0.27277012469762879</v>
      </c>
      <c r="F89" s="78">
        <f t="shared" si="36"/>
        <v>0.13310961968680091</v>
      </c>
      <c r="G89" s="78">
        <f t="shared" si="36"/>
        <v>9.091367063525381E-2</v>
      </c>
      <c r="H89" s="78">
        <f t="shared" si="36"/>
        <v>3.9107014976492202E-2</v>
      </c>
      <c r="I89" s="78">
        <f t="shared" si="36"/>
        <v>0.14419721262251431</v>
      </c>
      <c r="J89" s="78">
        <f t="shared" si="36"/>
        <v>8.5322593371688737E-2</v>
      </c>
      <c r="K89" s="78">
        <f t="shared" si="36"/>
        <v>7.8089399577097707E-2</v>
      </c>
      <c r="L89" s="78">
        <f t="shared" si="36"/>
        <v>0.20689655172413793</v>
      </c>
      <c r="M89" s="78"/>
      <c r="N89" s="78"/>
      <c r="O89" s="78">
        <f t="shared" si="4"/>
        <v>0.3490688308767913</v>
      </c>
      <c r="P89" s="78"/>
      <c r="Q89" s="78"/>
      <c r="R89" s="78">
        <f t="shared" si="18"/>
        <v>9.6565753591026024E-2</v>
      </c>
      <c r="S89" s="78">
        <f t="shared" ref="S89:T89" si="37">S59/S29</f>
        <v>0.40071433725377009</v>
      </c>
      <c r="T89" s="78">
        <f t="shared" si="37"/>
        <v>6.8049415361732021E-2</v>
      </c>
    </row>
    <row r="90" spans="1:20" ht="13">
      <c r="A90" s="74">
        <v>2024</v>
      </c>
      <c r="B90" s="78"/>
      <c r="H90" s="78">
        <f>H60/H30</f>
        <v>0.12203171479436005</v>
      </c>
      <c r="J90" s="78">
        <f t="shared" ref="J90:K90" si="38">J60/J30</f>
        <v>0.13200078655501671</v>
      </c>
      <c r="K90" s="78">
        <f t="shared" si="38"/>
        <v>7.9777365491651209E-2</v>
      </c>
      <c r="O90" s="78">
        <f t="shared" si="4"/>
        <v>0.39688213145590712</v>
      </c>
      <c r="S90" s="78">
        <f t="shared" ref="S90:T90" si="39">S60/S30</f>
        <v>0.37465436526405127</v>
      </c>
      <c r="T90" s="78">
        <f t="shared" si="39"/>
        <v>9.012858863292025E-3</v>
      </c>
    </row>
    <row r="91" spans="1:20" ht="13">
      <c r="B91" s="78"/>
      <c r="J91" s="78"/>
    </row>
    <row r="92" spans="1:20" ht="13">
      <c r="B92" s="78"/>
    </row>
    <row r="93" spans="1:20" ht="13">
      <c r="B93" s="78"/>
    </row>
    <row r="94" spans="1:20" ht="13">
      <c r="B94" s="78"/>
    </row>
    <row r="95" spans="1:20" ht="13">
      <c r="B95" s="78"/>
    </row>
    <row r="96" spans="1:20" ht="13">
      <c r="B96" s="78"/>
    </row>
    <row r="97" spans="2:2" ht="13">
      <c r="B97" s="78"/>
    </row>
    <row r="98" spans="2:2" ht="13">
      <c r="B98" s="78"/>
    </row>
    <row r="99" spans="2:2" ht="13">
      <c r="B99" s="78"/>
    </row>
    <row r="100" spans="2:2" ht="13">
      <c r="B100" s="78"/>
    </row>
    <row r="101" spans="2:2" ht="13">
      <c r="B101" s="78"/>
    </row>
    <row r="102" spans="2:2" ht="13">
      <c r="B102" s="78"/>
    </row>
    <row r="103" spans="2:2" ht="13">
      <c r="B103" s="78"/>
    </row>
    <row r="104" spans="2:2" ht="13">
      <c r="B104" s="78"/>
    </row>
    <row r="105" spans="2:2" ht="13">
      <c r="B105" s="78"/>
    </row>
    <row r="106" spans="2:2" ht="13">
      <c r="B106" s="78"/>
    </row>
  </sheetData>
  <conditionalFormatting sqref="D3:D29 C4:C29 E6:E29 O7:O32 F15:F29 J15:J30 L15:L29 H18:H31 R18:R29 G20:G29 B21:B29 I21:I29 S23:T30 K25:K30 D33:D59 C34:C59 E36:E59 O37:O60 F45:F59 J45:J60 H48:H60 R48:R59 G50:G59 B51:B59 I51:I59 L52:L59 S53:T60 K55:K60">
    <cfRule type="colorScale" priority="1">
      <colorScale>
        <cfvo type="min"/>
        <cfvo type="max"/>
        <color rgb="FFFFFFFF"/>
        <color rgb="FF57BB8A"/>
      </colorScale>
    </cfRule>
  </conditionalFormatting>
  <conditionalFormatting sqref="D63:D89 C64:C89 E66:E89 O67:O90 F75:F89 J75:J91 R77:R89 H78:H90 G80:G89 B81:B106 I81:I89 L82:L89 S83:T90 K85:K90 M89:N89 P89:Q89">
    <cfRule type="colorScale" priority="2">
      <colorScale>
        <cfvo type="min"/>
        <cfvo type="percentile" val="5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999999"/>
    <outlinePr summaryBelow="0" summaryRight="0"/>
  </sheetPr>
  <dimension ref="A1:H2101"/>
  <sheetViews>
    <sheetView workbookViewId="0"/>
  </sheetViews>
  <sheetFormatPr baseColWidth="10" defaultColWidth="12.6640625" defaultRowHeight="15.75" customHeight="1"/>
  <cols>
    <col min="3" max="3" width="22.5" customWidth="1"/>
    <col min="4" max="4" width="22.33203125" customWidth="1"/>
  </cols>
  <sheetData>
    <row r="1" spans="1:5" ht="16">
      <c r="A1" s="79" t="s">
        <v>332</v>
      </c>
      <c r="B1" s="79" t="s">
        <v>143</v>
      </c>
      <c r="C1" s="80" t="s">
        <v>333</v>
      </c>
      <c r="D1" s="80" t="s">
        <v>331</v>
      </c>
      <c r="E1" s="79" t="s">
        <v>321</v>
      </c>
    </row>
    <row r="2" spans="1:5" ht="14">
      <c r="A2" s="81" t="s">
        <v>0</v>
      </c>
      <c r="B2" s="19" t="s">
        <v>334</v>
      </c>
      <c r="C2" s="82"/>
      <c r="D2" s="82"/>
    </row>
    <row r="3" spans="1:5" ht="14">
      <c r="A3" s="81" t="s">
        <v>0</v>
      </c>
      <c r="B3" s="19" t="s">
        <v>335</v>
      </c>
      <c r="C3" s="82"/>
      <c r="D3" s="82"/>
    </row>
    <row r="4" spans="1:5" ht="14">
      <c r="A4" s="81" t="s">
        <v>0</v>
      </c>
      <c r="B4" s="19" t="s">
        <v>336</v>
      </c>
      <c r="C4" s="82"/>
      <c r="D4" s="82"/>
    </row>
    <row r="5" spans="1:5" ht="14">
      <c r="A5" s="81" t="s">
        <v>0</v>
      </c>
      <c r="B5" s="19" t="s">
        <v>337</v>
      </c>
      <c r="C5" s="82"/>
      <c r="D5" s="82"/>
    </row>
    <row r="6" spans="1:5" ht="14">
      <c r="A6" s="81" t="s">
        <v>0</v>
      </c>
      <c r="B6" s="19" t="s">
        <v>338</v>
      </c>
      <c r="C6" s="82"/>
      <c r="D6" s="82"/>
    </row>
    <row r="7" spans="1:5" ht="14">
      <c r="A7" s="81" t="s">
        <v>0</v>
      </c>
      <c r="B7" s="19" t="s">
        <v>339</v>
      </c>
      <c r="C7" s="82"/>
      <c r="D7" s="82"/>
    </row>
    <row r="8" spans="1:5" ht="14">
      <c r="A8" s="81" t="s">
        <v>0</v>
      </c>
      <c r="B8" s="19" t="s">
        <v>340</v>
      </c>
      <c r="C8" s="82"/>
      <c r="D8" s="82"/>
    </row>
    <row r="9" spans="1:5" ht="14">
      <c r="A9" s="81" t="s">
        <v>0</v>
      </c>
      <c r="B9" s="19" t="s">
        <v>341</v>
      </c>
      <c r="C9" s="82"/>
      <c r="D9" s="82"/>
    </row>
    <row r="10" spans="1:5" ht="14">
      <c r="A10" s="81" t="s">
        <v>0</v>
      </c>
      <c r="B10" s="19" t="s">
        <v>342</v>
      </c>
      <c r="C10" s="82"/>
      <c r="D10" s="82"/>
    </row>
    <row r="11" spans="1:5" ht="14">
      <c r="A11" s="81" t="s">
        <v>0</v>
      </c>
      <c r="B11" s="19" t="s">
        <v>343</v>
      </c>
      <c r="C11" s="82"/>
      <c r="D11" s="82"/>
    </row>
    <row r="12" spans="1:5" ht="14">
      <c r="A12" s="81" t="s">
        <v>0</v>
      </c>
      <c r="B12" s="19" t="s">
        <v>344</v>
      </c>
      <c r="C12" s="82"/>
      <c r="D12" s="82"/>
    </row>
    <row r="13" spans="1:5" ht="14">
      <c r="A13" s="81" t="s">
        <v>0</v>
      </c>
      <c r="B13" s="19" t="s">
        <v>345</v>
      </c>
      <c r="C13" s="82"/>
      <c r="D13" s="82"/>
    </row>
    <row r="14" spans="1:5" ht="14">
      <c r="A14" s="81" t="s">
        <v>0</v>
      </c>
      <c r="B14" s="19" t="s">
        <v>346</v>
      </c>
      <c r="C14" s="82"/>
      <c r="D14" s="82"/>
    </row>
    <row r="15" spans="1:5" ht="14">
      <c r="A15" s="81" t="s">
        <v>0</v>
      </c>
      <c r="B15" s="19" t="s">
        <v>347</v>
      </c>
      <c r="C15" s="82"/>
      <c r="D15" s="82"/>
    </row>
    <row r="16" spans="1:5" ht="14">
      <c r="A16" s="81" t="s">
        <v>0</v>
      </c>
      <c r="B16" s="19" t="s">
        <v>348</v>
      </c>
      <c r="C16" s="82"/>
      <c r="D16" s="82"/>
    </row>
    <row r="17" spans="1:4" ht="14">
      <c r="A17" s="81" t="s">
        <v>0</v>
      </c>
      <c r="B17" s="19" t="s">
        <v>349</v>
      </c>
      <c r="C17" s="82"/>
      <c r="D17" s="82"/>
    </row>
    <row r="18" spans="1:4" ht="14">
      <c r="A18" s="81" t="s">
        <v>0</v>
      </c>
      <c r="B18" s="19" t="s">
        <v>350</v>
      </c>
      <c r="C18" s="82"/>
      <c r="D18" s="82"/>
    </row>
    <row r="19" spans="1:4" ht="14">
      <c r="A19" s="81" t="s">
        <v>0</v>
      </c>
      <c r="B19" s="19" t="s">
        <v>351</v>
      </c>
      <c r="C19" s="82"/>
      <c r="D19" s="82"/>
    </row>
    <row r="20" spans="1:4" ht="14">
      <c r="A20" s="81" t="s">
        <v>0</v>
      </c>
      <c r="B20" s="19" t="s">
        <v>352</v>
      </c>
      <c r="C20" s="82"/>
      <c r="D20" s="82"/>
    </row>
    <row r="21" spans="1:4" ht="14">
      <c r="A21" s="81" t="s">
        <v>0</v>
      </c>
      <c r="B21" s="19" t="s">
        <v>353</v>
      </c>
      <c r="C21" s="82"/>
      <c r="D21" s="82"/>
    </row>
    <row r="22" spans="1:4" ht="14">
      <c r="A22" s="81" t="s">
        <v>0</v>
      </c>
      <c r="B22" s="19" t="s">
        <v>354</v>
      </c>
      <c r="C22" s="82"/>
      <c r="D22" s="82"/>
    </row>
    <row r="23" spans="1:4" ht="14">
      <c r="A23" s="81" t="s">
        <v>0</v>
      </c>
      <c r="B23" s="19" t="s">
        <v>355</v>
      </c>
      <c r="C23" s="82"/>
      <c r="D23" s="82"/>
    </row>
    <row r="24" spans="1:4" ht="14">
      <c r="A24" s="81" t="s">
        <v>0</v>
      </c>
      <c r="B24" s="19" t="s">
        <v>356</v>
      </c>
      <c r="C24" s="82"/>
      <c r="D24" s="82"/>
    </row>
    <row r="25" spans="1:4" ht="14">
      <c r="A25" s="81" t="s">
        <v>0</v>
      </c>
      <c r="B25" s="19" t="s">
        <v>357</v>
      </c>
      <c r="C25" s="82"/>
      <c r="D25" s="82"/>
    </row>
    <row r="26" spans="1:4" ht="14">
      <c r="A26" s="81" t="s">
        <v>0</v>
      </c>
      <c r="B26" s="19" t="s">
        <v>358</v>
      </c>
      <c r="C26" s="82"/>
      <c r="D26" s="82"/>
    </row>
    <row r="27" spans="1:4" ht="14">
      <c r="A27" s="81" t="s">
        <v>0</v>
      </c>
      <c r="B27" s="19" t="s">
        <v>359</v>
      </c>
      <c r="C27" s="82"/>
      <c r="D27" s="82"/>
    </row>
    <row r="28" spans="1:4" ht="14">
      <c r="A28" s="81" t="s">
        <v>0</v>
      </c>
      <c r="B28" s="19" t="s">
        <v>360</v>
      </c>
      <c r="C28" s="82"/>
      <c r="D28" s="82"/>
    </row>
    <row r="29" spans="1:4" ht="14">
      <c r="A29" s="81" t="s">
        <v>0</v>
      </c>
      <c r="B29" s="19" t="s">
        <v>361</v>
      </c>
      <c r="C29" s="82"/>
      <c r="D29" s="82"/>
    </row>
    <row r="30" spans="1:4" ht="14">
      <c r="A30" s="81" t="s">
        <v>0</v>
      </c>
      <c r="B30" s="19" t="s">
        <v>362</v>
      </c>
      <c r="C30" s="82"/>
      <c r="D30" s="82"/>
    </row>
    <row r="31" spans="1:4" ht="14">
      <c r="A31" s="81" t="s">
        <v>0</v>
      </c>
      <c r="B31" s="19" t="s">
        <v>363</v>
      </c>
      <c r="C31" s="82"/>
      <c r="D31" s="82"/>
    </row>
    <row r="32" spans="1:4" ht="14">
      <c r="A32" s="81" t="s">
        <v>0</v>
      </c>
      <c r="B32" s="19" t="s">
        <v>364</v>
      </c>
      <c r="C32" s="82"/>
      <c r="D32" s="82"/>
    </row>
    <row r="33" spans="1:4" ht="14">
      <c r="A33" s="81" t="s">
        <v>0</v>
      </c>
      <c r="B33" s="19" t="s">
        <v>365</v>
      </c>
      <c r="C33" s="82"/>
      <c r="D33" s="82"/>
    </row>
    <row r="34" spans="1:4" ht="14">
      <c r="A34" s="81" t="s">
        <v>0</v>
      </c>
      <c r="B34" s="19" t="s">
        <v>366</v>
      </c>
      <c r="C34" s="82"/>
      <c r="D34" s="82"/>
    </row>
    <row r="35" spans="1:4" ht="14">
      <c r="A35" s="81" t="s">
        <v>0</v>
      </c>
      <c r="B35" s="19" t="s">
        <v>367</v>
      </c>
      <c r="C35" s="82"/>
      <c r="D35" s="82"/>
    </row>
    <row r="36" spans="1:4" ht="14">
      <c r="A36" s="81" t="s">
        <v>0</v>
      </c>
      <c r="B36" s="19" t="s">
        <v>368</v>
      </c>
      <c r="C36" s="82"/>
      <c r="D36" s="82"/>
    </row>
    <row r="37" spans="1:4" ht="14">
      <c r="A37" s="81" t="s">
        <v>0</v>
      </c>
      <c r="B37" s="19" t="s">
        <v>369</v>
      </c>
      <c r="C37" s="82"/>
      <c r="D37" s="82"/>
    </row>
    <row r="38" spans="1:4" ht="14">
      <c r="A38" s="81" t="s">
        <v>0</v>
      </c>
      <c r="B38" s="19" t="s">
        <v>370</v>
      </c>
      <c r="C38" s="82"/>
      <c r="D38" s="82"/>
    </row>
    <row r="39" spans="1:4" ht="14">
      <c r="A39" s="81" t="s">
        <v>0</v>
      </c>
      <c r="B39" s="19" t="s">
        <v>371</v>
      </c>
      <c r="C39" s="82"/>
      <c r="D39" s="82"/>
    </row>
    <row r="40" spans="1:4" ht="14">
      <c r="A40" s="81" t="s">
        <v>0</v>
      </c>
      <c r="B40" s="19" t="s">
        <v>372</v>
      </c>
      <c r="C40" s="82"/>
      <c r="D40" s="82"/>
    </row>
    <row r="41" spans="1:4" ht="14">
      <c r="A41" s="81" t="s">
        <v>0</v>
      </c>
      <c r="B41" s="19" t="s">
        <v>373</v>
      </c>
      <c r="C41" s="82"/>
      <c r="D41" s="82"/>
    </row>
    <row r="42" spans="1:4" ht="14">
      <c r="A42" s="81" t="s">
        <v>0</v>
      </c>
      <c r="B42" s="19" t="s">
        <v>374</v>
      </c>
      <c r="C42" s="82"/>
      <c r="D42" s="82"/>
    </row>
    <row r="43" spans="1:4" ht="14">
      <c r="A43" s="81" t="s">
        <v>0</v>
      </c>
      <c r="B43" s="19" t="s">
        <v>375</v>
      </c>
      <c r="C43" s="82"/>
      <c r="D43" s="82"/>
    </row>
    <row r="44" spans="1:4" ht="14">
      <c r="A44" s="81" t="s">
        <v>0</v>
      </c>
      <c r="B44" s="19" t="s">
        <v>376</v>
      </c>
      <c r="C44" s="82"/>
      <c r="D44" s="82"/>
    </row>
    <row r="45" spans="1:4" ht="14">
      <c r="A45" s="81" t="s">
        <v>0</v>
      </c>
      <c r="B45" s="19" t="s">
        <v>377</v>
      </c>
      <c r="C45" s="82"/>
      <c r="D45" s="82"/>
    </row>
    <row r="46" spans="1:4" ht="14">
      <c r="A46" s="81" t="s">
        <v>0</v>
      </c>
      <c r="B46" s="19" t="s">
        <v>378</v>
      </c>
      <c r="C46" s="82"/>
      <c r="D46" s="82"/>
    </row>
    <row r="47" spans="1:4" ht="14">
      <c r="A47" s="81" t="s">
        <v>0</v>
      </c>
      <c r="B47" s="19" t="s">
        <v>379</v>
      </c>
      <c r="C47" s="82"/>
      <c r="D47" s="82"/>
    </row>
    <row r="48" spans="1:4" ht="14">
      <c r="A48" s="81" t="s">
        <v>0</v>
      </c>
      <c r="B48" s="19" t="s">
        <v>380</v>
      </c>
      <c r="C48" s="82"/>
      <c r="D48" s="82"/>
    </row>
    <row r="49" spans="1:4" ht="14">
      <c r="A49" s="81" t="s">
        <v>0</v>
      </c>
      <c r="B49" s="19" t="s">
        <v>381</v>
      </c>
      <c r="C49" s="82"/>
      <c r="D49" s="82"/>
    </row>
    <row r="50" spans="1:4" ht="14">
      <c r="A50" s="81" t="s">
        <v>0</v>
      </c>
      <c r="B50" s="19" t="s">
        <v>382</v>
      </c>
      <c r="C50" s="82"/>
      <c r="D50" s="82"/>
    </row>
    <row r="51" spans="1:4" ht="14">
      <c r="A51" s="81" t="s">
        <v>0</v>
      </c>
      <c r="B51" s="19" t="s">
        <v>383</v>
      </c>
      <c r="C51" s="82"/>
      <c r="D51" s="82"/>
    </row>
    <row r="52" spans="1:4" ht="14">
      <c r="A52" s="81" t="s">
        <v>0</v>
      </c>
      <c r="B52" s="19" t="s">
        <v>384</v>
      </c>
      <c r="C52" s="82"/>
      <c r="D52" s="82"/>
    </row>
    <row r="53" spans="1:4" ht="14">
      <c r="A53" s="81" t="s">
        <v>0</v>
      </c>
      <c r="B53" s="19" t="s">
        <v>385</v>
      </c>
      <c r="C53" s="82"/>
      <c r="D53" s="82"/>
    </row>
    <row r="54" spans="1:4" ht="14">
      <c r="A54" s="81" t="s">
        <v>0</v>
      </c>
      <c r="B54" s="19" t="s">
        <v>386</v>
      </c>
      <c r="C54" s="82"/>
      <c r="D54" s="82"/>
    </row>
    <row r="55" spans="1:4" ht="14">
      <c r="A55" s="81" t="s">
        <v>0</v>
      </c>
      <c r="B55" s="19" t="s">
        <v>387</v>
      </c>
      <c r="C55" s="82"/>
      <c r="D55" s="82"/>
    </row>
    <row r="56" spans="1:4" ht="14">
      <c r="A56" s="81" t="s">
        <v>0</v>
      </c>
      <c r="B56" s="19" t="s">
        <v>388</v>
      </c>
      <c r="C56" s="82"/>
      <c r="D56" s="82"/>
    </row>
    <row r="57" spans="1:4" ht="14">
      <c r="A57" s="81" t="s">
        <v>0</v>
      </c>
      <c r="B57" s="19" t="s">
        <v>389</v>
      </c>
      <c r="C57" s="82"/>
      <c r="D57" s="82"/>
    </row>
    <row r="58" spans="1:4" ht="14">
      <c r="A58" s="81" t="s">
        <v>0</v>
      </c>
      <c r="B58" s="19" t="s">
        <v>390</v>
      </c>
      <c r="C58" s="82"/>
      <c r="D58" s="82"/>
    </row>
    <row r="59" spans="1:4" ht="14">
      <c r="A59" s="81" t="s">
        <v>0</v>
      </c>
      <c r="B59" s="19" t="s">
        <v>391</v>
      </c>
      <c r="C59" s="82"/>
      <c r="D59" s="82"/>
    </row>
    <row r="60" spans="1:4" ht="14">
      <c r="A60" s="81" t="s">
        <v>0</v>
      </c>
      <c r="B60" s="19" t="s">
        <v>392</v>
      </c>
      <c r="C60" s="82"/>
      <c r="D60" s="82"/>
    </row>
    <row r="61" spans="1:4" ht="14">
      <c r="A61" s="81" t="s">
        <v>0</v>
      </c>
      <c r="B61" s="19" t="s">
        <v>393</v>
      </c>
      <c r="C61" s="82"/>
      <c r="D61" s="82"/>
    </row>
    <row r="62" spans="1:4" ht="14">
      <c r="A62" s="81" t="s">
        <v>0</v>
      </c>
      <c r="B62" s="19" t="s">
        <v>394</v>
      </c>
      <c r="C62" s="82"/>
      <c r="D62" s="82"/>
    </row>
    <row r="63" spans="1:4" ht="14">
      <c r="A63" s="81" t="s">
        <v>0</v>
      </c>
      <c r="B63" s="19" t="s">
        <v>395</v>
      </c>
      <c r="C63" s="82"/>
      <c r="D63" s="82"/>
    </row>
    <row r="64" spans="1:4" ht="14">
      <c r="A64" s="81" t="s">
        <v>0</v>
      </c>
      <c r="B64" s="19" t="s">
        <v>396</v>
      </c>
      <c r="C64" s="82"/>
      <c r="D64" s="82"/>
    </row>
    <row r="65" spans="1:4" ht="14">
      <c r="A65" s="81" t="s">
        <v>0</v>
      </c>
      <c r="B65" s="19" t="s">
        <v>397</v>
      </c>
      <c r="C65" s="82"/>
      <c r="D65" s="82"/>
    </row>
    <row r="66" spans="1:4" ht="14">
      <c r="A66" s="81" t="s">
        <v>0</v>
      </c>
      <c r="B66" s="19" t="s">
        <v>398</v>
      </c>
      <c r="C66" s="82"/>
      <c r="D66" s="82"/>
    </row>
    <row r="67" spans="1:4" ht="14">
      <c r="A67" s="81" t="s">
        <v>0</v>
      </c>
      <c r="B67" s="19" t="s">
        <v>399</v>
      </c>
      <c r="C67" s="82"/>
      <c r="D67" s="82"/>
    </row>
    <row r="68" spans="1:4" ht="14">
      <c r="A68" s="81" t="s">
        <v>0</v>
      </c>
      <c r="B68" s="19" t="s">
        <v>400</v>
      </c>
      <c r="C68" s="82"/>
      <c r="D68" s="82"/>
    </row>
    <row r="69" spans="1:4" ht="14">
      <c r="A69" s="81" t="s">
        <v>0</v>
      </c>
      <c r="B69" s="19" t="s">
        <v>401</v>
      </c>
      <c r="C69" s="82"/>
      <c r="D69" s="82"/>
    </row>
    <row r="70" spans="1:4" ht="14">
      <c r="A70" s="81" t="s">
        <v>0</v>
      </c>
      <c r="B70" s="19" t="s">
        <v>402</v>
      </c>
      <c r="C70" s="82"/>
      <c r="D70" s="82"/>
    </row>
    <row r="71" spans="1:4" ht="14">
      <c r="A71" s="81" t="s">
        <v>0</v>
      </c>
      <c r="B71" s="19" t="s">
        <v>403</v>
      </c>
      <c r="C71" s="82"/>
      <c r="D71" s="82"/>
    </row>
    <row r="72" spans="1:4" ht="14">
      <c r="A72" s="81" t="s">
        <v>0</v>
      </c>
      <c r="B72" s="19" t="s">
        <v>404</v>
      </c>
      <c r="C72" s="82"/>
      <c r="D72" s="82"/>
    </row>
    <row r="73" spans="1:4" ht="14">
      <c r="A73" s="81" t="s">
        <v>0</v>
      </c>
      <c r="B73" s="19" t="s">
        <v>405</v>
      </c>
      <c r="C73" s="82"/>
      <c r="D73" s="82"/>
    </row>
    <row r="74" spans="1:4" ht="14">
      <c r="A74" s="81" t="s">
        <v>0</v>
      </c>
      <c r="B74" s="19" t="s">
        <v>406</v>
      </c>
      <c r="C74" s="82"/>
      <c r="D74" s="82"/>
    </row>
    <row r="75" spans="1:4" ht="14">
      <c r="A75" s="81" t="s">
        <v>0</v>
      </c>
      <c r="B75" s="19" t="s">
        <v>407</v>
      </c>
      <c r="C75" s="82"/>
      <c r="D75" s="82"/>
    </row>
    <row r="76" spans="1:4" ht="14">
      <c r="A76" s="81" t="s">
        <v>0</v>
      </c>
      <c r="B76" s="19" t="s">
        <v>408</v>
      </c>
      <c r="C76" s="82"/>
      <c r="D76" s="82"/>
    </row>
    <row r="77" spans="1:4" ht="14">
      <c r="A77" s="81" t="s">
        <v>0</v>
      </c>
      <c r="B77" s="19" t="s">
        <v>409</v>
      </c>
      <c r="C77" s="82"/>
      <c r="D77" s="69"/>
    </row>
    <row r="78" spans="1:4" ht="14">
      <c r="A78" s="81" t="s">
        <v>0</v>
      </c>
      <c r="B78" s="19" t="s">
        <v>410</v>
      </c>
      <c r="C78" s="82"/>
      <c r="D78" s="69"/>
    </row>
    <row r="79" spans="1:4" ht="14">
      <c r="A79" s="81" t="s">
        <v>0</v>
      </c>
      <c r="B79" s="19" t="s">
        <v>411</v>
      </c>
      <c r="C79" s="82"/>
      <c r="D79" s="69"/>
    </row>
    <row r="80" spans="1:4" ht="14">
      <c r="A80" s="81" t="s">
        <v>0</v>
      </c>
      <c r="B80" s="19" t="s">
        <v>412</v>
      </c>
      <c r="C80" s="82"/>
      <c r="D80" s="69"/>
    </row>
    <row r="81" spans="1:8" ht="14">
      <c r="A81" s="81" t="s">
        <v>0</v>
      </c>
      <c r="B81" s="19" t="s">
        <v>413</v>
      </c>
      <c r="C81" s="69">
        <v>0.18328561439524044</v>
      </c>
      <c r="D81" s="69">
        <v>0.29072332870892031</v>
      </c>
      <c r="E81" s="81">
        <v>413.89400000000001</v>
      </c>
      <c r="H81" s="81">
        <v>100</v>
      </c>
    </row>
    <row r="82" spans="1:8" ht="14">
      <c r="A82" s="81" t="s">
        <v>0</v>
      </c>
      <c r="B82" s="19" t="s">
        <v>414</v>
      </c>
      <c r="C82" s="69">
        <v>0.16468073946765099</v>
      </c>
      <c r="D82" s="69">
        <v>0.31498548405299093</v>
      </c>
      <c r="E82" s="81">
        <v>640.43025</v>
      </c>
    </row>
    <row r="83" spans="1:8" ht="14">
      <c r="A83" s="81" t="s">
        <v>0</v>
      </c>
      <c r="B83" s="19" t="s">
        <v>415</v>
      </c>
      <c r="C83" s="69">
        <v>0.2133976281942605</v>
      </c>
      <c r="D83" s="69">
        <v>0.31704855783593011</v>
      </c>
      <c r="E83" s="81">
        <v>640.43025</v>
      </c>
    </row>
    <row r="84" spans="1:8" ht="14">
      <c r="A84" s="81" t="s">
        <v>0</v>
      </c>
      <c r="B84" s="19" t="s">
        <v>416</v>
      </c>
      <c r="C84" s="69">
        <v>0.23212305836763936</v>
      </c>
      <c r="D84" s="69">
        <v>0.28232641148860776</v>
      </c>
      <c r="E84" s="81">
        <v>640.43025</v>
      </c>
    </row>
    <row r="85" spans="1:8" ht="14">
      <c r="A85" s="81" t="s">
        <v>0</v>
      </c>
      <c r="B85" s="19" t="s">
        <v>417</v>
      </c>
      <c r="C85" s="69">
        <v>0.13229779581795564</v>
      </c>
      <c r="D85" s="69">
        <v>0.18279600998563217</v>
      </c>
      <c r="E85" s="81">
        <v>640.43025</v>
      </c>
    </row>
    <row r="86" spans="1:8" ht="14">
      <c r="A86" s="81" t="s">
        <v>0</v>
      </c>
      <c r="B86" s="19" t="s">
        <v>418</v>
      </c>
      <c r="C86" s="69">
        <v>0.17618958346264735</v>
      </c>
      <c r="D86" s="69">
        <v>0.14610661736200342</v>
      </c>
      <c r="E86" s="81">
        <v>912.99625000000003</v>
      </c>
    </row>
    <row r="87" spans="1:8" ht="14">
      <c r="A87" s="81" t="s">
        <v>0</v>
      </c>
      <c r="B87" s="19" t="s">
        <v>419</v>
      </c>
      <c r="C87" s="69">
        <v>0.19717621631951909</v>
      </c>
      <c r="D87" s="69">
        <v>0.1451175596786286</v>
      </c>
      <c r="E87" s="81">
        <v>912.99625000000003</v>
      </c>
    </row>
    <row r="88" spans="1:8" ht="14">
      <c r="A88" s="81" t="s">
        <v>0</v>
      </c>
      <c r="B88" s="19" t="s">
        <v>420</v>
      </c>
      <c r="C88" s="69">
        <v>0.19371191714435915</v>
      </c>
      <c r="D88" s="69">
        <v>0.12914092635670599</v>
      </c>
      <c r="E88" s="81">
        <v>912.99625000000003</v>
      </c>
    </row>
    <row r="89" spans="1:8" ht="14">
      <c r="A89" s="81" t="s">
        <v>0</v>
      </c>
      <c r="B89" s="19" t="s">
        <v>421</v>
      </c>
      <c r="C89" s="69">
        <v>0.16678686106864621</v>
      </c>
      <c r="D89" s="69">
        <v>0.11797864626799293</v>
      </c>
      <c r="E89" s="81">
        <v>912.99625000000003</v>
      </c>
    </row>
    <row r="90" spans="1:8" ht="14">
      <c r="A90" s="81" t="s">
        <v>0</v>
      </c>
      <c r="B90" s="19" t="s">
        <v>422</v>
      </c>
      <c r="C90" s="69">
        <v>0.15490933844595123</v>
      </c>
      <c r="D90" s="69">
        <v>0.11685712309798563</v>
      </c>
      <c r="E90" s="83">
        <v>839</v>
      </c>
    </row>
    <row r="91" spans="1:8" ht="14">
      <c r="A91" s="81" t="s">
        <v>0</v>
      </c>
      <c r="B91" s="19" t="s">
        <v>423</v>
      </c>
      <c r="C91" s="69">
        <v>9.4548280653540456E-2</v>
      </c>
      <c r="D91" s="69">
        <v>9.0492745388064399E-2</v>
      </c>
      <c r="E91" s="83">
        <v>1214</v>
      </c>
    </row>
    <row r="92" spans="1:8" ht="14">
      <c r="A92" s="81" t="s">
        <v>0</v>
      </c>
      <c r="B92" s="19" t="s">
        <v>424</v>
      </c>
      <c r="C92" s="69">
        <v>7.4299586592498884E-2</v>
      </c>
      <c r="D92" s="69">
        <v>8.5768388272828511E-2</v>
      </c>
      <c r="E92" s="83">
        <v>1646</v>
      </c>
    </row>
    <row r="93" spans="1:8" ht="14">
      <c r="A93" s="81" t="s">
        <v>0</v>
      </c>
      <c r="B93" s="19" t="s">
        <v>425</v>
      </c>
      <c r="C93" s="69">
        <v>6.0740131685362214E-2</v>
      </c>
      <c r="D93" s="69">
        <v>8.1159067496953452E-2</v>
      </c>
      <c r="E93" s="83">
        <v>1107</v>
      </c>
    </row>
    <row r="94" spans="1:8" ht="14">
      <c r="A94" s="81" t="s">
        <v>0</v>
      </c>
      <c r="B94" s="19" t="s">
        <v>426</v>
      </c>
      <c r="C94" s="69">
        <v>3.3976090357093508E-2</v>
      </c>
      <c r="D94" s="69">
        <v>7.3652395714284447E-2</v>
      </c>
      <c r="E94" s="83">
        <v>841.83</v>
      </c>
    </row>
    <row r="95" spans="1:8" ht="14">
      <c r="A95" s="81" t="s">
        <v>0</v>
      </c>
      <c r="B95" s="19" t="s">
        <v>427</v>
      </c>
      <c r="C95" s="69">
        <v>-6.6160424450043831E-3</v>
      </c>
      <c r="D95" s="69">
        <v>2.5255750987376036E-2</v>
      </c>
      <c r="E95" s="83">
        <v>334.774</v>
      </c>
    </row>
    <row r="96" spans="1:8" ht="14">
      <c r="A96" s="81" t="s">
        <v>0</v>
      </c>
      <c r="B96" s="19" t="s">
        <v>428</v>
      </c>
      <c r="C96" s="69">
        <v>-0.23782298803367127</v>
      </c>
      <c r="D96" s="69">
        <v>-0.20356427161015012</v>
      </c>
      <c r="E96" s="83">
        <v>1342</v>
      </c>
    </row>
    <row r="97" spans="1:5" ht="14">
      <c r="A97" s="81" t="s">
        <v>0</v>
      </c>
      <c r="B97" s="19" t="s">
        <v>429</v>
      </c>
      <c r="C97" s="69">
        <v>-0.3</v>
      </c>
      <c r="D97" s="69">
        <v>-0.36940707130623818</v>
      </c>
      <c r="E97" s="83">
        <v>859</v>
      </c>
    </row>
    <row r="98" spans="1:5" ht="14">
      <c r="A98" s="81" t="s">
        <v>0</v>
      </c>
      <c r="B98" s="19" t="s">
        <v>430</v>
      </c>
      <c r="C98" s="69">
        <v>-0.3</v>
      </c>
      <c r="D98" s="69">
        <v>-0.5</v>
      </c>
      <c r="E98" s="83">
        <v>886.93600000000004</v>
      </c>
    </row>
    <row r="99" spans="1:5" ht="14">
      <c r="A99" s="81" t="s">
        <v>0</v>
      </c>
      <c r="B99" s="19" t="s">
        <v>431</v>
      </c>
      <c r="C99" s="69">
        <v>-0.3</v>
      </c>
      <c r="D99" s="69">
        <v>-0.5</v>
      </c>
      <c r="E99" s="83">
        <v>1335.1959999999999</v>
      </c>
    </row>
    <row r="100" spans="1:5" ht="14">
      <c r="A100" s="81" t="s">
        <v>0</v>
      </c>
      <c r="B100" s="19" t="s">
        <v>432</v>
      </c>
      <c r="C100" s="69">
        <v>0.20545986377354297</v>
      </c>
      <c r="D100" s="69">
        <v>0.26283957797169732</v>
      </c>
      <c r="E100" s="83">
        <v>2237.4319999999998</v>
      </c>
    </row>
    <row r="101" spans="1:5" ht="14">
      <c r="A101" s="81" t="s">
        <v>0</v>
      </c>
      <c r="B101" s="19" t="s">
        <v>433</v>
      </c>
      <c r="C101" s="69">
        <v>0.51731051312419241</v>
      </c>
      <c r="D101" s="69">
        <v>0.5</v>
      </c>
      <c r="E101" s="83">
        <v>1532.1959999999999</v>
      </c>
    </row>
    <row r="102" spans="1:5" ht="14">
      <c r="A102" s="81" t="s">
        <v>0</v>
      </c>
      <c r="B102" s="19" t="s">
        <v>434</v>
      </c>
      <c r="C102" s="69">
        <v>1</v>
      </c>
      <c r="D102" s="69">
        <v>0.5</v>
      </c>
      <c r="E102" s="83">
        <v>1508.9369999999999</v>
      </c>
    </row>
    <row r="103" spans="1:5" ht="14">
      <c r="A103" s="81" t="s">
        <v>0</v>
      </c>
      <c r="B103" s="19" t="s">
        <v>435</v>
      </c>
      <c r="C103" s="69">
        <v>1</v>
      </c>
      <c r="D103" s="69">
        <v>0.5</v>
      </c>
      <c r="E103" s="83">
        <v>2104.107</v>
      </c>
    </row>
    <row r="104" spans="1:5" ht="14">
      <c r="A104" s="81" t="s">
        <v>0</v>
      </c>
      <c r="B104" s="19" t="s">
        <v>436</v>
      </c>
      <c r="C104" s="69">
        <v>1</v>
      </c>
      <c r="D104" s="69">
        <v>0.5</v>
      </c>
      <c r="E104" s="83">
        <v>2884.41</v>
      </c>
    </row>
    <row r="105" spans="1:5" ht="14">
      <c r="A105" s="81" t="s">
        <v>0</v>
      </c>
      <c r="B105" s="19" t="s">
        <v>437</v>
      </c>
      <c r="C105" s="69">
        <v>1</v>
      </c>
      <c r="D105" s="69">
        <v>0.5</v>
      </c>
      <c r="E105" s="83">
        <v>1902</v>
      </c>
    </row>
    <row r="106" spans="1:5" ht="14">
      <c r="A106" s="81" t="s">
        <v>0</v>
      </c>
      <c r="B106" s="19" t="s">
        <v>438</v>
      </c>
      <c r="C106" s="69">
        <v>0.75061594900717266</v>
      </c>
      <c r="D106" s="69">
        <v>0.42060093628772854</v>
      </c>
      <c r="E106" s="83">
        <v>1818</v>
      </c>
    </row>
    <row r="107" spans="1:5" ht="14">
      <c r="A107" s="81" t="s">
        <v>0</v>
      </c>
      <c r="B107" s="19" t="s">
        <v>439</v>
      </c>
      <c r="C107" s="69">
        <v>0.51058897335355358</v>
      </c>
      <c r="D107" s="69">
        <v>0.26559973011583976</v>
      </c>
      <c r="E107" s="83">
        <v>2484</v>
      </c>
    </row>
    <row r="108" spans="1:5" ht="14">
      <c r="A108" s="81" t="s">
        <v>0</v>
      </c>
      <c r="B108" s="19" t="s">
        <v>440</v>
      </c>
      <c r="C108" s="69">
        <v>0.33160009567755433</v>
      </c>
      <c r="D108" s="69">
        <v>0.15279325437336655</v>
      </c>
      <c r="E108" s="83">
        <v>3397</v>
      </c>
    </row>
    <row r="109" spans="1:5" ht="14">
      <c r="A109" s="81" t="s">
        <v>0</v>
      </c>
      <c r="B109" s="19" t="s">
        <v>441</v>
      </c>
      <c r="C109" s="69">
        <v>0.31127980480806111</v>
      </c>
      <c r="D109" s="69">
        <v>0.11875561280164076</v>
      </c>
      <c r="E109" s="83">
        <v>2218</v>
      </c>
    </row>
    <row r="110" spans="1:5" ht="14">
      <c r="A110" s="81" t="s">
        <v>0</v>
      </c>
      <c r="B110" s="19" t="s">
        <v>442</v>
      </c>
      <c r="C110" s="69">
        <v>0.26709412119680753</v>
      </c>
      <c r="D110" s="69">
        <v>0.10725579766955656</v>
      </c>
      <c r="E110" s="83">
        <v>2142</v>
      </c>
    </row>
    <row r="111" spans="1:5" ht="14">
      <c r="A111" s="81" t="s">
        <v>0</v>
      </c>
      <c r="B111" s="19" t="s">
        <v>443</v>
      </c>
      <c r="C111" s="69">
        <v>0.20878223154369424</v>
      </c>
      <c r="D111" s="69">
        <v>8.202615631133775E-2</v>
      </c>
      <c r="E111" s="83">
        <v>2748</v>
      </c>
    </row>
    <row r="112" spans="1:5" ht="14">
      <c r="A112" s="81" t="s">
        <v>1</v>
      </c>
      <c r="B112" s="19" t="s">
        <v>334</v>
      </c>
      <c r="C112" s="82"/>
      <c r="D112" s="82"/>
    </row>
    <row r="113" spans="1:5" ht="14">
      <c r="A113" s="81" t="s">
        <v>1</v>
      </c>
      <c r="B113" s="19" t="s">
        <v>335</v>
      </c>
      <c r="C113" s="82"/>
      <c r="D113" s="82"/>
    </row>
    <row r="114" spans="1:5" ht="14">
      <c r="A114" s="81" t="s">
        <v>1</v>
      </c>
      <c r="B114" s="19" t="s">
        <v>336</v>
      </c>
      <c r="C114" s="82"/>
      <c r="D114" s="82"/>
    </row>
    <row r="115" spans="1:5" ht="14">
      <c r="A115" s="81" t="s">
        <v>1</v>
      </c>
      <c r="B115" s="19" t="s">
        <v>337</v>
      </c>
      <c r="C115" s="82"/>
      <c r="D115" s="82"/>
    </row>
    <row r="116" spans="1:5" ht="14">
      <c r="A116" s="81" t="s">
        <v>1</v>
      </c>
      <c r="B116" s="19" t="s">
        <v>338</v>
      </c>
      <c r="C116" s="82"/>
      <c r="D116" s="82"/>
    </row>
    <row r="117" spans="1:5" ht="14">
      <c r="A117" s="81" t="s">
        <v>1</v>
      </c>
      <c r="B117" s="19" t="s">
        <v>339</v>
      </c>
      <c r="C117" s="82"/>
      <c r="D117" s="82"/>
    </row>
    <row r="118" spans="1:5" ht="14">
      <c r="A118" s="81" t="s">
        <v>1</v>
      </c>
      <c r="B118" s="19" t="s">
        <v>340</v>
      </c>
      <c r="C118" s="82"/>
      <c r="D118" s="82"/>
    </row>
    <row r="119" spans="1:5" ht="14">
      <c r="A119" s="81" t="s">
        <v>1</v>
      </c>
      <c r="B119" s="19" t="s">
        <v>341</v>
      </c>
      <c r="C119" s="82"/>
      <c r="D119" s="82"/>
    </row>
    <row r="120" spans="1:5" ht="14">
      <c r="A120" s="81" t="s">
        <v>1</v>
      </c>
      <c r="B120" s="19" t="s">
        <v>342</v>
      </c>
      <c r="C120" s="82"/>
      <c r="D120" s="82"/>
    </row>
    <row r="121" spans="1:5" ht="14">
      <c r="A121" s="81" t="s">
        <v>1</v>
      </c>
      <c r="B121" s="19" t="s">
        <v>343</v>
      </c>
      <c r="C121" s="82"/>
      <c r="D121" s="82"/>
    </row>
    <row r="122" spans="1:5" ht="14">
      <c r="A122" s="81" t="s">
        <v>1</v>
      </c>
      <c r="B122" s="19" t="s">
        <v>344</v>
      </c>
      <c r="C122" s="82"/>
      <c r="D122" s="82"/>
    </row>
    <row r="123" spans="1:5" ht="14">
      <c r="A123" s="81" t="s">
        <v>1</v>
      </c>
      <c r="B123" s="19" t="s">
        <v>345</v>
      </c>
      <c r="C123" s="82">
        <v>1</v>
      </c>
      <c r="D123" s="82">
        <v>-0.12031467009390352</v>
      </c>
      <c r="E123" s="83">
        <v>121</v>
      </c>
    </row>
    <row r="124" spans="1:5" ht="14">
      <c r="A124" s="81" t="s">
        <v>1</v>
      </c>
      <c r="B124" s="19" t="s">
        <v>346</v>
      </c>
      <c r="C124" s="82">
        <v>1</v>
      </c>
      <c r="D124" s="82">
        <v>-9.661553593462828E-2</v>
      </c>
      <c r="E124" s="83">
        <v>309</v>
      </c>
    </row>
    <row r="125" spans="1:5" ht="14">
      <c r="A125" s="81" t="s">
        <v>1</v>
      </c>
      <c r="B125" s="19" t="s">
        <v>347</v>
      </c>
      <c r="C125" s="82">
        <v>1</v>
      </c>
      <c r="D125" s="82">
        <v>-7.2916401775353024E-2</v>
      </c>
      <c r="E125" s="83">
        <v>309</v>
      </c>
    </row>
    <row r="126" spans="1:5" ht="14">
      <c r="A126" s="81" t="s">
        <v>1</v>
      </c>
      <c r="B126" s="19" t="s">
        <v>348</v>
      </c>
      <c r="C126" s="82">
        <v>1</v>
      </c>
      <c r="D126" s="82">
        <v>-4.9217267616077767E-2</v>
      </c>
      <c r="E126" s="83">
        <v>309</v>
      </c>
    </row>
    <row r="127" spans="1:5" ht="14">
      <c r="A127" s="81" t="s">
        <v>1</v>
      </c>
      <c r="B127" s="19" t="s">
        <v>349</v>
      </c>
      <c r="C127" s="82">
        <v>1</v>
      </c>
      <c r="D127" s="82">
        <v>-2.5518133456802514E-2</v>
      </c>
      <c r="E127" s="83">
        <v>309</v>
      </c>
    </row>
    <row r="128" spans="1:5" ht="14">
      <c r="A128" s="81" t="s">
        <v>1</v>
      </c>
      <c r="B128" s="19" t="s">
        <v>350</v>
      </c>
      <c r="C128" s="82">
        <v>1</v>
      </c>
      <c r="D128" s="82">
        <v>-1.7698450163393255E-2</v>
      </c>
      <c r="E128" s="83">
        <v>293</v>
      </c>
    </row>
    <row r="129" spans="1:5" ht="14">
      <c r="A129" s="81" t="s">
        <v>1</v>
      </c>
      <c r="B129" s="19" t="s">
        <v>351</v>
      </c>
      <c r="C129" s="82">
        <v>0.75468381024910891</v>
      </c>
      <c r="D129" s="82">
        <v>-9.8787668699839969E-3</v>
      </c>
      <c r="E129" s="83">
        <v>293</v>
      </c>
    </row>
    <row r="130" spans="1:5" ht="14">
      <c r="A130" s="81" t="s">
        <v>1</v>
      </c>
      <c r="B130" s="19" t="s">
        <v>352</v>
      </c>
      <c r="C130" s="82">
        <v>0.35158376765284494</v>
      </c>
      <c r="D130" s="82">
        <v>-2.0590835765747382E-3</v>
      </c>
      <c r="E130" s="83">
        <v>293</v>
      </c>
    </row>
    <row r="131" spans="1:5" ht="14">
      <c r="A131" s="81" t="s">
        <v>1</v>
      </c>
      <c r="B131" s="19" t="s">
        <v>353</v>
      </c>
      <c r="C131" s="82">
        <v>-5.1516274943418927E-2</v>
      </c>
      <c r="D131" s="82">
        <v>5.7605997168345205E-3</v>
      </c>
      <c r="E131" s="83">
        <v>293</v>
      </c>
    </row>
    <row r="132" spans="1:5" ht="14">
      <c r="A132" s="81" t="s">
        <v>1</v>
      </c>
      <c r="B132" s="19" t="s">
        <v>354</v>
      </c>
      <c r="C132" s="82">
        <v>-7.4512301044103973E-2</v>
      </c>
      <c r="D132" s="82">
        <v>9.963600585847502E-3</v>
      </c>
      <c r="E132" s="83">
        <v>251</v>
      </c>
    </row>
    <row r="133" spans="1:5" ht="14">
      <c r="A133" s="81" t="s">
        <v>1</v>
      </c>
      <c r="B133" s="19" t="s">
        <v>355</v>
      </c>
      <c r="C133" s="82">
        <v>-9.750832714478902E-2</v>
      </c>
      <c r="D133" s="82">
        <v>1.4166601454860487E-2</v>
      </c>
      <c r="E133" s="83">
        <v>251</v>
      </c>
    </row>
    <row r="134" spans="1:5" ht="14">
      <c r="A134" s="81" t="s">
        <v>1</v>
      </c>
      <c r="B134" s="19" t="s">
        <v>356</v>
      </c>
      <c r="C134" s="82">
        <v>-0.12050435324547407</v>
      </c>
      <c r="D134" s="82">
        <v>1.8369602323873468E-2</v>
      </c>
      <c r="E134" s="83">
        <v>251</v>
      </c>
    </row>
    <row r="135" spans="1:5" ht="14">
      <c r="A135" s="81" t="s">
        <v>1</v>
      </c>
      <c r="B135" s="19" t="s">
        <v>357</v>
      </c>
      <c r="C135" s="82">
        <v>-0.14350037934615911</v>
      </c>
      <c r="D135" s="82">
        <v>2.257260319288645E-2</v>
      </c>
      <c r="E135" s="83">
        <v>251</v>
      </c>
    </row>
    <row r="136" spans="1:5" ht="14">
      <c r="A136" s="81" t="s">
        <v>1</v>
      </c>
      <c r="B136" s="19" t="s">
        <v>358</v>
      </c>
      <c r="C136" s="82">
        <v>-0.14248582739198551</v>
      </c>
      <c r="D136" s="82">
        <v>2.4456421888482432E-2</v>
      </c>
      <c r="E136" s="83">
        <v>216</v>
      </c>
    </row>
    <row r="137" spans="1:5" ht="14">
      <c r="A137" s="81" t="s">
        <v>1</v>
      </c>
      <c r="B137" s="19" t="s">
        <v>359</v>
      </c>
      <c r="C137" s="82">
        <v>-0.14147127543781191</v>
      </c>
      <c r="D137" s="82">
        <v>2.6340240584078418E-2</v>
      </c>
      <c r="E137" s="83">
        <v>216</v>
      </c>
    </row>
    <row r="138" spans="1:5" ht="14">
      <c r="A138" s="81" t="s">
        <v>1</v>
      </c>
      <c r="B138" s="19" t="s">
        <v>360</v>
      </c>
      <c r="C138" s="82">
        <v>-0.1404567234836383</v>
      </c>
      <c r="D138" s="82">
        <v>2.8224059279674404E-2</v>
      </c>
      <c r="E138" s="83">
        <v>216</v>
      </c>
    </row>
    <row r="139" spans="1:5" ht="14">
      <c r="A139" s="81" t="s">
        <v>1</v>
      </c>
      <c r="B139" s="19" t="s">
        <v>361</v>
      </c>
      <c r="C139" s="82">
        <v>-0.1394421715294647</v>
      </c>
      <c r="D139" s="82">
        <v>3.010787797527039E-2</v>
      </c>
      <c r="E139" s="83">
        <v>216</v>
      </c>
    </row>
    <row r="140" spans="1:5" ht="14">
      <c r="A140" s="81" t="s">
        <v>1</v>
      </c>
      <c r="B140" s="19" t="s">
        <v>362</v>
      </c>
      <c r="C140" s="82">
        <v>-8.9902547387206044E-2</v>
      </c>
      <c r="D140" s="82">
        <v>3.4829479085102075E-2</v>
      </c>
      <c r="E140" s="83">
        <v>229</v>
      </c>
    </row>
    <row r="141" spans="1:5" ht="14">
      <c r="A141" s="81" t="s">
        <v>1</v>
      </c>
      <c r="B141" s="19" t="s">
        <v>363</v>
      </c>
      <c r="C141" s="82">
        <v>-4.0362923244947391E-2</v>
      </c>
      <c r="D141" s="82">
        <v>3.9551080194933752E-2</v>
      </c>
      <c r="E141" s="83">
        <v>229</v>
      </c>
    </row>
    <row r="142" spans="1:5" ht="14">
      <c r="A142" s="81" t="s">
        <v>1</v>
      </c>
      <c r="B142" s="19" t="s">
        <v>364</v>
      </c>
      <c r="C142" s="82">
        <v>9.1767008973112629E-3</v>
      </c>
      <c r="D142" s="82">
        <v>4.4272681304765443E-2</v>
      </c>
      <c r="E142" s="83">
        <v>229</v>
      </c>
    </row>
    <row r="143" spans="1:5" ht="14">
      <c r="A143" s="81" t="s">
        <v>1</v>
      </c>
      <c r="B143" s="19" t="s">
        <v>365</v>
      </c>
      <c r="C143" s="82">
        <v>5.8716325039569917E-2</v>
      </c>
      <c r="D143" s="82">
        <v>4.8994282414597121E-2</v>
      </c>
      <c r="E143" s="83">
        <v>229</v>
      </c>
    </row>
    <row r="144" spans="1:5" ht="14">
      <c r="A144" s="81" t="s">
        <v>1</v>
      </c>
      <c r="B144" s="19" t="s">
        <v>366</v>
      </c>
      <c r="C144" s="82">
        <v>5.7239747793361162E-2</v>
      </c>
      <c r="D144" s="82">
        <v>5.3586548658848446E-2</v>
      </c>
      <c r="E144" s="83">
        <v>241</v>
      </c>
    </row>
    <row r="145" spans="1:5" ht="14">
      <c r="A145" s="81" t="s">
        <v>1</v>
      </c>
      <c r="B145" s="19" t="s">
        <v>367</v>
      </c>
      <c r="C145" s="82">
        <v>5.5763170547152408E-2</v>
      </c>
      <c r="D145" s="82">
        <v>5.8178814903099778E-2</v>
      </c>
      <c r="E145" s="83">
        <v>241</v>
      </c>
    </row>
    <row r="146" spans="1:5" ht="14">
      <c r="A146" s="81" t="s">
        <v>1</v>
      </c>
      <c r="B146" s="19" t="s">
        <v>368</v>
      </c>
      <c r="C146" s="82">
        <v>5.4286593300943653E-2</v>
      </c>
      <c r="D146" s="82">
        <v>6.277108114735111E-2</v>
      </c>
      <c r="E146" s="83">
        <v>241</v>
      </c>
    </row>
    <row r="147" spans="1:5" ht="14">
      <c r="A147" s="81" t="s">
        <v>1</v>
      </c>
      <c r="B147" s="19" t="s">
        <v>369</v>
      </c>
      <c r="C147" s="82">
        <v>5.2810016054734898E-2</v>
      </c>
      <c r="D147" s="82">
        <v>6.7363347391602435E-2</v>
      </c>
      <c r="E147" s="83">
        <v>241</v>
      </c>
    </row>
    <row r="148" spans="1:5" ht="14">
      <c r="A148" s="81" t="s">
        <v>1</v>
      </c>
      <c r="B148" s="19" t="s">
        <v>370</v>
      </c>
      <c r="C148" s="82">
        <v>8.1274092142021415E-2</v>
      </c>
      <c r="D148" s="82">
        <v>7.2119149498454868E-2</v>
      </c>
      <c r="E148" s="83">
        <v>281</v>
      </c>
    </row>
    <row r="149" spans="1:5" ht="14">
      <c r="A149" s="81" t="s">
        <v>1</v>
      </c>
      <c r="B149" s="19" t="s">
        <v>371</v>
      </c>
      <c r="C149" s="82">
        <v>0.10973816822930793</v>
      </c>
      <c r="D149" s="82">
        <v>7.6874951605307301E-2</v>
      </c>
      <c r="E149" s="83">
        <v>281</v>
      </c>
    </row>
    <row r="150" spans="1:5" ht="14">
      <c r="A150" s="81" t="s">
        <v>1</v>
      </c>
      <c r="B150" s="19" t="s">
        <v>372</v>
      </c>
      <c r="C150" s="82">
        <v>0.13820224431659445</v>
      </c>
      <c r="D150" s="82">
        <v>8.1630753712159734E-2</v>
      </c>
      <c r="E150" s="83">
        <v>281</v>
      </c>
    </row>
    <row r="151" spans="1:5" ht="14">
      <c r="A151" s="81" t="s">
        <v>1</v>
      </c>
      <c r="B151" s="19" t="s">
        <v>373</v>
      </c>
      <c r="C151" s="82">
        <v>0.16666632040388096</v>
      </c>
      <c r="D151" s="82">
        <v>8.6386555819012154E-2</v>
      </c>
      <c r="E151" s="83">
        <v>281</v>
      </c>
    </row>
    <row r="152" spans="1:5" ht="14">
      <c r="A152" s="81" t="s">
        <v>1</v>
      </c>
      <c r="B152" s="19" t="s">
        <v>374</v>
      </c>
      <c r="C152" s="82">
        <v>0.1887307605210029</v>
      </c>
      <c r="D152" s="82">
        <v>0.10572640158941696</v>
      </c>
      <c r="E152" s="83">
        <v>352</v>
      </c>
    </row>
    <row r="153" spans="1:5" ht="14">
      <c r="A153" s="81" t="s">
        <v>1</v>
      </c>
      <c r="B153" s="19" t="s">
        <v>375</v>
      </c>
      <c r="C153" s="82">
        <v>0.21079520063812485</v>
      </c>
      <c r="D153" s="82">
        <v>0.12506624735982177</v>
      </c>
      <c r="E153" s="83">
        <v>352</v>
      </c>
    </row>
    <row r="154" spans="1:5" ht="14">
      <c r="A154" s="81" t="s">
        <v>1</v>
      </c>
      <c r="B154" s="19" t="s">
        <v>376</v>
      </c>
      <c r="C154" s="82">
        <v>0.23285964075524679</v>
      </c>
      <c r="D154" s="82">
        <v>0.14440609313022659</v>
      </c>
      <c r="E154" s="83">
        <v>352</v>
      </c>
    </row>
    <row r="155" spans="1:5" ht="14">
      <c r="A155" s="81" t="s">
        <v>1</v>
      </c>
      <c r="B155" s="19" t="s">
        <v>377</v>
      </c>
      <c r="C155" s="82">
        <v>0.25492408087236873</v>
      </c>
      <c r="D155" s="82">
        <v>0.16374593890063141</v>
      </c>
      <c r="E155" s="83">
        <v>352</v>
      </c>
    </row>
    <row r="156" spans="1:5" ht="14">
      <c r="A156" s="81" t="s">
        <v>1</v>
      </c>
      <c r="B156" s="19" t="s">
        <v>378</v>
      </c>
      <c r="C156" s="82">
        <v>0.27551865386391267</v>
      </c>
      <c r="D156" s="82">
        <v>0.16691770722645069</v>
      </c>
      <c r="E156" s="83">
        <v>471</v>
      </c>
    </row>
    <row r="157" spans="1:5" ht="14">
      <c r="A157" s="81" t="s">
        <v>1</v>
      </c>
      <c r="B157" s="19" t="s">
        <v>379</v>
      </c>
      <c r="C157" s="82">
        <v>0.2961132268554566</v>
      </c>
      <c r="D157" s="82">
        <v>0.17008947555226997</v>
      </c>
      <c r="E157" s="83">
        <v>471</v>
      </c>
    </row>
    <row r="158" spans="1:5" ht="14">
      <c r="A158" s="81" t="s">
        <v>1</v>
      </c>
      <c r="B158" s="19" t="s">
        <v>380</v>
      </c>
      <c r="C158" s="82">
        <v>0.31670779984700054</v>
      </c>
      <c r="D158" s="82">
        <v>0.17326124387808925</v>
      </c>
      <c r="E158" s="83">
        <v>471</v>
      </c>
    </row>
    <row r="159" spans="1:5" ht="14">
      <c r="A159" s="81" t="s">
        <v>1</v>
      </c>
      <c r="B159" s="19" t="s">
        <v>381</v>
      </c>
      <c r="C159" s="82">
        <v>0.33730237283854447</v>
      </c>
      <c r="D159" s="82">
        <v>0.17643301220390853</v>
      </c>
      <c r="E159" s="83">
        <v>471</v>
      </c>
    </row>
    <row r="160" spans="1:5" ht="14">
      <c r="A160" s="81" t="s">
        <v>1</v>
      </c>
      <c r="B160" s="19" t="s">
        <v>382</v>
      </c>
      <c r="C160" s="82">
        <v>0.3131163908143566</v>
      </c>
      <c r="D160" s="82">
        <v>0.18685659801099902</v>
      </c>
      <c r="E160" s="83">
        <v>585</v>
      </c>
    </row>
    <row r="161" spans="1:5" ht="14">
      <c r="A161" s="81" t="s">
        <v>1</v>
      </c>
      <c r="B161" s="19" t="s">
        <v>383</v>
      </c>
      <c r="C161" s="82">
        <v>0.28893040879016874</v>
      </c>
      <c r="D161" s="82">
        <v>0.19728018381808948</v>
      </c>
      <c r="E161" s="83">
        <v>585</v>
      </c>
    </row>
    <row r="162" spans="1:5" ht="14">
      <c r="A162" s="81" t="s">
        <v>1</v>
      </c>
      <c r="B162" s="19" t="s">
        <v>384</v>
      </c>
      <c r="C162" s="82">
        <v>0.26474442676598087</v>
      </c>
      <c r="D162" s="82">
        <v>0.20770376962517997</v>
      </c>
      <c r="E162" s="83">
        <v>585</v>
      </c>
    </row>
    <row r="163" spans="1:5" ht="14">
      <c r="A163" s="81" t="s">
        <v>1</v>
      </c>
      <c r="B163" s="19" t="s">
        <v>385</v>
      </c>
      <c r="C163" s="82">
        <v>0.240558444741793</v>
      </c>
      <c r="D163" s="82">
        <v>0.21812735543227046</v>
      </c>
      <c r="E163" s="83">
        <v>585</v>
      </c>
    </row>
    <row r="164" spans="1:5" ht="14">
      <c r="A164" s="81" t="s">
        <v>1</v>
      </c>
      <c r="B164" s="19" t="s">
        <v>386</v>
      </c>
      <c r="C164" s="82">
        <v>0.26025472953155998</v>
      </c>
      <c r="D164" s="82">
        <v>0.23144695770448076</v>
      </c>
      <c r="E164" s="83">
        <v>771</v>
      </c>
    </row>
    <row r="165" spans="1:5" ht="14">
      <c r="A165" s="81" t="s">
        <v>1</v>
      </c>
      <c r="B165" s="19" t="s">
        <v>387</v>
      </c>
      <c r="C165" s="82">
        <v>0.27995101432132696</v>
      </c>
      <c r="D165" s="82">
        <v>0.24476655997669106</v>
      </c>
      <c r="E165" s="83">
        <v>771</v>
      </c>
    </row>
    <row r="166" spans="1:5" ht="14">
      <c r="A166" s="81" t="s">
        <v>1</v>
      </c>
      <c r="B166" s="19" t="s">
        <v>388</v>
      </c>
      <c r="C166" s="82">
        <v>0.29964729911109395</v>
      </c>
      <c r="D166" s="82">
        <v>0.25808616224890135</v>
      </c>
      <c r="E166" s="83">
        <v>771</v>
      </c>
    </row>
    <row r="167" spans="1:5" ht="14">
      <c r="A167" s="81" t="s">
        <v>1</v>
      </c>
      <c r="B167" s="19" t="s">
        <v>389</v>
      </c>
      <c r="C167" s="82">
        <v>0.31934358390086093</v>
      </c>
      <c r="D167" s="82">
        <v>0.27140576452111165</v>
      </c>
      <c r="E167" s="83">
        <v>771</v>
      </c>
    </row>
    <row r="168" spans="1:5" ht="14">
      <c r="A168" s="81" t="s">
        <v>1</v>
      </c>
      <c r="B168" s="19" t="s">
        <v>390</v>
      </c>
      <c r="C168" s="82">
        <v>0.34248533229394879</v>
      </c>
      <c r="D168" s="82">
        <v>0.28693793670791218</v>
      </c>
      <c r="E168" s="83">
        <v>1089</v>
      </c>
    </row>
    <row r="169" spans="1:5" ht="14">
      <c r="A169" s="81" t="s">
        <v>1</v>
      </c>
      <c r="B169" s="19" t="s">
        <v>391</v>
      </c>
      <c r="C169" s="82">
        <v>0.36562708068703664</v>
      </c>
      <c r="D169" s="82">
        <v>0.30247010889471271</v>
      </c>
      <c r="E169" s="83">
        <v>1089</v>
      </c>
    </row>
    <row r="170" spans="1:5" ht="14">
      <c r="A170" s="81" t="s">
        <v>1</v>
      </c>
      <c r="B170" s="19" t="s">
        <v>392</v>
      </c>
      <c r="C170" s="82">
        <v>0.3887688290801245</v>
      </c>
      <c r="D170" s="82">
        <v>0.31800228108151324</v>
      </c>
      <c r="E170" s="83">
        <v>1089</v>
      </c>
    </row>
    <row r="171" spans="1:5" ht="14">
      <c r="A171" s="81" t="s">
        <v>1</v>
      </c>
      <c r="B171" s="19" t="s">
        <v>393</v>
      </c>
      <c r="C171" s="82">
        <v>0.41191057747321236</v>
      </c>
      <c r="D171" s="82">
        <v>0.33353445326831371</v>
      </c>
      <c r="E171" s="83">
        <v>1089</v>
      </c>
    </row>
    <row r="172" spans="1:5" ht="14">
      <c r="A172" s="81" t="s">
        <v>1</v>
      </c>
      <c r="B172" s="19" t="s">
        <v>394</v>
      </c>
      <c r="C172" s="82">
        <v>0.36089729630547129</v>
      </c>
      <c r="D172" s="82">
        <v>0.34019787702966742</v>
      </c>
      <c r="E172" s="83">
        <v>1315</v>
      </c>
    </row>
    <row r="173" spans="1:5" ht="14">
      <c r="A173" s="81" t="s">
        <v>1</v>
      </c>
      <c r="B173" s="19" t="s">
        <v>395</v>
      </c>
      <c r="C173" s="82">
        <v>0.30988401513773023</v>
      </c>
      <c r="D173" s="82">
        <v>0.34686130079102112</v>
      </c>
      <c r="E173" s="83">
        <v>1315</v>
      </c>
    </row>
    <row r="174" spans="1:5" ht="14">
      <c r="A174" s="81" t="s">
        <v>1</v>
      </c>
      <c r="B174" s="19" t="s">
        <v>396</v>
      </c>
      <c r="C174" s="82">
        <v>0.25887073396998916</v>
      </c>
      <c r="D174" s="82">
        <v>0.35352472455237482</v>
      </c>
      <c r="E174" s="83">
        <v>1315</v>
      </c>
    </row>
    <row r="175" spans="1:5" ht="14">
      <c r="A175" s="81" t="s">
        <v>1</v>
      </c>
      <c r="B175" s="19" t="s">
        <v>397</v>
      </c>
      <c r="C175" s="82">
        <v>0.2078574528022481</v>
      </c>
      <c r="D175" s="82">
        <v>0.36018814831372853</v>
      </c>
      <c r="E175" s="83">
        <v>1315</v>
      </c>
    </row>
    <row r="176" spans="1:5" ht="14">
      <c r="A176" s="81" t="s">
        <v>1</v>
      </c>
      <c r="B176" s="19" t="s">
        <v>398</v>
      </c>
      <c r="C176" s="82">
        <v>0.22871017835893853</v>
      </c>
      <c r="D176" s="82">
        <v>0.36326178767766482</v>
      </c>
      <c r="E176" s="83">
        <v>1698</v>
      </c>
    </row>
    <row r="177" spans="1:5" ht="14">
      <c r="A177" s="81" t="s">
        <v>1</v>
      </c>
      <c r="B177" s="19" t="s">
        <v>399</v>
      </c>
      <c r="C177" s="82">
        <v>0.24956290391562896</v>
      </c>
      <c r="D177" s="82">
        <v>0.3663354270416011</v>
      </c>
      <c r="E177" s="83">
        <v>1698</v>
      </c>
    </row>
    <row r="178" spans="1:5" ht="14">
      <c r="A178" s="81" t="s">
        <v>1</v>
      </c>
      <c r="B178" s="19" t="s">
        <v>400</v>
      </c>
      <c r="C178" s="82">
        <v>0.2704156294723194</v>
      </c>
      <c r="D178" s="82">
        <v>0.36940906640553739</v>
      </c>
      <c r="E178" s="83">
        <v>1698</v>
      </c>
    </row>
    <row r="179" spans="1:5" ht="14">
      <c r="A179" s="81" t="s">
        <v>1</v>
      </c>
      <c r="B179" s="19" t="s">
        <v>401</v>
      </c>
      <c r="C179" s="82">
        <v>0.29126835502900983</v>
      </c>
      <c r="D179" s="82">
        <v>0.37248270576947368</v>
      </c>
      <c r="E179" s="83">
        <v>1698</v>
      </c>
    </row>
    <row r="180" spans="1:5" ht="14">
      <c r="A180" s="81" t="s">
        <v>1</v>
      </c>
      <c r="B180" s="19" t="s">
        <v>402</v>
      </c>
      <c r="C180" s="82">
        <v>0.27912367672993488</v>
      </c>
      <c r="D180" s="82">
        <v>0.37652926669382919</v>
      </c>
      <c r="E180" s="83">
        <v>2110</v>
      </c>
    </row>
    <row r="181" spans="1:5" ht="14">
      <c r="A181" s="81" t="s">
        <v>1</v>
      </c>
      <c r="B181" s="19" t="s">
        <v>403</v>
      </c>
      <c r="C181" s="82">
        <v>0.26697899843085993</v>
      </c>
      <c r="D181" s="82">
        <v>0.38057582761818476</v>
      </c>
      <c r="E181" s="83">
        <v>2110</v>
      </c>
    </row>
    <row r="182" spans="1:5" ht="14">
      <c r="A182" s="81" t="s">
        <v>1</v>
      </c>
      <c r="B182" s="19" t="s">
        <v>404</v>
      </c>
      <c r="C182" s="82">
        <v>0.25483432013178497</v>
      </c>
      <c r="D182" s="82">
        <v>0.38462238854254027</v>
      </c>
      <c r="E182" s="83">
        <v>2110</v>
      </c>
    </row>
    <row r="183" spans="1:5" ht="14">
      <c r="A183" s="81" t="s">
        <v>1</v>
      </c>
      <c r="B183" s="19" t="s">
        <v>405</v>
      </c>
      <c r="C183" s="82">
        <v>0.24268964183271002</v>
      </c>
      <c r="D183" s="82">
        <v>0.38866894946689584</v>
      </c>
      <c r="E183" s="83">
        <v>2110</v>
      </c>
    </row>
    <row r="184" spans="1:5" ht="14">
      <c r="A184" s="81" t="s">
        <v>1</v>
      </c>
      <c r="B184" s="19" t="s">
        <v>406</v>
      </c>
      <c r="C184" s="82">
        <v>0.20517580417702141</v>
      </c>
      <c r="D184" s="82">
        <v>0.38721414643035906</v>
      </c>
      <c r="E184" s="83">
        <v>2306</v>
      </c>
    </row>
    <row r="185" spans="1:5" ht="14">
      <c r="A185" s="81" t="s">
        <v>1</v>
      </c>
      <c r="B185" s="19" t="s">
        <v>407</v>
      </c>
      <c r="C185" s="82">
        <v>0.16766196652133281</v>
      </c>
      <c r="D185" s="82">
        <v>0.38575934339382223</v>
      </c>
      <c r="E185" s="83">
        <v>2306</v>
      </c>
    </row>
    <row r="186" spans="1:5" ht="14">
      <c r="A186" s="81" t="s">
        <v>1</v>
      </c>
      <c r="B186" s="19" t="s">
        <v>408</v>
      </c>
      <c r="C186" s="82">
        <v>0.1301481288656442</v>
      </c>
      <c r="D186" s="82">
        <v>0.38430454035728545</v>
      </c>
      <c r="E186" s="83">
        <v>2306</v>
      </c>
    </row>
    <row r="187" spans="1:5" ht="14">
      <c r="A187" s="81" t="s">
        <v>1</v>
      </c>
      <c r="B187" s="19" t="s">
        <v>409</v>
      </c>
      <c r="C187" s="82">
        <v>9.2634291209955588E-2</v>
      </c>
      <c r="D187" s="82">
        <v>0.38284973732074862</v>
      </c>
      <c r="E187" s="83">
        <v>2306</v>
      </c>
    </row>
    <row r="188" spans="1:5" ht="14">
      <c r="A188" s="81" t="s">
        <v>1</v>
      </c>
      <c r="B188" s="19" t="s">
        <v>410</v>
      </c>
      <c r="C188" s="82">
        <v>5.234681850767281E-2</v>
      </c>
      <c r="D188" s="82">
        <v>0.34073285699428585</v>
      </c>
      <c r="E188" s="83">
        <v>2148</v>
      </c>
    </row>
    <row r="189" spans="1:5" ht="14">
      <c r="A189" s="81" t="s">
        <v>1</v>
      </c>
      <c r="B189" s="19" t="s">
        <v>411</v>
      </c>
      <c r="C189" s="82">
        <v>5.6291845265764362E-2</v>
      </c>
      <c r="D189" s="82">
        <v>0.31275790310228335</v>
      </c>
      <c r="E189" s="83">
        <v>2556</v>
      </c>
    </row>
    <row r="190" spans="1:5" ht="14">
      <c r="A190" s="81" t="s">
        <v>1</v>
      </c>
      <c r="B190" s="19" t="s">
        <v>412</v>
      </c>
      <c r="C190" s="82">
        <v>0.18328561439524044</v>
      </c>
      <c r="D190" s="82">
        <v>0.2710642983575744</v>
      </c>
      <c r="E190" s="83">
        <v>3691</v>
      </c>
    </row>
    <row r="191" spans="1:5" ht="14">
      <c r="A191" s="81" t="s">
        <v>1</v>
      </c>
      <c r="B191" s="19" t="s">
        <v>413</v>
      </c>
      <c r="C191" s="82">
        <v>0.16468073946765099</v>
      </c>
      <c r="D191" s="82">
        <v>0.25659121666793239</v>
      </c>
      <c r="E191" s="83">
        <v>2348</v>
      </c>
    </row>
    <row r="192" spans="1:5" ht="14">
      <c r="A192" s="81" t="s">
        <v>1</v>
      </c>
      <c r="B192" s="19" t="s">
        <v>414</v>
      </c>
      <c r="C192" s="82">
        <v>0.2133976281942605</v>
      </c>
      <c r="D192" s="82">
        <v>0.25751425484641483</v>
      </c>
      <c r="E192" s="83">
        <v>2419</v>
      </c>
    </row>
    <row r="193" spans="1:5" ht="14">
      <c r="A193" s="81" t="s">
        <v>1</v>
      </c>
      <c r="B193" s="19" t="s">
        <v>415</v>
      </c>
      <c r="C193" s="82">
        <v>0.23212305836763936</v>
      </c>
      <c r="D193" s="82">
        <v>0.26111922930078302</v>
      </c>
      <c r="E193" s="83">
        <v>3025</v>
      </c>
    </row>
    <row r="194" spans="1:5" ht="14">
      <c r="A194" s="81" t="s">
        <v>1</v>
      </c>
      <c r="B194" s="19" t="s">
        <v>416</v>
      </c>
      <c r="C194" s="82">
        <v>0.13229779581795564</v>
      </c>
      <c r="D194" s="82">
        <v>0.32363352342739599</v>
      </c>
      <c r="E194" s="83">
        <v>4434</v>
      </c>
    </row>
    <row r="195" spans="1:5" ht="14">
      <c r="A195" s="81" t="s">
        <v>1</v>
      </c>
      <c r="B195" s="19" t="s">
        <v>417</v>
      </c>
      <c r="C195" s="82">
        <v>0.17618958346264735</v>
      </c>
      <c r="D195" s="82">
        <v>0.32641129529630497</v>
      </c>
      <c r="E195" s="83">
        <v>2803</v>
      </c>
    </row>
    <row r="196" spans="1:5" ht="14">
      <c r="A196" s="81" t="s">
        <v>1</v>
      </c>
      <c r="B196" s="19" t="s">
        <v>418</v>
      </c>
      <c r="C196" s="82">
        <v>0.19717621631951909</v>
      </c>
      <c r="D196" s="82">
        <v>0.33621009457732076</v>
      </c>
      <c r="E196" s="83">
        <v>2928</v>
      </c>
    </row>
    <row r="197" spans="1:5" ht="14">
      <c r="A197" s="81" t="s">
        <v>1</v>
      </c>
      <c r="B197" s="19" t="s">
        <v>419</v>
      </c>
      <c r="C197" s="82">
        <v>0.19371191714435915</v>
      </c>
      <c r="D197" s="82">
        <v>0.35031285261945388</v>
      </c>
      <c r="E197" s="83">
        <v>3537</v>
      </c>
    </row>
    <row r="198" spans="1:5" ht="14">
      <c r="A198" s="81" t="s">
        <v>1</v>
      </c>
      <c r="B198" s="19" t="s">
        <v>420</v>
      </c>
      <c r="C198" s="82">
        <v>0.16678686106864621</v>
      </c>
      <c r="D198" s="82">
        <v>0.34930893129378987</v>
      </c>
      <c r="E198" s="83">
        <v>4849</v>
      </c>
    </row>
    <row r="199" spans="1:5" ht="14">
      <c r="A199" s="81" t="s">
        <v>1</v>
      </c>
      <c r="B199" s="19" t="s">
        <v>421</v>
      </c>
      <c r="C199" s="82">
        <v>0.15490933844595123</v>
      </c>
      <c r="D199" s="82">
        <v>0.31446703243014962</v>
      </c>
      <c r="E199" s="83">
        <v>3213</v>
      </c>
    </row>
    <row r="200" spans="1:5" ht="14">
      <c r="A200" s="81" t="s">
        <v>1</v>
      </c>
      <c r="B200" s="19" t="s">
        <v>422</v>
      </c>
      <c r="C200" s="82">
        <v>9.4548280653540456E-2</v>
      </c>
      <c r="D200" s="82">
        <v>0.33545101565850255</v>
      </c>
      <c r="E200" s="83">
        <v>2837</v>
      </c>
    </row>
    <row r="201" spans="1:5" ht="14">
      <c r="A201" s="81" t="s">
        <v>1</v>
      </c>
      <c r="B201" s="19" t="s">
        <v>423</v>
      </c>
      <c r="C201" s="82">
        <v>7.4299586592498884E-2</v>
      </c>
      <c r="D201" s="82">
        <v>0.32838242610043999</v>
      </c>
      <c r="E201" s="83">
        <v>3850</v>
      </c>
    </row>
    <row r="202" spans="1:5" ht="14">
      <c r="A202" s="81" t="s">
        <v>1</v>
      </c>
      <c r="B202" s="19" t="s">
        <v>424</v>
      </c>
      <c r="C202" s="82">
        <v>6.0740131685362214E-2</v>
      </c>
      <c r="D202" s="82">
        <v>0.33006552530131444</v>
      </c>
      <c r="E202" s="83">
        <v>5040</v>
      </c>
    </row>
    <row r="203" spans="1:5" ht="14">
      <c r="A203" s="81" t="s">
        <v>1</v>
      </c>
      <c r="B203" s="19" t="s">
        <v>425</v>
      </c>
      <c r="C203" s="82">
        <v>3.3976090357093508E-2</v>
      </c>
      <c r="D203" s="82">
        <v>0.38720955691815406</v>
      </c>
      <c r="E203" s="83">
        <v>3339</v>
      </c>
    </row>
    <row r="204" spans="1:5" ht="14">
      <c r="A204" s="81" t="s">
        <v>1</v>
      </c>
      <c r="B204" s="19" t="s">
        <v>426</v>
      </c>
      <c r="C204" s="82">
        <v>-6.6160424450043831E-3</v>
      </c>
      <c r="D204" s="82">
        <v>0.22301832208671829</v>
      </c>
      <c r="E204" s="83">
        <v>2288</v>
      </c>
    </row>
    <row r="205" spans="1:5" ht="14">
      <c r="A205" s="81" t="s">
        <v>1</v>
      </c>
      <c r="B205" s="19" t="s">
        <v>427</v>
      </c>
      <c r="C205" s="82">
        <v>-0.23782298803367127</v>
      </c>
      <c r="D205" s="82">
        <v>0.22757820664660283</v>
      </c>
      <c r="E205" s="83">
        <v>630</v>
      </c>
    </row>
    <row r="206" spans="1:5" ht="14">
      <c r="A206" s="81" t="s">
        <v>1</v>
      </c>
      <c r="B206" s="19" t="s">
        <v>428</v>
      </c>
      <c r="C206" s="82">
        <v>-0.3</v>
      </c>
      <c r="D206" s="82">
        <v>0.18943787475627097</v>
      </c>
      <c r="E206" s="83">
        <v>2640</v>
      </c>
    </row>
    <row r="207" spans="1:5" ht="14">
      <c r="A207" s="81" t="s">
        <v>1</v>
      </c>
      <c r="B207" s="19" t="s">
        <v>429</v>
      </c>
      <c r="C207" s="82">
        <v>-0.3</v>
      </c>
      <c r="D207" s="82">
        <v>0.13259357710589537</v>
      </c>
      <c r="E207" s="83">
        <v>1238</v>
      </c>
    </row>
    <row r="208" spans="1:5" ht="14">
      <c r="A208" s="81" t="s">
        <v>1</v>
      </c>
      <c r="B208" s="19" t="s">
        <v>430</v>
      </c>
      <c r="C208" s="82">
        <v>-0.3</v>
      </c>
      <c r="D208" s="82">
        <v>0.15057195608887558</v>
      </c>
      <c r="E208" s="83">
        <v>1141</v>
      </c>
    </row>
    <row r="209" spans="1:5" ht="14">
      <c r="A209" s="81" t="s">
        <v>1</v>
      </c>
      <c r="B209" s="19" t="s">
        <v>431</v>
      </c>
      <c r="C209" s="82">
        <v>0.20545986377354297</v>
      </c>
      <c r="D209" s="82">
        <v>6.2890077781997247E-2</v>
      </c>
      <c r="E209" s="83">
        <v>2160</v>
      </c>
    </row>
    <row r="210" spans="1:5" ht="14">
      <c r="A210" s="81" t="s">
        <v>1</v>
      </c>
      <c r="B210" s="19" t="s">
        <v>432</v>
      </c>
      <c r="C210" s="82">
        <v>0.51731051312419241</v>
      </c>
      <c r="D210" s="82">
        <v>3.5571743670998482E-2</v>
      </c>
      <c r="E210" s="83">
        <v>4676</v>
      </c>
    </row>
    <row r="211" spans="1:5" ht="14">
      <c r="A211" s="81" t="s">
        <v>1</v>
      </c>
      <c r="B211" s="19" t="s">
        <v>433</v>
      </c>
      <c r="C211" s="82">
        <v>1</v>
      </c>
      <c r="D211" s="82">
        <v>5.4530195665563955E-2</v>
      </c>
      <c r="E211" s="83">
        <v>2981</v>
      </c>
    </row>
    <row r="212" spans="1:5" ht="14">
      <c r="A212" s="81" t="s">
        <v>1</v>
      </c>
      <c r="B212" s="19" t="s">
        <v>434</v>
      </c>
      <c r="C212" s="82">
        <v>1</v>
      </c>
      <c r="D212" s="82">
        <v>3.668471949405798E-2</v>
      </c>
      <c r="E212" s="83">
        <v>2695</v>
      </c>
    </row>
    <row r="213" spans="1:5" ht="14">
      <c r="A213" s="81" t="s">
        <v>1</v>
      </c>
      <c r="B213" s="19" t="s">
        <v>435</v>
      </c>
      <c r="C213" s="82">
        <v>1</v>
      </c>
      <c r="D213" s="82">
        <v>0.10803465437304502</v>
      </c>
      <c r="E213" s="83">
        <v>4294</v>
      </c>
    </row>
    <row r="214" spans="1:5" ht="14">
      <c r="A214" s="81" t="s">
        <v>1</v>
      </c>
      <c r="B214" s="19" t="s">
        <v>436</v>
      </c>
      <c r="C214" s="82">
        <v>1</v>
      </c>
      <c r="D214" s="82">
        <v>0.14616865923651229</v>
      </c>
      <c r="E214" s="83">
        <v>6052</v>
      </c>
    </row>
    <row r="215" spans="1:5" ht="14">
      <c r="A215" s="81" t="s">
        <v>1</v>
      </c>
      <c r="B215" s="19" t="s">
        <v>437</v>
      </c>
      <c r="C215" s="82">
        <v>0.75061594900717266</v>
      </c>
      <c r="D215" s="82">
        <v>0.16738701349778456</v>
      </c>
      <c r="E215" s="83">
        <v>4049</v>
      </c>
    </row>
    <row r="216" spans="1:5" ht="14">
      <c r="A216" s="81" t="s">
        <v>1</v>
      </c>
      <c r="B216" s="19" t="s">
        <v>438</v>
      </c>
      <c r="C216" s="82">
        <v>0.51058897335355358</v>
      </c>
      <c r="D216" s="82">
        <v>0.26619426198551405</v>
      </c>
      <c r="E216" s="83">
        <v>3778</v>
      </c>
    </row>
    <row r="217" spans="1:5" ht="14">
      <c r="A217" s="81" t="s">
        <v>1</v>
      </c>
      <c r="B217" s="19" t="s">
        <v>439</v>
      </c>
      <c r="C217" s="82">
        <v>0.33160009567755433</v>
      </c>
      <c r="D217" s="82">
        <v>0.27364681941025509</v>
      </c>
      <c r="E217" s="83">
        <v>5462</v>
      </c>
    </row>
    <row r="218" spans="1:5" ht="14">
      <c r="A218" s="81" t="s">
        <v>1</v>
      </c>
      <c r="B218" s="19" t="s">
        <v>440</v>
      </c>
      <c r="C218" s="82">
        <v>0.31127980480806111</v>
      </c>
      <c r="D218" s="82">
        <v>0.29099933697743585</v>
      </c>
      <c r="E218" s="83">
        <v>7341</v>
      </c>
    </row>
    <row r="219" spans="1:5" ht="14">
      <c r="A219" s="81" t="s">
        <v>1</v>
      </c>
      <c r="B219" s="19" t="s">
        <v>441</v>
      </c>
      <c r="C219" s="82">
        <v>0.26709412119680753</v>
      </c>
      <c r="D219" s="82">
        <v>0.22282541391868482</v>
      </c>
      <c r="E219" s="83">
        <v>4784</v>
      </c>
    </row>
    <row r="220" spans="1:5" ht="14">
      <c r="A220" s="81" t="s">
        <v>1</v>
      </c>
      <c r="B220" s="19" t="s">
        <v>442</v>
      </c>
      <c r="C220" s="82">
        <v>0.20878223154369424</v>
      </c>
      <c r="D220" s="82">
        <v>0.25583288040373542</v>
      </c>
      <c r="E220" s="83">
        <v>4415</v>
      </c>
    </row>
    <row r="221" spans="1:5" ht="14">
      <c r="A221" s="81" t="s">
        <v>1</v>
      </c>
      <c r="B221" s="19" t="s">
        <v>443</v>
      </c>
      <c r="C221" s="82">
        <v>0.15895136811278654</v>
      </c>
      <c r="D221" s="82">
        <v>0.26378634048095961</v>
      </c>
      <c r="E221" s="83">
        <v>5859</v>
      </c>
    </row>
    <row r="222" spans="1:5" ht="14">
      <c r="A222" s="81" t="s">
        <v>2</v>
      </c>
      <c r="B222" s="19" t="s">
        <v>334</v>
      </c>
      <c r="C222" s="82"/>
      <c r="D222" s="82"/>
      <c r="E222" s="83"/>
    </row>
    <row r="223" spans="1:5" ht="14">
      <c r="A223" s="81" t="s">
        <v>2</v>
      </c>
      <c r="B223" s="19" t="s">
        <v>335</v>
      </c>
      <c r="C223" s="82"/>
      <c r="D223" s="82"/>
      <c r="E223" s="83"/>
    </row>
    <row r="224" spans="1:5" ht="14">
      <c r="A224" s="81" t="s">
        <v>2</v>
      </c>
      <c r="B224" s="19" t="s">
        <v>336</v>
      </c>
      <c r="C224" s="82"/>
      <c r="D224" s="82"/>
      <c r="E224" s="83"/>
    </row>
    <row r="225" spans="1:5" ht="14">
      <c r="A225" s="81" t="s">
        <v>2</v>
      </c>
      <c r="B225" s="19" t="s">
        <v>337</v>
      </c>
      <c r="C225" s="82"/>
      <c r="D225" s="82"/>
      <c r="E225" s="83"/>
    </row>
    <row r="226" spans="1:5" ht="14">
      <c r="A226" s="81" t="s">
        <v>2</v>
      </c>
      <c r="B226" s="19" t="s">
        <v>338</v>
      </c>
      <c r="C226" s="82"/>
      <c r="D226" s="82"/>
      <c r="E226" s="83"/>
    </row>
    <row r="227" spans="1:5" ht="14">
      <c r="A227" s="81" t="s">
        <v>2</v>
      </c>
      <c r="B227" s="19" t="s">
        <v>339</v>
      </c>
      <c r="C227" s="82"/>
      <c r="D227" s="82"/>
      <c r="E227" s="83"/>
    </row>
    <row r="228" spans="1:5" ht="14">
      <c r="A228" s="81" t="s">
        <v>2</v>
      </c>
      <c r="B228" s="19" t="s">
        <v>340</v>
      </c>
      <c r="C228" s="82"/>
      <c r="D228" s="82"/>
      <c r="E228" s="83"/>
    </row>
    <row r="229" spans="1:5" ht="14">
      <c r="A229" s="81" t="s">
        <v>2</v>
      </c>
      <c r="B229" s="19" t="s">
        <v>341</v>
      </c>
      <c r="C229" s="82">
        <v>1</v>
      </c>
      <c r="D229" s="82">
        <v>-0.5</v>
      </c>
      <c r="E229" s="83">
        <v>3.5</v>
      </c>
    </row>
    <row r="230" spans="1:5" ht="14">
      <c r="A230" s="81" t="s">
        <v>2</v>
      </c>
      <c r="B230" s="19" t="s">
        <v>342</v>
      </c>
      <c r="C230" s="82">
        <v>1</v>
      </c>
      <c r="D230" s="82">
        <v>-0.5</v>
      </c>
      <c r="E230" s="83">
        <v>10</v>
      </c>
    </row>
    <row r="231" spans="1:5" ht="14">
      <c r="A231" s="81" t="s">
        <v>2</v>
      </c>
      <c r="B231" s="19" t="s">
        <v>343</v>
      </c>
      <c r="C231" s="82">
        <v>1</v>
      </c>
      <c r="D231" s="82">
        <v>-0.5</v>
      </c>
      <c r="E231" s="83">
        <v>10</v>
      </c>
    </row>
    <row r="232" spans="1:5" ht="14">
      <c r="A232" s="81" t="s">
        <v>2</v>
      </c>
      <c r="B232" s="19" t="s">
        <v>344</v>
      </c>
      <c r="C232" s="82">
        <v>1</v>
      </c>
      <c r="D232" s="82">
        <v>-0.5</v>
      </c>
      <c r="E232" s="83">
        <v>10</v>
      </c>
    </row>
    <row r="233" spans="1:5" ht="14">
      <c r="A233" s="81" t="s">
        <v>2</v>
      </c>
      <c r="B233" s="19" t="s">
        <v>345</v>
      </c>
      <c r="C233" s="82">
        <v>1</v>
      </c>
      <c r="D233" s="82">
        <v>-0.49</v>
      </c>
      <c r="E233" s="83">
        <v>10</v>
      </c>
    </row>
    <row r="234" spans="1:5" ht="14">
      <c r="A234" s="81" t="s">
        <v>2</v>
      </c>
      <c r="B234" s="19" t="s">
        <v>346</v>
      </c>
      <c r="C234" s="82">
        <v>1</v>
      </c>
      <c r="D234" s="82">
        <v>-0.5</v>
      </c>
      <c r="E234" s="83">
        <v>24</v>
      </c>
    </row>
    <row r="235" spans="1:5" ht="14">
      <c r="A235" s="81" t="s">
        <v>2</v>
      </c>
      <c r="B235" s="19" t="s">
        <v>347</v>
      </c>
      <c r="C235" s="82">
        <v>1</v>
      </c>
      <c r="D235" s="82">
        <v>-0.5</v>
      </c>
      <c r="E235" s="83">
        <v>24</v>
      </c>
    </row>
    <row r="236" spans="1:5" ht="14">
      <c r="A236" s="81" t="s">
        <v>2</v>
      </c>
      <c r="B236" s="19" t="s">
        <v>348</v>
      </c>
      <c r="C236" s="82">
        <v>1</v>
      </c>
      <c r="D236" s="82">
        <v>-0.5</v>
      </c>
      <c r="E236" s="83">
        <v>24</v>
      </c>
    </row>
    <row r="237" spans="1:5" ht="14">
      <c r="A237" s="81" t="s">
        <v>2</v>
      </c>
      <c r="B237" s="19" t="s">
        <v>349</v>
      </c>
      <c r="C237" s="82">
        <v>1</v>
      </c>
      <c r="D237" s="82">
        <v>-0.5</v>
      </c>
      <c r="E237" s="83">
        <v>24</v>
      </c>
    </row>
    <row r="238" spans="1:5" ht="14">
      <c r="A238" s="81" t="s">
        <v>2</v>
      </c>
      <c r="B238" s="19" t="s">
        <v>350</v>
      </c>
      <c r="C238" s="82">
        <v>1</v>
      </c>
      <c r="D238" s="82">
        <v>-0.5</v>
      </c>
      <c r="E238" s="83">
        <v>56</v>
      </c>
    </row>
    <row r="239" spans="1:5" ht="14">
      <c r="A239" s="81" t="s">
        <v>2</v>
      </c>
      <c r="B239" s="19" t="s">
        <v>351</v>
      </c>
      <c r="C239" s="82">
        <v>1</v>
      </c>
      <c r="D239" s="82">
        <v>-0.5</v>
      </c>
      <c r="E239" s="83">
        <v>56</v>
      </c>
    </row>
    <row r="240" spans="1:5" ht="14">
      <c r="A240" s="81" t="s">
        <v>2</v>
      </c>
      <c r="B240" s="19" t="s">
        <v>352</v>
      </c>
      <c r="C240" s="82">
        <v>1</v>
      </c>
      <c r="D240" s="82">
        <v>-0.33</v>
      </c>
      <c r="E240" s="83">
        <v>56</v>
      </c>
    </row>
    <row r="241" spans="1:5" ht="14">
      <c r="A241" s="81" t="s">
        <v>2</v>
      </c>
      <c r="B241" s="19" t="s">
        <v>353</v>
      </c>
      <c r="C241" s="82">
        <v>1</v>
      </c>
      <c r="D241" s="82">
        <v>-0.06</v>
      </c>
      <c r="E241" s="83">
        <v>56</v>
      </c>
    </row>
    <row r="242" spans="1:5" ht="14">
      <c r="A242" s="81" t="s">
        <v>2</v>
      </c>
      <c r="B242" s="19" t="s">
        <v>354</v>
      </c>
      <c r="C242" s="82">
        <v>1</v>
      </c>
      <c r="D242" s="82">
        <v>0</v>
      </c>
      <c r="E242" s="83">
        <v>375</v>
      </c>
    </row>
    <row r="243" spans="1:5" ht="14">
      <c r="A243" s="81" t="s">
        <v>2</v>
      </c>
      <c r="B243" s="19" t="s">
        <v>355</v>
      </c>
      <c r="C243" s="82">
        <v>1</v>
      </c>
      <c r="D243" s="82">
        <v>0.06</v>
      </c>
      <c r="E243" s="83">
        <v>375</v>
      </c>
    </row>
    <row r="244" spans="1:5" ht="14">
      <c r="A244" s="81" t="s">
        <v>2</v>
      </c>
      <c r="B244" s="19" t="s">
        <v>356</v>
      </c>
      <c r="C244" s="82">
        <v>1</v>
      </c>
      <c r="D244" s="82">
        <v>0.11</v>
      </c>
      <c r="E244" s="83">
        <v>375</v>
      </c>
    </row>
    <row r="245" spans="1:5" ht="14">
      <c r="A245" s="81" t="s">
        <v>2</v>
      </c>
      <c r="B245" s="19" t="s">
        <v>357</v>
      </c>
      <c r="C245" s="82">
        <v>1</v>
      </c>
      <c r="D245" s="82">
        <v>0.17</v>
      </c>
      <c r="E245" s="83">
        <v>375</v>
      </c>
    </row>
    <row r="246" spans="1:5" ht="14">
      <c r="A246" s="81" t="s">
        <v>2</v>
      </c>
      <c r="B246" s="19" t="s">
        <v>358</v>
      </c>
      <c r="C246" s="82">
        <v>1</v>
      </c>
      <c r="D246" s="82">
        <v>0.17</v>
      </c>
      <c r="E246" s="83">
        <v>585</v>
      </c>
    </row>
    <row r="247" spans="1:5" ht="14">
      <c r="A247" s="81" t="s">
        <v>2</v>
      </c>
      <c r="B247" s="19" t="s">
        <v>359</v>
      </c>
      <c r="C247" s="82">
        <v>1</v>
      </c>
      <c r="D247" s="82">
        <v>0.16</v>
      </c>
      <c r="E247" s="83">
        <v>585</v>
      </c>
    </row>
    <row r="248" spans="1:5" ht="14">
      <c r="A248" s="81" t="s">
        <v>2</v>
      </c>
      <c r="B248" s="19" t="s">
        <v>360</v>
      </c>
      <c r="C248" s="82">
        <v>1</v>
      </c>
      <c r="D248" s="82">
        <v>0.16</v>
      </c>
      <c r="E248" s="83">
        <v>585</v>
      </c>
    </row>
    <row r="249" spans="1:5" ht="14">
      <c r="A249" s="81" t="s">
        <v>2</v>
      </c>
      <c r="B249" s="19" t="s">
        <v>361</v>
      </c>
      <c r="C249" s="82">
        <v>0.56000000000000005</v>
      </c>
      <c r="D249" s="82">
        <v>0.16</v>
      </c>
      <c r="E249" s="83">
        <v>585</v>
      </c>
    </row>
    <row r="250" spans="1:5" ht="14">
      <c r="A250" s="81" t="s">
        <v>2</v>
      </c>
      <c r="B250" s="19" t="s">
        <v>362</v>
      </c>
      <c r="C250" s="82">
        <v>0.37</v>
      </c>
      <c r="D250" s="82">
        <v>0.17</v>
      </c>
      <c r="E250" s="83">
        <v>461</v>
      </c>
    </row>
    <row r="251" spans="1:5" ht="14">
      <c r="A251" s="81" t="s">
        <v>2</v>
      </c>
      <c r="B251" s="19" t="s">
        <v>363</v>
      </c>
      <c r="C251" s="82">
        <v>0.17</v>
      </c>
      <c r="D251" s="82">
        <v>0.19</v>
      </c>
      <c r="E251" s="83">
        <v>461</v>
      </c>
    </row>
    <row r="252" spans="1:5" ht="14">
      <c r="A252" s="81" t="s">
        <v>2</v>
      </c>
      <c r="B252" s="19" t="s">
        <v>364</v>
      </c>
      <c r="C252" s="82">
        <v>-0.02</v>
      </c>
      <c r="D252" s="82">
        <v>0.21</v>
      </c>
      <c r="E252" s="83">
        <v>461</v>
      </c>
    </row>
    <row r="253" spans="1:5" ht="14">
      <c r="A253" s="81" t="s">
        <v>2</v>
      </c>
      <c r="B253" s="19" t="s">
        <v>365</v>
      </c>
      <c r="C253" s="82">
        <v>-0.21</v>
      </c>
      <c r="D253" s="82">
        <v>0.22</v>
      </c>
      <c r="E253" s="83">
        <v>461</v>
      </c>
    </row>
    <row r="254" spans="1:5" ht="14">
      <c r="A254" s="81" t="s">
        <v>2</v>
      </c>
      <c r="B254" s="19" t="s">
        <v>366</v>
      </c>
      <c r="C254" s="82">
        <v>-0.12</v>
      </c>
      <c r="D254" s="82">
        <v>0.23</v>
      </c>
      <c r="E254" s="83">
        <v>530</v>
      </c>
    </row>
    <row r="255" spans="1:5" ht="14">
      <c r="A255" s="81" t="s">
        <v>2</v>
      </c>
      <c r="B255" s="19" t="s">
        <v>367</v>
      </c>
      <c r="C255" s="82">
        <v>-0.03</v>
      </c>
      <c r="D255" s="82">
        <v>0.25</v>
      </c>
      <c r="E255" s="83">
        <v>530</v>
      </c>
    </row>
    <row r="256" spans="1:5" ht="14">
      <c r="A256" s="81" t="s">
        <v>2</v>
      </c>
      <c r="B256" s="19" t="s">
        <v>368</v>
      </c>
      <c r="C256" s="82">
        <v>0.06</v>
      </c>
      <c r="D256" s="82">
        <v>0.26</v>
      </c>
      <c r="E256" s="83">
        <v>530</v>
      </c>
    </row>
    <row r="257" spans="1:5" ht="14">
      <c r="A257" s="81" t="s">
        <v>2</v>
      </c>
      <c r="B257" s="19" t="s">
        <v>369</v>
      </c>
      <c r="C257" s="82">
        <v>0.15</v>
      </c>
      <c r="D257" s="82">
        <v>0.27</v>
      </c>
      <c r="E257" s="83">
        <v>530</v>
      </c>
    </row>
    <row r="258" spans="1:5" ht="14">
      <c r="A258" s="81" t="s">
        <v>2</v>
      </c>
      <c r="B258" s="19" t="s">
        <v>370</v>
      </c>
      <c r="C258" s="82">
        <v>0.13</v>
      </c>
      <c r="D258" s="82">
        <v>0.27</v>
      </c>
      <c r="E258" s="83">
        <v>559</v>
      </c>
    </row>
    <row r="259" spans="1:5" ht="14">
      <c r="A259" s="81" t="s">
        <v>2</v>
      </c>
      <c r="B259" s="19" t="s">
        <v>371</v>
      </c>
      <c r="C259" s="82">
        <v>0.1</v>
      </c>
      <c r="D259" s="82">
        <v>0.26</v>
      </c>
      <c r="E259" s="83">
        <v>559</v>
      </c>
    </row>
    <row r="260" spans="1:5" ht="14">
      <c r="A260" s="81" t="s">
        <v>2</v>
      </c>
      <c r="B260" s="19" t="s">
        <v>372</v>
      </c>
      <c r="C260" s="82">
        <v>0.08</v>
      </c>
      <c r="D260" s="82">
        <v>0.25</v>
      </c>
      <c r="E260" s="83">
        <v>559</v>
      </c>
    </row>
    <row r="261" spans="1:5" ht="14">
      <c r="A261" s="81" t="s">
        <v>2</v>
      </c>
      <c r="B261" s="19" t="s">
        <v>373</v>
      </c>
      <c r="C261" s="82">
        <v>0.06</v>
      </c>
      <c r="D261" s="82">
        <v>0.25</v>
      </c>
      <c r="E261" s="83">
        <v>559</v>
      </c>
    </row>
    <row r="262" spans="1:5" ht="14">
      <c r="A262" s="81" t="s">
        <v>2</v>
      </c>
      <c r="B262" s="19" t="s">
        <v>374</v>
      </c>
      <c r="C262" s="82">
        <v>0.09</v>
      </c>
      <c r="D262" s="82">
        <v>0.25</v>
      </c>
      <c r="E262" s="83">
        <v>666</v>
      </c>
    </row>
    <row r="263" spans="1:5" ht="14">
      <c r="A263" s="81" t="s">
        <v>2</v>
      </c>
      <c r="B263" s="19" t="s">
        <v>375</v>
      </c>
      <c r="C263" s="82">
        <v>0.12</v>
      </c>
      <c r="D263" s="82">
        <v>0.25</v>
      </c>
      <c r="E263" s="83">
        <v>666</v>
      </c>
    </row>
    <row r="264" spans="1:5" ht="14">
      <c r="A264" s="81" t="s">
        <v>2</v>
      </c>
      <c r="B264" s="19" t="s">
        <v>376</v>
      </c>
      <c r="C264" s="82">
        <v>0.16</v>
      </c>
      <c r="D264" s="82">
        <v>0.25</v>
      </c>
      <c r="E264" s="83">
        <v>666</v>
      </c>
    </row>
    <row r="265" spans="1:5" ht="14">
      <c r="A265" s="81" t="s">
        <v>2</v>
      </c>
      <c r="B265" s="19" t="s">
        <v>377</v>
      </c>
      <c r="C265" s="82">
        <v>0.19</v>
      </c>
      <c r="D265" s="82">
        <v>0.25</v>
      </c>
      <c r="E265" s="83">
        <v>666</v>
      </c>
    </row>
    <row r="266" spans="1:5" ht="14">
      <c r="A266" s="81" t="s">
        <v>2</v>
      </c>
      <c r="B266" s="19" t="s">
        <v>378</v>
      </c>
      <c r="C266" s="82">
        <v>0.17</v>
      </c>
      <c r="D266" s="82">
        <v>0.25</v>
      </c>
      <c r="E266" s="83">
        <v>734</v>
      </c>
    </row>
    <row r="267" spans="1:5" ht="14">
      <c r="A267" s="81" t="s">
        <v>2</v>
      </c>
      <c r="B267" s="19" t="s">
        <v>379</v>
      </c>
      <c r="C267" s="82">
        <v>0.15</v>
      </c>
      <c r="D267" s="82">
        <v>0.25</v>
      </c>
      <c r="E267" s="83">
        <v>734</v>
      </c>
    </row>
    <row r="268" spans="1:5" ht="14">
      <c r="A268" s="81" t="s">
        <v>2</v>
      </c>
      <c r="B268" s="19" t="s">
        <v>380</v>
      </c>
      <c r="C268" s="82">
        <v>0.12</v>
      </c>
      <c r="D268" s="82">
        <v>0.24</v>
      </c>
      <c r="E268" s="83">
        <v>734</v>
      </c>
    </row>
    <row r="269" spans="1:5" ht="14">
      <c r="A269" s="81" t="s">
        <v>2</v>
      </c>
      <c r="B269" s="19" t="s">
        <v>381</v>
      </c>
      <c r="C269" s="82">
        <v>0.1</v>
      </c>
      <c r="D269" s="82">
        <v>0.24</v>
      </c>
      <c r="E269" s="83">
        <v>734</v>
      </c>
    </row>
    <row r="270" spans="1:5" ht="14">
      <c r="A270" s="81" t="s">
        <v>2</v>
      </c>
      <c r="B270" s="19" t="s">
        <v>382</v>
      </c>
      <c r="C270" s="82">
        <v>0.06</v>
      </c>
      <c r="D270" s="82">
        <v>0.24</v>
      </c>
      <c r="E270" s="83">
        <v>686</v>
      </c>
    </row>
    <row r="271" spans="1:5" ht="14">
      <c r="A271" s="81" t="s">
        <v>2</v>
      </c>
      <c r="B271" s="19" t="s">
        <v>383</v>
      </c>
      <c r="C271" s="82">
        <v>0.02</v>
      </c>
      <c r="D271" s="82">
        <v>0.23</v>
      </c>
      <c r="E271" s="83">
        <v>686</v>
      </c>
    </row>
    <row r="272" spans="1:5" ht="14">
      <c r="A272" s="81" t="s">
        <v>2</v>
      </c>
      <c r="B272" s="19" t="s">
        <v>384</v>
      </c>
      <c r="C272" s="82">
        <v>-0.02</v>
      </c>
      <c r="D272" s="82">
        <v>0.23</v>
      </c>
      <c r="E272" s="83">
        <v>686</v>
      </c>
    </row>
    <row r="273" spans="1:5" ht="14">
      <c r="A273" s="81" t="s">
        <v>2</v>
      </c>
      <c r="B273" s="19" t="s">
        <v>385</v>
      </c>
      <c r="C273" s="82">
        <v>-7.0000000000000007E-2</v>
      </c>
      <c r="D273" s="82">
        <v>0.23</v>
      </c>
      <c r="E273" s="83">
        <v>686</v>
      </c>
    </row>
    <row r="274" spans="1:5" ht="14">
      <c r="A274" s="81" t="s">
        <v>2</v>
      </c>
      <c r="B274" s="19" t="s">
        <v>386</v>
      </c>
      <c r="C274" s="82">
        <v>-0.02</v>
      </c>
      <c r="D274" s="82">
        <v>0.22</v>
      </c>
      <c r="E274" s="83">
        <v>758</v>
      </c>
    </row>
    <row r="275" spans="1:5" ht="14">
      <c r="A275" s="81" t="s">
        <v>2</v>
      </c>
      <c r="B275" s="19" t="s">
        <v>387</v>
      </c>
      <c r="C275" s="82">
        <v>0.02</v>
      </c>
      <c r="D275" s="82">
        <v>0.22</v>
      </c>
      <c r="E275" s="83">
        <v>758</v>
      </c>
    </row>
    <row r="276" spans="1:5" ht="14">
      <c r="A276" s="81" t="s">
        <v>2</v>
      </c>
      <c r="B276" s="19" t="s">
        <v>388</v>
      </c>
      <c r="C276" s="82">
        <v>0.06</v>
      </c>
      <c r="D276" s="82">
        <v>0.22</v>
      </c>
      <c r="E276" s="83">
        <v>758</v>
      </c>
    </row>
    <row r="277" spans="1:5" ht="14">
      <c r="A277" s="81" t="s">
        <v>2</v>
      </c>
      <c r="B277" s="19" t="s">
        <v>389</v>
      </c>
      <c r="C277" s="82">
        <v>0.11</v>
      </c>
      <c r="D277" s="82">
        <v>0.21</v>
      </c>
      <c r="E277" s="83">
        <v>758</v>
      </c>
    </row>
    <row r="278" spans="1:5" ht="14">
      <c r="A278" s="81" t="s">
        <v>2</v>
      </c>
      <c r="B278" s="19" t="s">
        <v>390</v>
      </c>
      <c r="C278" s="82">
        <v>0.11</v>
      </c>
      <c r="D278" s="82">
        <v>0.21</v>
      </c>
      <c r="E278" s="83">
        <v>862</v>
      </c>
    </row>
    <row r="279" spans="1:5" ht="14">
      <c r="A279" s="81" t="s">
        <v>2</v>
      </c>
      <c r="B279" s="19" t="s">
        <v>391</v>
      </c>
      <c r="C279" s="82">
        <v>0.12</v>
      </c>
      <c r="D279" s="82">
        <v>0.2</v>
      </c>
      <c r="E279" s="83">
        <v>862</v>
      </c>
    </row>
    <row r="280" spans="1:5" ht="14">
      <c r="A280" s="81" t="s">
        <v>2</v>
      </c>
      <c r="B280" s="19" t="s">
        <v>392</v>
      </c>
      <c r="C280" s="82">
        <v>0.13</v>
      </c>
      <c r="D280" s="82">
        <v>0.2</v>
      </c>
      <c r="E280" s="83">
        <v>862</v>
      </c>
    </row>
    <row r="281" spans="1:5" ht="14">
      <c r="A281" s="81" t="s">
        <v>2</v>
      </c>
      <c r="B281" s="19" t="s">
        <v>393</v>
      </c>
      <c r="C281" s="82">
        <v>0.14000000000000001</v>
      </c>
      <c r="D281" s="82">
        <v>0.19</v>
      </c>
      <c r="E281" s="83">
        <v>862</v>
      </c>
    </row>
    <row r="282" spans="1:5" ht="14">
      <c r="A282" s="81" t="s">
        <v>2</v>
      </c>
      <c r="B282" s="19" t="s">
        <v>394</v>
      </c>
      <c r="C282" s="82">
        <v>0.14000000000000001</v>
      </c>
      <c r="D282" s="82">
        <v>0.19</v>
      </c>
      <c r="E282" s="83">
        <v>1008</v>
      </c>
    </row>
    <row r="283" spans="1:5" ht="14">
      <c r="A283" s="81" t="s">
        <v>2</v>
      </c>
      <c r="B283" s="19" t="s">
        <v>395</v>
      </c>
      <c r="C283" s="82">
        <v>0.15</v>
      </c>
      <c r="D283" s="82">
        <v>0.19</v>
      </c>
      <c r="E283" s="83">
        <v>1008</v>
      </c>
    </row>
    <row r="284" spans="1:5" ht="14">
      <c r="A284" s="81" t="s">
        <v>2</v>
      </c>
      <c r="B284" s="19" t="s">
        <v>396</v>
      </c>
      <c r="C284" s="82">
        <v>0.16</v>
      </c>
      <c r="D284" s="82">
        <v>0.19</v>
      </c>
      <c r="E284" s="83">
        <v>1008</v>
      </c>
    </row>
    <row r="285" spans="1:5" ht="14">
      <c r="A285" s="81" t="s">
        <v>2</v>
      </c>
      <c r="B285" s="19" t="s">
        <v>397</v>
      </c>
      <c r="C285" s="82">
        <v>0.17</v>
      </c>
      <c r="D285" s="82">
        <v>0.18</v>
      </c>
      <c r="E285" s="83">
        <v>1008</v>
      </c>
    </row>
    <row r="286" spans="1:5" ht="14">
      <c r="A286" s="81" t="s">
        <v>2</v>
      </c>
      <c r="B286" s="19" t="s">
        <v>398</v>
      </c>
      <c r="C286" s="82">
        <v>0.17</v>
      </c>
      <c r="D286" s="82">
        <v>0.18</v>
      </c>
      <c r="E286" s="83">
        <v>1193</v>
      </c>
    </row>
    <row r="287" spans="1:5" ht="14">
      <c r="A287" s="81" t="s">
        <v>2</v>
      </c>
      <c r="B287" s="19" t="s">
        <v>399</v>
      </c>
      <c r="C287" s="82">
        <v>0.18</v>
      </c>
      <c r="D287" s="82">
        <v>0.18</v>
      </c>
      <c r="E287" s="83">
        <v>1193</v>
      </c>
    </row>
    <row r="288" spans="1:5" ht="14">
      <c r="A288" s="81" t="s">
        <v>2</v>
      </c>
      <c r="B288" s="19" t="s">
        <v>400</v>
      </c>
      <c r="C288" s="82">
        <v>0.18</v>
      </c>
      <c r="D288" s="82">
        <v>0.17</v>
      </c>
      <c r="E288" s="83">
        <v>1193</v>
      </c>
    </row>
    <row r="289" spans="1:5" ht="14">
      <c r="A289" s="81" t="s">
        <v>2</v>
      </c>
      <c r="B289" s="19" t="s">
        <v>401</v>
      </c>
      <c r="C289" s="82">
        <v>0.18</v>
      </c>
      <c r="D289" s="82">
        <v>0.17</v>
      </c>
      <c r="E289" s="83">
        <v>1193</v>
      </c>
    </row>
    <row r="290" spans="1:5" ht="14">
      <c r="A290" s="81" t="s">
        <v>2</v>
      </c>
      <c r="B290" s="19" t="s">
        <v>402</v>
      </c>
      <c r="C290" s="82">
        <v>0.19</v>
      </c>
      <c r="D290" s="82">
        <v>0.17</v>
      </c>
      <c r="E290" s="83">
        <v>1441</v>
      </c>
    </row>
    <row r="291" spans="1:5" ht="14">
      <c r="A291" s="81" t="s">
        <v>2</v>
      </c>
      <c r="B291" s="19" t="s">
        <v>403</v>
      </c>
      <c r="C291" s="82">
        <v>0.2</v>
      </c>
      <c r="D291" s="82">
        <v>0.16</v>
      </c>
      <c r="E291" s="83">
        <v>1441</v>
      </c>
    </row>
    <row r="292" spans="1:5" ht="14">
      <c r="A292" s="81" t="s">
        <v>2</v>
      </c>
      <c r="B292" s="19" t="s">
        <v>404</v>
      </c>
      <c r="C292" s="82">
        <v>0.2</v>
      </c>
      <c r="D292" s="82">
        <v>0.16</v>
      </c>
      <c r="E292" s="83">
        <v>1441</v>
      </c>
    </row>
    <row r="293" spans="1:5" ht="14">
      <c r="A293" s="81" t="s">
        <v>2</v>
      </c>
      <c r="B293" s="19" t="s">
        <v>405</v>
      </c>
      <c r="C293" s="82">
        <v>0.21</v>
      </c>
      <c r="D293" s="82">
        <v>0.16</v>
      </c>
      <c r="E293" s="83">
        <v>1441</v>
      </c>
    </row>
    <row r="294" spans="1:5" ht="14">
      <c r="A294" s="81" t="s">
        <v>2</v>
      </c>
      <c r="B294" s="19" t="s">
        <v>406</v>
      </c>
      <c r="C294" s="82">
        <v>0.2</v>
      </c>
      <c r="D294" s="82">
        <v>0.16</v>
      </c>
      <c r="E294" s="83">
        <v>1668</v>
      </c>
    </row>
    <row r="295" spans="1:5" ht="14">
      <c r="A295" s="81" t="s">
        <v>2</v>
      </c>
      <c r="B295" s="19" t="s">
        <v>407</v>
      </c>
      <c r="C295" s="82">
        <v>0.18</v>
      </c>
      <c r="D295" s="82">
        <v>0.15</v>
      </c>
      <c r="E295" s="83">
        <v>1668</v>
      </c>
    </row>
    <row r="296" spans="1:5" ht="14">
      <c r="A296" s="81" t="s">
        <v>2</v>
      </c>
      <c r="B296" s="19" t="s">
        <v>408</v>
      </c>
      <c r="C296" s="82">
        <v>0.17</v>
      </c>
      <c r="D296" s="82">
        <v>0.14000000000000001</v>
      </c>
      <c r="E296" s="83">
        <v>1668</v>
      </c>
    </row>
    <row r="297" spans="1:5" ht="14">
      <c r="A297" s="81" t="s">
        <v>2</v>
      </c>
      <c r="B297" s="19" t="s">
        <v>409</v>
      </c>
      <c r="C297" s="82">
        <v>0.16</v>
      </c>
      <c r="D297" s="82">
        <v>0.14000000000000001</v>
      </c>
      <c r="E297" s="83">
        <v>1668</v>
      </c>
    </row>
    <row r="298" spans="1:5" ht="14">
      <c r="A298" s="81" t="s">
        <v>2</v>
      </c>
      <c r="B298" s="19" t="s">
        <v>410</v>
      </c>
      <c r="C298" s="82">
        <v>0.15</v>
      </c>
      <c r="D298" s="82">
        <v>0.08</v>
      </c>
      <c r="E298" s="83">
        <v>1904</v>
      </c>
    </row>
    <row r="299" spans="1:5" ht="14">
      <c r="A299" s="81" t="s">
        <v>2</v>
      </c>
      <c r="B299" s="19" t="s">
        <v>411</v>
      </c>
      <c r="C299" s="82">
        <v>0.19</v>
      </c>
      <c r="D299" s="82">
        <v>0.04</v>
      </c>
      <c r="E299" s="83">
        <v>2196</v>
      </c>
    </row>
    <row r="300" spans="1:5" ht="14">
      <c r="A300" s="81" t="s">
        <v>2</v>
      </c>
      <c r="B300" s="19" t="s">
        <v>412</v>
      </c>
      <c r="C300" s="82">
        <v>0.28999999999999998</v>
      </c>
      <c r="D300" s="82">
        <v>0.04</v>
      </c>
      <c r="E300" s="83">
        <v>2581</v>
      </c>
    </row>
    <row r="301" spans="1:5" ht="14">
      <c r="A301" s="81" t="s">
        <v>2</v>
      </c>
      <c r="B301" s="19" t="s">
        <v>413</v>
      </c>
      <c r="C301" s="82">
        <v>0.31</v>
      </c>
      <c r="D301" s="82">
        <v>0.02</v>
      </c>
      <c r="E301" s="83">
        <v>2093</v>
      </c>
    </row>
    <row r="302" spans="1:5" ht="14">
      <c r="A302" s="81" t="s">
        <v>2</v>
      </c>
      <c r="B302" s="19" t="s">
        <v>414</v>
      </c>
      <c r="C302" s="82">
        <v>0.32</v>
      </c>
      <c r="D302" s="82">
        <v>0.03</v>
      </c>
      <c r="E302" s="83">
        <v>2189</v>
      </c>
    </row>
    <row r="303" spans="1:5" ht="14">
      <c r="A303" s="81" t="s">
        <v>2</v>
      </c>
      <c r="B303" s="19" t="s">
        <v>415</v>
      </c>
      <c r="C303" s="82">
        <v>0.28000000000000003</v>
      </c>
      <c r="D303" s="82">
        <v>0.04</v>
      </c>
      <c r="E303" s="83">
        <v>2586</v>
      </c>
    </row>
    <row r="304" spans="1:5" ht="14">
      <c r="A304" s="81" t="s">
        <v>2</v>
      </c>
      <c r="B304" s="19" t="s">
        <v>416</v>
      </c>
      <c r="C304" s="82">
        <v>0.18</v>
      </c>
      <c r="D304" s="82">
        <v>0.04</v>
      </c>
      <c r="E304" s="83">
        <v>2966</v>
      </c>
    </row>
    <row r="305" spans="1:5" ht="14">
      <c r="A305" s="81" t="s">
        <v>2</v>
      </c>
      <c r="B305" s="19" t="s">
        <v>417</v>
      </c>
      <c r="C305" s="82">
        <v>0.15</v>
      </c>
      <c r="D305" s="82">
        <v>0.03</v>
      </c>
      <c r="E305" s="83">
        <v>2319</v>
      </c>
    </row>
    <row r="306" spans="1:5" ht="14">
      <c r="A306" s="81" t="s">
        <v>2</v>
      </c>
      <c r="B306" s="19" t="s">
        <v>418</v>
      </c>
      <c r="C306" s="82">
        <v>0.15</v>
      </c>
      <c r="D306" s="82">
        <v>0.03</v>
      </c>
      <c r="E306" s="83">
        <v>2508</v>
      </c>
    </row>
    <row r="307" spans="1:5" ht="14">
      <c r="A307" s="81" t="s">
        <v>2</v>
      </c>
      <c r="B307" s="19" t="s">
        <v>419</v>
      </c>
      <c r="C307" s="82">
        <v>0.13</v>
      </c>
      <c r="D307" s="82">
        <v>0.03</v>
      </c>
      <c r="E307" s="83">
        <v>2880</v>
      </c>
    </row>
    <row r="308" spans="1:5" ht="14">
      <c r="A308" s="81" t="s">
        <v>2</v>
      </c>
      <c r="B308" s="19" t="s">
        <v>420</v>
      </c>
      <c r="C308" s="82">
        <v>0.12</v>
      </c>
      <c r="D308" s="82">
        <v>0.04</v>
      </c>
      <c r="E308" s="83">
        <v>3276</v>
      </c>
    </row>
    <row r="309" spans="1:5" ht="14">
      <c r="A309" s="81" t="s">
        <v>2</v>
      </c>
      <c r="B309" s="19" t="s">
        <v>421</v>
      </c>
      <c r="C309" s="82">
        <v>0.12</v>
      </c>
      <c r="D309" s="82">
        <v>0.03</v>
      </c>
      <c r="E309" s="83">
        <v>2559</v>
      </c>
    </row>
    <row r="310" spans="1:5" ht="14">
      <c r="A310" s="81" t="s">
        <v>2</v>
      </c>
      <c r="B310" s="19" t="s">
        <v>422</v>
      </c>
      <c r="C310" s="82">
        <v>0.09</v>
      </c>
      <c r="D310" s="82">
        <v>0.04</v>
      </c>
      <c r="E310" s="83">
        <v>2609</v>
      </c>
    </row>
    <row r="311" spans="1:5" ht="14">
      <c r="A311" s="81" t="s">
        <v>2</v>
      </c>
      <c r="B311" s="19" t="s">
        <v>423</v>
      </c>
      <c r="C311" s="82">
        <v>0.09</v>
      </c>
      <c r="D311" s="82">
        <v>0.06</v>
      </c>
      <c r="E311" s="83">
        <v>3153</v>
      </c>
    </row>
    <row r="312" spans="1:5" ht="14">
      <c r="A312" s="81" t="s">
        <v>2</v>
      </c>
      <c r="B312" s="19" t="s">
        <v>424</v>
      </c>
      <c r="C312" s="82">
        <v>0.08</v>
      </c>
      <c r="D312" s="82">
        <v>0.05</v>
      </c>
      <c r="E312" s="83">
        <v>3558</v>
      </c>
    </row>
    <row r="313" spans="1:5" ht="14">
      <c r="A313" s="81" t="s">
        <v>2</v>
      </c>
      <c r="B313" s="19" t="s">
        <v>425</v>
      </c>
      <c r="C313" s="82">
        <v>7.0000000000000007E-2</v>
      </c>
      <c r="D313" s="82">
        <v>0.06</v>
      </c>
      <c r="E313" s="83">
        <v>2747</v>
      </c>
    </row>
    <row r="314" spans="1:5" ht="14">
      <c r="A314" s="81" t="s">
        <v>2</v>
      </c>
      <c r="B314" s="19" t="s">
        <v>426</v>
      </c>
      <c r="C314" s="82">
        <v>0.03</v>
      </c>
      <c r="D314" s="82">
        <v>-0.1</v>
      </c>
      <c r="E314" s="83">
        <v>2209</v>
      </c>
    </row>
    <row r="315" spans="1:5" ht="14">
      <c r="A315" s="81" t="s">
        <v>2</v>
      </c>
      <c r="B315" s="19" t="s">
        <v>427</v>
      </c>
      <c r="C315" s="82">
        <v>-0.2</v>
      </c>
      <c r="D315" s="82">
        <v>-0.5</v>
      </c>
      <c r="E315" s="83">
        <v>566</v>
      </c>
    </row>
    <row r="316" spans="1:5" ht="14">
      <c r="A316" s="81" t="s">
        <v>2</v>
      </c>
      <c r="B316" s="19" t="s">
        <v>428</v>
      </c>
      <c r="C316" s="82">
        <v>-0.3</v>
      </c>
      <c r="D316" s="82">
        <v>-0.5</v>
      </c>
      <c r="E316" s="83">
        <v>1504</v>
      </c>
    </row>
    <row r="317" spans="1:5" ht="14">
      <c r="A317" s="81" t="s">
        <v>2</v>
      </c>
      <c r="B317" s="19" t="s">
        <v>429</v>
      </c>
      <c r="C317" s="82">
        <v>-0.3</v>
      </c>
      <c r="D317" s="82">
        <v>-0.5</v>
      </c>
      <c r="E317" s="83">
        <v>920</v>
      </c>
    </row>
    <row r="318" spans="1:5" ht="14">
      <c r="A318" s="81" t="s">
        <v>2</v>
      </c>
      <c r="B318" s="19" t="s">
        <v>430</v>
      </c>
      <c r="C318" s="82">
        <v>-0.3</v>
      </c>
      <c r="D318" s="82">
        <v>-0.5</v>
      </c>
      <c r="E318" s="83">
        <v>1246</v>
      </c>
    </row>
    <row r="319" spans="1:5" ht="14">
      <c r="A319" s="81" t="s">
        <v>2</v>
      </c>
      <c r="B319" s="19" t="s">
        <v>431</v>
      </c>
      <c r="C319" s="82">
        <v>0.26</v>
      </c>
      <c r="D319" s="82">
        <v>-0.35</v>
      </c>
      <c r="E319" s="83">
        <v>2111</v>
      </c>
    </row>
    <row r="320" spans="1:5" ht="14">
      <c r="A320" s="81" t="s">
        <v>2</v>
      </c>
      <c r="B320" s="19" t="s">
        <v>432</v>
      </c>
      <c r="C320" s="82">
        <v>0.65</v>
      </c>
      <c r="D320" s="82">
        <v>-0.27</v>
      </c>
      <c r="E320" s="83">
        <v>2962</v>
      </c>
    </row>
    <row r="321" spans="1:5" ht="14">
      <c r="A321" s="81" t="s">
        <v>2</v>
      </c>
      <c r="B321" s="19" t="s">
        <v>433</v>
      </c>
      <c r="C321" s="82">
        <v>1</v>
      </c>
      <c r="D321" s="82">
        <v>-0.09</v>
      </c>
      <c r="E321" s="83">
        <v>2279</v>
      </c>
    </row>
    <row r="322" spans="1:5" ht="14">
      <c r="A322" s="81" t="s">
        <v>2</v>
      </c>
      <c r="B322" s="19" t="s">
        <v>434</v>
      </c>
      <c r="C322" s="82">
        <v>1</v>
      </c>
      <c r="D322" s="82">
        <v>0.04</v>
      </c>
      <c r="E322" s="83">
        <v>2249</v>
      </c>
    </row>
    <row r="323" spans="1:5" ht="14">
      <c r="A323" s="81" t="s">
        <v>2</v>
      </c>
      <c r="B323" s="19" t="s">
        <v>435</v>
      </c>
      <c r="C323" s="82">
        <v>0.94</v>
      </c>
      <c r="D323" s="82">
        <v>0.06</v>
      </c>
      <c r="E323" s="83">
        <v>3181</v>
      </c>
    </row>
    <row r="324" spans="1:5" ht="14">
      <c r="A324" s="81" t="s">
        <v>2</v>
      </c>
      <c r="B324" s="19" t="s">
        <v>436</v>
      </c>
      <c r="C324" s="82">
        <v>0.75</v>
      </c>
      <c r="D324" s="82">
        <v>7.0000000000000007E-2</v>
      </c>
      <c r="E324" s="83">
        <v>3619</v>
      </c>
    </row>
    <row r="325" spans="1:5" ht="14">
      <c r="A325" s="81" t="s">
        <v>2</v>
      </c>
      <c r="B325" s="19" t="s">
        <v>437</v>
      </c>
      <c r="C325" s="82">
        <v>0.42</v>
      </c>
      <c r="D325" s="82">
        <v>0.03</v>
      </c>
      <c r="E325" s="83">
        <v>2618</v>
      </c>
    </row>
    <row r="326" spans="1:5" ht="14">
      <c r="A326" s="81" t="s">
        <v>2</v>
      </c>
      <c r="B326" s="19" t="s">
        <v>438</v>
      </c>
      <c r="C326" s="82">
        <v>0.27</v>
      </c>
      <c r="D326" s="82">
        <v>0.05</v>
      </c>
      <c r="E326" s="83">
        <v>2665</v>
      </c>
    </row>
    <row r="327" spans="1:5" ht="14">
      <c r="A327" s="81" t="s">
        <v>2</v>
      </c>
      <c r="B327" s="19" t="s">
        <v>439</v>
      </c>
      <c r="C327" s="82">
        <v>0.15</v>
      </c>
      <c r="D327" s="82">
        <v>0.09</v>
      </c>
      <c r="E327" s="83">
        <v>3358</v>
      </c>
    </row>
    <row r="328" spans="1:5" ht="14">
      <c r="A328" s="81" t="s">
        <v>2</v>
      </c>
      <c r="B328" s="19" t="s">
        <v>440</v>
      </c>
      <c r="C328" s="82">
        <v>0.12</v>
      </c>
      <c r="D328" s="82">
        <v>7.0000000000000007E-2</v>
      </c>
      <c r="E328" s="83">
        <v>3929</v>
      </c>
    </row>
    <row r="329" spans="1:5" ht="14">
      <c r="A329" s="81" t="s">
        <v>2</v>
      </c>
      <c r="B329" s="19" t="s">
        <v>441</v>
      </c>
      <c r="C329" s="82">
        <v>0.11</v>
      </c>
      <c r="D329" s="82">
        <v>7.0000000000000007E-2</v>
      </c>
      <c r="E329" s="83">
        <v>2887</v>
      </c>
    </row>
    <row r="330" spans="1:5" ht="14">
      <c r="A330" s="81" t="s">
        <v>2</v>
      </c>
      <c r="B330" s="19" t="s">
        <v>442</v>
      </c>
      <c r="C330" s="82">
        <v>0.08</v>
      </c>
      <c r="D330" s="82">
        <v>0.06</v>
      </c>
      <c r="E330" s="83">
        <v>2889</v>
      </c>
    </row>
    <row r="331" spans="1:5" ht="14">
      <c r="A331" s="81" t="s">
        <v>2</v>
      </c>
      <c r="B331" s="19" t="s">
        <v>443</v>
      </c>
      <c r="C331" s="82">
        <v>0.08</v>
      </c>
      <c r="D331" s="82">
        <v>0.06</v>
      </c>
      <c r="E331" s="83">
        <v>3558</v>
      </c>
    </row>
    <row r="332" spans="1:5" ht="15.75" customHeight="1">
      <c r="A332" s="81" t="s">
        <v>3</v>
      </c>
      <c r="B332" s="81" t="s">
        <v>334</v>
      </c>
      <c r="C332" s="82"/>
      <c r="D332" s="82"/>
    </row>
    <row r="333" spans="1:5" ht="15.75" customHeight="1">
      <c r="A333" s="81" t="s">
        <v>3</v>
      </c>
      <c r="B333" s="81" t="s">
        <v>335</v>
      </c>
      <c r="C333" s="82"/>
      <c r="D333" s="82"/>
    </row>
    <row r="334" spans="1:5" ht="15.75" customHeight="1">
      <c r="A334" s="81" t="s">
        <v>3</v>
      </c>
      <c r="B334" s="81" t="s">
        <v>336</v>
      </c>
      <c r="C334" s="82"/>
      <c r="D334" s="82"/>
    </row>
    <row r="335" spans="1:5" ht="15.75" customHeight="1">
      <c r="A335" s="81" t="s">
        <v>3</v>
      </c>
      <c r="B335" s="81" t="s">
        <v>337</v>
      </c>
      <c r="C335" s="82"/>
      <c r="D335" s="82"/>
    </row>
    <row r="336" spans="1:5" ht="15.75" customHeight="1">
      <c r="A336" s="81" t="s">
        <v>3</v>
      </c>
      <c r="B336" s="81" t="s">
        <v>338</v>
      </c>
      <c r="C336" s="82"/>
      <c r="D336" s="82"/>
    </row>
    <row r="337" spans="1:5" ht="15.75" customHeight="1">
      <c r="A337" s="81" t="s">
        <v>3</v>
      </c>
      <c r="B337" s="81" t="s">
        <v>339</v>
      </c>
      <c r="C337" s="82"/>
      <c r="D337" s="82"/>
    </row>
    <row r="338" spans="1:5" ht="15.75" customHeight="1">
      <c r="A338" s="81" t="s">
        <v>3</v>
      </c>
      <c r="B338" s="81" t="s">
        <v>340</v>
      </c>
      <c r="C338" s="82"/>
      <c r="D338" s="82"/>
    </row>
    <row r="339" spans="1:5" ht="15.75" customHeight="1">
      <c r="A339" s="81" t="s">
        <v>3</v>
      </c>
      <c r="B339" s="81" t="s">
        <v>341</v>
      </c>
      <c r="C339" s="82"/>
      <c r="D339" s="82"/>
    </row>
    <row r="340" spans="1:5" ht="15.75" customHeight="1">
      <c r="A340" s="81" t="s">
        <v>3</v>
      </c>
      <c r="B340" s="81" t="s">
        <v>342</v>
      </c>
      <c r="C340" s="82"/>
      <c r="D340" s="82"/>
    </row>
    <row r="341" spans="1:5" ht="15.75" customHeight="1">
      <c r="A341" s="81" t="s">
        <v>3</v>
      </c>
      <c r="B341" s="81" t="s">
        <v>343</v>
      </c>
      <c r="C341" s="82"/>
      <c r="D341" s="82"/>
    </row>
    <row r="342" spans="1:5" ht="15.75" customHeight="1">
      <c r="A342" s="81" t="s">
        <v>3</v>
      </c>
      <c r="B342" s="81" t="s">
        <v>344</v>
      </c>
      <c r="C342" s="82"/>
      <c r="D342" s="82"/>
    </row>
    <row r="343" spans="1:5" ht="15.75" customHeight="1">
      <c r="A343" s="81" t="s">
        <v>3</v>
      </c>
      <c r="B343" s="81" t="s">
        <v>345</v>
      </c>
      <c r="C343" s="82"/>
      <c r="D343" s="82"/>
    </row>
    <row r="344" spans="1:5" ht="15.75" customHeight="1">
      <c r="A344" s="81" t="s">
        <v>3</v>
      </c>
      <c r="B344" s="81" t="s">
        <v>346</v>
      </c>
      <c r="C344" s="82"/>
      <c r="D344" s="82"/>
      <c r="E344" s="84"/>
    </row>
    <row r="345" spans="1:5" ht="15.75" customHeight="1">
      <c r="A345" s="81" t="s">
        <v>3</v>
      </c>
      <c r="B345" s="81" t="s">
        <v>347</v>
      </c>
      <c r="C345" s="82"/>
      <c r="D345" s="82"/>
      <c r="E345" s="84"/>
    </row>
    <row r="346" spans="1:5" ht="15.75" customHeight="1">
      <c r="A346" s="81" t="s">
        <v>3</v>
      </c>
      <c r="B346" s="81" t="s">
        <v>348</v>
      </c>
      <c r="C346" s="82"/>
      <c r="D346" s="82"/>
      <c r="E346" s="84"/>
    </row>
    <row r="347" spans="1:5" ht="15.75" customHeight="1">
      <c r="A347" s="81" t="s">
        <v>3</v>
      </c>
      <c r="B347" s="81" t="s">
        <v>349</v>
      </c>
      <c r="C347" s="82"/>
      <c r="D347" s="82"/>
      <c r="E347" s="84"/>
    </row>
    <row r="348" spans="1:5" ht="15.75" customHeight="1">
      <c r="A348" s="81" t="s">
        <v>3</v>
      </c>
      <c r="B348" s="81" t="s">
        <v>350</v>
      </c>
      <c r="C348" s="82"/>
      <c r="D348" s="82"/>
      <c r="E348" s="77"/>
    </row>
    <row r="349" spans="1:5" ht="15.75" customHeight="1">
      <c r="A349" s="81" t="s">
        <v>3</v>
      </c>
      <c r="B349" s="81" t="s">
        <v>351</v>
      </c>
      <c r="C349" s="82"/>
      <c r="D349" s="82"/>
      <c r="E349" s="77"/>
    </row>
    <row r="350" spans="1:5" ht="15.75" customHeight="1">
      <c r="A350" s="81" t="s">
        <v>3</v>
      </c>
      <c r="B350" s="81" t="s">
        <v>352</v>
      </c>
      <c r="C350" s="82"/>
      <c r="D350" s="82"/>
      <c r="E350" s="77"/>
    </row>
    <row r="351" spans="1:5" ht="15.75" customHeight="1">
      <c r="A351" s="81" t="s">
        <v>3</v>
      </c>
      <c r="B351" s="81" t="s">
        <v>353</v>
      </c>
      <c r="C351" s="82">
        <v>1</v>
      </c>
      <c r="D351" s="82">
        <v>-0.37</v>
      </c>
      <c r="E351" s="77">
        <v>1</v>
      </c>
    </row>
    <row r="352" spans="1:5" ht="15.75" customHeight="1">
      <c r="A352" s="81" t="s">
        <v>3</v>
      </c>
      <c r="B352" s="81" t="s">
        <v>354</v>
      </c>
      <c r="C352" s="82">
        <v>1</v>
      </c>
      <c r="D352" s="82">
        <v>-0.21</v>
      </c>
      <c r="E352" s="77">
        <v>3</v>
      </c>
    </row>
    <row r="353" spans="1:5" ht="15.75" customHeight="1">
      <c r="A353" s="81" t="s">
        <v>3</v>
      </c>
      <c r="B353" s="81" t="s">
        <v>355</v>
      </c>
      <c r="C353" s="82">
        <v>1</v>
      </c>
      <c r="D353" s="82">
        <v>-0.05</v>
      </c>
      <c r="E353" s="77">
        <v>3</v>
      </c>
    </row>
    <row r="354" spans="1:5" ht="15.75" customHeight="1">
      <c r="A354" s="81" t="s">
        <v>3</v>
      </c>
      <c r="B354" s="81" t="s">
        <v>356</v>
      </c>
      <c r="C354" s="82">
        <v>1</v>
      </c>
      <c r="D354" s="82">
        <v>0.11</v>
      </c>
      <c r="E354" s="77">
        <v>3</v>
      </c>
    </row>
    <row r="355" spans="1:5" ht="15.75" customHeight="1">
      <c r="A355" s="81" t="s">
        <v>3</v>
      </c>
      <c r="B355" s="81" t="s">
        <v>357</v>
      </c>
      <c r="C355" s="82">
        <v>1</v>
      </c>
      <c r="D355" s="82">
        <v>0.27</v>
      </c>
      <c r="E355" s="77">
        <v>3</v>
      </c>
    </row>
    <row r="356" spans="1:5" ht="15.75" customHeight="1">
      <c r="A356" s="81" t="s">
        <v>3</v>
      </c>
      <c r="B356" s="81" t="s">
        <v>358</v>
      </c>
      <c r="C356" s="82">
        <v>1</v>
      </c>
      <c r="D356" s="82">
        <v>0.28999999999999998</v>
      </c>
      <c r="E356" s="77">
        <v>5</v>
      </c>
    </row>
    <row r="357" spans="1:5" ht="15.75" customHeight="1">
      <c r="A357" s="81" t="s">
        <v>3</v>
      </c>
      <c r="B357" s="81" t="s">
        <v>359</v>
      </c>
      <c r="C357" s="82">
        <v>1</v>
      </c>
      <c r="D357" s="82">
        <v>0.32</v>
      </c>
      <c r="E357" s="77">
        <v>5</v>
      </c>
    </row>
    <row r="358" spans="1:5" ht="15.75" customHeight="1">
      <c r="A358" s="81" t="s">
        <v>3</v>
      </c>
      <c r="B358" s="81" t="s">
        <v>360</v>
      </c>
      <c r="C358" s="82">
        <v>0.9</v>
      </c>
      <c r="D358" s="82">
        <v>0.34</v>
      </c>
      <c r="E358" s="77">
        <v>5</v>
      </c>
    </row>
    <row r="359" spans="1:5" ht="15.75" customHeight="1">
      <c r="A359" s="81" t="s">
        <v>3</v>
      </c>
      <c r="B359" s="81" t="s">
        <v>361</v>
      </c>
      <c r="C359" s="82">
        <v>0.76</v>
      </c>
      <c r="D359" s="82">
        <v>0.36</v>
      </c>
      <c r="E359" s="77">
        <v>5</v>
      </c>
    </row>
    <row r="360" spans="1:5" ht="15.75" customHeight="1">
      <c r="A360" s="81" t="s">
        <v>3</v>
      </c>
      <c r="B360" s="81" t="s">
        <v>362</v>
      </c>
      <c r="C360" s="82">
        <v>0.8</v>
      </c>
      <c r="D360" s="82">
        <v>0.37</v>
      </c>
      <c r="E360" s="77">
        <v>10</v>
      </c>
    </row>
    <row r="361" spans="1:5" ht="15.75" customHeight="1">
      <c r="A361" s="81" t="s">
        <v>3</v>
      </c>
      <c r="B361" s="81" t="s">
        <v>363</v>
      </c>
      <c r="C361" s="82">
        <v>0.83</v>
      </c>
      <c r="D361" s="82">
        <v>0.39</v>
      </c>
      <c r="E361" s="77">
        <v>10</v>
      </c>
    </row>
    <row r="362" spans="1:5" ht="15.75" customHeight="1">
      <c r="A362" s="81" t="s">
        <v>3</v>
      </c>
      <c r="B362" s="81" t="s">
        <v>364</v>
      </c>
      <c r="C362" s="82">
        <v>0.86</v>
      </c>
      <c r="D362" s="82">
        <v>0.4</v>
      </c>
      <c r="E362" s="77">
        <v>10</v>
      </c>
    </row>
    <row r="363" spans="1:5" ht="15.75" customHeight="1">
      <c r="A363" s="81" t="s">
        <v>3</v>
      </c>
      <c r="B363" s="81" t="s">
        <v>365</v>
      </c>
      <c r="C363" s="82">
        <v>0.9</v>
      </c>
      <c r="D363" s="82">
        <v>0.42</v>
      </c>
      <c r="E363" s="77">
        <v>10</v>
      </c>
    </row>
    <row r="364" spans="1:5" ht="15.75" customHeight="1">
      <c r="A364" s="81" t="s">
        <v>3</v>
      </c>
      <c r="B364" s="81" t="s">
        <v>366</v>
      </c>
      <c r="C364" s="82">
        <v>0.84</v>
      </c>
      <c r="D364" s="82">
        <v>0.43</v>
      </c>
      <c r="E364" s="77">
        <v>17</v>
      </c>
    </row>
    <row r="365" spans="1:5" ht="15.75" customHeight="1">
      <c r="A365" s="81" t="s">
        <v>3</v>
      </c>
      <c r="B365" s="81" t="s">
        <v>367</v>
      </c>
      <c r="C365" s="82">
        <v>0.77</v>
      </c>
      <c r="D365" s="82">
        <v>0.44</v>
      </c>
      <c r="E365" s="77">
        <v>17</v>
      </c>
    </row>
    <row r="366" spans="1:5" ht="15.75" customHeight="1">
      <c r="A366" s="81" t="s">
        <v>3</v>
      </c>
      <c r="B366" s="81" t="s">
        <v>368</v>
      </c>
      <c r="C366" s="82">
        <v>0.71</v>
      </c>
      <c r="D366" s="82">
        <v>0.45</v>
      </c>
      <c r="E366" s="77">
        <v>17</v>
      </c>
    </row>
    <row r="367" spans="1:5" ht="15.75" customHeight="1">
      <c r="A367" s="81" t="s">
        <v>3</v>
      </c>
      <c r="B367" s="81" t="s">
        <v>369</v>
      </c>
      <c r="C367" s="82">
        <v>0.65</v>
      </c>
      <c r="D367" s="82">
        <v>0.46</v>
      </c>
      <c r="E367" s="77">
        <v>17</v>
      </c>
    </row>
    <row r="368" spans="1:5" ht="15.75" customHeight="1">
      <c r="A368" s="81" t="s">
        <v>3</v>
      </c>
      <c r="B368" s="81" t="s">
        <v>370</v>
      </c>
      <c r="C368" s="82">
        <v>0.61</v>
      </c>
      <c r="D368" s="82">
        <v>0.43</v>
      </c>
      <c r="E368" s="77">
        <v>25</v>
      </c>
    </row>
    <row r="369" spans="1:5" ht="15.75" customHeight="1">
      <c r="A369" s="81" t="s">
        <v>3</v>
      </c>
      <c r="B369" s="81" t="s">
        <v>371</v>
      </c>
      <c r="C369" s="82">
        <v>0.57999999999999996</v>
      </c>
      <c r="D369" s="82">
        <v>0.41</v>
      </c>
      <c r="E369" s="77">
        <v>25</v>
      </c>
    </row>
    <row r="370" spans="1:5" ht="15.75" customHeight="1">
      <c r="A370" s="81" t="s">
        <v>3</v>
      </c>
      <c r="B370" s="81" t="s">
        <v>372</v>
      </c>
      <c r="C370" s="82">
        <v>0.54</v>
      </c>
      <c r="D370" s="82">
        <v>0.38</v>
      </c>
      <c r="E370" s="77">
        <v>25</v>
      </c>
    </row>
    <row r="371" spans="1:5" ht="15.75" customHeight="1">
      <c r="A371" s="81" t="s">
        <v>3</v>
      </c>
      <c r="B371" s="81" t="s">
        <v>373</v>
      </c>
      <c r="C371" s="82">
        <v>0.5</v>
      </c>
      <c r="D371" s="82">
        <v>0.35</v>
      </c>
      <c r="E371" s="77">
        <v>25</v>
      </c>
    </row>
    <row r="372" spans="1:5" ht="15.75" customHeight="1">
      <c r="A372" s="81" t="s">
        <v>3</v>
      </c>
      <c r="B372" s="81" t="s">
        <v>374</v>
      </c>
      <c r="C372" s="82">
        <v>0.54</v>
      </c>
      <c r="D372" s="82">
        <v>0.36</v>
      </c>
      <c r="E372" s="77">
        <v>42</v>
      </c>
    </row>
    <row r="373" spans="1:5" ht="15.75" customHeight="1">
      <c r="A373" s="81" t="s">
        <v>3</v>
      </c>
      <c r="B373" s="81" t="s">
        <v>375</v>
      </c>
      <c r="C373" s="82">
        <v>0.59</v>
      </c>
      <c r="D373" s="82">
        <v>0.37</v>
      </c>
      <c r="E373" s="77">
        <v>42</v>
      </c>
    </row>
    <row r="374" spans="1:5" ht="15.75" customHeight="1">
      <c r="A374" s="81" t="s">
        <v>3</v>
      </c>
      <c r="B374" s="81" t="s">
        <v>376</v>
      </c>
      <c r="C374" s="82">
        <v>0.63</v>
      </c>
      <c r="D374" s="82">
        <v>0.37</v>
      </c>
      <c r="E374" s="77">
        <v>42</v>
      </c>
    </row>
    <row r="375" spans="1:5" ht="15.75" customHeight="1">
      <c r="A375" s="81" t="s">
        <v>3</v>
      </c>
      <c r="B375" s="81" t="s">
        <v>377</v>
      </c>
      <c r="C375" s="82">
        <v>0.67</v>
      </c>
      <c r="D375" s="82">
        <v>0.38</v>
      </c>
      <c r="E375" s="77">
        <v>42</v>
      </c>
    </row>
    <row r="376" spans="1:5" ht="15.75" customHeight="1">
      <c r="A376" s="81" t="s">
        <v>3</v>
      </c>
      <c r="B376" s="81" t="s">
        <v>378</v>
      </c>
      <c r="C376" s="82">
        <v>0.57999999999999996</v>
      </c>
      <c r="D376" s="82">
        <v>0.37</v>
      </c>
      <c r="E376" s="77">
        <v>56</v>
      </c>
    </row>
    <row r="377" spans="1:5" ht="15.75" customHeight="1">
      <c r="A377" s="81" t="s">
        <v>3</v>
      </c>
      <c r="B377" s="81" t="s">
        <v>379</v>
      </c>
      <c r="C377" s="82">
        <v>0.5</v>
      </c>
      <c r="D377" s="82">
        <v>0.37</v>
      </c>
      <c r="E377" s="77">
        <v>56</v>
      </c>
    </row>
    <row r="378" spans="1:5" ht="15.75" customHeight="1">
      <c r="A378" s="81" t="s">
        <v>3</v>
      </c>
      <c r="B378" s="81" t="s">
        <v>380</v>
      </c>
      <c r="C378" s="82">
        <v>0.42</v>
      </c>
      <c r="D378" s="82">
        <v>0.36</v>
      </c>
      <c r="E378" s="77">
        <v>56</v>
      </c>
    </row>
    <row r="379" spans="1:5" ht="15.75" customHeight="1">
      <c r="A379" s="81" t="s">
        <v>3</v>
      </c>
      <c r="B379" s="81" t="s">
        <v>381</v>
      </c>
      <c r="C379" s="82">
        <v>0.33</v>
      </c>
      <c r="D379" s="82">
        <v>0.36</v>
      </c>
      <c r="E379" s="77">
        <v>56</v>
      </c>
    </row>
    <row r="380" spans="1:5" ht="15.75" customHeight="1">
      <c r="A380" s="81" t="s">
        <v>3</v>
      </c>
      <c r="B380" s="81" t="s">
        <v>382</v>
      </c>
      <c r="C380" s="82">
        <v>0.33</v>
      </c>
      <c r="D380" s="82">
        <v>0.37</v>
      </c>
      <c r="E380" s="77">
        <v>75</v>
      </c>
    </row>
    <row r="381" spans="1:5" ht="15.75" customHeight="1">
      <c r="A381" s="81" t="s">
        <v>3</v>
      </c>
      <c r="B381" s="81" t="s">
        <v>383</v>
      </c>
      <c r="C381" s="82">
        <v>0.33</v>
      </c>
      <c r="D381" s="82">
        <v>0.38</v>
      </c>
      <c r="E381" s="77">
        <v>75</v>
      </c>
    </row>
    <row r="382" spans="1:5" ht="15.75" customHeight="1">
      <c r="A382" s="81" t="s">
        <v>3</v>
      </c>
      <c r="B382" s="81" t="s">
        <v>384</v>
      </c>
      <c r="C382" s="82">
        <v>0.33</v>
      </c>
      <c r="D382" s="82">
        <v>0.38</v>
      </c>
      <c r="E382" s="77">
        <v>75</v>
      </c>
    </row>
    <row r="383" spans="1:5" ht="15.75" customHeight="1">
      <c r="A383" s="81" t="s">
        <v>3</v>
      </c>
      <c r="B383" s="81" t="s">
        <v>385</v>
      </c>
      <c r="C383" s="82">
        <v>0.33</v>
      </c>
      <c r="D383" s="82">
        <v>0.39</v>
      </c>
      <c r="E383" s="77">
        <v>75</v>
      </c>
    </row>
    <row r="384" spans="1:5" ht="15.75" customHeight="1">
      <c r="A384" s="81" t="s">
        <v>3</v>
      </c>
      <c r="B384" s="81" t="s">
        <v>386</v>
      </c>
      <c r="C384" s="82">
        <v>0.38</v>
      </c>
      <c r="D384" s="82">
        <v>0.4</v>
      </c>
      <c r="E384" s="77">
        <v>113</v>
      </c>
    </row>
    <row r="385" spans="1:5" ht="15.75" customHeight="1">
      <c r="A385" s="81" t="s">
        <v>3</v>
      </c>
      <c r="B385" s="81" t="s">
        <v>387</v>
      </c>
      <c r="C385" s="82">
        <v>0.42</v>
      </c>
      <c r="D385" s="82">
        <v>0.4</v>
      </c>
      <c r="E385" s="77">
        <v>113</v>
      </c>
    </row>
    <row r="386" spans="1:5" ht="15.75" customHeight="1">
      <c r="A386" s="81" t="s">
        <v>3</v>
      </c>
      <c r="B386" s="81" t="s">
        <v>388</v>
      </c>
      <c r="C386" s="82">
        <v>0.46</v>
      </c>
      <c r="D386" s="82">
        <v>0.41</v>
      </c>
      <c r="E386" s="77">
        <v>113</v>
      </c>
    </row>
    <row r="387" spans="1:5" ht="15.75" customHeight="1">
      <c r="A387" s="81" t="s">
        <v>3</v>
      </c>
      <c r="B387" s="81" t="s">
        <v>389</v>
      </c>
      <c r="C387" s="82">
        <v>0.5</v>
      </c>
      <c r="D387" s="82">
        <v>0.41</v>
      </c>
      <c r="E387" s="77">
        <v>113</v>
      </c>
    </row>
    <row r="388" spans="1:5" ht="15.75" customHeight="1">
      <c r="A388" s="81" t="s">
        <v>3</v>
      </c>
      <c r="B388" s="81" t="s">
        <v>390</v>
      </c>
      <c r="C388" s="82">
        <v>0.44</v>
      </c>
      <c r="D388" s="82">
        <v>0.4</v>
      </c>
      <c r="E388" s="77">
        <v>143</v>
      </c>
    </row>
    <row r="389" spans="1:5" ht="15.75" customHeight="1">
      <c r="A389" s="81" t="s">
        <v>3</v>
      </c>
      <c r="B389" s="81" t="s">
        <v>391</v>
      </c>
      <c r="C389" s="82">
        <v>0.39</v>
      </c>
      <c r="D389" s="82">
        <v>0.38</v>
      </c>
      <c r="E389" s="77">
        <v>143</v>
      </c>
    </row>
    <row r="390" spans="1:5" ht="15.75" customHeight="1">
      <c r="A390" s="81" t="s">
        <v>3</v>
      </c>
      <c r="B390" s="81" t="s">
        <v>392</v>
      </c>
      <c r="C390" s="82">
        <v>0.33</v>
      </c>
      <c r="D390" s="82">
        <v>0.37</v>
      </c>
      <c r="E390" s="77">
        <v>143</v>
      </c>
    </row>
    <row r="391" spans="1:5" ht="15.75" customHeight="1">
      <c r="A391" s="81" t="s">
        <v>3</v>
      </c>
      <c r="B391" s="81" t="s">
        <v>393</v>
      </c>
      <c r="C391" s="82">
        <v>0.28000000000000003</v>
      </c>
      <c r="D391" s="82">
        <v>0.35</v>
      </c>
      <c r="E391" s="77">
        <v>143</v>
      </c>
    </row>
    <row r="392" spans="1:5" ht="15.75" customHeight="1">
      <c r="A392" s="81" t="s">
        <v>3</v>
      </c>
      <c r="B392" s="81" t="s">
        <v>394</v>
      </c>
      <c r="C392" s="82">
        <v>0.25</v>
      </c>
      <c r="D392" s="82">
        <v>0.32</v>
      </c>
      <c r="E392" s="77">
        <v>170</v>
      </c>
    </row>
    <row r="393" spans="1:5" ht="15.75" customHeight="1">
      <c r="A393" s="81" t="s">
        <v>3</v>
      </c>
      <c r="B393" s="81" t="s">
        <v>395</v>
      </c>
      <c r="C393" s="82">
        <v>0.23</v>
      </c>
      <c r="D393" s="82">
        <v>0.28000000000000003</v>
      </c>
      <c r="E393" s="77">
        <v>170</v>
      </c>
    </row>
    <row r="394" spans="1:5" ht="15.75" customHeight="1">
      <c r="A394" s="81" t="s">
        <v>3</v>
      </c>
      <c r="B394" s="81" t="s">
        <v>396</v>
      </c>
      <c r="C394" s="82">
        <v>0.21</v>
      </c>
      <c r="D394" s="82">
        <v>0.24</v>
      </c>
      <c r="E394" s="77">
        <v>170</v>
      </c>
    </row>
    <row r="395" spans="1:5" ht="15.75" customHeight="1">
      <c r="A395" s="81" t="s">
        <v>3</v>
      </c>
      <c r="B395" s="81" t="s">
        <v>397</v>
      </c>
      <c r="C395" s="82">
        <v>0.19</v>
      </c>
      <c r="D395" s="82">
        <v>0.21</v>
      </c>
      <c r="E395" s="77">
        <v>170</v>
      </c>
    </row>
    <row r="396" spans="1:5" ht="15.75" customHeight="1">
      <c r="A396" s="81" t="s">
        <v>3</v>
      </c>
      <c r="B396" s="81" t="s">
        <v>398</v>
      </c>
      <c r="C396" s="82">
        <v>0.22</v>
      </c>
      <c r="D396" s="82">
        <v>0.21</v>
      </c>
      <c r="E396" s="77">
        <v>227</v>
      </c>
    </row>
    <row r="397" spans="1:5" ht="15.75" customHeight="1">
      <c r="A397" s="81" t="s">
        <v>3</v>
      </c>
      <c r="B397" s="81" t="s">
        <v>399</v>
      </c>
      <c r="C397" s="82">
        <v>0.26</v>
      </c>
      <c r="D397" s="82">
        <v>0.2</v>
      </c>
      <c r="E397" s="77">
        <v>227</v>
      </c>
    </row>
    <row r="398" spans="1:5" ht="15.75" customHeight="1">
      <c r="A398" s="81" t="s">
        <v>3</v>
      </c>
      <c r="B398" s="81" t="s">
        <v>400</v>
      </c>
      <c r="C398" s="82">
        <v>0.3</v>
      </c>
      <c r="D398" s="82">
        <v>0.2</v>
      </c>
      <c r="E398" s="77">
        <v>227</v>
      </c>
    </row>
    <row r="399" spans="1:5" ht="15.75" customHeight="1">
      <c r="A399" s="81" t="s">
        <v>3</v>
      </c>
      <c r="B399" s="81" t="s">
        <v>401</v>
      </c>
      <c r="C399" s="82">
        <v>0.33</v>
      </c>
      <c r="D399" s="82">
        <v>0.2</v>
      </c>
      <c r="E399" s="77">
        <v>227</v>
      </c>
    </row>
    <row r="400" spans="1:5" ht="15.75" customHeight="1">
      <c r="A400" s="81" t="s">
        <v>3</v>
      </c>
      <c r="B400" s="81" t="s">
        <v>402</v>
      </c>
      <c r="C400" s="82">
        <v>0.33</v>
      </c>
      <c r="D400" s="82">
        <v>0.15</v>
      </c>
      <c r="E400" s="77">
        <v>300</v>
      </c>
    </row>
    <row r="401" spans="1:5" ht="15.75" customHeight="1">
      <c r="A401" s="81" t="s">
        <v>3</v>
      </c>
      <c r="B401" s="81" t="s">
        <v>403</v>
      </c>
      <c r="C401" s="82">
        <v>0.33</v>
      </c>
      <c r="D401" s="82">
        <v>0.1</v>
      </c>
      <c r="E401" s="77">
        <v>300</v>
      </c>
    </row>
    <row r="402" spans="1:5" ht="15.75" customHeight="1">
      <c r="A402" s="81" t="s">
        <v>3</v>
      </c>
      <c r="B402" s="81" t="s">
        <v>404</v>
      </c>
      <c r="C402" s="82">
        <v>0.32</v>
      </c>
      <c r="D402" s="82">
        <v>0.05</v>
      </c>
      <c r="E402" s="77">
        <v>300</v>
      </c>
    </row>
    <row r="403" spans="1:5" ht="15.75" customHeight="1">
      <c r="A403" s="81" t="s">
        <v>3</v>
      </c>
      <c r="B403" s="81" t="s">
        <v>405</v>
      </c>
      <c r="C403" s="82">
        <v>0.32</v>
      </c>
      <c r="D403" s="82">
        <v>0</v>
      </c>
      <c r="E403" s="77">
        <v>300</v>
      </c>
    </row>
    <row r="404" spans="1:5" ht="15.75" customHeight="1">
      <c r="A404" s="81" t="s">
        <v>3</v>
      </c>
      <c r="B404" s="81" t="s">
        <v>406</v>
      </c>
      <c r="C404" s="82">
        <v>0.34</v>
      </c>
      <c r="D404" s="82">
        <v>0.02</v>
      </c>
      <c r="E404" s="77">
        <v>420</v>
      </c>
    </row>
    <row r="405" spans="1:5" ht="15.75" customHeight="1">
      <c r="A405" s="81" t="s">
        <v>3</v>
      </c>
      <c r="B405" s="81" t="s">
        <v>407</v>
      </c>
      <c r="C405" s="82">
        <v>0.36</v>
      </c>
      <c r="D405" s="82">
        <v>0.03</v>
      </c>
      <c r="E405" s="77">
        <v>420</v>
      </c>
    </row>
    <row r="406" spans="1:5" ht="15.75" customHeight="1">
      <c r="A406" s="81" t="s">
        <v>3</v>
      </c>
      <c r="B406" s="81" t="s">
        <v>408</v>
      </c>
      <c r="C406" s="82">
        <v>0.38</v>
      </c>
      <c r="D406" s="82">
        <v>0.05</v>
      </c>
      <c r="E406" s="77">
        <v>420</v>
      </c>
    </row>
    <row r="407" spans="1:5" ht="15.75" customHeight="1">
      <c r="A407" s="81" t="s">
        <v>3</v>
      </c>
      <c r="B407" s="81" t="s">
        <v>409</v>
      </c>
      <c r="C407" s="82">
        <v>0.4</v>
      </c>
      <c r="D407" s="82">
        <v>0.06</v>
      </c>
      <c r="E407" s="77">
        <v>420</v>
      </c>
    </row>
    <row r="408" spans="1:5" ht="15.75" customHeight="1">
      <c r="A408" s="81" t="s">
        <v>3</v>
      </c>
      <c r="B408" s="81" t="s">
        <v>410</v>
      </c>
      <c r="C408" s="82">
        <v>0.45</v>
      </c>
      <c r="D408" s="82">
        <v>-0.04</v>
      </c>
      <c r="E408" s="77">
        <v>682</v>
      </c>
    </row>
    <row r="409" spans="1:5" ht="15.75" customHeight="1">
      <c r="A409" s="81" t="s">
        <v>3</v>
      </c>
      <c r="B409" s="81" t="s">
        <v>411</v>
      </c>
      <c r="C409" s="82">
        <v>0.51</v>
      </c>
      <c r="D409" s="82">
        <v>-0.08</v>
      </c>
      <c r="E409" s="77">
        <v>684</v>
      </c>
    </row>
    <row r="410" spans="1:5" ht="15.75" customHeight="1">
      <c r="A410" s="81" t="s">
        <v>3</v>
      </c>
      <c r="B410" s="81" t="s">
        <v>412</v>
      </c>
      <c r="C410" s="82">
        <v>0.67</v>
      </c>
      <c r="D410" s="82">
        <v>-0.08</v>
      </c>
      <c r="E410" s="77">
        <v>850</v>
      </c>
    </row>
    <row r="411" spans="1:5" ht="15.75" customHeight="1">
      <c r="A411" s="81" t="s">
        <v>3</v>
      </c>
      <c r="B411" s="81" t="s">
        <v>413</v>
      </c>
      <c r="C411" s="82">
        <v>0.76</v>
      </c>
      <c r="D411" s="82">
        <v>-0.1</v>
      </c>
      <c r="E411" s="77">
        <v>746</v>
      </c>
    </row>
    <row r="412" spans="1:5" ht="15.75" customHeight="1">
      <c r="A412" s="81" t="s">
        <v>3</v>
      </c>
      <c r="B412" s="81" t="s">
        <v>414</v>
      </c>
      <c r="C412" s="82">
        <v>0.68</v>
      </c>
      <c r="D412" s="82">
        <v>-0.01</v>
      </c>
      <c r="E412" s="77">
        <v>891</v>
      </c>
    </row>
    <row r="413" spans="1:5" ht="15.75" customHeight="1">
      <c r="A413" s="81" t="s">
        <v>3</v>
      </c>
      <c r="B413" s="81" t="s">
        <v>415</v>
      </c>
      <c r="C413" s="82">
        <v>0.63</v>
      </c>
      <c r="D413" s="82">
        <v>0.05</v>
      </c>
      <c r="E413" s="77">
        <v>953</v>
      </c>
    </row>
    <row r="414" spans="1:5" ht="15.75" customHeight="1">
      <c r="A414" s="81" t="s">
        <v>3</v>
      </c>
      <c r="B414" s="81" t="s">
        <v>416</v>
      </c>
      <c r="C414" s="82">
        <v>0.47</v>
      </c>
      <c r="D414" s="82">
        <v>0.08</v>
      </c>
      <c r="E414" s="77">
        <v>1196</v>
      </c>
    </row>
    <row r="415" spans="1:5" ht="15.75" customHeight="1">
      <c r="A415" s="81" t="s">
        <v>3</v>
      </c>
      <c r="B415" s="81" t="s">
        <v>417</v>
      </c>
      <c r="C415" s="82">
        <v>0.36</v>
      </c>
      <c r="D415" s="82">
        <v>0.12</v>
      </c>
      <c r="E415" s="77">
        <v>988</v>
      </c>
    </row>
    <row r="416" spans="1:5" ht="15.75" customHeight="1">
      <c r="A416" s="81" t="s">
        <v>3</v>
      </c>
      <c r="B416" s="81" t="s">
        <v>418</v>
      </c>
      <c r="C416" s="82">
        <v>0.33</v>
      </c>
      <c r="D416" s="82">
        <v>0.16</v>
      </c>
      <c r="E416" s="77">
        <v>1079</v>
      </c>
    </row>
    <row r="417" spans="1:5" ht="15.75" customHeight="1">
      <c r="A417" s="81" t="s">
        <v>3</v>
      </c>
      <c r="B417" s="81" t="s">
        <v>419</v>
      </c>
      <c r="C417" s="82">
        <v>0.28000000000000003</v>
      </c>
      <c r="D417" s="82">
        <v>0.22</v>
      </c>
      <c r="E417" s="77">
        <v>1112</v>
      </c>
    </row>
    <row r="418" spans="1:5" ht="15.75" customHeight="1">
      <c r="A418" s="81" t="s">
        <v>3</v>
      </c>
      <c r="B418" s="81" t="s">
        <v>420</v>
      </c>
      <c r="C418" s="82">
        <v>0.21</v>
      </c>
      <c r="D418" s="82">
        <v>0.15</v>
      </c>
      <c r="E418" s="77">
        <v>1368</v>
      </c>
    </row>
    <row r="419" spans="1:5" ht="15.75" customHeight="1">
      <c r="A419" s="81" t="s">
        <v>3</v>
      </c>
      <c r="B419" s="81" t="s">
        <v>421</v>
      </c>
      <c r="C419" s="82">
        <v>0.16</v>
      </c>
      <c r="D419" s="82">
        <v>0.08</v>
      </c>
      <c r="E419" s="77">
        <v>1103</v>
      </c>
    </row>
    <row r="420" spans="1:5" ht="15.75" customHeight="1">
      <c r="A420" s="81" t="s">
        <v>3</v>
      </c>
      <c r="B420" s="81" t="s">
        <v>422</v>
      </c>
      <c r="C420" s="82">
        <v>0.14000000000000001</v>
      </c>
      <c r="D420" s="82">
        <v>0.2</v>
      </c>
      <c r="E420" s="77">
        <v>1218</v>
      </c>
    </row>
    <row r="421" spans="1:5" ht="15.75" customHeight="1">
      <c r="A421" s="81" t="s">
        <v>3</v>
      </c>
      <c r="B421" s="81" t="s">
        <v>423</v>
      </c>
      <c r="C421" s="82">
        <v>0.13</v>
      </c>
      <c r="D421" s="82">
        <v>0.11</v>
      </c>
      <c r="E421" s="77">
        <v>1267</v>
      </c>
    </row>
    <row r="422" spans="1:5" ht="15.75" customHeight="1">
      <c r="A422" s="81" t="s">
        <v>3</v>
      </c>
      <c r="B422" s="81" t="s">
        <v>424</v>
      </c>
      <c r="C422" s="82">
        <v>0.11</v>
      </c>
      <c r="D422" s="82">
        <v>0.16</v>
      </c>
      <c r="E422" s="77">
        <v>1469</v>
      </c>
    </row>
    <row r="423" spans="1:5" ht="15.75" customHeight="1">
      <c r="A423" s="81" t="s">
        <v>3</v>
      </c>
      <c r="B423" s="81" t="s">
        <v>425</v>
      </c>
      <c r="C423" s="82">
        <v>0.1</v>
      </c>
      <c r="D423" s="82">
        <v>0.27</v>
      </c>
      <c r="E423" s="77">
        <v>1150</v>
      </c>
    </row>
    <row r="424" spans="1:5" ht="15.75" customHeight="1">
      <c r="A424" s="81" t="s">
        <v>3</v>
      </c>
      <c r="B424" s="81" t="s">
        <v>426</v>
      </c>
      <c r="C424" s="82">
        <v>-0.05</v>
      </c>
      <c r="D424" s="82">
        <v>-0.18</v>
      </c>
      <c r="E424" s="77">
        <v>669</v>
      </c>
    </row>
    <row r="425" spans="1:5" ht="15.75" customHeight="1">
      <c r="A425" s="81" t="s">
        <v>3</v>
      </c>
      <c r="B425" s="81" t="s">
        <v>427</v>
      </c>
      <c r="C425" s="82">
        <v>-0.25</v>
      </c>
      <c r="D425" s="82">
        <v>-0.09</v>
      </c>
      <c r="E425" s="77">
        <v>448</v>
      </c>
    </row>
    <row r="426" spans="1:5" ht="15.75" customHeight="1">
      <c r="A426" s="81" t="s">
        <v>3</v>
      </c>
      <c r="B426" s="81" t="s">
        <v>428</v>
      </c>
      <c r="C426" s="82">
        <v>-0.3</v>
      </c>
      <c r="D426" s="82">
        <v>-0.02</v>
      </c>
      <c r="E426" s="77">
        <v>805</v>
      </c>
    </row>
    <row r="427" spans="1:5" ht="15.75" customHeight="1">
      <c r="A427" s="81" t="s">
        <v>3</v>
      </c>
      <c r="B427" s="81" t="s">
        <v>429</v>
      </c>
      <c r="C427" s="82">
        <v>-0.3</v>
      </c>
      <c r="D427" s="82">
        <v>-0.05</v>
      </c>
      <c r="E427" s="77">
        <v>761</v>
      </c>
    </row>
    <row r="428" spans="1:5" ht="15.75" customHeight="1">
      <c r="A428" s="81" t="s">
        <v>3</v>
      </c>
      <c r="B428" s="81" t="s">
        <v>430</v>
      </c>
      <c r="C428" s="82">
        <v>-0.3</v>
      </c>
      <c r="D428" s="82">
        <v>0.34</v>
      </c>
      <c r="E428" s="77">
        <v>628</v>
      </c>
    </row>
    <row r="429" spans="1:5" ht="15.75" customHeight="1">
      <c r="A429" s="81" t="s">
        <v>3</v>
      </c>
      <c r="B429" s="81" t="s">
        <v>431</v>
      </c>
      <c r="C429" s="82">
        <v>0.05</v>
      </c>
      <c r="D429" s="82">
        <v>0.22</v>
      </c>
      <c r="E429" s="77">
        <v>912</v>
      </c>
    </row>
    <row r="430" spans="1:5" ht="15.75" customHeight="1">
      <c r="A430" s="81" t="s">
        <v>3</v>
      </c>
      <c r="B430" s="81" t="s">
        <v>432</v>
      </c>
      <c r="C430" s="82">
        <v>0.17</v>
      </c>
      <c r="D430" s="82">
        <v>0.08</v>
      </c>
      <c r="E430" s="77">
        <v>831</v>
      </c>
    </row>
    <row r="431" spans="1:5" ht="15.75" customHeight="1">
      <c r="A431" s="81" t="s">
        <v>3</v>
      </c>
      <c r="B431" s="81" t="s">
        <v>433</v>
      </c>
      <c r="C431" s="82">
        <v>0.24</v>
      </c>
      <c r="D431" s="82">
        <v>0</v>
      </c>
      <c r="E431" s="77">
        <v>735</v>
      </c>
    </row>
    <row r="432" spans="1:5" ht="15.75" customHeight="1">
      <c r="A432" s="81" t="s">
        <v>3</v>
      </c>
      <c r="B432" s="81" t="s">
        <v>434</v>
      </c>
      <c r="C432" s="82">
        <v>0.27</v>
      </c>
      <c r="D432" s="82">
        <v>-0.15</v>
      </c>
      <c r="E432" s="77">
        <v>649</v>
      </c>
    </row>
    <row r="433" spans="1:5" ht="15.75" customHeight="1">
      <c r="A433" s="81" t="s">
        <v>3</v>
      </c>
      <c r="B433" s="81" t="s">
        <v>435</v>
      </c>
      <c r="C433" s="82">
        <v>-0.08</v>
      </c>
      <c r="D433" s="82">
        <v>-0.1</v>
      </c>
      <c r="E433" s="77">
        <v>599</v>
      </c>
    </row>
    <row r="434" spans="1:5" ht="15.75" customHeight="1">
      <c r="A434" s="81" t="s">
        <v>3</v>
      </c>
      <c r="B434" s="81" t="s">
        <v>436</v>
      </c>
      <c r="C434" s="82">
        <v>-0.04</v>
      </c>
      <c r="D434" s="82">
        <v>-0.04</v>
      </c>
      <c r="E434" s="77">
        <v>969</v>
      </c>
    </row>
    <row r="435" spans="1:5" ht="15.75" customHeight="1">
      <c r="A435" s="81" t="s">
        <v>3</v>
      </c>
      <c r="B435" s="81" t="s">
        <v>437</v>
      </c>
      <c r="C435" s="82">
        <v>-0.04</v>
      </c>
      <c r="D435" s="82">
        <v>0.12</v>
      </c>
      <c r="E435" s="77">
        <v>730</v>
      </c>
    </row>
    <row r="436" spans="1:5" ht="15.75" customHeight="1">
      <c r="A436" s="81" t="s">
        <v>3</v>
      </c>
      <c r="B436" s="81" t="s">
        <v>438</v>
      </c>
      <c r="C436" s="82">
        <v>0.22</v>
      </c>
      <c r="D436" s="82">
        <v>0.28000000000000003</v>
      </c>
      <c r="E436" s="77">
        <v>1341</v>
      </c>
    </row>
    <row r="437" spans="1:5" ht="15.75" customHeight="1">
      <c r="A437" s="81" t="s">
        <v>3</v>
      </c>
      <c r="B437" s="81" t="s">
        <v>439</v>
      </c>
      <c r="C437" s="82">
        <v>0.7</v>
      </c>
      <c r="D437" s="82">
        <v>0.27</v>
      </c>
      <c r="E437" s="77">
        <v>1554</v>
      </c>
    </row>
    <row r="438" spans="1:5" ht="15.75" customHeight="1">
      <c r="A438" s="81" t="s">
        <v>3</v>
      </c>
      <c r="B438" s="81" t="s">
        <v>440</v>
      </c>
      <c r="C438" s="82">
        <v>0.9</v>
      </c>
      <c r="D438" s="82">
        <v>0.33</v>
      </c>
      <c r="E438" s="77">
        <v>1885</v>
      </c>
    </row>
    <row r="439" spans="1:5" ht="15.75" customHeight="1">
      <c r="A439" s="81" t="s">
        <v>3</v>
      </c>
      <c r="B439" s="81" t="s">
        <v>441</v>
      </c>
      <c r="C439" s="82">
        <v>1</v>
      </c>
      <c r="D439" s="82">
        <v>0.24</v>
      </c>
      <c r="E439" s="77">
        <v>1456</v>
      </c>
    </row>
    <row r="440" spans="1:5" ht="15.75" customHeight="1">
      <c r="A440" s="81" t="s">
        <v>3</v>
      </c>
      <c r="B440" s="81" t="s">
        <v>442</v>
      </c>
      <c r="C440" s="82">
        <v>0.94</v>
      </c>
      <c r="D440" s="82">
        <v>0.22</v>
      </c>
      <c r="E440" s="77">
        <v>1651</v>
      </c>
    </row>
    <row r="441" spans="1:5" ht="15.75" customHeight="1">
      <c r="A441" s="81" t="s">
        <v>3</v>
      </c>
      <c r="B441" s="81" t="s">
        <v>443</v>
      </c>
      <c r="C441" s="82">
        <v>0.57999999999999996</v>
      </c>
      <c r="D441" s="82">
        <v>0.27</v>
      </c>
      <c r="E441" s="77">
        <v>1759</v>
      </c>
    </row>
    <row r="442" spans="1:5" ht="15.75" customHeight="1">
      <c r="A442" s="81" t="s">
        <v>4</v>
      </c>
      <c r="B442" s="81" t="s">
        <v>334</v>
      </c>
      <c r="C442" s="82"/>
      <c r="D442" s="82"/>
    </row>
    <row r="443" spans="1:5" ht="15.75" customHeight="1">
      <c r="A443" s="81" t="s">
        <v>4</v>
      </c>
      <c r="B443" s="81" t="s">
        <v>335</v>
      </c>
      <c r="C443" s="82"/>
      <c r="D443" s="82"/>
    </row>
    <row r="444" spans="1:5" ht="15.75" customHeight="1">
      <c r="A444" s="81" t="s">
        <v>4</v>
      </c>
      <c r="B444" s="81" t="s">
        <v>336</v>
      </c>
      <c r="C444" s="82"/>
      <c r="D444" s="82"/>
    </row>
    <row r="445" spans="1:5" ht="15.75" customHeight="1">
      <c r="A445" s="81" t="s">
        <v>4</v>
      </c>
      <c r="B445" s="81" t="s">
        <v>337</v>
      </c>
      <c r="C445" s="82"/>
      <c r="D445" s="82"/>
    </row>
    <row r="446" spans="1:5" ht="15.75" customHeight="1">
      <c r="A446" s="81" t="s">
        <v>4</v>
      </c>
      <c r="B446" s="81" t="s">
        <v>338</v>
      </c>
      <c r="C446" s="82"/>
      <c r="D446" s="82"/>
    </row>
    <row r="447" spans="1:5" ht="15.75" customHeight="1">
      <c r="A447" s="81" t="s">
        <v>4</v>
      </c>
      <c r="B447" s="81" t="s">
        <v>339</v>
      </c>
      <c r="C447" s="82"/>
      <c r="D447" s="82"/>
    </row>
    <row r="448" spans="1:5" ht="15.75" customHeight="1">
      <c r="A448" s="81" t="s">
        <v>4</v>
      </c>
      <c r="B448" s="81" t="s">
        <v>340</v>
      </c>
      <c r="C448" s="82"/>
      <c r="D448" s="82"/>
    </row>
    <row r="449" spans="1:4" ht="15.75" customHeight="1">
      <c r="A449" s="81" t="s">
        <v>4</v>
      </c>
      <c r="B449" s="81" t="s">
        <v>341</v>
      </c>
      <c r="C449" s="82"/>
      <c r="D449" s="82"/>
    </row>
    <row r="450" spans="1:4" ht="15.75" customHeight="1">
      <c r="A450" s="81" t="s">
        <v>4</v>
      </c>
      <c r="B450" s="81" t="s">
        <v>342</v>
      </c>
      <c r="C450" s="82"/>
      <c r="D450" s="82"/>
    </row>
    <row r="451" spans="1:4" ht="15.75" customHeight="1">
      <c r="A451" s="81" t="s">
        <v>4</v>
      </c>
      <c r="B451" s="81" t="s">
        <v>343</v>
      </c>
      <c r="C451" s="82"/>
      <c r="D451" s="82"/>
    </row>
    <row r="452" spans="1:4" ht="15.75" customHeight="1">
      <c r="A452" s="81" t="s">
        <v>4</v>
      </c>
      <c r="B452" s="81" t="s">
        <v>344</v>
      </c>
      <c r="C452" s="82"/>
      <c r="D452" s="82"/>
    </row>
    <row r="453" spans="1:4" ht="15.75" customHeight="1">
      <c r="A453" s="81" t="s">
        <v>4</v>
      </c>
      <c r="B453" s="81" t="s">
        <v>345</v>
      </c>
      <c r="C453" s="82"/>
      <c r="D453" s="82"/>
    </row>
    <row r="454" spans="1:4" ht="15.75" customHeight="1">
      <c r="A454" s="81" t="s">
        <v>4</v>
      </c>
      <c r="B454" s="81" t="s">
        <v>346</v>
      </c>
      <c r="C454" s="82"/>
      <c r="D454" s="82"/>
    </row>
    <row r="455" spans="1:4" ht="15.75" customHeight="1">
      <c r="A455" s="81" t="s">
        <v>4</v>
      </c>
      <c r="B455" s="81" t="s">
        <v>347</v>
      </c>
      <c r="C455" s="82"/>
      <c r="D455" s="82"/>
    </row>
    <row r="456" spans="1:4" ht="15.75" customHeight="1">
      <c r="A456" s="81" t="s">
        <v>4</v>
      </c>
      <c r="B456" s="81" t="s">
        <v>348</v>
      </c>
      <c r="C456" s="82"/>
      <c r="D456" s="82"/>
    </row>
    <row r="457" spans="1:4" ht="15.75" customHeight="1">
      <c r="A457" s="81" t="s">
        <v>4</v>
      </c>
      <c r="B457" s="81" t="s">
        <v>349</v>
      </c>
      <c r="C457" s="82"/>
      <c r="D457" s="82"/>
    </row>
    <row r="458" spans="1:4" ht="15.75" customHeight="1">
      <c r="A458" s="81" t="s">
        <v>4</v>
      </c>
      <c r="B458" s="81" t="s">
        <v>350</v>
      </c>
      <c r="C458" s="82"/>
      <c r="D458" s="82"/>
    </row>
    <row r="459" spans="1:4" ht="15.75" customHeight="1">
      <c r="A459" s="81" t="s">
        <v>4</v>
      </c>
      <c r="B459" s="81" t="s">
        <v>351</v>
      </c>
      <c r="C459" s="82"/>
      <c r="D459" s="82"/>
    </row>
    <row r="460" spans="1:4" ht="15.75" customHeight="1">
      <c r="A460" s="81" t="s">
        <v>4</v>
      </c>
      <c r="B460" s="81" t="s">
        <v>352</v>
      </c>
      <c r="C460" s="82"/>
      <c r="D460" s="82"/>
    </row>
    <row r="461" spans="1:4" ht="15.75" customHeight="1">
      <c r="A461" s="81" t="s">
        <v>4</v>
      </c>
      <c r="B461" s="81" t="s">
        <v>353</v>
      </c>
      <c r="C461" s="82"/>
      <c r="D461" s="82"/>
    </row>
    <row r="462" spans="1:4" ht="15.75" customHeight="1">
      <c r="A462" s="81" t="s">
        <v>4</v>
      </c>
      <c r="B462" s="81" t="s">
        <v>354</v>
      </c>
      <c r="C462" s="82"/>
      <c r="D462" s="82"/>
    </row>
    <row r="463" spans="1:4" ht="15.75" customHeight="1">
      <c r="A463" s="81" t="s">
        <v>4</v>
      </c>
      <c r="B463" s="81" t="s">
        <v>355</v>
      </c>
      <c r="C463" s="82"/>
      <c r="D463" s="82"/>
    </row>
    <row r="464" spans="1:4" ht="15.75" customHeight="1">
      <c r="A464" s="81" t="s">
        <v>4</v>
      </c>
      <c r="B464" s="81" t="s">
        <v>356</v>
      </c>
      <c r="C464" s="82"/>
      <c r="D464" s="82"/>
    </row>
    <row r="465" spans="1:4" ht="15.75" customHeight="1">
      <c r="A465" s="81" t="s">
        <v>4</v>
      </c>
      <c r="B465" s="81" t="s">
        <v>357</v>
      </c>
      <c r="C465" s="82"/>
      <c r="D465" s="82"/>
    </row>
    <row r="466" spans="1:4" ht="15.75" customHeight="1">
      <c r="A466" s="81" t="s">
        <v>4</v>
      </c>
      <c r="B466" s="81" t="s">
        <v>358</v>
      </c>
      <c r="C466" s="82"/>
      <c r="D466" s="82"/>
    </row>
    <row r="467" spans="1:4" ht="15.75" customHeight="1">
      <c r="A467" s="81" t="s">
        <v>4</v>
      </c>
      <c r="B467" s="81" t="s">
        <v>359</v>
      </c>
      <c r="C467" s="82"/>
      <c r="D467" s="82"/>
    </row>
    <row r="468" spans="1:4" ht="15.75" customHeight="1">
      <c r="A468" s="81" t="s">
        <v>4</v>
      </c>
      <c r="B468" s="81" t="s">
        <v>360</v>
      </c>
      <c r="C468" s="82"/>
      <c r="D468" s="82"/>
    </row>
    <row r="469" spans="1:4" ht="15.75" customHeight="1">
      <c r="A469" s="81" t="s">
        <v>4</v>
      </c>
      <c r="B469" s="81" t="s">
        <v>361</v>
      </c>
      <c r="C469" s="82"/>
      <c r="D469" s="82"/>
    </row>
    <row r="470" spans="1:4" ht="15.75" customHeight="1">
      <c r="A470" s="81" t="s">
        <v>4</v>
      </c>
      <c r="B470" s="81" t="s">
        <v>362</v>
      </c>
      <c r="C470" s="82"/>
      <c r="D470" s="82"/>
    </row>
    <row r="471" spans="1:4" ht="15.75" customHeight="1">
      <c r="A471" s="81" t="s">
        <v>4</v>
      </c>
      <c r="B471" s="81" t="s">
        <v>363</v>
      </c>
      <c r="C471" s="82"/>
      <c r="D471" s="82"/>
    </row>
    <row r="472" spans="1:4" ht="15.75" customHeight="1">
      <c r="A472" s="81" t="s">
        <v>4</v>
      </c>
      <c r="B472" s="81" t="s">
        <v>364</v>
      </c>
      <c r="C472" s="82"/>
      <c r="D472" s="82"/>
    </row>
    <row r="473" spans="1:4" ht="15.75" customHeight="1">
      <c r="A473" s="81" t="s">
        <v>4</v>
      </c>
      <c r="B473" s="81" t="s">
        <v>365</v>
      </c>
      <c r="C473" s="82"/>
      <c r="D473" s="82"/>
    </row>
    <row r="474" spans="1:4" ht="15.75" customHeight="1">
      <c r="A474" s="81" t="s">
        <v>4</v>
      </c>
      <c r="B474" s="81" t="s">
        <v>366</v>
      </c>
      <c r="C474" s="82"/>
      <c r="D474" s="82"/>
    </row>
    <row r="475" spans="1:4" ht="15.75" customHeight="1">
      <c r="A475" s="81" t="s">
        <v>4</v>
      </c>
      <c r="B475" s="81" t="s">
        <v>367</v>
      </c>
      <c r="C475" s="82"/>
      <c r="D475" s="82"/>
    </row>
    <row r="476" spans="1:4" ht="15.75" customHeight="1">
      <c r="A476" s="81" t="s">
        <v>4</v>
      </c>
      <c r="B476" s="81" t="s">
        <v>368</v>
      </c>
      <c r="C476" s="82"/>
      <c r="D476" s="82"/>
    </row>
    <row r="477" spans="1:4" ht="15.75" customHeight="1">
      <c r="A477" s="81" t="s">
        <v>4</v>
      </c>
      <c r="B477" s="81" t="s">
        <v>369</v>
      </c>
      <c r="C477" s="82"/>
      <c r="D477" s="82"/>
    </row>
    <row r="478" spans="1:4" ht="15.75" customHeight="1">
      <c r="A478" s="81" t="s">
        <v>4</v>
      </c>
      <c r="B478" s="81" t="s">
        <v>370</v>
      </c>
      <c r="C478" s="82"/>
      <c r="D478" s="82"/>
    </row>
    <row r="479" spans="1:4" ht="15.75" customHeight="1">
      <c r="A479" s="81" t="s">
        <v>4</v>
      </c>
      <c r="B479" s="81" t="s">
        <v>371</v>
      </c>
      <c r="C479" s="82"/>
      <c r="D479" s="82"/>
    </row>
    <row r="480" spans="1:4" ht="15.75" customHeight="1">
      <c r="A480" s="81" t="s">
        <v>4</v>
      </c>
      <c r="B480" s="81" t="s">
        <v>372</v>
      </c>
      <c r="C480" s="82"/>
      <c r="D480" s="82"/>
    </row>
    <row r="481" spans="1:5" ht="15.75" customHeight="1">
      <c r="A481" s="81" t="s">
        <v>4</v>
      </c>
      <c r="B481" s="81" t="s">
        <v>373</v>
      </c>
      <c r="C481" s="82"/>
      <c r="D481" s="82"/>
    </row>
    <row r="482" spans="1:5" ht="15.75" customHeight="1">
      <c r="A482" s="81" t="s">
        <v>4</v>
      </c>
      <c r="B482" s="81" t="s">
        <v>374</v>
      </c>
      <c r="C482" s="82"/>
      <c r="D482" s="82"/>
    </row>
    <row r="483" spans="1:5" ht="15.75" customHeight="1">
      <c r="A483" s="81" t="s">
        <v>4</v>
      </c>
      <c r="B483" s="81" t="s">
        <v>375</v>
      </c>
      <c r="C483" s="82"/>
      <c r="D483" s="82"/>
    </row>
    <row r="484" spans="1:5" ht="15.75" customHeight="1">
      <c r="A484" s="81" t="s">
        <v>4</v>
      </c>
      <c r="B484" s="81" t="s">
        <v>376</v>
      </c>
      <c r="C484" s="82"/>
      <c r="D484" s="82"/>
    </row>
    <row r="485" spans="1:5" ht="15.75" customHeight="1">
      <c r="A485" s="81" t="s">
        <v>4</v>
      </c>
      <c r="B485" s="81" t="s">
        <v>377</v>
      </c>
      <c r="C485" s="82"/>
      <c r="D485" s="82"/>
    </row>
    <row r="486" spans="1:5" ht="15.75" customHeight="1">
      <c r="A486" s="81" t="s">
        <v>4</v>
      </c>
      <c r="B486" s="81" t="s">
        <v>378</v>
      </c>
      <c r="C486" s="82"/>
      <c r="D486" s="82"/>
    </row>
    <row r="487" spans="1:5" ht="15.75" customHeight="1">
      <c r="A487" s="81" t="s">
        <v>4</v>
      </c>
      <c r="B487" s="81" t="s">
        <v>379</v>
      </c>
      <c r="C487" s="82"/>
      <c r="D487" s="82"/>
    </row>
    <row r="488" spans="1:5" ht="15.75" customHeight="1">
      <c r="A488" s="81" t="s">
        <v>4</v>
      </c>
      <c r="B488" s="81" t="s">
        <v>380</v>
      </c>
      <c r="C488" s="82"/>
      <c r="D488" s="82"/>
    </row>
    <row r="489" spans="1:5" ht="15.75" customHeight="1">
      <c r="A489" s="81" t="s">
        <v>4</v>
      </c>
      <c r="B489" s="81" t="s">
        <v>381</v>
      </c>
      <c r="C489" s="82"/>
      <c r="D489" s="82"/>
    </row>
    <row r="490" spans="1:5" ht="15.75" customHeight="1">
      <c r="A490" s="81" t="s">
        <v>4</v>
      </c>
      <c r="B490" s="81" t="s">
        <v>382</v>
      </c>
      <c r="C490" s="82"/>
      <c r="D490" s="82"/>
      <c r="E490" s="77"/>
    </row>
    <row r="491" spans="1:5" ht="15.75" customHeight="1">
      <c r="A491" s="81" t="s">
        <v>4</v>
      </c>
      <c r="B491" s="81" t="s">
        <v>383</v>
      </c>
      <c r="C491" s="82"/>
      <c r="D491" s="82"/>
      <c r="E491" s="77"/>
    </row>
    <row r="492" spans="1:5" ht="15.75" customHeight="1">
      <c r="A492" s="81" t="s">
        <v>4</v>
      </c>
      <c r="B492" s="81" t="s">
        <v>384</v>
      </c>
      <c r="C492" s="82"/>
      <c r="D492" s="82"/>
      <c r="E492" s="77"/>
    </row>
    <row r="493" spans="1:5" ht="15.75" customHeight="1">
      <c r="A493" s="81" t="s">
        <v>4</v>
      </c>
      <c r="B493" s="81" t="s">
        <v>385</v>
      </c>
      <c r="C493" s="82"/>
      <c r="D493" s="82"/>
      <c r="E493" s="77"/>
    </row>
    <row r="494" spans="1:5" ht="15.75" customHeight="1">
      <c r="A494" s="81" t="s">
        <v>4</v>
      </c>
      <c r="B494" s="81" t="s">
        <v>386</v>
      </c>
      <c r="C494" s="82"/>
      <c r="D494" s="82"/>
      <c r="E494" s="77"/>
    </row>
    <row r="495" spans="1:5" ht="15.75" customHeight="1">
      <c r="A495" s="81" t="s">
        <v>4</v>
      </c>
      <c r="B495" s="81" t="s">
        <v>387</v>
      </c>
      <c r="C495" s="82"/>
      <c r="D495" s="82"/>
      <c r="E495" s="77"/>
    </row>
    <row r="496" spans="1:5" ht="15.75" customHeight="1">
      <c r="A496" s="81" t="s">
        <v>4</v>
      </c>
      <c r="B496" s="81" t="s">
        <v>388</v>
      </c>
      <c r="C496" s="82"/>
      <c r="D496" s="82"/>
      <c r="E496" s="77"/>
    </row>
    <row r="497" spans="1:5" ht="15.75" customHeight="1">
      <c r="A497" s="81" t="s">
        <v>4</v>
      </c>
      <c r="B497" s="81" t="s">
        <v>389</v>
      </c>
      <c r="C497" s="82"/>
      <c r="D497" s="82"/>
      <c r="E497" s="77"/>
    </row>
    <row r="498" spans="1:5" ht="15.75" customHeight="1">
      <c r="A498" s="81" t="s">
        <v>4</v>
      </c>
      <c r="B498" s="81" t="s">
        <v>390</v>
      </c>
      <c r="C498" s="82">
        <v>0.36</v>
      </c>
      <c r="D498" s="82">
        <v>0.5</v>
      </c>
      <c r="E498" s="77">
        <v>159</v>
      </c>
    </row>
    <row r="499" spans="1:5" ht="15.75" customHeight="1">
      <c r="A499" s="81" t="s">
        <v>4</v>
      </c>
      <c r="B499" s="81" t="s">
        <v>391</v>
      </c>
      <c r="C499" s="82">
        <v>0.35</v>
      </c>
      <c r="D499" s="82">
        <v>0.5</v>
      </c>
      <c r="E499" s="77">
        <v>159</v>
      </c>
    </row>
    <row r="500" spans="1:5" ht="15.75" customHeight="1">
      <c r="A500" s="81" t="s">
        <v>4</v>
      </c>
      <c r="B500" s="81" t="s">
        <v>392</v>
      </c>
      <c r="C500" s="82">
        <v>0.33</v>
      </c>
      <c r="D500" s="82">
        <v>0.49</v>
      </c>
      <c r="E500" s="77">
        <v>159</v>
      </c>
    </row>
    <row r="501" spans="1:5" ht="15.75" customHeight="1">
      <c r="A501" s="81" t="s">
        <v>4</v>
      </c>
      <c r="B501" s="81" t="s">
        <v>393</v>
      </c>
      <c r="C501" s="82">
        <v>0.31</v>
      </c>
      <c r="D501" s="82">
        <v>0.48</v>
      </c>
      <c r="E501" s="77">
        <v>159</v>
      </c>
    </row>
    <row r="502" spans="1:5" ht="15.75" customHeight="1">
      <c r="A502" s="81" t="s">
        <v>4</v>
      </c>
      <c r="B502" s="81" t="s">
        <v>394</v>
      </c>
      <c r="C502" s="82">
        <v>0.28999999999999998</v>
      </c>
      <c r="D502" s="82">
        <v>0.47</v>
      </c>
      <c r="E502" s="77">
        <v>191</v>
      </c>
    </row>
    <row r="503" spans="1:5" ht="15.75" customHeight="1">
      <c r="A503" s="81" t="s">
        <v>4</v>
      </c>
      <c r="B503" s="81" t="s">
        <v>395</v>
      </c>
      <c r="C503" s="82">
        <v>0.26</v>
      </c>
      <c r="D503" s="82">
        <v>0.45</v>
      </c>
      <c r="E503" s="77">
        <v>191</v>
      </c>
    </row>
    <row r="504" spans="1:5" ht="15.75" customHeight="1">
      <c r="A504" s="81" t="s">
        <v>4</v>
      </c>
      <c r="B504" s="81" t="s">
        <v>396</v>
      </c>
      <c r="C504" s="82">
        <v>0.23</v>
      </c>
      <c r="D504" s="82">
        <v>0.44</v>
      </c>
      <c r="E504" s="77">
        <v>191</v>
      </c>
    </row>
    <row r="505" spans="1:5" ht="15.75" customHeight="1">
      <c r="A505" s="81" t="s">
        <v>4</v>
      </c>
      <c r="B505" s="81" t="s">
        <v>397</v>
      </c>
      <c r="C505" s="82">
        <v>0.2</v>
      </c>
      <c r="D505" s="82">
        <v>0.42</v>
      </c>
      <c r="E505" s="77">
        <v>191</v>
      </c>
    </row>
    <row r="506" spans="1:5" ht="15.75" customHeight="1">
      <c r="A506" s="81" t="s">
        <v>4</v>
      </c>
      <c r="B506" s="81" t="s">
        <v>398</v>
      </c>
      <c r="C506" s="82">
        <v>0.21</v>
      </c>
      <c r="D506" s="82">
        <v>0.4</v>
      </c>
      <c r="E506" s="77">
        <v>236</v>
      </c>
    </row>
    <row r="507" spans="1:5" ht="15.75" customHeight="1">
      <c r="A507" s="81" t="s">
        <v>4</v>
      </c>
      <c r="B507" s="81" t="s">
        <v>399</v>
      </c>
      <c r="C507" s="82">
        <v>0.22</v>
      </c>
      <c r="D507" s="82">
        <v>0.39</v>
      </c>
      <c r="E507" s="77">
        <v>236</v>
      </c>
    </row>
    <row r="508" spans="1:5" ht="15.75" customHeight="1">
      <c r="A508" s="81" t="s">
        <v>4</v>
      </c>
      <c r="B508" s="81" t="s">
        <v>400</v>
      </c>
      <c r="C508" s="82">
        <v>0.23</v>
      </c>
      <c r="D508" s="82">
        <v>0.37</v>
      </c>
      <c r="E508" s="77">
        <v>236</v>
      </c>
    </row>
    <row r="509" spans="1:5" ht="15.75" customHeight="1">
      <c r="A509" s="81" t="s">
        <v>4</v>
      </c>
      <c r="B509" s="81" t="s">
        <v>401</v>
      </c>
      <c r="C509" s="82">
        <v>0.24</v>
      </c>
      <c r="D509" s="82">
        <v>0.35</v>
      </c>
      <c r="E509" s="77">
        <v>236</v>
      </c>
    </row>
    <row r="510" spans="1:5" ht="15.75" customHeight="1">
      <c r="A510" s="81" t="s">
        <v>4</v>
      </c>
      <c r="B510" s="81" t="s">
        <v>402</v>
      </c>
      <c r="C510" s="82">
        <v>0.26</v>
      </c>
      <c r="D510" s="82">
        <v>0.34</v>
      </c>
      <c r="E510" s="77">
        <v>312</v>
      </c>
    </row>
    <row r="511" spans="1:5" ht="15.75" customHeight="1">
      <c r="A511" s="81" t="s">
        <v>4</v>
      </c>
      <c r="B511" s="81" t="s">
        <v>403</v>
      </c>
      <c r="C511" s="82">
        <v>0.28000000000000003</v>
      </c>
      <c r="D511" s="82">
        <v>0.34</v>
      </c>
      <c r="E511" s="77">
        <v>312</v>
      </c>
    </row>
    <row r="512" spans="1:5" ht="15.75" customHeight="1">
      <c r="A512" s="81" t="s">
        <v>4</v>
      </c>
      <c r="B512" s="81" t="s">
        <v>404</v>
      </c>
      <c r="C512" s="82">
        <v>0.3</v>
      </c>
      <c r="D512" s="82">
        <v>0.33</v>
      </c>
      <c r="E512" s="77">
        <v>312</v>
      </c>
    </row>
    <row r="513" spans="1:5" ht="15.75" customHeight="1">
      <c r="A513" s="81" t="s">
        <v>4</v>
      </c>
      <c r="B513" s="81" t="s">
        <v>405</v>
      </c>
      <c r="C513" s="82">
        <v>0.32</v>
      </c>
      <c r="D513" s="82">
        <v>0.33</v>
      </c>
      <c r="E513" s="77">
        <v>312</v>
      </c>
    </row>
    <row r="514" spans="1:5" ht="15.75" customHeight="1">
      <c r="A514" s="81" t="s">
        <v>4</v>
      </c>
      <c r="B514" s="81" t="s">
        <v>406</v>
      </c>
      <c r="C514" s="82">
        <v>0.28999999999999998</v>
      </c>
      <c r="D514" s="82">
        <v>0.3</v>
      </c>
      <c r="E514" s="77">
        <v>373</v>
      </c>
    </row>
    <row r="515" spans="1:5" ht="15.75" customHeight="1">
      <c r="A515" s="81" t="s">
        <v>4</v>
      </c>
      <c r="B515" s="81" t="s">
        <v>407</v>
      </c>
      <c r="C515" s="82">
        <v>0.26</v>
      </c>
      <c r="D515" s="82">
        <v>0.27</v>
      </c>
      <c r="E515" s="77">
        <v>373</v>
      </c>
    </row>
    <row r="516" spans="1:5" ht="15.75" customHeight="1">
      <c r="A516" s="81" t="s">
        <v>4</v>
      </c>
      <c r="B516" s="81" t="s">
        <v>408</v>
      </c>
      <c r="C516" s="82">
        <v>0.23</v>
      </c>
      <c r="D516" s="82">
        <v>0.25</v>
      </c>
      <c r="E516" s="77">
        <v>373</v>
      </c>
    </row>
    <row r="517" spans="1:5" ht="15.75" customHeight="1">
      <c r="A517" s="81" t="s">
        <v>4</v>
      </c>
      <c r="B517" s="81" t="s">
        <v>409</v>
      </c>
      <c r="C517" s="82">
        <v>0.2</v>
      </c>
      <c r="D517" s="82">
        <v>0.22</v>
      </c>
      <c r="E517" s="77">
        <v>373</v>
      </c>
    </row>
    <row r="518" spans="1:5" ht="15.75" customHeight="1">
      <c r="A518" s="81" t="s">
        <v>4</v>
      </c>
      <c r="B518" s="81" t="s">
        <v>410</v>
      </c>
      <c r="C518" s="82">
        <v>0.13</v>
      </c>
      <c r="D518" s="82">
        <v>0.19</v>
      </c>
      <c r="E518" s="77">
        <v>352</v>
      </c>
    </row>
    <row r="519" spans="1:5" ht="15.75" customHeight="1">
      <c r="A519" s="81" t="s">
        <v>4</v>
      </c>
      <c r="B519" s="81" t="s">
        <v>411</v>
      </c>
      <c r="C519" s="82">
        <v>0.1</v>
      </c>
      <c r="D519" s="82">
        <v>0.16</v>
      </c>
      <c r="E519" s="77">
        <v>391</v>
      </c>
    </row>
    <row r="520" spans="1:5" ht="15.75" customHeight="1">
      <c r="A520" s="81" t="s">
        <v>4</v>
      </c>
      <c r="B520" s="81" t="s">
        <v>412</v>
      </c>
      <c r="C520" s="82">
        <v>0.08</v>
      </c>
      <c r="D520" s="82">
        <v>0.15</v>
      </c>
      <c r="E520" s="77">
        <v>421</v>
      </c>
    </row>
    <row r="521" spans="1:5" ht="15.75" customHeight="1">
      <c r="A521" s="81" t="s">
        <v>4</v>
      </c>
      <c r="B521" s="81" t="s">
        <v>413</v>
      </c>
      <c r="C521" s="82">
        <v>-0.01</v>
      </c>
      <c r="D521" s="82">
        <v>0.1</v>
      </c>
      <c r="E521" s="77">
        <v>316</v>
      </c>
    </row>
    <row r="522" spans="1:5" ht="15.75" customHeight="1">
      <c r="A522" s="81" t="s">
        <v>4</v>
      </c>
      <c r="B522" s="81" t="s">
        <v>414</v>
      </c>
      <c r="C522" s="82">
        <v>0.02</v>
      </c>
      <c r="D522" s="82">
        <v>0.09</v>
      </c>
      <c r="E522" s="77">
        <v>372</v>
      </c>
    </row>
    <row r="523" spans="1:5" ht="15.75" customHeight="1">
      <c r="A523" s="81" t="s">
        <v>4</v>
      </c>
      <c r="B523" s="81" t="s">
        <v>415</v>
      </c>
      <c r="C523" s="82">
        <v>0.03</v>
      </c>
      <c r="D523" s="82">
        <v>0.08</v>
      </c>
      <c r="E523" s="77">
        <v>424</v>
      </c>
    </row>
    <row r="524" spans="1:5" ht="15.75" customHeight="1">
      <c r="A524" s="81" t="s">
        <v>4</v>
      </c>
      <c r="B524" s="81" t="s">
        <v>416</v>
      </c>
      <c r="C524" s="82">
        <v>0.01</v>
      </c>
      <c r="D524" s="82">
        <v>7.0000000000000007E-2</v>
      </c>
      <c r="E524" s="77">
        <v>439</v>
      </c>
    </row>
    <row r="525" spans="1:5" ht="15.75" customHeight="1">
      <c r="A525" s="81" t="s">
        <v>4</v>
      </c>
      <c r="B525" s="81" t="s">
        <v>417</v>
      </c>
      <c r="C525" s="82">
        <v>0.05</v>
      </c>
      <c r="D525" s="82">
        <v>7.0000000000000007E-2</v>
      </c>
      <c r="E525" s="77">
        <v>321</v>
      </c>
    </row>
    <row r="526" spans="1:5" ht="15.75" customHeight="1">
      <c r="A526" s="81" t="s">
        <v>4</v>
      </c>
      <c r="B526" s="81" t="s">
        <v>418</v>
      </c>
      <c r="C526" s="82">
        <v>0.04</v>
      </c>
      <c r="D526" s="82">
        <v>0.06</v>
      </c>
      <c r="E526" s="77">
        <v>378</v>
      </c>
    </row>
    <row r="527" spans="1:5" ht="15.75" customHeight="1">
      <c r="A527" s="81" t="s">
        <v>4</v>
      </c>
      <c r="B527" s="81" t="s">
        <v>419</v>
      </c>
      <c r="C527" s="82">
        <v>0.02</v>
      </c>
      <c r="D527" s="82">
        <v>0.06</v>
      </c>
      <c r="E527" s="77">
        <v>433</v>
      </c>
    </row>
    <row r="528" spans="1:5" ht="15.75" customHeight="1">
      <c r="A528" s="81" t="s">
        <v>4</v>
      </c>
      <c r="B528" s="81" t="s">
        <v>420</v>
      </c>
      <c r="C528" s="82">
        <v>0.02</v>
      </c>
      <c r="D528" s="82">
        <v>0.09</v>
      </c>
      <c r="E528" s="77">
        <v>458</v>
      </c>
    </row>
    <row r="529" spans="1:5" ht="15.75" customHeight="1">
      <c r="A529" s="81" t="s">
        <v>4</v>
      </c>
      <c r="B529" s="81" t="s">
        <v>421</v>
      </c>
      <c r="C529" s="82">
        <v>0.04</v>
      </c>
      <c r="D529" s="82">
        <v>0.1</v>
      </c>
      <c r="E529" s="77">
        <v>346</v>
      </c>
    </row>
    <row r="530" spans="1:5" ht="15.75" customHeight="1">
      <c r="A530" s="81" t="s">
        <v>4</v>
      </c>
      <c r="B530" s="81" t="s">
        <v>422</v>
      </c>
      <c r="C530" s="82">
        <v>0.03</v>
      </c>
      <c r="D530" s="82">
        <v>0.11</v>
      </c>
      <c r="E530" s="77">
        <v>376</v>
      </c>
    </row>
    <row r="531" spans="1:5" ht="15.75" customHeight="1">
      <c r="A531" s="81" t="s">
        <v>4</v>
      </c>
      <c r="B531" s="81" t="s">
        <v>423</v>
      </c>
      <c r="C531" s="82">
        <v>0.02</v>
      </c>
      <c r="D531" s="82">
        <v>0.13</v>
      </c>
      <c r="E531" s="77">
        <v>422</v>
      </c>
    </row>
    <row r="532" spans="1:5" ht="15.75" customHeight="1">
      <c r="A532" s="81" t="s">
        <v>4</v>
      </c>
      <c r="B532" s="81" t="s">
        <v>424</v>
      </c>
      <c r="C532" s="82">
        <v>0</v>
      </c>
      <c r="D532" s="82">
        <v>0.12</v>
      </c>
      <c r="E532" s="77">
        <v>428</v>
      </c>
    </row>
    <row r="533" spans="1:5" ht="15.75" customHeight="1">
      <c r="A533" s="81" t="s">
        <v>4</v>
      </c>
      <c r="B533" s="81" t="s">
        <v>425</v>
      </c>
      <c r="C533" s="82">
        <v>-0.03</v>
      </c>
      <c r="D533" s="82">
        <v>0.12</v>
      </c>
      <c r="E533" s="77">
        <v>335</v>
      </c>
    </row>
    <row r="534" spans="1:5" ht="15.75" customHeight="1">
      <c r="A534" s="81" t="s">
        <v>4</v>
      </c>
      <c r="B534" s="81" t="s">
        <v>426</v>
      </c>
      <c r="C534" s="82">
        <v>-0.1</v>
      </c>
      <c r="D534" s="82">
        <v>7.0000000000000007E-2</v>
      </c>
      <c r="E534" s="77">
        <v>278</v>
      </c>
    </row>
    <row r="535" spans="1:5" ht="15.75" customHeight="1">
      <c r="A535" s="81" t="s">
        <v>4</v>
      </c>
      <c r="B535" s="81" t="s">
        <v>427</v>
      </c>
      <c r="C535" s="82">
        <v>-0.3</v>
      </c>
      <c r="D535" s="82">
        <v>-0.5</v>
      </c>
      <c r="E535" s="77">
        <v>59</v>
      </c>
    </row>
    <row r="536" spans="1:5" ht="15.75" customHeight="1">
      <c r="A536" s="81" t="s">
        <v>4</v>
      </c>
      <c r="B536" s="81" t="s">
        <v>428</v>
      </c>
      <c r="C536" s="82">
        <v>-0.3</v>
      </c>
      <c r="D536" s="82">
        <v>-0.5</v>
      </c>
      <c r="E536" s="77">
        <v>151</v>
      </c>
    </row>
    <row r="537" spans="1:5" ht="15.75" customHeight="1">
      <c r="A537" s="81" t="s">
        <v>4</v>
      </c>
      <c r="B537" s="81" t="s">
        <v>429</v>
      </c>
      <c r="C537" s="82">
        <v>-0.3</v>
      </c>
      <c r="D537" s="82">
        <v>-0.5</v>
      </c>
      <c r="E537" s="77">
        <v>116</v>
      </c>
    </row>
    <row r="538" spans="1:5" ht="15.75" customHeight="1">
      <c r="A538" s="81" t="s">
        <v>4</v>
      </c>
      <c r="B538" s="81" t="s">
        <v>430</v>
      </c>
      <c r="C538" s="82">
        <v>-0.3</v>
      </c>
      <c r="D538" s="82">
        <v>-0.5</v>
      </c>
      <c r="E538" s="77">
        <v>123</v>
      </c>
    </row>
    <row r="539" spans="1:5" ht="15.75" customHeight="1">
      <c r="A539" s="81" t="s">
        <v>4</v>
      </c>
      <c r="B539" s="81" t="s">
        <v>431</v>
      </c>
      <c r="C539" s="82">
        <v>0.28000000000000003</v>
      </c>
      <c r="D539" s="82">
        <v>-0.5</v>
      </c>
      <c r="E539" s="77">
        <v>235</v>
      </c>
    </row>
    <row r="540" spans="1:5" ht="15.75" customHeight="1">
      <c r="A540" s="81" t="s">
        <v>4</v>
      </c>
      <c r="B540" s="81" t="s">
        <v>432</v>
      </c>
      <c r="C540" s="82">
        <v>0.69</v>
      </c>
      <c r="D540" s="82">
        <v>-0.47</v>
      </c>
      <c r="E540" s="77">
        <v>303</v>
      </c>
    </row>
    <row r="541" spans="1:5" ht="15.75" customHeight="1">
      <c r="A541" s="81" t="s">
        <v>4</v>
      </c>
      <c r="B541" s="81" t="s">
        <v>433</v>
      </c>
      <c r="C541" s="82">
        <v>1</v>
      </c>
      <c r="D541" s="82">
        <v>-0.28999999999999998</v>
      </c>
      <c r="E541" s="77">
        <v>241</v>
      </c>
    </row>
    <row r="542" spans="1:5" ht="15.75" customHeight="1">
      <c r="A542" s="81" t="s">
        <v>4</v>
      </c>
      <c r="B542" s="81" t="s">
        <v>434</v>
      </c>
      <c r="C542" s="82">
        <v>1</v>
      </c>
      <c r="D542" s="82">
        <v>-0.13</v>
      </c>
      <c r="E542" s="77">
        <v>262</v>
      </c>
    </row>
    <row r="543" spans="1:5" ht="15.75" customHeight="1">
      <c r="A543" s="81" t="s">
        <v>4</v>
      </c>
      <c r="B543" s="81" t="s">
        <v>435</v>
      </c>
      <c r="C543" s="82">
        <v>1</v>
      </c>
      <c r="D543" s="82">
        <v>-0.05</v>
      </c>
      <c r="E543" s="77">
        <v>417</v>
      </c>
    </row>
    <row r="544" spans="1:5" ht="15.75" customHeight="1">
      <c r="A544" s="81" t="s">
        <v>4</v>
      </c>
      <c r="B544" s="81" t="s">
        <v>436</v>
      </c>
      <c r="C544" s="82">
        <v>0.87</v>
      </c>
      <c r="D544" s="82">
        <v>-0.01</v>
      </c>
      <c r="E544" s="77">
        <v>459</v>
      </c>
    </row>
    <row r="545" spans="1:5" ht="15.75" customHeight="1">
      <c r="A545" s="81" t="s">
        <v>4</v>
      </c>
      <c r="B545" s="81" t="s">
        <v>437</v>
      </c>
      <c r="C545" s="82">
        <v>0.72</v>
      </c>
      <c r="D545" s="82">
        <v>0.02</v>
      </c>
      <c r="E545" s="77">
        <v>354</v>
      </c>
    </row>
    <row r="546" spans="1:5" ht="15.75" customHeight="1">
      <c r="A546" s="81" t="s">
        <v>4</v>
      </c>
      <c r="B546" s="81" t="s">
        <v>438</v>
      </c>
      <c r="C546" s="82">
        <v>0.54</v>
      </c>
      <c r="D546" s="82">
        <v>0.04</v>
      </c>
      <c r="E546" s="77">
        <v>371</v>
      </c>
    </row>
    <row r="547" spans="1:5" ht="15.75" customHeight="1">
      <c r="A547" s="81" t="s">
        <v>4</v>
      </c>
      <c r="B547" s="81" t="s">
        <v>439</v>
      </c>
      <c r="C547" s="82">
        <v>0.4</v>
      </c>
      <c r="D547" s="82">
        <v>0.03</v>
      </c>
      <c r="E547" s="77">
        <v>494</v>
      </c>
    </row>
    <row r="548" spans="1:5" ht="15.75" customHeight="1">
      <c r="A548" s="81" t="s">
        <v>4</v>
      </c>
      <c r="B548" s="81" t="s">
        <v>440</v>
      </c>
      <c r="C548" s="82">
        <v>0.31</v>
      </c>
      <c r="D548" s="82">
        <v>0.03</v>
      </c>
      <c r="E548" s="77">
        <v>533</v>
      </c>
    </row>
    <row r="549" spans="1:5" ht="15.75" customHeight="1">
      <c r="A549" s="81" t="s">
        <v>4</v>
      </c>
      <c r="B549" s="81" t="s">
        <v>441</v>
      </c>
      <c r="C549" s="82">
        <v>0.22</v>
      </c>
      <c r="D549" s="82">
        <v>0.06</v>
      </c>
      <c r="E549" s="77">
        <v>390</v>
      </c>
    </row>
    <row r="550" spans="1:5" ht="15.75" customHeight="1">
      <c r="A550" s="81" t="s">
        <v>4</v>
      </c>
      <c r="B550" s="81" t="s">
        <v>442</v>
      </c>
      <c r="C550" s="82">
        <v>0.13</v>
      </c>
      <c r="D550" s="82">
        <v>0.06</v>
      </c>
      <c r="E550" s="77">
        <v>395</v>
      </c>
    </row>
    <row r="551" spans="1:5" ht="15.75" customHeight="1">
      <c r="A551" s="81" t="s">
        <v>4</v>
      </c>
      <c r="B551" s="81" t="s">
        <v>443</v>
      </c>
      <c r="C551" s="82">
        <v>0.08</v>
      </c>
      <c r="D551" s="82">
        <v>0.06</v>
      </c>
      <c r="E551" s="77">
        <v>497</v>
      </c>
    </row>
    <row r="552" spans="1:5" ht="15.75" customHeight="1">
      <c r="A552" s="81" t="s">
        <v>5</v>
      </c>
      <c r="B552" s="81" t="s">
        <v>334</v>
      </c>
      <c r="C552" s="82"/>
      <c r="D552" s="82"/>
    </row>
    <row r="553" spans="1:5" ht="15.75" customHeight="1">
      <c r="A553" s="81" t="s">
        <v>5</v>
      </c>
      <c r="B553" s="81" t="s">
        <v>335</v>
      </c>
      <c r="C553" s="82"/>
      <c r="D553" s="82"/>
    </row>
    <row r="554" spans="1:5" ht="15.75" customHeight="1">
      <c r="A554" s="81" t="s">
        <v>5</v>
      </c>
      <c r="B554" s="81" t="s">
        <v>336</v>
      </c>
      <c r="C554" s="82"/>
      <c r="D554" s="82"/>
    </row>
    <row r="555" spans="1:5" ht="15.75" customHeight="1">
      <c r="A555" s="81" t="s">
        <v>5</v>
      </c>
      <c r="B555" s="81" t="s">
        <v>337</v>
      </c>
      <c r="C555" s="82"/>
      <c r="D555" s="82"/>
    </row>
    <row r="556" spans="1:5" ht="15.75" customHeight="1">
      <c r="A556" s="81" t="s">
        <v>5</v>
      </c>
      <c r="B556" s="81" t="s">
        <v>338</v>
      </c>
      <c r="C556" s="82"/>
      <c r="D556" s="82"/>
    </row>
    <row r="557" spans="1:5" ht="15.75" customHeight="1">
      <c r="A557" s="81" t="s">
        <v>5</v>
      </c>
      <c r="B557" s="81" t="s">
        <v>339</v>
      </c>
      <c r="C557" s="82"/>
      <c r="D557" s="82"/>
    </row>
    <row r="558" spans="1:5" ht="15.75" customHeight="1">
      <c r="A558" s="81" t="s">
        <v>5</v>
      </c>
      <c r="B558" s="81" t="s">
        <v>340</v>
      </c>
      <c r="C558" s="82"/>
      <c r="D558" s="82"/>
    </row>
    <row r="559" spans="1:5" ht="15.75" customHeight="1">
      <c r="A559" s="81" t="s">
        <v>5</v>
      </c>
      <c r="B559" s="81" t="s">
        <v>341</v>
      </c>
      <c r="C559" s="82"/>
      <c r="D559" s="82"/>
    </row>
    <row r="560" spans="1:5" ht="15.75" customHeight="1">
      <c r="A560" s="81" t="s">
        <v>5</v>
      </c>
      <c r="B560" s="81" t="s">
        <v>342</v>
      </c>
      <c r="C560" s="82"/>
      <c r="D560" s="82"/>
    </row>
    <row r="561" spans="1:4" ht="15.75" customHeight="1">
      <c r="A561" s="81" t="s">
        <v>5</v>
      </c>
      <c r="B561" s="81" t="s">
        <v>343</v>
      </c>
      <c r="C561" s="82"/>
      <c r="D561" s="82"/>
    </row>
    <row r="562" spans="1:4" ht="15.75" customHeight="1">
      <c r="A562" s="81" t="s">
        <v>5</v>
      </c>
      <c r="B562" s="81" t="s">
        <v>344</v>
      </c>
      <c r="C562" s="82"/>
      <c r="D562" s="82"/>
    </row>
    <row r="563" spans="1:4" ht="15.75" customHeight="1">
      <c r="A563" s="81" t="s">
        <v>5</v>
      </c>
      <c r="B563" s="81" t="s">
        <v>345</v>
      </c>
      <c r="C563" s="82"/>
      <c r="D563" s="82"/>
    </row>
    <row r="564" spans="1:4" ht="15.75" customHeight="1">
      <c r="A564" s="81" t="s">
        <v>5</v>
      </c>
      <c r="B564" s="81" t="s">
        <v>346</v>
      </c>
      <c r="C564" s="82"/>
      <c r="D564" s="82"/>
    </row>
    <row r="565" spans="1:4" ht="15.75" customHeight="1">
      <c r="A565" s="81" t="s">
        <v>5</v>
      </c>
      <c r="B565" s="81" t="s">
        <v>347</v>
      </c>
      <c r="C565" s="82"/>
      <c r="D565" s="82"/>
    </row>
    <row r="566" spans="1:4" ht="15.75" customHeight="1">
      <c r="A566" s="81" t="s">
        <v>5</v>
      </c>
      <c r="B566" s="81" t="s">
        <v>348</v>
      </c>
      <c r="C566" s="82"/>
      <c r="D566" s="82"/>
    </row>
    <row r="567" spans="1:4" ht="15.75" customHeight="1">
      <c r="A567" s="81" t="s">
        <v>5</v>
      </c>
      <c r="B567" s="81" t="s">
        <v>349</v>
      </c>
      <c r="C567" s="82"/>
      <c r="D567" s="82"/>
    </row>
    <row r="568" spans="1:4" ht="15.75" customHeight="1">
      <c r="A568" s="81" t="s">
        <v>5</v>
      </c>
      <c r="B568" s="81" t="s">
        <v>350</v>
      </c>
      <c r="C568" s="82"/>
      <c r="D568" s="82"/>
    </row>
    <row r="569" spans="1:4" ht="15.75" customHeight="1">
      <c r="A569" s="81" t="s">
        <v>5</v>
      </c>
      <c r="B569" s="81" t="s">
        <v>351</v>
      </c>
      <c r="C569" s="82"/>
      <c r="D569" s="82"/>
    </row>
    <row r="570" spans="1:4" ht="15.75" customHeight="1">
      <c r="A570" s="81" t="s">
        <v>5</v>
      </c>
      <c r="B570" s="81" t="s">
        <v>352</v>
      </c>
      <c r="C570" s="82"/>
      <c r="D570" s="82"/>
    </row>
    <row r="571" spans="1:4" ht="15.75" customHeight="1">
      <c r="A571" s="81" t="s">
        <v>5</v>
      </c>
      <c r="B571" s="81" t="s">
        <v>353</v>
      </c>
      <c r="C571" s="82"/>
      <c r="D571" s="82"/>
    </row>
    <row r="572" spans="1:4" ht="15.75" customHeight="1">
      <c r="A572" s="81" t="s">
        <v>5</v>
      </c>
      <c r="B572" s="81" t="s">
        <v>354</v>
      </c>
      <c r="C572" s="82"/>
      <c r="D572" s="82"/>
    </row>
    <row r="573" spans="1:4" ht="15.75" customHeight="1">
      <c r="A573" s="81" t="s">
        <v>5</v>
      </c>
      <c r="B573" s="81" t="s">
        <v>355</v>
      </c>
      <c r="C573" s="82"/>
      <c r="D573" s="82"/>
    </row>
    <row r="574" spans="1:4" ht="15.75" customHeight="1">
      <c r="A574" s="81" t="s">
        <v>5</v>
      </c>
      <c r="B574" s="81" t="s">
        <v>356</v>
      </c>
      <c r="C574" s="82"/>
      <c r="D574" s="82"/>
    </row>
    <row r="575" spans="1:4" ht="15.75" customHeight="1">
      <c r="A575" s="81" t="s">
        <v>5</v>
      </c>
      <c r="B575" s="81" t="s">
        <v>357</v>
      </c>
      <c r="C575" s="82"/>
      <c r="D575" s="82"/>
    </row>
    <row r="576" spans="1:4" ht="15.75" customHeight="1">
      <c r="A576" s="81" t="s">
        <v>5</v>
      </c>
      <c r="B576" s="81" t="s">
        <v>358</v>
      </c>
      <c r="C576" s="82"/>
      <c r="D576" s="82"/>
    </row>
    <row r="577" spans="1:4" ht="15.75" customHeight="1">
      <c r="A577" s="81" t="s">
        <v>5</v>
      </c>
      <c r="B577" s="81" t="s">
        <v>359</v>
      </c>
      <c r="C577" s="82"/>
      <c r="D577" s="82"/>
    </row>
    <row r="578" spans="1:4" ht="15.75" customHeight="1">
      <c r="A578" s="81" t="s">
        <v>5</v>
      </c>
      <c r="B578" s="81" t="s">
        <v>360</v>
      </c>
      <c r="C578" s="82"/>
      <c r="D578" s="82"/>
    </row>
    <row r="579" spans="1:4" ht="15.75" customHeight="1">
      <c r="A579" s="81" t="s">
        <v>5</v>
      </c>
      <c r="B579" s="81" t="s">
        <v>361</v>
      </c>
      <c r="C579" s="82"/>
      <c r="D579" s="82"/>
    </row>
    <row r="580" spans="1:4" ht="15.75" customHeight="1">
      <c r="A580" s="81" t="s">
        <v>5</v>
      </c>
      <c r="B580" s="81" t="s">
        <v>362</v>
      </c>
      <c r="C580" s="82"/>
      <c r="D580" s="82"/>
    </row>
    <row r="581" spans="1:4" ht="15.75" customHeight="1">
      <c r="A581" s="81" t="s">
        <v>5</v>
      </c>
      <c r="B581" s="81" t="s">
        <v>363</v>
      </c>
      <c r="C581" s="82"/>
      <c r="D581" s="82"/>
    </row>
    <row r="582" spans="1:4" ht="15.75" customHeight="1">
      <c r="A582" s="81" t="s">
        <v>5</v>
      </c>
      <c r="B582" s="81" t="s">
        <v>364</v>
      </c>
      <c r="C582" s="82"/>
      <c r="D582" s="82"/>
    </row>
    <row r="583" spans="1:4" ht="15.75" customHeight="1">
      <c r="A583" s="81" t="s">
        <v>5</v>
      </c>
      <c r="B583" s="81" t="s">
        <v>365</v>
      </c>
      <c r="C583" s="82"/>
      <c r="D583" s="82"/>
    </row>
    <row r="584" spans="1:4" ht="15.75" customHeight="1">
      <c r="A584" s="81" t="s">
        <v>5</v>
      </c>
      <c r="B584" s="81" t="s">
        <v>366</v>
      </c>
      <c r="C584" s="82"/>
      <c r="D584" s="82"/>
    </row>
    <row r="585" spans="1:4" ht="15.75" customHeight="1">
      <c r="A585" s="81" t="s">
        <v>5</v>
      </c>
      <c r="B585" s="81" t="s">
        <v>367</v>
      </c>
      <c r="C585" s="82"/>
      <c r="D585" s="82"/>
    </row>
    <row r="586" spans="1:4" ht="15.75" customHeight="1">
      <c r="A586" s="81" t="s">
        <v>5</v>
      </c>
      <c r="B586" s="81" t="s">
        <v>368</v>
      </c>
      <c r="C586" s="82"/>
      <c r="D586" s="82"/>
    </row>
    <row r="587" spans="1:4" ht="15.75" customHeight="1">
      <c r="A587" s="81" t="s">
        <v>5</v>
      </c>
      <c r="B587" s="81" t="s">
        <v>369</v>
      </c>
      <c r="C587" s="82"/>
      <c r="D587" s="82"/>
    </row>
    <row r="588" spans="1:4" ht="15.75" customHeight="1">
      <c r="A588" s="81" t="s">
        <v>5</v>
      </c>
      <c r="B588" s="81" t="s">
        <v>370</v>
      </c>
      <c r="C588" s="82"/>
      <c r="D588" s="82"/>
    </row>
    <row r="589" spans="1:4" ht="15.75" customHeight="1">
      <c r="A589" s="81" t="s">
        <v>5</v>
      </c>
      <c r="B589" s="81" t="s">
        <v>371</v>
      </c>
      <c r="C589" s="82"/>
      <c r="D589" s="82"/>
    </row>
    <row r="590" spans="1:4" ht="15.75" customHeight="1">
      <c r="A590" s="81" t="s">
        <v>5</v>
      </c>
      <c r="B590" s="81" t="s">
        <v>372</v>
      </c>
      <c r="C590" s="82"/>
      <c r="D590" s="82"/>
    </row>
    <row r="591" spans="1:4" ht="15.75" customHeight="1">
      <c r="A591" s="81" t="s">
        <v>5</v>
      </c>
      <c r="B591" s="81" t="s">
        <v>373</v>
      </c>
      <c r="C591" s="82"/>
      <c r="D591" s="82"/>
    </row>
    <row r="592" spans="1:4" ht="15.75" customHeight="1">
      <c r="A592" s="81" t="s">
        <v>5</v>
      </c>
      <c r="B592" s="81" t="s">
        <v>374</v>
      </c>
      <c r="C592" s="82"/>
      <c r="D592" s="82"/>
    </row>
    <row r="593" spans="1:4" ht="15.75" customHeight="1">
      <c r="A593" s="81" t="s">
        <v>5</v>
      </c>
      <c r="B593" s="81" t="s">
        <v>375</v>
      </c>
      <c r="C593" s="82"/>
      <c r="D593" s="82"/>
    </row>
    <row r="594" spans="1:4" ht="15.75" customHeight="1">
      <c r="A594" s="81" t="s">
        <v>5</v>
      </c>
      <c r="B594" s="81" t="s">
        <v>376</v>
      </c>
      <c r="C594" s="82"/>
      <c r="D594" s="82"/>
    </row>
    <row r="595" spans="1:4" ht="15.75" customHeight="1">
      <c r="A595" s="81" t="s">
        <v>5</v>
      </c>
      <c r="B595" s="81" t="s">
        <v>377</v>
      </c>
      <c r="C595" s="82"/>
      <c r="D595" s="82"/>
    </row>
    <row r="596" spans="1:4" ht="15.75" customHeight="1">
      <c r="A596" s="81" t="s">
        <v>5</v>
      </c>
      <c r="B596" s="81" t="s">
        <v>378</v>
      </c>
      <c r="C596" s="82"/>
      <c r="D596" s="82"/>
    </row>
    <row r="597" spans="1:4" ht="15.75" customHeight="1">
      <c r="A597" s="81" t="s">
        <v>5</v>
      </c>
      <c r="B597" s="81" t="s">
        <v>379</v>
      </c>
      <c r="C597" s="82"/>
      <c r="D597" s="82"/>
    </row>
    <row r="598" spans="1:4" ht="15.75" customHeight="1">
      <c r="A598" s="81" t="s">
        <v>5</v>
      </c>
      <c r="B598" s="81" t="s">
        <v>380</v>
      </c>
      <c r="C598" s="82"/>
      <c r="D598" s="82"/>
    </row>
    <row r="599" spans="1:4" ht="15.75" customHeight="1">
      <c r="A599" s="81" t="s">
        <v>5</v>
      </c>
      <c r="B599" s="81" t="s">
        <v>381</v>
      </c>
      <c r="C599" s="82"/>
      <c r="D599" s="82"/>
    </row>
    <row r="600" spans="1:4" ht="15.75" customHeight="1">
      <c r="A600" s="81" t="s">
        <v>5</v>
      </c>
      <c r="B600" s="81" t="s">
        <v>382</v>
      </c>
      <c r="C600" s="82"/>
      <c r="D600" s="82"/>
    </row>
    <row r="601" spans="1:4" ht="15.75" customHeight="1">
      <c r="A601" s="81" t="s">
        <v>5</v>
      </c>
      <c r="B601" s="81" t="s">
        <v>383</v>
      </c>
      <c r="C601" s="82"/>
      <c r="D601" s="82"/>
    </row>
    <row r="602" spans="1:4" ht="15.75" customHeight="1">
      <c r="A602" s="81" t="s">
        <v>5</v>
      </c>
      <c r="B602" s="81" t="s">
        <v>384</v>
      </c>
      <c r="C602" s="82"/>
      <c r="D602" s="82"/>
    </row>
    <row r="603" spans="1:4" ht="15.75" customHeight="1">
      <c r="A603" s="81" t="s">
        <v>5</v>
      </c>
      <c r="B603" s="81" t="s">
        <v>385</v>
      </c>
      <c r="C603" s="82"/>
      <c r="D603" s="82"/>
    </row>
    <row r="604" spans="1:4" ht="15.75" customHeight="1">
      <c r="A604" s="81" t="s">
        <v>5</v>
      </c>
      <c r="B604" s="81" t="s">
        <v>386</v>
      </c>
      <c r="C604" s="82"/>
      <c r="D604" s="82"/>
    </row>
    <row r="605" spans="1:4" ht="15.75" customHeight="1">
      <c r="A605" s="81" t="s">
        <v>5</v>
      </c>
      <c r="B605" s="81" t="s">
        <v>387</v>
      </c>
      <c r="C605" s="82"/>
      <c r="D605" s="82"/>
    </row>
    <row r="606" spans="1:4" ht="15.75" customHeight="1">
      <c r="A606" s="81" t="s">
        <v>5</v>
      </c>
      <c r="B606" s="81" t="s">
        <v>388</v>
      </c>
      <c r="C606" s="82"/>
      <c r="D606" s="82"/>
    </row>
    <row r="607" spans="1:4" ht="15.75" customHeight="1">
      <c r="A607" s="81" t="s">
        <v>5</v>
      </c>
      <c r="B607" s="81" t="s">
        <v>389</v>
      </c>
      <c r="C607" s="82"/>
      <c r="D607" s="82"/>
    </row>
    <row r="608" spans="1:4" ht="15.75" customHeight="1">
      <c r="A608" s="81" t="s">
        <v>5</v>
      </c>
      <c r="B608" s="81" t="s">
        <v>390</v>
      </c>
      <c r="C608" s="82"/>
      <c r="D608" s="82"/>
    </row>
    <row r="609" spans="1:5" ht="15.75" customHeight="1">
      <c r="A609" s="81" t="s">
        <v>5</v>
      </c>
      <c r="B609" s="81" t="s">
        <v>391</v>
      </c>
      <c r="C609" s="82"/>
      <c r="D609" s="82"/>
    </row>
    <row r="610" spans="1:5" ht="15.75" customHeight="1">
      <c r="A610" s="81" t="s">
        <v>5</v>
      </c>
      <c r="B610" s="81" t="s">
        <v>392</v>
      </c>
      <c r="C610" s="82"/>
      <c r="D610" s="82"/>
    </row>
    <row r="611" spans="1:5" ht="15.75" customHeight="1">
      <c r="A611" s="81" t="s">
        <v>5</v>
      </c>
      <c r="B611" s="81" t="s">
        <v>393</v>
      </c>
      <c r="C611" s="82"/>
      <c r="D611" s="82"/>
    </row>
    <row r="612" spans="1:5" ht="15.75" customHeight="1">
      <c r="A612" s="81" t="s">
        <v>5</v>
      </c>
      <c r="B612" s="81" t="s">
        <v>394</v>
      </c>
      <c r="C612" s="82"/>
      <c r="D612" s="82"/>
    </row>
    <row r="613" spans="1:5" ht="15.75" customHeight="1">
      <c r="A613" s="81" t="s">
        <v>5</v>
      </c>
      <c r="B613" s="81" t="s">
        <v>395</v>
      </c>
      <c r="C613" s="82"/>
      <c r="D613" s="82"/>
    </row>
    <row r="614" spans="1:5" ht="15.75" customHeight="1">
      <c r="A614" s="81" t="s">
        <v>5</v>
      </c>
      <c r="B614" s="81" t="s">
        <v>396</v>
      </c>
      <c r="C614" s="82"/>
      <c r="D614" s="82"/>
    </row>
    <row r="615" spans="1:5" ht="15.75" customHeight="1">
      <c r="A615" s="81" t="s">
        <v>5</v>
      </c>
      <c r="B615" s="81" t="s">
        <v>397</v>
      </c>
      <c r="C615" s="82"/>
      <c r="D615" s="82"/>
    </row>
    <row r="616" spans="1:5" ht="15.75" customHeight="1">
      <c r="A616" s="81" t="s">
        <v>5</v>
      </c>
      <c r="B616" s="81" t="s">
        <v>398</v>
      </c>
      <c r="C616" s="82"/>
      <c r="D616" s="82"/>
    </row>
    <row r="617" spans="1:5" ht="15.75" customHeight="1">
      <c r="A617" s="81" t="s">
        <v>5</v>
      </c>
      <c r="B617" s="81" t="s">
        <v>399</v>
      </c>
      <c r="C617" s="82"/>
      <c r="D617" s="82"/>
    </row>
    <row r="618" spans="1:5" ht="15.75" customHeight="1">
      <c r="A618" s="81" t="s">
        <v>5</v>
      </c>
      <c r="B618" s="81" t="s">
        <v>400</v>
      </c>
      <c r="C618" s="82"/>
      <c r="D618" s="82"/>
    </row>
    <row r="619" spans="1:5" ht="15.75" customHeight="1">
      <c r="A619" s="81" t="s">
        <v>5</v>
      </c>
      <c r="B619" s="81" t="s">
        <v>401</v>
      </c>
      <c r="C619" s="82"/>
      <c r="D619" s="82"/>
    </row>
    <row r="620" spans="1:5" ht="15.75" customHeight="1">
      <c r="A620" s="81" t="s">
        <v>5</v>
      </c>
      <c r="B620" s="81" t="s">
        <v>402</v>
      </c>
      <c r="C620" s="82"/>
      <c r="D620" s="82"/>
      <c r="E620" s="77"/>
    </row>
    <row r="621" spans="1:5" ht="15.75" customHeight="1">
      <c r="A621" s="81" t="s">
        <v>5</v>
      </c>
      <c r="B621" s="81" t="s">
        <v>403</v>
      </c>
      <c r="C621" s="82"/>
      <c r="D621" s="82"/>
      <c r="E621" s="77"/>
    </row>
    <row r="622" spans="1:5" ht="15.75" customHeight="1">
      <c r="A622" s="81" t="s">
        <v>5</v>
      </c>
      <c r="B622" s="81" t="s">
        <v>404</v>
      </c>
      <c r="C622" s="82"/>
      <c r="D622" s="82"/>
      <c r="E622" s="77"/>
    </row>
    <row r="623" spans="1:5" ht="15.75" customHeight="1">
      <c r="A623" s="81" t="s">
        <v>5</v>
      </c>
      <c r="B623" s="81" t="s">
        <v>405</v>
      </c>
      <c r="C623" s="82"/>
      <c r="D623" s="82"/>
      <c r="E623" s="77"/>
    </row>
    <row r="624" spans="1:5" ht="15.75" customHeight="1">
      <c r="A624" s="81" t="s">
        <v>5</v>
      </c>
      <c r="B624" s="81" t="s">
        <v>406</v>
      </c>
      <c r="C624" s="82"/>
      <c r="D624" s="82"/>
      <c r="E624" s="77"/>
    </row>
    <row r="625" spans="1:5" ht="15.75" customHeight="1">
      <c r="A625" s="81" t="s">
        <v>5</v>
      </c>
      <c r="B625" s="81" t="s">
        <v>407</v>
      </c>
      <c r="C625" s="82"/>
      <c r="D625" s="82"/>
      <c r="E625" s="77"/>
    </row>
    <row r="626" spans="1:5" ht="15.75" customHeight="1">
      <c r="A626" s="81" t="s">
        <v>5</v>
      </c>
      <c r="B626" s="81" t="s">
        <v>408</v>
      </c>
      <c r="C626" s="82"/>
      <c r="D626" s="82"/>
      <c r="E626" s="77"/>
    </row>
    <row r="627" spans="1:5" ht="15.75" customHeight="1">
      <c r="A627" s="81" t="s">
        <v>5</v>
      </c>
      <c r="B627" s="81" t="s">
        <v>409</v>
      </c>
      <c r="C627" s="82">
        <v>0.43</v>
      </c>
      <c r="D627" s="82">
        <v>-0.03</v>
      </c>
      <c r="E627" s="77">
        <v>134</v>
      </c>
    </row>
    <row r="628" spans="1:5" ht="15.75" customHeight="1">
      <c r="A628" s="81" t="s">
        <v>5</v>
      </c>
      <c r="B628" s="81" t="s">
        <v>410</v>
      </c>
      <c r="C628" s="82">
        <v>0.37</v>
      </c>
      <c r="D628" s="82">
        <v>-0.02</v>
      </c>
      <c r="E628" s="77">
        <v>159</v>
      </c>
    </row>
    <row r="629" spans="1:5" ht="15.75" customHeight="1">
      <c r="A629" s="81" t="s">
        <v>5</v>
      </c>
      <c r="B629" s="81" t="s">
        <v>411</v>
      </c>
      <c r="C629" s="82">
        <v>0.35</v>
      </c>
      <c r="D629" s="82">
        <v>-0.08</v>
      </c>
      <c r="E629" s="77">
        <v>179</v>
      </c>
    </row>
    <row r="630" spans="1:5" ht="15.75" customHeight="1">
      <c r="A630" s="81" t="s">
        <v>5</v>
      </c>
      <c r="B630" s="81" t="s">
        <v>412</v>
      </c>
      <c r="C630" s="82">
        <v>0.45</v>
      </c>
      <c r="D630" s="82">
        <v>-0.08</v>
      </c>
      <c r="E630" s="77">
        <v>247</v>
      </c>
    </row>
    <row r="631" spans="1:5" ht="15.75" customHeight="1">
      <c r="A631" s="81" t="s">
        <v>5</v>
      </c>
      <c r="B631" s="81" t="s">
        <v>413</v>
      </c>
      <c r="C631" s="82">
        <v>0.41</v>
      </c>
      <c r="D631" s="82">
        <v>-0.06</v>
      </c>
      <c r="E631" s="77">
        <v>169</v>
      </c>
    </row>
    <row r="632" spans="1:5" ht="15.75" customHeight="1">
      <c r="A632" s="81" t="s">
        <v>5</v>
      </c>
      <c r="B632" s="81" t="s">
        <v>414</v>
      </c>
      <c r="C632" s="82">
        <v>0.53</v>
      </c>
      <c r="D632" s="82">
        <v>-0.05</v>
      </c>
      <c r="E632" s="77">
        <v>268</v>
      </c>
    </row>
    <row r="633" spans="1:5" ht="15.75" customHeight="1">
      <c r="A633" s="81" t="s">
        <v>5</v>
      </c>
      <c r="B633" s="81" t="s">
        <v>415</v>
      </c>
      <c r="C633" s="82">
        <v>0.61</v>
      </c>
      <c r="D633" s="82">
        <v>0.02</v>
      </c>
      <c r="E633" s="77">
        <v>298</v>
      </c>
    </row>
    <row r="634" spans="1:5" ht="15.75" customHeight="1">
      <c r="A634" s="81" t="s">
        <v>5</v>
      </c>
      <c r="B634" s="81" t="s">
        <v>416</v>
      </c>
      <c r="C634" s="82">
        <v>0.44</v>
      </c>
      <c r="D634" s="82">
        <v>0</v>
      </c>
      <c r="E634" s="77">
        <v>288</v>
      </c>
    </row>
    <row r="635" spans="1:5" ht="15.75" customHeight="1">
      <c r="A635" s="81" t="s">
        <v>5</v>
      </c>
      <c r="B635" s="81" t="s">
        <v>417</v>
      </c>
      <c r="C635" s="82">
        <v>0.4</v>
      </c>
      <c r="D635" s="82">
        <v>-0.02</v>
      </c>
      <c r="E635" s="77">
        <v>182</v>
      </c>
    </row>
    <row r="636" spans="1:5" ht="15.75" customHeight="1">
      <c r="A636" s="81" t="s">
        <v>5</v>
      </c>
      <c r="B636" s="81" t="s">
        <v>418</v>
      </c>
      <c r="C636" s="82">
        <v>0.22</v>
      </c>
      <c r="D636" s="82">
        <v>-0.06</v>
      </c>
      <c r="E636" s="77">
        <v>259</v>
      </c>
    </row>
    <row r="637" spans="1:5" ht="15.75" customHeight="1">
      <c r="A637" s="81" t="s">
        <v>5</v>
      </c>
      <c r="B637" s="81" t="s">
        <v>419</v>
      </c>
      <c r="C637" s="82">
        <v>0</v>
      </c>
      <c r="D637" s="82">
        <v>-0.09</v>
      </c>
      <c r="E637" s="77">
        <v>235</v>
      </c>
    </row>
    <row r="638" spans="1:5" ht="15.75" customHeight="1">
      <c r="A638" s="81" t="s">
        <v>5</v>
      </c>
      <c r="B638" s="81" t="s">
        <v>420</v>
      </c>
      <c r="C638" s="82">
        <v>-7.0000000000000007E-2</v>
      </c>
      <c r="D638" s="82">
        <v>-0.06</v>
      </c>
      <c r="E638" s="77">
        <v>254</v>
      </c>
    </row>
    <row r="639" spans="1:5" ht="15.75" customHeight="1">
      <c r="A639" s="81" t="s">
        <v>5</v>
      </c>
      <c r="B639" s="81" t="s">
        <v>421</v>
      </c>
      <c r="C639" s="82">
        <v>-0.11</v>
      </c>
      <c r="D639" s="82">
        <v>-0.01</v>
      </c>
      <c r="E639" s="77">
        <v>167</v>
      </c>
    </row>
    <row r="640" spans="1:5" ht="15.75" customHeight="1">
      <c r="A640" s="81" t="s">
        <v>5</v>
      </c>
      <c r="B640" s="81" t="s">
        <v>422</v>
      </c>
      <c r="C640" s="82">
        <v>-0.15</v>
      </c>
      <c r="D640" s="82">
        <v>0.03</v>
      </c>
      <c r="E640" s="77">
        <v>209</v>
      </c>
    </row>
    <row r="641" spans="1:5" ht="15.75" customHeight="1">
      <c r="A641" s="81" t="s">
        <v>5</v>
      </c>
      <c r="B641" s="81" t="s">
        <v>423</v>
      </c>
      <c r="C641" s="82">
        <v>-0.11</v>
      </c>
      <c r="D641" s="82">
        <v>7.0000000000000007E-2</v>
      </c>
      <c r="E641" s="77">
        <v>224</v>
      </c>
    </row>
    <row r="642" spans="1:5" ht="15.75" customHeight="1">
      <c r="A642" s="81" t="s">
        <v>5</v>
      </c>
      <c r="B642" s="81" t="s">
        <v>424</v>
      </c>
      <c r="C642" s="82">
        <v>-0.08</v>
      </c>
      <c r="D642" s="82">
        <v>0.06</v>
      </c>
      <c r="E642" s="77">
        <v>251</v>
      </c>
    </row>
    <row r="643" spans="1:5" ht="15.75" customHeight="1">
      <c r="A643" s="81" t="s">
        <v>5</v>
      </c>
      <c r="B643" s="81" t="s">
        <v>425</v>
      </c>
      <c r="C643" s="82">
        <v>-0.08</v>
      </c>
      <c r="D643" s="82">
        <v>0.05</v>
      </c>
      <c r="E643" s="77">
        <v>156</v>
      </c>
    </row>
    <row r="644" spans="1:5" ht="15.75" customHeight="1">
      <c r="A644" s="81" t="s">
        <v>5</v>
      </c>
      <c r="B644" s="81" t="s">
        <v>426</v>
      </c>
      <c r="C644" s="82">
        <v>-0.11</v>
      </c>
      <c r="D644" s="82">
        <v>-0.35</v>
      </c>
      <c r="E644" s="77">
        <v>140</v>
      </c>
    </row>
    <row r="645" spans="1:5" ht="15.75" customHeight="1">
      <c r="A645" s="81" t="s">
        <v>5</v>
      </c>
      <c r="B645" s="81" t="s">
        <v>427</v>
      </c>
      <c r="C645" s="82">
        <v>-0.3</v>
      </c>
      <c r="D645" s="82">
        <v>-0.5</v>
      </c>
      <c r="E645" s="77">
        <v>16</v>
      </c>
    </row>
    <row r="646" spans="1:5" ht="15.75" customHeight="1">
      <c r="A646" s="81" t="s">
        <v>5</v>
      </c>
      <c r="B646" s="81" t="s">
        <v>428</v>
      </c>
      <c r="C646" s="82">
        <v>-0.3</v>
      </c>
      <c r="D646" s="82">
        <v>-0.5</v>
      </c>
      <c r="E646" s="77">
        <v>61</v>
      </c>
    </row>
    <row r="647" spans="1:5" ht="15.75" customHeight="1">
      <c r="A647" s="81" t="s">
        <v>5</v>
      </c>
      <c r="B647" s="81" t="s">
        <v>429</v>
      </c>
      <c r="C647" s="82">
        <v>-0.3</v>
      </c>
      <c r="D647" s="82">
        <v>-0.5</v>
      </c>
      <c r="E647" s="77">
        <v>32</v>
      </c>
    </row>
    <row r="648" spans="1:5" ht="15.75" customHeight="1">
      <c r="A648" s="81" t="s">
        <v>5</v>
      </c>
      <c r="B648" s="81" t="s">
        <v>430</v>
      </c>
      <c r="C648" s="82">
        <v>-0.3</v>
      </c>
      <c r="D648" s="82">
        <v>-0.5</v>
      </c>
      <c r="E648" s="77">
        <v>38</v>
      </c>
    </row>
    <row r="649" spans="1:5" ht="15.75" customHeight="1">
      <c r="A649" s="81" t="s">
        <v>5</v>
      </c>
      <c r="B649" s="81" t="s">
        <v>431</v>
      </c>
      <c r="C649" s="82">
        <v>0.66</v>
      </c>
      <c r="D649" s="82">
        <v>-0.14000000000000001</v>
      </c>
      <c r="E649" s="77">
        <v>95</v>
      </c>
    </row>
    <row r="650" spans="1:5" ht="15.75" customHeight="1">
      <c r="A650" s="81" t="s">
        <v>5</v>
      </c>
      <c r="B650" s="81" t="s">
        <v>432</v>
      </c>
      <c r="C650" s="82">
        <v>1</v>
      </c>
      <c r="D650" s="82">
        <v>-0.11</v>
      </c>
      <c r="E650" s="77">
        <v>139</v>
      </c>
    </row>
    <row r="651" spans="1:5" ht="15.75" customHeight="1">
      <c r="A651" s="81" t="s">
        <v>5</v>
      </c>
      <c r="B651" s="81" t="s">
        <v>433</v>
      </c>
      <c r="C651" s="82">
        <v>1</v>
      </c>
      <c r="D651" s="82">
        <v>0.03</v>
      </c>
      <c r="E651" s="77">
        <v>89</v>
      </c>
    </row>
    <row r="652" spans="1:5" ht="15.75" customHeight="1">
      <c r="A652" s="81" t="s">
        <v>5</v>
      </c>
      <c r="B652" s="81" t="s">
        <v>434</v>
      </c>
      <c r="C652" s="82">
        <v>1</v>
      </c>
      <c r="D652" s="82">
        <v>7.0000000000000007E-2</v>
      </c>
      <c r="E652" s="77">
        <v>102</v>
      </c>
    </row>
    <row r="653" spans="1:5" ht="15.75" customHeight="1">
      <c r="A653" s="81" t="s">
        <v>5</v>
      </c>
      <c r="B653" s="81" t="s">
        <v>435</v>
      </c>
      <c r="C653" s="82">
        <v>1</v>
      </c>
      <c r="D653" s="82">
        <v>-0.03</v>
      </c>
      <c r="E653" s="77">
        <v>145</v>
      </c>
    </row>
    <row r="654" spans="1:5" ht="15.75" customHeight="1">
      <c r="A654" s="81" t="s">
        <v>5</v>
      </c>
      <c r="B654" s="81" t="s">
        <v>436</v>
      </c>
      <c r="C654" s="82">
        <v>1</v>
      </c>
      <c r="D654" s="82">
        <v>-0.14000000000000001</v>
      </c>
      <c r="E654" s="77">
        <v>184</v>
      </c>
    </row>
    <row r="655" spans="1:5" ht="15.75" customHeight="1">
      <c r="A655" s="81" t="s">
        <v>5</v>
      </c>
      <c r="B655" s="81" t="s">
        <v>437</v>
      </c>
      <c r="C655" s="82">
        <v>0.67</v>
      </c>
      <c r="D655" s="82">
        <v>-0.17</v>
      </c>
      <c r="E655" s="77">
        <v>105</v>
      </c>
    </row>
    <row r="656" spans="1:5" ht="15.75" customHeight="1">
      <c r="A656" s="81" t="s">
        <v>5</v>
      </c>
      <c r="B656" s="81" t="s">
        <v>438</v>
      </c>
      <c r="C656" s="82">
        <v>0.28000000000000003</v>
      </c>
      <c r="D656" s="82">
        <v>-0.13</v>
      </c>
      <c r="E656" s="77">
        <v>111</v>
      </c>
    </row>
    <row r="657" spans="1:5" ht="15.75" customHeight="1">
      <c r="A657" s="81" t="s">
        <v>5</v>
      </c>
      <c r="B657" s="81" t="s">
        <v>439</v>
      </c>
      <c r="C657" s="82">
        <v>0.11</v>
      </c>
      <c r="D657" s="82">
        <v>0</v>
      </c>
      <c r="E657" s="77">
        <v>124</v>
      </c>
    </row>
    <row r="658" spans="1:5" ht="15.75" customHeight="1">
      <c r="A658" s="81" t="s">
        <v>5</v>
      </c>
      <c r="B658" s="81" t="s">
        <v>440</v>
      </c>
      <c r="C658" s="82">
        <v>0</v>
      </c>
      <c r="D658" s="82">
        <v>-0.19</v>
      </c>
      <c r="E658" s="77">
        <v>158</v>
      </c>
    </row>
    <row r="659" spans="1:5" ht="15.75" customHeight="1">
      <c r="A659" s="81" t="s">
        <v>5</v>
      </c>
      <c r="B659" s="81" t="s">
        <v>441</v>
      </c>
      <c r="C659" s="82">
        <v>-0.08</v>
      </c>
      <c r="D659" s="82">
        <v>-0.22</v>
      </c>
      <c r="E659" s="77">
        <v>92</v>
      </c>
    </row>
    <row r="660" spans="1:5" ht="15.75" customHeight="1">
      <c r="A660" s="81" t="s">
        <v>5</v>
      </c>
      <c r="B660" s="81" t="s">
        <v>442</v>
      </c>
      <c r="C660" s="82">
        <v>-0.12</v>
      </c>
      <c r="D660" s="82">
        <v>-0.28000000000000003</v>
      </c>
      <c r="E660" s="77">
        <v>101</v>
      </c>
    </row>
    <row r="661" spans="1:5" ht="15.75" customHeight="1">
      <c r="A661" s="81" t="s">
        <v>5</v>
      </c>
      <c r="B661" s="81" t="s">
        <v>443</v>
      </c>
      <c r="C661" s="82">
        <v>-0.1</v>
      </c>
      <c r="D661" s="82">
        <v>-0.32</v>
      </c>
      <c r="E661" s="77">
        <v>119</v>
      </c>
    </row>
    <row r="662" spans="1:5" ht="15.75" customHeight="1">
      <c r="A662" s="81" t="s">
        <v>6</v>
      </c>
      <c r="B662" s="81" t="s">
        <v>334</v>
      </c>
      <c r="C662" s="82"/>
      <c r="D662" s="82"/>
    </row>
    <row r="663" spans="1:5" ht="15.75" customHeight="1">
      <c r="A663" s="81" t="s">
        <v>6</v>
      </c>
      <c r="B663" s="81" t="s">
        <v>335</v>
      </c>
      <c r="C663" s="82"/>
      <c r="D663" s="82"/>
    </row>
    <row r="664" spans="1:5" ht="15.75" customHeight="1">
      <c r="A664" s="81" t="s">
        <v>6</v>
      </c>
      <c r="B664" s="81" t="s">
        <v>336</v>
      </c>
      <c r="C664" s="82"/>
      <c r="D664" s="82"/>
    </row>
    <row r="665" spans="1:5" ht="15.75" customHeight="1">
      <c r="A665" s="81" t="s">
        <v>6</v>
      </c>
      <c r="B665" s="81" t="s">
        <v>337</v>
      </c>
      <c r="C665" s="82"/>
      <c r="D665" s="82"/>
    </row>
    <row r="666" spans="1:5" ht="15.75" customHeight="1">
      <c r="A666" s="81" t="s">
        <v>6</v>
      </c>
      <c r="B666" s="81" t="s">
        <v>338</v>
      </c>
      <c r="C666" s="82"/>
      <c r="D666" s="82"/>
    </row>
    <row r="667" spans="1:5" ht="15.75" customHeight="1">
      <c r="A667" s="81" t="s">
        <v>6</v>
      </c>
      <c r="B667" s="81" t="s">
        <v>339</v>
      </c>
      <c r="C667" s="82"/>
      <c r="D667" s="82"/>
    </row>
    <row r="668" spans="1:5" ht="15.75" customHeight="1">
      <c r="A668" s="81" t="s">
        <v>6</v>
      </c>
      <c r="B668" s="81" t="s">
        <v>340</v>
      </c>
      <c r="C668" s="82"/>
      <c r="D668" s="82"/>
    </row>
    <row r="669" spans="1:5" ht="15.75" customHeight="1">
      <c r="A669" s="81" t="s">
        <v>6</v>
      </c>
      <c r="B669" s="81" t="s">
        <v>341</v>
      </c>
      <c r="C669" s="82"/>
      <c r="D669" s="82"/>
    </row>
    <row r="670" spans="1:5" ht="15.75" customHeight="1">
      <c r="A670" s="81" t="s">
        <v>6</v>
      </c>
      <c r="B670" s="81" t="s">
        <v>342</v>
      </c>
      <c r="C670" s="82"/>
      <c r="D670" s="82"/>
    </row>
    <row r="671" spans="1:5" ht="15.75" customHeight="1">
      <c r="A671" s="81" t="s">
        <v>6</v>
      </c>
      <c r="B671" s="81" t="s">
        <v>343</v>
      </c>
      <c r="C671" s="82"/>
      <c r="D671" s="82"/>
    </row>
    <row r="672" spans="1:5" ht="15.75" customHeight="1">
      <c r="A672" s="81" t="s">
        <v>6</v>
      </c>
      <c r="B672" s="81" t="s">
        <v>344</v>
      </c>
      <c r="C672" s="82"/>
      <c r="D672" s="82"/>
    </row>
    <row r="673" spans="1:4" ht="15.75" customHeight="1">
      <c r="A673" s="81" t="s">
        <v>6</v>
      </c>
      <c r="B673" s="81" t="s">
        <v>345</v>
      </c>
      <c r="C673" s="82"/>
      <c r="D673" s="82"/>
    </row>
    <row r="674" spans="1:4" ht="15.75" customHeight="1">
      <c r="A674" s="81" t="s">
        <v>6</v>
      </c>
      <c r="B674" s="81" t="s">
        <v>346</v>
      </c>
      <c r="C674" s="82"/>
      <c r="D674" s="82"/>
    </row>
    <row r="675" spans="1:4" ht="15.75" customHeight="1">
      <c r="A675" s="81" t="s">
        <v>6</v>
      </c>
      <c r="B675" s="81" t="s">
        <v>347</v>
      </c>
      <c r="C675" s="82"/>
      <c r="D675" s="82"/>
    </row>
    <row r="676" spans="1:4" ht="15.75" customHeight="1">
      <c r="A676" s="81" t="s">
        <v>6</v>
      </c>
      <c r="B676" s="81" t="s">
        <v>348</v>
      </c>
      <c r="C676" s="82"/>
      <c r="D676" s="82"/>
    </row>
    <row r="677" spans="1:4" ht="15.75" customHeight="1">
      <c r="A677" s="81" t="s">
        <v>6</v>
      </c>
      <c r="B677" s="81" t="s">
        <v>349</v>
      </c>
      <c r="C677" s="82"/>
      <c r="D677" s="82"/>
    </row>
    <row r="678" spans="1:4" ht="15.75" customHeight="1">
      <c r="A678" s="81" t="s">
        <v>6</v>
      </c>
      <c r="B678" s="81" t="s">
        <v>350</v>
      </c>
      <c r="C678" s="82"/>
      <c r="D678" s="82"/>
    </row>
    <row r="679" spans="1:4" ht="15.75" customHeight="1">
      <c r="A679" s="81" t="s">
        <v>6</v>
      </c>
      <c r="B679" s="81" t="s">
        <v>351</v>
      </c>
      <c r="C679" s="82"/>
      <c r="D679" s="82"/>
    </row>
    <row r="680" spans="1:4" ht="15.75" customHeight="1">
      <c r="A680" s="81" t="s">
        <v>6</v>
      </c>
      <c r="B680" s="81" t="s">
        <v>352</v>
      </c>
      <c r="C680" s="82"/>
      <c r="D680" s="82"/>
    </row>
    <row r="681" spans="1:4" ht="15.75" customHeight="1">
      <c r="A681" s="81" t="s">
        <v>6</v>
      </c>
      <c r="B681" s="81" t="s">
        <v>353</v>
      </c>
      <c r="C681" s="82"/>
      <c r="D681" s="82"/>
    </row>
    <row r="682" spans="1:4" ht="15.75" customHeight="1">
      <c r="A682" s="81" t="s">
        <v>6</v>
      </c>
      <c r="B682" s="81" t="s">
        <v>354</v>
      </c>
      <c r="C682" s="82"/>
      <c r="D682" s="82"/>
    </row>
    <row r="683" spans="1:4" ht="15.75" customHeight="1">
      <c r="A683" s="81" t="s">
        <v>6</v>
      </c>
      <c r="B683" s="81" t="s">
        <v>355</v>
      </c>
      <c r="C683" s="82"/>
      <c r="D683" s="82"/>
    </row>
    <row r="684" spans="1:4" ht="15.75" customHeight="1">
      <c r="A684" s="81" t="s">
        <v>6</v>
      </c>
      <c r="B684" s="81" t="s">
        <v>356</v>
      </c>
      <c r="C684" s="82"/>
      <c r="D684" s="82"/>
    </row>
    <row r="685" spans="1:4" ht="15.75" customHeight="1">
      <c r="A685" s="81" t="s">
        <v>6</v>
      </c>
      <c r="B685" s="81" t="s">
        <v>357</v>
      </c>
      <c r="C685" s="82"/>
      <c r="D685" s="82"/>
    </row>
    <row r="686" spans="1:4" ht="15.75" customHeight="1">
      <c r="A686" s="81" t="s">
        <v>6</v>
      </c>
      <c r="B686" s="81" t="s">
        <v>358</v>
      </c>
      <c r="C686" s="82"/>
      <c r="D686" s="82"/>
    </row>
    <row r="687" spans="1:4" ht="15.75" customHeight="1">
      <c r="A687" s="81" t="s">
        <v>6</v>
      </c>
      <c r="B687" s="81" t="s">
        <v>359</v>
      </c>
      <c r="C687" s="82"/>
      <c r="D687" s="82"/>
    </row>
    <row r="688" spans="1:4" ht="15.75" customHeight="1">
      <c r="A688" s="81" t="s">
        <v>6</v>
      </c>
      <c r="B688" s="81" t="s">
        <v>360</v>
      </c>
      <c r="C688" s="82"/>
      <c r="D688" s="82"/>
    </row>
    <row r="689" spans="1:4" ht="15.75" customHeight="1">
      <c r="A689" s="81" t="s">
        <v>6</v>
      </c>
      <c r="B689" s="81" t="s">
        <v>361</v>
      </c>
      <c r="C689" s="82"/>
      <c r="D689" s="82"/>
    </row>
    <row r="690" spans="1:4" ht="15.75" customHeight="1">
      <c r="A690" s="81" t="s">
        <v>6</v>
      </c>
      <c r="B690" s="81" t="s">
        <v>362</v>
      </c>
      <c r="C690" s="82"/>
      <c r="D690" s="82"/>
    </row>
    <row r="691" spans="1:4" ht="15.75" customHeight="1">
      <c r="A691" s="81" t="s">
        <v>6</v>
      </c>
      <c r="B691" s="81" t="s">
        <v>363</v>
      </c>
      <c r="C691" s="82"/>
      <c r="D691" s="82"/>
    </row>
    <row r="692" spans="1:4" ht="15.75" customHeight="1">
      <c r="A692" s="81" t="s">
        <v>6</v>
      </c>
      <c r="B692" s="81" t="s">
        <v>364</v>
      </c>
      <c r="C692" s="82"/>
      <c r="D692" s="82"/>
    </row>
    <row r="693" spans="1:4" ht="15.75" customHeight="1">
      <c r="A693" s="81" t="s">
        <v>6</v>
      </c>
      <c r="B693" s="81" t="s">
        <v>365</v>
      </c>
      <c r="C693" s="82"/>
      <c r="D693" s="82"/>
    </row>
    <row r="694" spans="1:4" ht="15.75" customHeight="1">
      <c r="A694" s="81" t="s">
        <v>6</v>
      </c>
      <c r="B694" s="81" t="s">
        <v>366</v>
      </c>
      <c r="C694" s="82"/>
      <c r="D694" s="82"/>
    </row>
    <row r="695" spans="1:4" ht="15.75" customHeight="1">
      <c r="A695" s="81" t="s">
        <v>6</v>
      </c>
      <c r="B695" s="81" t="s">
        <v>367</v>
      </c>
      <c r="C695" s="82"/>
      <c r="D695" s="82"/>
    </row>
    <row r="696" spans="1:4" ht="15.75" customHeight="1">
      <c r="A696" s="81" t="s">
        <v>6</v>
      </c>
      <c r="B696" s="81" t="s">
        <v>368</v>
      </c>
      <c r="C696" s="82"/>
      <c r="D696" s="82"/>
    </row>
    <row r="697" spans="1:4" ht="15.75" customHeight="1">
      <c r="A697" s="81" t="s">
        <v>6</v>
      </c>
      <c r="B697" s="81" t="s">
        <v>369</v>
      </c>
      <c r="C697" s="82"/>
      <c r="D697" s="82"/>
    </row>
    <row r="698" spans="1:4" ht="15.75" customHeight="1">
      <c r="A698" s="81" t="s">
        <v>6</v>
      </c>
      <c r="B698" s="81" t="s">
        <v>370</v>
      </c>
      <c r="C698" s="82"/>
      <c r="D698" s="82"/>
    </row>
    <row r="699" spans="1:4" ht="15.75" customHeight="1">
      <c r="A699" s="81" t="s">
        <v>6</v>
      </c>
      <c r="B699" s="81" t="s">
        <v>371</v>
      </c>
      <c r="C699" s="82"/>
      <c r="D699" s="82"/>
    </row>
    <row r="700" spans="1:4" ht="15.75" customHeight="1">
      <c r="A700" s="81" t="s">
        <v>6</v>
      </c>
      <c r="B700" s="81" t="s">
        <v>372</v>
      </c>
      <c r="C700" s="82"/>
      <c r="D700" s="82"/>
    </row>
    <row r="701" spans="1:4" ht="15.75" customHeight="1">
      <c r="A701" s="81" t="s">
        <v>6</v>
      </c>
      <c r="B701" s="81" t="s">
        <v>373</v>
      </c>
      <c r="C701" s="82"/>
      <c r="D701" s="82"/>
    </row>
    <row r="702" spans="1:4" ht="15.75" customHeight="1">
      <c r="A702" s="81" t="s">
        <v>6</v>
      </c>
      <c r="B702" s="81" t="s">
        <v>374</v>
      </c>
      <c r="C702" s="82"/>
      <c r="D702" s="82"/>
    </row>
    <row r="703" spans="1:4" ht="15.75" customHeight="1">
      <c r="A703" s="81" t="s">
        <v>6</v>
      </c>
      <c r="B703" s="81" t="s">
        <v>375</v>
      </c>
      <c r="C703" s="82"/>
      <c r="D703" s="82"/>
    </row>
    <row r="704" spans="1:4" ht="15.75" customHeight="1">
      <c r="A704" s="81" t="s">
        <v>6</v>
      </c>
      <c r="B704" s="81" t="s">
        <v>376</v>
      </c>
      <c r="C704" s="82"/>
      <c r="D704" s="82"/>
    </row>
    <row r="705" spans="1:5" ht="15.75" customHeight="1">
      <c r="A705" s="81" t="s">
        <v>6</v>
      </c>
      <c r="B705" s="81" t="s">
        <v>377</v>
      </c>
      <c r="C705" s="82"/>
      <c r="D705" s="82"/>
    </row>
    <row r="706" spans="1:5" ht="15.75" customHeight="1">
      <c r="A706" s="81" t="s">
        <v>6</v>
      </c>
      <c r="B706" s="81" t="s">
        <v>378</v>
      </c>
      <c r="C706" s="82"/>
      <c r="D706" s="82"/>
    </row>
    <row r="707" spans="1:5" ht="15.75" customHeight="1">
      <c r="A707" s="81" t="s">
        <v>6</v>
      </c>
      <c r="B707" s="81" t="s">
        <v>379</v>
      </c>
      <c r="C707" s="82"/>
      <c r="D707" s="82"/>
    </row>
    <row r="708" spans="1:5" ht="15.75" customHeight="1">
      <c r="A708" s="81" t="s">
        <v>6</v>
      </c>
      <c r="B708" s="81" t="s">
        <v>380</v>
      </c>
      <c r="C708" s="82"/>
      <c r="D708" s="82"/>
    </row>
    <row r="709" spans="1:5" ht="15.75" customHeight="1">
      <c r="A709" s="81" t="s">
        <v>6</v>
      </c>
      <c r="B709" s="81" t="s">
        <v>381</v>
      </c>
      <c r="C709" s="82"/>
      <c r="D709" s="82"/>
    </row>
    <row r="710" spans="1:5" ht="15.75" customHeight="1">
      <c r="A710" s="81" t="s">
        <v>6</v>
      </c>
      <c r="B710" s="81" t="s">
        <v>382</v>
      </c>
      <c r="C710" s="82"/>
      <c r="D710" s="82"/>
    </row>
    <row r="711" spans="1:5" ht="15.75" customHeight="1">
      <c r="A711" s="81" t="s">
        <v>6</v>
      </c>
      <c r="B711" s="81" t="s">
        <v>383</v>
      </c>
      <c r="C711" s="82"/>
      <c r="D711" s="82"/>
    </row>
    <row r="712" spans="1:5" ht="15.75" customHeight="1">
      <c r="A712" s="81" t="s">
        <v>6</v>
      </c>
      <c r="B712" s="81" t="s">
        <v>384</v>
      </c>
      <c r="C712" s="82"/>
      <c r="D712" s="82"/>
    </row>
    <row r="713" spans="1:5" ht="15.75" customHeight="1">
      <c r="A713" s="81" t="s">
        <v>6</v>
      </c>
      <c r="B713" s="81" t="s">
        <v>385</v>
      </c>
      <c r="C713" s="82"/>
      <c r="D713" s="82"/>
    </row>
    <row r="714" spans="1:5" ht="15.75" customHeight="1">
      <c r="A714" s="81" t="s">
        <v>6</v>
      </c>
      <c r="B714" s="81" t="s">
        <v>386</v>
      </c>
      <c r="C714" s="82"/>
      <c r="D714" s="82"/>
    </row>
    <row r="715" spans="1:5" ht="15.75" customHeight="1">
      <c r="A715" s="81" t="s">
        <v>6</v>
      </c>
      <c r="B715" s="81" t="s">
        <v>387</v>
      </c>
      <c r="C715" s="82"/>
      <c r="D715" s="82"/>
    </row>
    <row r="716" spans="1:5" ht="15.75" customHeight="1">
      <c r="A716" s="81" t="s">
        <v>6</v>
      </c>
      <c r="B716" s="81" t="s">
        <v>388</v>
      </c>
      <c r="C716" s="82"/>
      <c r="D716" s="82"/>
    </row>
    <row r="717" spans="1:5" ht="15.75" customHeight="1">
      <c r="A717" s="81" t="s">
        <v>6</v>
      </c>
      <c r="B717" s="81" t="s">
        <v>389</v>
      </c>
      <c r="C717" s="82"/>
      <c r="D717" s="82"/>
    </row>
    <row r="718" spans="1:5" ht="15.75" customHeight="1">
      <c r="A718" s="81" t="s">
        <v>6</v>
      </c>
      <c r="B718" s="81" t="s">
        <v>390</v>
      </c>
      <c r="C718" s="82"/>
      <c r="D718" s="82"/>
    </row>
    <row r="719" spans="1:5" ht="15.75" customHeight="1">
      <c r="A719" s="81" t="s">
        <v>6</v>
      </c>
      <c r="B719" s="81" t="s">
        <v>391</v>
      </c>
      <c r="C719" s="82"/>
      <c r="D719" s="82"/>
      <c r="E719" s="77"/>
    </row>
    <row r="720" spans="1:5" ht="15.75" customHeight="1">
      <c r="A720" s="81" t="s">
        <v>6</v>
      </c>
      <c r="B720" s="81" t="s">
        <v>392</v>
      </c>
      <c r="C720" s="82"/>
      <c r="D720" s="82"/>
      <c r="E720" s="77"/>
    </row>
    <row r="721" spans="1:5" ht="15.75" customHeight="1">
      <c r="A721" s="81" t="s">
        <v>6</v>
      </c>
      <c r="B721" s="81" t="s">
        <v>393</v>
      </c>
      <c r="C721" s="82"/>
      <c r="D721" s="82"/>
      <c r="E721" s="77"/>
    </row>
    <row r="722" spans="1:5" ht="15.75" customHeight="1">
      <c r="A722" s="81" t="s">
        <v>6</v>
      </c>
      <c r="B722" s="81" t="s">
        <v>394</v>
      </c>
      <c r="C722" s="82"/>
      <c r="D722" s="82"/>
      <c r="E722" s="77"/>
    </row>
    <row r="723" spans="1:5" ht="15.75" customHeight="1">
      <c r="A723" s="81" t="s">
        <v>6</v>
      </c>
      <c r="B723" s="81" t="s">
        <v>395</v>
      </c>
      <c r="C723" s="82"/>
      <c r="D723" s="82"/>
      <c r="E723" s="77"/>
    </row>
    <row r="724" spans="1:5" ht="15.75" customHeight="1">
      <c r="A724" s="81" t="s">
        <v>6</v>
      </c>
      <c r="B724" s="81" t="s">
        <v>396</v>
      </c>
      <c r="C724" s="82"/>
      <c r="D724" s="82"/>
      <c r="E724" s="77"/>
    </row>
    <row r="725" spans="1:5" ht="15.75" customHeight="1">
      <c r="A725" s="81" t="s">
        <v>6</v>
      </c>
      <c r="B725" s="81" t="s">
        <v>397</v>
      </c>
      <c r="C725" s="82"/>
      <c r="D725" s="82"/>
      <c r="E725" s="77"/>
    </row>
    <row r="726" spans="1:5" ht="15.75" customHeight="1">
      <c r="A726" s="81" t="s">
        <v>6</v>
      </c>
      <c r="B726" s="81" t="s">
        <v>398</v>
      </c>
      <c r="C726" s="82">
        <v>0.09</v>
      </c>
      <c r="D726" s="82">
        <v>0.21</v>
      </c>
      <c r="E726" s="77">
        <v>154</v>
      </c>
    </row>
    <row r="727" spans="1:5" ht="15.75" customHeight="1">
      <c r="A727" s="81" t="s">
        <v>6</v>
      </c>
      <c r="B727" s="81" t="s">
        <v>399</v>
      </c>
      <c r="C727" s="82">
        <v>0.08</v>
      </c>
      <c r="D727" s="82">
        <v>0.2</v>
      </c>
      <c r="E727" s="77">
        <v>165</v>
      </c>
    </row>
    <row r="728" spans="1:5" ht="15.75" customHeight="1">
      <c r="A728" s="81" t="s">
        <v>6</v>
      </c>
      <c r="B728" s="81" t="s">
        <v>400</v>
      </c>
      <c r="C728" s="82">
        <v>0.08</v>
      </c>
      <c r="D728" s="82">
        <v>0.19</v>
      </c>
      <c r="E728" s="77">
        <v>165</v>
      </c>
    </row>
    <row r="729" spans="1:5" ht="15.75" customHeight="1">
      <c r="A729" s="81" t="s">
        <v>6</v>
      </c>
      <c r="B729" s="81" t="s">
        <v>401</v>
      </c>
      <c r="C729" s="82">
        <v>0.08</v>
      </c>
      <c r="D729" s="82">
        <v>0.18</v>
      </c>
      <c r="E729" s="77">
        <v>165</v>
      </c>
    </row>
    <row r="730" spans="1:5" ht="15.75" customHeight="1">
      <c r="A730" s="81" t="s">
        <v>6</v>
      </c>
      <c r="B730" s="81" t="s">
        <v>402</v>
      </c>
      <c r="C730" s="82">
        <v>0.08</v>
      </c>
      <c r="D730" s="82">
        <v>0.17</v>
      </c>
      <c r="E730" s="77">
        <v>165</v>
      </c>
    </row>
    <row r="731" spans="1:5" ht="15.75" customHeight="1">
      <c r="A731" s="81" t="s">
        <v>6</v>
      </c>
      <c r="B731" s="81" t="s">
        <v>403</v>
      </c>
      <c r="C731" s="82">
        <v>-0.13</v>
      </c>
      <c r="D731" s="82">
        <v>0.32</v>
      </c>
      <c r="E731" s="77">
        <v>39</v>
      </c>
    </row>
    <row r="732" spans="1:5" ht="15.75" customHeight="1">
      <c r="A732" s="81" t="s">
        <v>6</v>
      </c>
      <c r="B732" s="81" t="s">
        <v>404</v>
      </c>
      <c r="C732" s="82">
        <v>-0.3</v>
      </c>
      <c r="D732" s="82">
        <v>0.46</v>
      </c>
      <c r="E732" s="77">
        <v>39</v>
      </c>
    </row>
    <row r="733" spans="1:5" ht="15.75" customHeight="1">
      <c r="A733" s="81" t="s">
        <v>6</v>
      </c>
      <c r="B733" s="81" t="s">
        <v>405</v>
      </c>
      <c r="C733" s="82">
        <v>-0.3</v>
      </c>
      <c r="D733" s="82">
        <v>0.5</v>
      </c>
      <c r="E733" s="77">
        <v>39</v>
      </c>
    </row>
    <row r="734" spans="1:5" ht="15.75" customHeight="1">
      <c r="A734" s="81" t="s">
        <v>6</v>
      </c>
      <c r="B734" s="81" t="s">
        <v>406</v>
      </c>
      <c r="C734" s="82">
        <v>-0.3</v>
      </c>
      <c r="D734" s="82">
        <v>0.5</v>
      </c>
      <c r="E734" s="77">
        <v>39</v>
      </c>
    </row>
    <row r="735" spans="1:5" ht="15.75" customHeight="1">
      <c r="A735" s="81" t="s">
        <v>6</v>
      </c>
      <c r="B735" s="81" t="s">
        <v>407</v>
      </c>
      <c r="C735" s="82">
        <v>0.03</v>
      </c>
      <c r="D735" s="82">
        <v>0.5</v>
      </c>
      <c r="E735" s="77">
        <v>132</v>
      </c>
    </row>
    <row r="736" spans="1:5" ht="15.75" customHeight="1">
      <c r="A736" s="81" t="s">
        <v>6</v>
      </c>
      <c r="B736" s="81" t="s">
        <v>408</v>
      </c>
      <c r="C736" s="82">
        <v>0.82</v>
      </c>
      <c r="D736" s="82">
        <v>0.41</v>
      </c>
      <c r="E736" s="77">
        <v>132</v>
      </c>
    </row>
    <row r="737" spans="1:5" ht="15.75" customHeight="1">
      <c r="A737" s="81" t="s">
        <v>6</v>
      </c>
      <c r="B737" s="81" t="s">
        <v>409</v>
      </c>
      <c r="C737" s="82">
        <v>1</v>
      </c>
      <c r="D737" s="82">
        <v>0.3</v>
      </c>
      <c r="E737" s="77">
        <v>132</v>
      </c>
    </row>
    <row r="738" spans="1:5" ht="15.75" customHeight="1">
      <c r="A738" s="81" t="s">
        <v>6</v>
      </c>
      <c r="B738" s="81" t="s">
        <v>410</v>
      </c>
      <c r="C738" s="82">
        <v>1</v>
      </c>
      <c r="D738" s="82">
        <v>0.19</v>
      </c>
      <c r="E738" s="77">
        <v>132</v>
      </c>
    </row>
    <row r="739" spans="1:5" ht="15.75" customHeight="1">
      <c r="A739" s="81" t="s">
        <v>6</v>
      </c>
      <c r="B739" s="81" t="s">
        <v>411</v>
      </c>
      <c r="C739" s="82">
        <v>1</v>
      </c>
      <c r="D739" s="82">
        <v>0.19</v>
      </c>
      <c r="E739" s="77">
        <v>130</v>
      </c>
    </row>
    <row r="740" spans="1:5" ht="15.75" customHeight="1">
      <c r="A740" s="81" t="s">
        <v>6</v>
      </c>
      <c r="B740" s="81" t="s">
        <v>412</v>
      </c>
      <c r="C740" s="82">
        <v>1</v>
      </c>
      <c r="D740" s="82">
        <v>0.2</v>
      </c>
      <c r="E740" s="77">
        <v>130</v>
      </c>
    </row>
    <row r="741" spans="1:5" ht="15.75" customHeight="1">
      <c r="A741" s="81" t="s">
        <v>6</v>
      </c>
      <c r="B741" s="81" t="s">
        <v>413</v>
      </c>
      <c r="C741" s="82">
        <v>0.59</v>
      </c>
      <c r="D741" s="82">
        <v>0.2</v>
      </c>
      <c r="E741" s="77">
        <v>130</v>
      </c>
    </row>
    <row r="742" spans="1:5" ht="15.75" customHeight="1">
      <c r="A742" s="81" t="s">
        <v>6</v>
      </c>
      <c r="B742" s="81" t="s">
        <v>414</v>
      </c>
      <c r="C742" s="82">
        <v>-0.01</v>
      </c>
      <c r="D742" s="82">
        <v>0.21</v>
      </c>
      <c r="E742" s="77">
        <v>130</v>
      </c>
    </row>
    <row r="743" spans="1:5" ht="15.75" customHeight="1">
      <c r="A743" s="81" t="s">
        <v>6</v>
      </c>
      <c r="B743" s="81" t="s">
        <v>415</v>
      </c>
      <c r="C743" s="82">
        <v>0.02</v>
      </c>
      <c r="D743" s="82">
        <v>0.2</v>
      </c>
      <c r="E743" s="77">
        <v>148</v>
      </c>
    </row>
    <row r="744" spans="1:5" ht="15.75" customHeight="1">
      <c r="A744" s="81" t="s">
        <v>6</v>
      </c>
      <c r="B744" s="81" t="s">
        <v>416</v>
      </c>
      <c r="C744" s="82">
        <v>0.05</v>
      </c>
      <c r="D744" s="82">
        <v>0.21</v>
      </c>
      <c r="E744" s="77">
        <v>142</v>
      </c>
    </row>
    <row r="745" spans="1:5" ht="15.75" customHeight="1">
      <c r="A745" s="81" t="s">
        <v>6</v>
      </c>
      <c r="B745" s="81" t="s">
        <v>417</v>
      </c>
      <c r="C745" s="82">
        <v>0.05</v>
      </c>
      <c r="D745" s="82">
        <v>0.22</v>
      </c>
      <c r="E745" s="77">
        <v>125</v>
      </c>
    </row>
    <row r="746" spans="1:5" ht="15.75" customHeight="1">
      <c r="A746" s="81" t="s">
        <v>6</v>
      </c>
      <c r="B746" s="81" t="s">
        <v>418</v>
      </c>
      <c r="C746" s="82">
        <v>0.1</v>
      </c>
      <c r="D746" s="82">
        <v>0.21</v>
      </c>
      <c r="E746" s="77">
        <v>154</v>
      </c>
    </row>
    <row r="747" spans="1:5" ht="15.75" customHeight="1">
      <c r="A747" s="81" t="s">
        <v>6</v>
      </c>
      <c r="B747" s="81" t="s">
        <v>419</v>
      </c>
      <c r="C747" s="82">
        <v>0.06</v>
      </c>
      <c r="D747" s="82">
        <v>0.21</v>
      </c>
      <c r="E747" s="77">
        <v>148</v>
      </c>
    </row>
    <row r="748" spans="1:5" ht="15.75" customHeight="1">
      <c r="A748" s="81" t="s">
        <v>6</v>
      </c>
      <c r="B748" s="81" t="s">
        <v>420</v>
      </c>
      <c r="C748" s="82">
        <v>0.04</v>
      </c>
      <c r="D748" s="82">
        <v>0.2</v>
      </c>
      <c r="E748" s="77">
        <v>146</v>
      </c>
    </row>
    <row r="749" spans="1:5" ht="15.75" customHeight="1">
      <c r="A749" s="81" t="s">
        <v>6</v>
      </c>
      <c r="B749" s="81" t="s">
        <v>421</v>
      </c>
      <c r="C749" s="82">
        <v>0.05</v>
      </c>
      <c r="D749" s="82">
        <v>0.2</v>
      </c>
      <c r="E749" s="77">
        <v>125</v>
      </c>
    </row>
    <row r="750" spans="1:5" ht="15.75" customHeight="1">
      <c r="A750" s="81" t="s">
        <v>6</v>
      </c>
      <c r="B750" s="81" t="s">
        <v>422</v>
      </c>
      <c r="C750" s="82">
        <v>0.03</v>
      </c>
      <c r="D750" s="82">
        <v>0.22</v>
      </c>
      <c r="E750" s="77">
        <v>167</v>
      </c>
    </row>
    <row r="751" spans="1:5" ht="15.75" customHeight="1">
      <c r="A751" s="81" t="s">
        <v>6</v>
      </c>
      <c r="B751" s="81" t="s">
        <v>423</v>
      </c>
      <c r="C751" s="82">
        <v>0.04</v>
      </c>
      <c r="D751" s="82">
        <v>0.2</v>
      </c>
      <c r="E751" s="77">
        <v>156</v>
      </c>
    </row>
    <row r="752" spans="1:5" ht="15.75" customHeight="1">
      <c r="A752" s="81" t="s">
        <v>6</v>
      </c>
      <c r="B752" s="81" t="s">
        <v>424</v>
      </c>
      <c r="C752" s="82">
        <v>0.05</v>
      </c>
      <c r="D752" s="82">
        <v>0.2</v>
      </c>
      <c r="E752" s="77">
        <v>154</v>
      </c>
    </row>
    <row r="753" spans="1:5" ht="15.75" customHeight="1">
      <c r="A753" s="81" t="s">
        <v>6</v>
      </c>
      <c r="B753" s="81" t="s">
        <v>425</v>
      </c>
      <c r="C753" s="82">
        <v>0.08</v>
      </c>
      <c r="D753" s="82">
        <v>0.2</v>
      </c>
      <c r="E753" s="77">
        <v>145</v>
      </c>
    </row>
    <row r="754" spans="1:5" ht="15.75" customHeight="1">
      <c r="A754" s="81" t="s">
        <v>6</v>
      </c>
      <c r="B754" s="81" t="s">
        <v>426</v>
      </c>
      <c r="C754" s="82">
        <v>0.01</v>
      </c>
      <c r="D754" s="82">
        <v>0.19</v>
      </c>
      <c r="E754" s="77">
        <v>127</v>
      </c>
    </row>
    <row r="755" spans="1:5" ht="15.75" customHeight="1">
      <c r="A755" s="81" t="s">
        <v>6</v>
      </c>
      <c r="B755" s="81" t="s">
        <v>427</v>
      </c>
      <c r="C755" s="82">
        <v>-0.23</v>
      </c>
      <c r="D755" s="82">
        <v>-0.08</v>
      </c>
      <c r="E755" s="77">
        <v>18</v>
      </c>
    </row>
    <row r="756" spans="1:5" ht="15.75" customHeight="1">
      <c r="A756" s="81" t="s">
        <v>6</v>
      </c>
      <c r="B756" s="81" t="s">
        <v>428</v>
      </c>
      <c r="C756" s="82">
        <v>-0.3</v>
      </c>
      <c r="D756" s="82">
        <v>-0.15</v>
      </c>
      <c r="E756" s="77">
        <v>38</v>
      </c>
    </row>
    <row r="757" spans="1:5" ht="15.75" customHeight="1">
      <c r="A757" s="81" t="s">
        <v>6</v>
      </c>
      <c r="B757" s="81" t="s">
        <v>429</v>
      </c>
      <c r="C757" s="82">
        <v>-0.3</v>
      </c>
      <c r="D757" s="82">
        <v>-0.3</v>
      </c>
      <c r="E757" s="77">
        <v>33</v>
      </c>
    </row>
    <row r="758" spans="1:5" ht="15.75" customHeight="1">
      <c r="A758" s="81" t="s">
        <v>6</v>
      </c>
      <c r="B758" s="81" t="s">
        <v>430</v>
      </c>
      <c r="C758" s="82">
        <v>-0.3</v>
      </c>
      <c r="D758" s="82">
        <v>-0.48</v>
      </c>
      <c r="E758" s="77">
        <v>33</v>
      </c>
    </row>
    <row r="759" spans="1:5" ht="15.75" customHeight="1">
      <c r="A759" s="81" t="s">
        <v>6</v>
      </c>
      <c r="B759" s="81" t="s">
        <v>431</v>
      </c>
      <c r="C759" s="82">
        <v>0.21</v>
      </c>
      <c r="D759" s="82">
        <v>-0.26</v>
      </c>
      <c r="E759" s="77">
        <v>75</v>
      </c>
    </row>
    <row r="760" spans="1:5" ht="15.75" customHeight="1">
      <c r="A760" s="81" t="s">
        <v>6</v>
      </c>
      <c r="B760" s="81" t="s">
        <v>432</v>
      </c>
      <c r="C760" s="82">
        <v>0.88</v>
      </c>
      <c r="D760" s="82">
        <v>-0.23</v>
      </c>
      <c r="E760" s="77">
        <v>110</v>
      </c>
    </row>
    <row r="761" spans="1:5" ht="15.75" customHeight="1">
      <c r="A761" s="81" t="s">
        <v>6</v>
      </c>
      <c r="B761" s="81" t="s">
        <v>433</v>
      </c>
      <c r="C761" s="82">
        <v>1</v>
      </c>
      <c r="D761" s="82">
        <v>-0.14000000000000001</v>
      </c>
      <c r="E761" s="77">
        <v>105</v>
      </c>
    </row>
    <row r="762" spans="1:5" ht="15.75" customHeight="1">
      <c r="A762" s="81" t="s">
        <v>6</v>
      </c>
      <c r="B762" s="81" t="s">
        <v>434</v>
      </c>
      <c r="C762" s="82">
        <v>1</v>
      </c>
      <c r="D762" s="82">
        <v>-0.03</v>
      </c>
      <c r="E762" s="77">
        <v>131</v>
      </c>
    </row>
    <row r="763" spans="1:5" ht="15.75" customHeight="1">
      <c r="A763" s="81" t="s">
        <v>6</v>
      </c>
      <c r="B763" s="81" t="s">
        <v>435</v>
      </c>
      <c r="C763" s="82">
        <v>1</v>
      </c>
      <c r="D763" s="82">
        <v>-0.01</v>
      </c>
      <c r="E763" s="77">
        <v>160</v>
      </c>
    </row>
    <row r="764" spans="1:5" ht="15.75" customHeight="1">
      <c r="A764" s="81" t="s">
        <v>6</v>
      </c>
      <c r="B764" s="81" t="s">
        <v>436</v>
      </c>
      <c r="C764" s="82">
        <v>1</v>
      </c>
      <c r="D764" s="82">
        <v>-0.01</v>
      </c>
      <c r="E764" s="77">
        <v>158</v>
      </c>
    </row>
    <row r="765" spans="1:5" ht="15.75" customHeight="1">
      <c r="A765" s="81" t="s">
        <v>6</v>
      </c>
      <c r="B765" s="81" t="s">
        <v>437</v>
      </c>
      <c r="C765" s="82">
        <v>1</v>
      </c>
      <c r="D765" s="82">
        <v>0.01</v>
      </c>
      <c r="E765" s="77">
        <v>144</v>
      </c>
    </row>
    <row r="766" spans="1:5" ht="15.75" customHeight="1">
      <c r="A766" s="81" t="s">
        <v>6</v>
      </c>
      <c r="B766" s="81" t="s">
        <v>438</v>
      </c>
      <c r="C766" s="82">
        <v>0.55000000000000004</v>
      </c>
      <c r="D766" s="82">
        <v>0.04</v>
      </c>
      <c r="E766" s="77">
        <v>165</v>
      </c>
    </row>
    <row r="767" spans="1:5" ht="15.75" customHeight="1">
      <c r="A767" s="81" t="s">
        <v>6</v>
      </c>
      <c r="B767" s="81" t="s">
        <v>439</v>
      </c>
      <c r="C767" s="82">
        <v>0.28999999999999998</v>
      </c>
      <c r="D767" s="82">
        <v>0.08</v>
      </c>
      <c r="E767" s="77">
        <v>173</v>
      </c>
    </row>
    <row r="768" spans="1:5" ht="15.75" customHeight="1">
      <c r="A768" s="81" t="s">
        <v>6</v>
      </c>
      <c r="B768" s="81" t="s">
        <v>440</v>
      </c>
      <c r="C768" s="82">
        <v>0.22</v>
      </c>
      <c r="D768" s="82">
        <v>0.1</v>
      </c>
      <c r="E768" s="77">
        <v>186</v>
      </c>
    </row>
    <row r="769" spans="1:5" ht="15.75" customHeight="1">
      <c r="A769" s="81" t="s">
        <v>6</v>
      </c>
      <c r="B769" s="81" t="s">
        <v>441</v>
      </c>
      <c r="C769" s="82">
        <v>0.16</v>
      </c>
      <c r="D769" s="82">
        <v>0.11</v>
      </c>
      <c r="E769" s="77">
        <v>162</v>
      </c>
    </row>
    <row r="770" spans="1:5" ht="15.75" customHeight="1">
      <c r="A770" s="81" t="s">
        <v>6</v>
      </c>
      <c r="B770" s="81" t="s">
        <v>442</v>
      </c>
      <c r="C770" s="82">
        <v>0.13</v>
      </c>
      <c r="D770" s="82">
        <v>0.12</v>
      </c>
      <c r="E770" s="77">
        <v>185</v>
      </c>
    </row>
    <row r="771" spans="1:5" ht="15.75" customHeight="1">
      <c r="A771" s="81" t="s">
        <v>6</v>
      </c>
      <c r="B771" s="81" t="s">
        <v>443</v>
      </c>
      <c r="C771" s="82">
        <v>0.11</v>
      </c>
      <c r="D771" s="82">
        <v>0.11</v>
      </c>
      <c r="E771" s="77">
        <v>176</v>
      </c>
    </row>
    <row r="772" spans="1:5" ht="15.75" customHeight="1">
      <c r="A772" s="81" t="s">
        <v>7</v>
      </c>
      <c r="B772" s="81" t="s">
        <v>334</v>
      </c>
      <c r="C772" s="82"/>
      <c r="D772" s="82"/>
    </row>
    <row r="773" spans="1:5" ht="15.75" customHeight="1">
      <c r="A773" s="81" t="s">
        <v>7</v>
      </c>
      <c r="B773" s="81" t="s">
        <v>335</v>
      </c>
      <c r="C773" s="82"/>
      <c r="D773" s="82"/>
    </row>
    <row r="774" spans="1:5" ht="15.75" customHeight="1">
      <c r="A774" s="81" t="s">
        <v>7</v>
      </c>
      <c r="B774" s="81" t="s">
        <v>336</v>
      </c>
      <c r="C774" s="82"/>
      <c r="D774" s="82"/>
    </row>
    <row r="775" spans="1:5" ht="15.75" customHeight="1">
      <c r="A775" s="81" t="s">
        <v>7</v>
      </c>
      <c r="B775" s="81" t="s">
        <v>337</v>
      </c>
      <c r="C775" s="82"/>
      <c r="D775" s="82"/>
    </row>
    <row r="776" spans="1:5" ht="15.75" customHeight="1">
      <c r="A776" s="81" t="s">
        <v>7</v>
      </c>
      <c r="B776" s="81" t="s">
        <v>338</v>
      </c>
      <c r="C776" s="82"/>
      <c r="D776" s="82"/>
    </row>
    <row r="777" spans="1:5" ht="15.75" customHeight="1">
      <c r="A777" s="81" t="s">
        <v>7</v>
      </c>
      <c r="B777" s="81" t="s">
        <v>339</v>
      </c>
      <c r="C777" s="82"/>
      <c r="D777" s="82"/>
    </row>
    <row r="778" spans="1:5" ht="15.75" customHeight="1">
      <c r="A778" s="81" t="s">
        <v>7</v>
      </c>
      <c r="B778" s="81" t="s">
        <v>340</v>
      </c>
      <c r="C778" s="82"/>
      <c r="D778" s="82"/>
    </row>
    <row r="779" spans="1:5" ht="15.75" customHeight="1">
      <c r="A779" s="81" t="s">
        <v>7</v>
      </c>
      <c r="B779" s="81" t="s">
        <v>341</v>
      </c>
      <c r="C779" s="82"/>
      <c r="D779" s="82"/>
    </row>
    <row r="780" spans="1:5" ht="15.75" customHeight="1">
      <c r="A780" s="81" t="s">
        <v>7</v>
      </c>
      <c r="B780" s="81" t="s">
        <v>342</v>
      </c>
      <c r="C780" s="82"/>
      <c r="D780" s="82"/>
    </row>
    <row r="781" spans="1:5" ht="15.75" customHeight="1">
      <c r="A781" s="81" t="s">
        <v>7</v>
      </c>
      <c r="B781" s="81" t="s">
        <v>343</v>
      </c>
      <c r="C781" s="82"/>
      <c r="D781" s="82"/>
    </row>
    <row r="782" spans="1:5" ht="15.75" customHeight="1">
      <c r="A782" s="81" t="s">
        <v>7</v>
      </c>
      <c r="B782" s="81" t="s">
        <v>344</v>
      </c>
      <c r="C782" s="82"/>
      <c r="D782" s="82"/>
    </row>
    <row r="783" spans="1:5" ht="15.75" customHeight="1">
      <c r="A783" s="81" t="s">
        <v>7</v>
      </c>
      <c r="B783" s="81" t="s">
        <v>345</v>
      </c>
      <c r="C783" s="82"/>
      <c r="D783" s="82"/>
    </row>
    <row r="784" spans="1:5" ht="15.75" customHeight="1">
      <c r="A784" s="81" t="s">
        <v>7</v>
      </c>
      <c r="B784" s="81" t="s">
        <v>346</v>
      </c>
      <c r="C784" s="82"/>
      <c r="D784" s="82"/>
    </row>
    <row r="785" spans="1:4" ht="15.75" customHeight="1">
      <c r="A785" s="81" t="s">
        <v>7</v>
      </c>
      <c r="B785" s="81" t="s">
        <v>347</v>
      </c>
      <c r="C785" s="82"/>
      <c r="D785" s="82"/>
    </row>
    <row r="786" spans="1:4" ht="15.75" customHeight="1">
      <c r="A786" s="81" t="s">
        <v>7</v>
      </c>
      <c r="B786" s="81" t="s">
        <v>348</v>
      </c>
      <c r="C786" s="82"/>
      <c r="D786" s="82"/>
    </row>
    <row r="787" spans="1:4" ht="15.75" customHeight="1">
      <c r="A787" s="81" t="s">
        <v>7</v>
      </c>
      <c r="B787" s="81" t="s">
        <v>349</v>
      </c>
      <c r="C787" s="82"/>
      <c r="D787" s="82"/>
    </row>
    <row r="788" spans="1:4" ht="15.75" customHeight="1">
      <c r="A788" s="81" t="s">
        <v>7</v>
      </c>
      <c r="B788" s="81" t="s">
        <v>350</v>
      </c>
      <c r="C788" s="82"/>
      <c r="D788" s="82"/>
    </row>
    <row r="789" spans="1:4" ht="15.75" customHeight="1">
      <c r="A789" s="81" t="s">
        <v>7</v>
      </c>
      <c r="B789" s="81" t="s">
        <v>351</v>
      </c>
      <c r="C789" s="82"/>
      <c r="D789" s="82"/>
    </row>
    <row r="790" spans="1:4" ht="15.75" customHeight="1">
      <c r="A790" s="81" t="s">
        <v>7</v>
      </c>
      <c r="B790" s="81" t="s">
        <v>352</v>
      </c>
      <c r="C790" s="82"/>
      <c r="D790" s="82"/>
    </row>
    <row r="791" spans="1:4" ht="15.75" customHeight="1">
      <c r="A791" s="81" t="s">
        <v>7</v>
      </c>
      <c r="B791" s="81" t="s">
        <v>353</v>
      </c>
      <c r="C791" s="82"/>
      <c r="D791" s="82"/>
    </row>
    <row r="792" spans="1:4" ht="15.75" customHeight="1">
      <c r="A792" s="81" t="s">
        <v>7</v>
      </c>
      <c r="B792" s="81" t="s">
        <v>354</v>
      </c>
      <c r="C792" s="82"/>
      <c r="D792" s="82"/>
    </row>
    <row r="793" spans="1:4" ht="15.75" customHeight="1">
      <c r="A793" s="81" t="s">
        <v>7</v>
      </c>
      <c r="B793" s="81" t="s">
        <v>355</v>
      </c>
      <c r="C793" s="82"/>
      <c r="D793" s="82"/>
    </row>
    <row r="794" spans="1:4" ht="15.75" customHeight="1">
      <c r="A794" s="81" t="s">
        <v>7</v>
      </c>
      <c r="B794" s="81" t="s">
        <v>356</v>
      </c>
      <c r="C794" s="82"/>
      <c r="D794" s="82"/>
    </row>
    <row r="795" spans="1:4" ht="15.75" customHeight="1">
      <c r="A795" s="81" t="s">
        <v>7</v>
      </c>
      <c r="B795" s="81" t="s">
        <v>357</v>
      </c>
      <c r="C795" s="82"/>
      <c r="D795" s="82"/>
    </row>
    <row r="796" spans="1:4" ht="15.75" customHeight="1">
      <c r="A796" s="81" t="s">
        <v>7</v>
      </c>
      <c r="B796" s="81" t="s">
        <v>358</v>
      </c>
      <c r="C796" s="82"/>
      <c r="D796" s="82"/>
    </row>
    <row r="797" spans="1:4" ht="15.75" customHeight="1">
      <c r="A797" s="81" t="s">
        <v>7</v>
      </c>
      <c r="B797" s="81" t="s">
        <v>359</v>
      </c>
      <c r="C797" s="82"/>
      <c r="D797" s="82"/>
    </row>
    <row r="798" spans="1:4" ht="15.75" customHeight="1">
      <c r="A798" s="81" t="s">
        <v>7</v>
      </c>
      <c r="B798" s="81" t="s">
        <v>360</v>
      </c>
      <c r="C798" s="82"/>
      <c r="D798" s="82"/>
    </row>
    <row r="799" spans="1:4" ht="15.75" customHeight="1">
      <c r="A799" s="81" t="s">
        <v>7</v>
      </c>
      <c r="B799" s="81" t="s">
        <v>361</v>
      </c>
      <c r="C799" s="82"/>
      <c r="D799" s="82"/>
    </row>
    <row r="800" spans="1:4" ht="15.75" customHeight="1">
      <c r="A800" s="81" t="s">
        <v>7</v>
      </c>
      <c r="B800" s="81" t="s">
        <v>362</v>
      </c>
      <c r="C800" s="82"/>
      <c r="D800" s="82"/>
    </row>
    <row r="801" spans="1:4" ht="15.75" customHeight="1">
      <c r="A801" s="81" t="s">
        <v>7</v>
      </c>
      <c r="B801" s="81" t="s">
        <v>363</v>
      </c>
      <c r="C801" s="82"/>
      <c r="D801" s="82"/>
    </row>
    <row r="802" spans="1:4" ht="15.75" customHeight="1">
      <c r="A802" s="81" t="s">
        <v>7</v>
      </c>
      <c r="B802" s="81" t="s">
        <v>364</v>
      </c>
      <c r="C802" s="82"/>
      <c r="D802" s="82"/>
    </row>
    <row r="803" spans="1:4" ht="15.75" customHeight="1">
      <c r="A803" s="81" t="s">
        <v>7</v>
      </c>
      <c r="B803" s="81" t="s">
        <v>365</v>
      </c>
      <c r="C803" s="82"/>
      <c r="D803" s="82"/>
    </row>
    <row r="804" spans="1:4" ht="15.75" customHeight="1">
      <c r="A804" s="81" t="s">
        <v>7</v>
      </c>
      <c r="B804" s="81" t="s">
        <v>366</v>
      </c>
      <c r="C804" s="82"/>
      <c r="D804" s="82"/>
    </row>
    <row r="805" spans="1:4" ht="15.75" customHeight="1">
      <c r="A805" s="81" t="s">
        <v>7</v>
      </c>
      <c r="B805" s="81" t="s">
        <v>367</v>
      </c>
      <c r="C805" s="82"/>
      <c r="D805" s="82"/>
    </row>
    <row r="806" spans="1:4" ht="15.75" customHeight="1">
      <c r="A806" s="81" t="s">
        <v>7</v>
      </c>
      <c r="B806" s="81" t="s">
        <v>368</v>
      </c>
      <c r="C806" s="82"/>
      <c r="D806" s="82"/>
    </row>
    <row r="807" spans="1:4" ht="15.75" customHeight="1">
      <c r="A807" s="81" t="s">
        <v>7</v>
      </c>
      <c r="B807" s="81" t="s">
        <v>369</v>
      </c>
      <c r="C807" s="82"/>
      <c r="D807" s="82"/>
    </row>
    <row r="808" spans="1:4" ht="15.75" customHeight="1">
      <c r="A808" s="81" t="s">
        <v>7</v>
      </c>
      <c r="B808" s="81" t="s">
        <v>370</v>
      </c>
      <c r="C808" s="82"/>
      <c r="D808" s="82"/>
    </row>
    <row r="809" spans="1:4" ht="15.75" customHeight="1">
      <c r="A809" s="81" t="s">
        <v>7</v>
      </c>
      <c r="B809" s="81" t="s">
        <v>371</v>
      </c>
      <c r="C809" s="82"/>
      <c r="D809" s="82"/>
    </row>
    <row r="810" spans="1:4" ht="15.75" customHeight="1">
      <c r="A810" s="81" t="s">
        <v>7</v>
      </c>
      <c r="B810" s="81" t="s">
        <v>372</v>
      </c>
      <c r="C810" s="82"/>
      <c r="D810" s="82"/>
    </row>
    <row r="811" spans="1:4" ht="15.75" customHeight="1">
      <c r="A811" s="81" t="s">
        <v>7</v>
      </c>
      <c r="B811" s="81" t="s">
        <v>373</v>
      </c>
      <c r="C811" s="82"/>
      <c r="D811" s="82"/>
    </row>
    <row r="812" spans="1:4" ht="15.75" customHeight="1">
      <c r="A812" s="81" t="s">
        <v>7</v>
      </c>
      <c r="B812" s="81" t="s">
        <v>374</v>
      </c>
      <c r="C812" s="82"/>
      <c r="D812" s="82"/>
    </row>
    <row r="813" spans="1:4" ht="15.75" customHeight="1">
      <c r="A813" s="81" t="s">
        <v>7</v>
      </c>
      <c r="B813" s="81" t="s">
        <v>375</v>
      </c>
      <c r="C813" s="82"/>
      <c r="D813" s="82"/>
    </row>
    <row r="814" spans="1:4" ht="15.75" customHeight="1">
      <c r="A814" s="81" t="s">
        <v>7</v>
      </c>
      <c r="B814" s="81" t="s">
        <v>376</v>
      </c>
      <c r="C814" s="82"/>
      <c r="D814" s="82"/>
    </row>
    <row r="815" spans="1:4" ht="15.75" customHeight="1">
      <c r="A815" s="81" t="s">
        <v>7</v>
      </c>
      <c r="B815" s="81" t="s">
        <v>377</v>
      </c>
      <c r="C815" s="82"/>
      <c r="D815" s="82"/>
    </row>
    <row r="816" spans="1:4" ht="15.75" customHeight="1">
      <c r="A816" s="81" t="s">
        <v>7</v>
      </c>
      <c r="B816" s="81" t="s">
        <v>378</v>
      </c>
      <c r="C816" s="82"/>
      <c r="D816" s="82"/>
    </row>
    <row r="817" spans="1:4" ht="15.75" customHeight="1">
      <c r="A817" s="81" t="s">
        <v>7</v>
      </c>
      <c r="B817" s="81" t="s">
        <v>379</v>
      </c>
      <c r="C817" s="82"/>
      <c r="D817" s="82"/>
    </row>
    <row r="818" spans="1:4" ht="15.75" customHeight="1">
      <c r="A818" s="81" t="s">
        <v>7</v>
      </c>
      <c r="B818" s="81" t="s">
        <v>380</v>
      </c>
      <c r="C818" s="82"/>
      <c r="D818" s="82"/>
    </row>
    <row r="819" spans="1:4" ht="15.75" customHeight="1">
      <c r="A819" s="81" t="s">
        <v>7</v>
      </c>
      <c r="B819" s="81" t="s">
        <v>381</v>
      </c>
      <c r="C819" s="82"/>
      <c r="D819" s="82"/>
    </row>
    <row r="820" spans="1:4" ht="15.75" customHeight="1">
      <c r="A820" s="81" t="s">
        <v>7</v>
      </c>
      <c r="B820" s="81" t="s">
        <v>382</v>
      </c>
      <c r="C820" s="82"/>
      <c r="D820" s="82"/>
    </row>
    <row r="821" spans="1:4" ht="15.75" customHeight="1">
      <c r="A821" s="81" t="s">
        <v>7</v>
      </c>
      <c r="B821" s="81" t="s">
        <v>383</v>
      </c>
      <c r="C821" s="82"/>
      <c r="D821" s="82"/>
    </row>
    <row r="822" spans="1:4" ht="15.75" customHeight="1">
      <c r="A822" s="81" t="s">
        <v>7</v>
      </c>
      <c r="B822" s="81" t="s">
        <v>384</v>
      </c>
      <c r="C822" s="82"/>
      <c r="D822" s="82"/>
    </row>
    <row r="823" spans="1:4" ht="15.75" customHeight="1">
      <c r="A823" s="81" t="s">
        <v>7</v>
      </c>
      <c r="B823" s="81" t="s">
        <v>385</v>
      </c>
      <c r="C823" s="82"/>
      <c r="D823" s="82"/>
    </row>
    <row r="824" spans="1:4" ht="15.75" customHeight="1">
      <c r="A824" s="81" t="s">
        <v>7</v>
      </c>
      <c r="B824" s="81" t="s">
        <v>386</v>
      </c>
      <c r="C824" s="82"/>
      <c r="D824" s="82"/>
    </row>
    <row r="825" spans="1:4" ht="15.75" customHeight="1">
      <c r="A825" s="81" t="s">
        <v>7</v>
      </c>
      <c r="B825" s="81" t="s">
        <v>387</v>
      </c>
      <c r="C825" s="82"/>
      <c r="D825" s="82"/>
    </row>
    <row r="826" spans="1:4" ht="15.75" customHeight="1">
      <c r="A826" s="81" t="s">
        <v>7</v>
      </c>
      <c r="B826" s="81" t="s">
        <v>388</v>
      </c>
      <c r="C826" s="82"/>
      <c r="D826" s="82"/>
    </row>
    <row r="827" spans="1:4" ht="15.75" customHeight="1">
      <c r="A827" s="81" t="s">
        <v>7</v>
      </c>
      <c r="B827" s="81" t="s">
        <v>389</v>
      </c>
      <c r="C827" s="82"/>
      <c r="D827" s="82"/>
    </row>
    <row r="828" spans="1:4" ht="15.75" customHeight="1">
      <c r="A828" s="81" t="s">
        <v>7</v>
      </c>
      <c r="B828" s="81" t="s">
        <v>390</v>
      </c>
      <c r="C828" s="82"/>
      <c r="D828" s="82"/>
    </row>
    <row r="829" spans="1:4" ht="15.75" customHeight="1">
      <c r="A829" s="81" t="s">
        <v>7</v>
      </c>
      <c r="B829" s="81" t="s">
        <v>391</v>
      </c>
      <c r="C829" s="82"/>
      <c r="D829" s="82"/>
    </row>
    <row r="830" spans="1:4" ht="15.75" customHeight="1">
      <c r="A830" s="81" t="s">
        <v>7</v>
      </c>
      <c r="B830" s="81" t="s">
        <v>392</v>
      </c>
      <c r="C830" s="82"/>
      <c r="D830" s="82"/>
    </row>
    <row r="831" spans="1:4" ht="15.75" customHeight="1">
      <c r="A831" s="81" t="s">
        <v>7</v>
      </c>
      <c r="B831" s="81" t="s">
        <v>393</v>
      </c>
      <c r="C831" s="82"/>
      <c r="D831" s="82"/>
    </row>
    <row r="832" spans="1:4" ht="15.75" customHeight="1">
      <c r="A832" s="81" t="s">
        <v>7</v>
      </c>
      <c r="B832" s="81" t="s">
        <v>394</v>
      </c>
      <c r="C832" s="82"/>
      <c r="D832" s="82"/>
    </row>
    <row r="833" spans="1:5" ht="15.75" customHeight="1">
      <c r="A833" s="81" t="s">
        <v>7</v>
      </c>
      <c r="B833" s="81" t="s">
        <v>395</v>
      </c>
      <c r="C833" s="82"/>
      <c r="D833" s="82"/>
    </row>
    <row r="834" spans="1:5" ht="15.75" customHeight="1">
      <c r="A834" s="81" t="s">
        <v>7</v>
      </c>
      <c r="B834" s="81" t="s">
        <v>396</v>
      </c>
      <c r="C834" s="82"/>
      <c r="D834" s="82"/>
    </row>
    <row r="835" spans="1:5" ht="15.75" customHeight="1">
      <c r="A835" s="81" t="s">
        <v>7</v>
      </c>
      <c r="B835" s="81" t="s">
        <v>397</v>
      </c>
      <c r="C835" s="82"/>
      <c r="D835" s="82"/>
    </row>
    <row r="836" spans="1:5" ht="15.75" customHeight="1">
      <c r="A836" s="81" t="s">
        <v>7</v>
      </c>
      <c r="B836" s="81" t="s">
        <v>398</v>
      </c>
      <c r="C836" s="82"/>
      <c r="D836" s="82"/>
    </row>
    <row r="837" spans="1:5" ht="15.75" customHeight="1">
      <c r="A837" s="81" t="s">
        <v>7</v>
      </c>
      <c r="B837" s="81" t="s">
        <v>399</v>
      </c>
      <c r="C837" s="82"/>
      <c r="D837" s="82"/>
    </row>
    <row r="838" spans="1:5" ht="15.75" customHeight="1">
      <c r="A838" s="81" t="s">
        <v>7</v>
      </c>
      <c r="B838" s="81" t="s">
        <v>400</v>
      </c>
      <c r="C838" s="82"/>
      <c r="D838" s="82"/>
    </row>
    <row r="839" spans="1:5" ht="15.75" customHeight="1">
      <c r="A839" s="81" t="s">
        <v>7</v>
      </c>
      <c r="B839" s="81" t="s">
        <v>401</v>
      </c>
      <c r="C839" s="82"/>
      <c r="D839" s="82"/>
    </row>
    <row r="840" spans="1:5" ht="15.75" customHeight="1">
      <c r="A840" s="81" t="s">
        <v>7</v>
      </c>
      <c r="B840" s="81" t="s">
        <v>402</v>
      </c>
      <c r="C840" s="82"/>
      <c r="D840" s="82"/>
    </row>
    <row r="841" spans="1:5" ht="15.75" customHeight="1">
      <c r="A841" s="81" t="s">
        <v>7</v>
      </c>
      <c r="B841" s="81" t="s">
        <v>403</v>
      </c>
      <c r="C841" s="82"/>
      <c r="D841" s="82"/>
    </row>
    <row r="842" spans="1:5" ht="15.75" customHeight="1">
      <c r="A842" s="81" t="s">
        <v>7</v>
      </c>
      <c r="B842" s="81" t="s">
        <v>404</v>
      </c>
      <c r="C842" s="82"/>
      <c r="D842" s="82"/>
    </row>
    <row r="843" spans="1:5" ht="15.75" customHeight="1">
      <c r="A843" s="81" t="s">
        <v>7</v>
      </c>
      <c r="B843" s="81" t="s">
        <v>405</v>
      </c>
      <c r="C843" s="82"/>
      <c r="D843" s="82"/>
    </row>
    <row r="844" spans="1:5" ht="15.75" customHeight="1">
      <c r="A844" s="81" t="s">
        <v>7</v>
      </c>
      <c r="B844" s="81" t="s">
        <v>406</v>
      </c>
      <c r="C844" s="82"/>
      <c r="D844" s="82"/>
      <c r="E844" s="77"/>
    </row>
    <row r="845" spans="1:5" ht="15.75" customHeight="1">
      <c r="A845" s="81" t="s">
        <v>7</v>
      </c>
      <c r="B845" s="81" t="s">
        <v>407</v>
      </c>
      <c r="C845" s="82"/>
      <c r="D845" s="82"/>
      <c r="E845" s="77"/>
    </row>
    <row r="846" spans="1:5" ht="15.75" customHeight="1">
      <c r="A846" s="81" t="s">
        <v>7</v>
      </c>
      <c r="B846" s="81" t="s">
        <v>408</v>
      </c>
      <c r="C846" s="82"/>
      <c r="D846" s="82"/>
      <c r="E846" s="77"/>
    </row>
    <row r="847" spans="1:5" ht="15.75" customHeight="1">
      <c r="A847" s="81" t="s">
        <v>7</v>
      </c>
      <c r="B847" s="81" t="s">
        <v>409</v>
      </c>
      <c r="C847" s="82"/>
      <c r="D847" s="82"/>
      <c r="E847" s="77"/>
    </row>
    <row r="848" spans="1:5" ht="15.75" customHeight="1">
      <c r="A848" s="81" t="s">
        <v>7</v>
      </c>
      <c r="B848" s="81" t="s">
        <v>410</v>
      </c>
      <c r="C848" s="82">
        <v>-0.1</v>
      </c>
      <c r="D848" s="82">
        <v>-7.0000000000000007E-2</v>
      </c>
      <c r="E848" s="77">
        <v>95</v>
      </c>
    </row>
    <row r="849" spans="1:5" ht="15.75" customHeight="1">
      <c r="A849" s="81" t="s">
        <v>7</v>
      </c>
      <c r="B849" s="81" t="s">
        <v>411</v>
      </c>
      <c r="C849" s="82">
        <v>-0.08</v>
      </c>
      <c r="D849" s="82">
        <v>-0.04</v>
      </c>
      <c r="E849" s="77">
        <v>99</v>
      </c>
    </row>
    <row r="850" spans="1:5" ht="15.75" customHeight="1">
      <c r="A850" s="81" t="s">
        <v>7</v>
      </c>
      <c r="B850" s="81" t="s">
        <v>412</v>
      </c>
      <c r="C850" s="82">
        <v>-0.05</v>
      </c>
      <c r="D850" s="82">
        <v>0.03</v>
      </c>
      <c r="E850" s="77">
        <v>106</v>
      </c>
    </row>
    <row r="851" spans="1:5" ht="15.75" customHeight="1">
      <c r="A851" s="81" t="s">
        <v>7</v>
      </c>
      <c r="B851" s="81" t="s">
        <v>413</v>
      </c>
      <c r="C851" s="82">
        <v>-0.03</v>
      </c>
      <c r="D851" s="82">
        <v>7.0000000000000007E-2</v>
      </c>
      <c r="E851" s="77">
        <v>111</v>
      </c>
    </row>
    <row r="852" spans="1:5" ht="15.75" customHeight="1">
      <c r="A852" s="81" t="s">
        <v>7</v>
      </c>
      <c r="B852" s="81" t="s">
        <v>414</v>
      </c>
      <c r="C852" s="82">
        <v>0.08</v>
      </c>
      <c r="D852" s="82">
        <v>0.1</v>
      </c>
      <c r="E852" s="77">
        <v>125</v>
      </c>
    </row>
    <row r="853" spans="1:5" ht="15.75" customHeight="1">
      <c r="A853" s="81" t="s">
        <v>7</v>
      </c>
      <c r="B853" s="81" t="s">
        <v>415</v>
      </c>
      <c r="C853" s="82">
        <v>0.16</v>
      </c>
      <c r="D853" s="82">
        <v>0.11</v>
      </c>
      <c r="E853" s="77">
        <v>123</v>
      </c>
    </row>
    <row r="854" spans="1:5" ht="15.75" customHeight="1">
      <c r="A854" s="81" t="s">
        <v>7</v>
      </c>
      <c r="B854" s="81" t="s">
        <v>416</v>
      </c>
      <c r="C854" s="82">
        <v>0.21</v>
      </c>
      <c r="D854" s="82">
        <v>0.09</v>
      </c>
      <c r="E854" s="77">
        <v>131</v>
      </c>
    </row>
    <row r="855" spans="1:5" ht="15.75" customHeight="1">
      <c r="A855" s="81" t="s">
        <v>7</v>
      </c>
      <c r="B855" s="81" t="s">
        <v>417</v>
      </c>
      <c r="C855" s="82">
        <v>0.27</v>
      </c>
      <c r="D855" s="82">
        <v>0.1</v>
      </c>
      <c r="E855" s="77">
        <v>144</v>
      </c>
    </row>
    <row r="856" spans="1:5" ht="15.75" customHeight="1">
      <c r="A856" s="81" t="s">
        <v>7</v>
      </c>
      <c r="B856" s="81" t="s">
        <v>418</v>
      </c>
      <c r="C856" s="82">
        <v>0.24</v>
      </c>
      <c r="D856" s="82">
        <v>0.1</v>
      </c>
      <c r="E856" s="77">
        <v>149</v>
      </c>
    </row>
    <row r="857" spans="1:5" ht="15.75" customHeight="1">
      <c r="A857" s="81" t="s">
        <v>7</v>
      </c>
      <c r="B857" s="81" t="s">
        <v>419</v>
      </c>
      <c r="C857" s="82">
        <v>0.19</v>
      </c>
      <c r="D857" s="82">
        <v>0.09</v>
      </c>
      <c r="E857" s="77">
        <v>128</v>
      </c>
    </row>
    <row r="858" spans="1:5" ht="15.75" customHeight="1">
      <c r="A858" s="81" t="s">
        <v>7</v>
      </c>
      <c r="B858" s="81" t="s">
        <v>420</v>
      </c>
      <c r="C858" s="82">
        <v>0.11</v>
      </c>
      <c r="D858" s="82">
        <v>0.06</v>
      </c>
      <c r="E858" s="77">
        <v>121</v>
      </c>
    </row>
    <row r="859" spans="1:5" ht="15.75" customHeight="1">
      <c r="A859" s="81" t="s">
        <v>7</v>
      </c>
      <c r="B859" s="81" t="s">
        <v>421</v>
      </c>
      <c r="C859" s="82">
        <v>0.02</v>
      </c>
      <c r="D859" s="82">
        <v>0.05</v>
      </c>
      <c r="E859" s="77">
        <v>133</v>
      </c>
    </row>
    <row r="860" spans="1:5" ht="15.75" customHeight="1">
      <c r="A860" s="81" t="s">
        <v>7</v>
      </c>
      <c r="B860" s="81" t="s">
        <v>422</v>
      </c>
      <c r="C860" s="82">
        <v>-0.06</v>
      </c>
      <c r="D860" s="82">
        <v>0.01</v>
      </c>
      <c r="E860" s="77">
        <v>133</v>
      </c>
    </row>
    <row r="861" spans="1:5" ht="15.75" customHeight="1">
      <c r="A861" s="81" t="s">
        <v>7</v>
      </c>
      <c r="B861" s="81" t="s">
        <v>423</v>
      </c>
      <c r="C861" s="82">
        <v>-0.09</v>
      </c>
      <c r="D861" s="82">
        <v>-0.03</v>
      </c>
      <c r="E861" s="77">
        <v>114</v>
      </c>
    </row>
    <row r="862" spans="1:5" ht="15.75" customHeight="1">
      <c r="A862" s="81" t="s">
        <v>7</v>
      </c>
      <c r="B862" s="81" t="s">
        <v>424</v>
      </c>
      <c r="C862" s="82">
        <v>-0.05</v>
      </c>
      <c r="D862" s="82">
        <v>-0.03</v>
      </c>
      <c r="E862" s="77">
        <v>132</v>
      </c>
    </row>
    <row r="863" spans="1:5" ht="15.75" customHeight="1">
      <c r="A863" s="81" t="s">
        <v>7</v>
      </c>
      <c r="B863" s="81" t="s">
        <v>425</v>
      </c>
      <c r="C863" s="82">
        <v>-0.01</v>
      </c>
      <c r="D863" s="82">
        <v>-0.05</v>
      </c>
      <c r="E863" s="77">
        <v>146</v>
      </c>
    </row>
    <row r="864" spans="1:5" ht="15.75" customHeight="1">
      <c r="A864" s="81" t="s">
        <v>7</v>
      </c>
      <c r="B864" s="81" t="s">
        <v>426</v>
      </c>
      <c r="C864" s="82">
        <v>-0.09</v>
      </c>
      <c r="D864" s="82">
        <v>-0.11</v>
      </c>
      <c r="E864" s="77">
        <v>76</v>
      </c>
    </row>
    <row r="865" spans="1:5" ht="15.75" customHeight="1">
      <c r="A865" s="81" t="s">
        <v>7</v>
      </c>
      <c r="B865" s="81" t="s">
        <v>427</v>
      </c>
      <c r="C865" s="82">
        <v>-0.3</v>
      </c>
      <c r="D865" s="82">
        <v>0.5</v>
      </c>
      <c r="E865" s="77">
        <v>-10</v>
      </c>
    </row>
    <row r="866" spans="1:5" ht="15.75" customHeight="1">
      <c r="A866" s="81" t="s">
        <v>7</v>
      </c>
      <c r="B866" s="81" t="s">
        <v>428</v>
      </c>
      <c r="C866" s="82">
        <v>-0.3</v>
      </c>
      <c r="D866" s="82">
        <v>0.5</v>
      </c>
      <c r="E866" s="77">
        <v>12</v>
      </c>
    </row>
    <row r="867" spans="1:5" ht="15.75" customHeight="1">
      <c r="A867" s="81" t="s">
        <v>7</v>
      </c>
      <c r="B867" s="81" t="s">
        <v>429</v>
      </c>
      <c r="C867" s="82">
        <v>-0.3</v>
      </c>
      <c r="D867" s="82">
        <v>0.44</v>
      </c>
      <c r="E867" s="77">
        <v>53</v>
      </c>
    </row>
    <row r="868" spans="1:5" ht="15.75" customHeight="1">
      <c r="A868" s="81" t="s">
        <v>7</v>
      </c>
      <c r="B868" s="81" t="s">
        <v>430</v>
      </c>
      <c r="C868" s="82">
        <v>-0.3</v>
      </c>
      <c r="D868" s="82">
        <v>0.31</v>
      </c>
      <c r="E868" s="77">
        <v>52</v>
      </c>
    </row>
    <row r="869" spans="1:5" ht="15.75" customHeight="1">
      <c r="A869" s="81" t="s">
        <v>7</v>
      </c>
      <c r="B869" s="81" t="s">
        <v>431</v>
      </c>
      <c r="C869" s="82">
        <v>-0.3</v>
      </c>
      <c r="D869" s="82">
        <v>-0.5</v>
      </c>
      <c r="E869" s="77">
        <v>63</v>
      </c>
    </row>
    <row r="870" spans="1:5" ht="15.75" customHeight="1">
      <c r="A870" s="81" t="s">
        <v>7</v>
      </c>
      <c r="B870" s="81" t="s">
        <v>432</v>
      </c>
      <c r="C870" s="82">
        <v>-0.3</v>
      </c>
      <c r="D870" s="82">
        <v>-0.5</v>
      </c>
      <c r="E870" s="77">
        <v>83</v>
      </c>
    </row>
    <row r="871" spans="1:5" ht="15.75" customHeight="1">
      <c r="A871" s="81" t="s">
        <v>7</v>
      </c>
      <c r="B871" s="81" t="s">
        <v>433</v>
      </c>
      <c r="C871" s="82">
        <v>-0.09</v>
      </c>
      <c r="D871" s="82">
        <v>-0.42</v>
      </c>
      <c r="E871" s="77">
        <v>125</v>
      </c>
    </row>
    <row r="872" spans="1:5" ht="15.75" customHeight="1">
      <c r="A872" s="81" t="s">
        <v>7</v>
      </c>
      <c r="B872" s="81" t="s">
        <v>434</v>
      </c>
      <c r="C872" s="82">
        <v>0.28000000000000003</v>
      </c>
      <c r="D872" s="82">
        <v>-0.26</v>
      </c>
      <c r="E872" s="77">
        <v>112</v>
      </c>
    </row>
    <row r="873" spans="1:5" ht="15.75" customHeight="1">
      <c r="A873" s="81" t="s">
        <v>7</v>
      </c>
      <c r="B873" s="81" t="s">
        <v>435</v>
      </c>
      <c r="C873" s="82">
        <v>1</v>
      </c>
      <c r="D873" s="82">
        <v>-0.14000000000000001</v>
      </c>
      <c r="E873" s="77">
        <v>134</v>
      </c>
    </row>
    <row r="874" spans="1:5" ht="15.75" customHeight="1">
      <c r="A874" s="81" t="s">
        <v>7</v>
      </c>
      <c r="B874" s="81" t="s">
        <v>436</v>
      </c>
      <c r="C874" s="82">
        <v>1</v>
      </c>
      <c r="D874" s="82">
        <v>-0.08</v>
      </c>
      <c r="E874" s="77">
        <v>146</v>
      </c>
    </row>
    <row r="875" spans="1:5" ht="15.75" customHeight="1">
      <c r="A875" s="81" t="s">
        <v>7</v>
      </c>
      <c r="B875" s="81" t="s">
        <v>437</v>
      </c>
      <c r="C875" s="82">
        <v>0.8</v>
      </c>
      <c r="D875" s="82">
        <v>-0.09</v>
      </c>
      <c r="E875" s="77">
        <v>146</v>
      </c>
    </row>
    <row r="876" spans="1:5" ht="15.75" customHeight="1">
      <c r="A876" s="81" t="s">
        <v>7</v>
      </c>
      <c r="B876" s="81" t="s">
        <v>438</v>
      </c>
      <c r="C876" s="82">
        <v>0.61</v>
      </c>
      <c r="D876" s="82">
        <v>-7.0000000000000007E-2</v>
      </c>
      <c r="E876" s="77">
        <v>159</v>
      </c>
    </row>
    <row r="877" spans="1:5" ht="15.75" customHeight="1">
      <c r="A877" s="81" t="s">
        <v>7</v>
      </c>
      <c r="B877" s="81" t="s">
        <v>439</v>
      </c>
      <c r="C877" s="82">
        <v>0.39</v>
      </c>
      <c r="D877" s="82">
        <v>-0.03</v>
      </c>
      <c r="E877" s="77">
        <v>166</v>
      </c>
    </row>
    <row r="878" spans="1:5" ht="15.75" customHeight="1">
      <c r="A878" s="81" t="s">
        <v>7</v>
      </c>
      <c r="B878" s="81" t="s">
        <v>440</v>
      </c>
      <c r="C878" s="82">
        <v>0.26</v>
      </c>
      <c r="D878" s="82">
        <v>0.01</v>
      </c>
      <c r="E878" s="77">
        <v>178</v>
      </c>
    </row>
    <row r="879" spans="1:5" ht="15.75" customHeight="1">
      <c r="A879" s="81" t="s">
        <v>7</v>
      </c>
      <c r="B879" s="81" t="s">
        <v>441</v>
      </c>
      <c r="C879" s="82">
        <v>0.32</v>
      </c>
      <c r="D879" s="82">
        <v>0.04</v>
      </c>
      <c r="E879" s="77">
        <v>204</v>
      </c>
    </row>
    <row r="880" spans="1:5" ht="15.75" customHeight="1">
      <c r="A880" s="81" t="s">
        <v>7</v>
      </c>
      <c r="B880" s="81" t="s">
        <v>442</v>
      </c>
      <c r="C880" s="82">
        <v>0.24</v>
      </c>
      <c r="D880" s="82">
        <v>0.08</v>
      </c>
      <c r="E880" s="77">
        <v>174</v>
      </c>
    </row>
    <row r="881" spans="1:5" ht="15.75" customHeight="1">
      <c r="A881" s="81" t="s">
        <v>7</v>
      </c>
      <c r="B881" s="81" t="s">
        <v>443</v>
      </c>
      <c r="C881" s="82">
        <v>0.21</v>
      </c>
      <c r="D881" s="82">
        <v>7.0000000000000007E-2</v>
      </c>
      <c r="E881" s="77">
        <v>185</v>
      </c>
    </row>
    <row r="882" spans="1:5" ht="15.75" customHeight="1">
      <c r="A882" s="81" t="s">
        <v>8</v>
      </c>
      <c r="B882" s="81" t="s">
        <v>334</v>
      </c>
      <c r="C882" s="82"/>
      <c r="D882" s="82"/>
    </row>
    <row r="883" spans="1:5" ht="15.75" customHeight="1">
      <c r="A883" s="81" t="s">
        <v>8</v>
      </c>
      <c r="B883" s="81" t="s">
        <v>335</v>
      </c>
      <c r="C883" s="82"/>
      <c r="D883" s="82"/>
    </row>
    <row r="884" spans="1:5" ht="15.75" customHeight="1">
      <c r="A884" s="81" t="s">
        <v>8</v>
      </c>
      <c r="B884" s="81" t="s">
        <v>336</v>
      </c>
      <c r="C884" s="82"/>
      <c r="D884" s="82"/>
    </row>
    <row r="885" spans="1:5" ht="15.75" customHeight="1">
      <c r="A885" s="81" t="s">
        <v>8</v>
      </c>
      <c r="B885" s="81" t="s">
        <v>337</v>
      </c>
      <c r="C885" s="82"/>
      <c r="D885" s="82"/>
    </row>
    <row r="886" spans="1:5" ht="15.75" customHeight="1">
      <c r="A886" s="81" t="s">
        <v>8</v>
      </c>
      <c r="B886" s="81" t="s">
        <v>338</v>
      </c>
      <c r="C886" s="82"/>
      <c r="D886" s="82"/>
    </row>
    <row r="887" spans="1:5" ht="15.75" customHeight="1">
      <c r="A887" s="81" t="s">
        <v>8</v>
      </c>
      <c r="B887" s="81" t="s">
        <v>339</v>
      </c>
      <c r="C887" s="82"/>
      <c r="D887" s="82"/>
    </row>
    <row r="888" spans="1:5" ht="15.75" customHeight="1">
      <c r="A888" s="81" t="s">
        <v>8</v>
      </c>
      <c r="B888" s="81" t="s">
        <v>340</v>
      </c>
      <c r="C888" s="82"/>
      <c r="D888" s="82"/>
    </row>
    <row r="889" spans="1:5" ht="15.75" customHeight="1">
      <c r="A889" s="81" t="s">
        <v>8</v>
      </c>
      <c r="B889" s="81" t="s">
        <v>341</v>
      </c>
      <c r="C889" s="82"/>
      <c r="D889" s="82"/>
    </row>
    <row r="890" spans="1:5" ht="15.75" customHeight="1">
      <c r="A890" s="81" t="s">
        <v>8</v>
      </c>
      <c r="B890" s="81" t="s">
        <v>342</v>
      </c>
      <c r="C890" s="82"/>
      <c r="D890" s="82"/>
    </row>
    <row r="891" spans="1:5" ht="15.75" customHeight="1">
      <c r="A891" s="81" t="s">
        <v>8</v>
      </c>
      <c r="B891" s="81" t="s">
        <v>343</v>
      </c>
      <c r="C891" s="82"/>
      <c r="D891" s="82"/>
    </row>
    <row r="892" spans="1:5" ht="15.75" customHeight="1">
      <c r="A892" s="81" t="s">
        <v>8</v>
      </c>
      <c r="B892" s="81" t="s">
        <v>344</v>
      </c>
      <c r="C892" s="82"/>
      <c r="D892" s="82"/>
    </row>
    <row r="893" spans="1:5" ht="15.75" customHeight="1">
      <c r="A893" s="81" t="s">
        <v>8</v>
      </c>
      <c r="B893" s="81" t="s">
        <v>345</v>
      </c>
      <c r="C893" s="82"/>
      <c r="D893" s="82"/>
    </row>
    <row r="894" spans="1:5" ht="15.75" customHeight="1">
      <c r="A894" s="81" t="s">
        <v>8</v>
      </c>
      <c r="B894" s="81" t="s">
        <v>346</v>
      </c>
      <c r="C894" s="82"/>
      <c r="D894" s="82"/>
    </row>
    <row r="895" spans="1:5" ht="15.75" customHeight="1">
      <c r="A895" s="81" t="s">
        <v>8</v>
      </c>
      <c r="B895" s="81" t="s">
        <v>347</v>
      </c>
      <c r="C895" s="82"/>
      <c r="D895" s="82"/>
    </row>
    <row r="896" spans="1:5" ht="15.75" customHeight="1">
      <c r="A896" s="81" t="s">
        <v>8</v>
      </c>
      <c r="B896" s="81" t="s">
        <v>348</v>
      </c>
      <c r="C896" s="82"/>
      <c r="D896" s="82"/>
    </row>
    <row r="897" spans="1:4" ht="15.75" customHeight="1">
      <c r="A897" s="81" t="s">
        <v>8</v>
      </c>
      <c r="B897" s="81" t="s">
        <v>349</v>
      </c>
      <c r="C897" s="82"/>
      <c r="D897" s="82"/>
    </row>
    <row r="898" spans="1:4" ht="15.75" customHeight="1">
      <c r="A898" s="81" t="s">
        <v>8</v>
      </c>
      <c r="B898" s="81" t="s">
        <v>350</v>
      </c>
      <c r="C898" s="82"/>
      <c r="D898" s="82"/>
    </row>
    <row r="899" spans="1:4" ht="15.75" customHeight="1">
      <c r="A899" s="81" t="s">
        <v>8</v>
      </c>
      <c r="B899" s="81" t="s">
        <v>351</v>
      </c>
      <c r="C899" s="82"/>
      <c r="D899" s="82"/>
    </row>
    <row r="900" spans="1:4" ht="15.75" customHeight="1">
      <c r="A900" s="81" t="s">
        <v>8</v>
      </c>
      <c r="B900" s="81" t="s">
        <v>352</v>
      </c>
      <c r="C900" s="82"/>
      <c r="D900" s="82"/>
    </row>
    <row r="901" spans="1:4" ht="15.75" customHeight="1">
      <c r="A901" s="81" t="s">
        <v>8</v>
      </c>
      <c r="B901" s="81" t="s">
        <v>353</v>
      </c>
      <c r="C901" s="82"/>
      <c r="D901" s="82"/>
    </row>
    <row r="902" spans="1:4" ht="15.75" customHeight="1">
      <c r="A902" s="81" t="s">
        <v>8</v>
      </c>
      <c r="B902" s="81" t="s">
        <v>354</v>
      </c>
      <c r="C902" s="82"/>
      <c r="D902" s="82"/>
    </row>
    <row r="903" spans="1:4" ht="15.75" customHeight="1">
      <c r="A903" s="81" t="s">
        <v>8</v>
      </c>
      <c r="B903" s="81" t="s">
        <v>355</v>
      </c>
      <c r="C903" s="82"/>
      <c r="D903" s="82"/>
    </row>
    <row r="904" spans="1:4" ht="15.75" customHeight="1">
      <c r="A904" s="81" t="s">
        <v>8</v>
      </c>
      <c r="B904" s="81" t="s">
        <v>356</v>
      </c>
      <c r="C904" s="82"/>
      <c r="D904" s="82"/>
    </row>
    <row r="905" spans="1:4" ht="15.75" customHeight="1">
      <c r="A905" s="81" t="s">
        <v>8</v>
      </c>
      <c r="B905" s="81" t="s">
        <v>357</v>
      </c>
      <c r="C905" s="82"/>
      <c r="D905" s="82"/>
    </row>
    <row r="906" spans="1:4" ht="15.75" customHeight="1">
      <c r="A906" s="81" t="s">
        <v>8</v>
      </c>
      <c r="B906" s="81" t="s">
        <v>358</v>
      </c>
      <c r="C906" s="82"/>
      <c r="D906" s="82"/>
    </row>
    <row r="907" spans="1:4" ht="15.75" customHeight="1">
      <c r="A907" s="81" t="s">
        <v>8</v>
      </c>
      <c r="B907" s="81" t="s">
        <v>359</v>
      </c>
      <c r="C907" s="82"/>
      <c r="D907" s="82"/>
    </row>
    <row r="908" spans="1:4" ht="15.75" customHeight="1">
      <c r="A908" s="81" t="s">
        <v>8</v>
      </c>
      <c r="B908" s="81" t="s">
        <v>360</v>
      </c>
      <c r="C908" s="82"/>
      <c r="D908" s="82"/>
    </row>
    <row r="909" spans="1:4" ht="15.75" customHeight="1">
      <c r="A909" s="81" t="s">
        <v>8</v>
      </c>
      <c r="B909" s="81" t="s">
        <v>361</v>
      </c>
      <c r="C909" s="82"/>
      <c r="D909" s="82"/>
    </row>
    <row r="910" spans="1:4" ht="15.75" customHeight="1">
      <c r="A910" s="81" t="s">
        <v>8</v>
      </c>
      <c r="B910" s="81" t="s">
        <v>362</v>
      </c>
      <c r="C910" s="82"/>
      <c r="D910" s="82"/>
    </row>
    <row r="911" spans="1:4" ht="15.75" customHeight="1">
      <c r="A911" s="81" t="s">
        <v>8</v>
      </c>
      <c r="B911" s="81" t="s">
        <v>363</v>
      </c>
      <c r="C911" s="82"/>
      <c r="D911" s="82"/>
    </row>
    <row r="912" spans="1:4" ht="15.75" customHeight="1">
      <c r="A912" s="81" t="s">
        <v>8</v>
      </c>
      <c r="B912" s="81" t="s">
        <v>364</v>
      </c>
      <c r="C912" s="82"/>
      <c r="D912" s="82"/>
    </row>
    <row r="913" spans="1:5" ht="15.75" customHeight="1">
      <c r="A913" s="81" t="s">
        <v>8</v>
      </c>
      <c r="B913" s="81" t="s">
        <v>365</v>
      </c>
      <c r="C913" s="82"/>
      <c r="D913" s="82"/>
    </row>
    <row r="914" spans="1:5" ht="15.75" customHeight="1">
      <c r="A914" s="81" t="s">
        <v>8</v>
      </c>
      <c r="B914" s="81" t="s">
        <v>366</v>
      </c>
      <c r="C914" s="82"/>
      <c r="D914" s="82"/>
    </row>
    <row r="915" spans="1:5" ht="15.75" customHeight="1">
      <c r="A915" s="81" t="s">
        <v>8</v>
      </c>
      <c r="B915" s="81" t="s">
        <v>367</v>
      </c>
      <c r="C915" s="82"/>
      <c r="D915" s="82"/>
    </row>
    <row r="916" spans="1:5" ht="15.75" customHeight="1">
      <c r="A916" s="81" t="s">
        <v>8</v>
      </c>
      <c r="B916" s="81" t="s">
        <v>368</v>
      </c>
      <c r="C916" s="82"/>
      <c r="D916" s="82"/>
    </row>
    <row r="917" spans="1:5" ht="15.75" customHeight="1">
      <c r="A917" s="81" t="s">
        <v>8</v>
      </c>
      <c r="B917" s="81" t="s">
        <v>369</v>
      </c>
      <c r="C917" s="82"/>
      <c r="D917" s="82"/>
    </row>
    <row r="918" spans="1:5" ht="15.75" customHeight="1">
      <c r="A918" s="81" t="s">
        <v>8</v>
      </c>
      <c r="B918" s="81" t="s">
        <v>370</v>
      </c>
      <c r="C918" s="82"/>
      <c r="D918" s="82"/>
    </row>
    <row r="919" spans="1:5" ht="15.75" customHeight="1">
      <c r="A919" s="81" t="s">
        <v>8</v>
      </c>
      <c r="B919" s="81" t="s">
        <v>371</v>
      </c>
      <c r="C919" s="82"/>
      <c r="D919" s="82"/>
    </row>
    <row r="920" spans="1:5" ht="15.75" customHeight="1">
      <c r="A920" s="81" t="s">
        <v>8</v>
      </c>
      <c r="B920" s="81" t="s">
        <v>372</v>
      </c>
      <c r="C920" s="82"/>
      <c r="D920" s="82"/>
    </row>
    <row r="921" spans="1:5" ht="15.75" customHeight="1">
      <c r="A921" s="81" t="s">
        <v>8</v>
      </c>
      <c r="B921" s="81" t="s">
        <v>373</v>
      </c>
      <c r="C921" s="82"/>
      <c r="D921" s="82"/>
    </row>
    <row r="922" spans="1:5" ht="15.75" customHeight="1">
      <c r="A922" s="81" t="s">
        <v>8</v>
      </c>
      <c r="B922" s="81" t="s">
        <v>374</v>
      </c>
      <c r="C922" s="82"/>
      <c r="D922" s="82"/>
    </row>
    <row r="923" spans="1:5" ht="15.75" customHeight="1">
      <c r="A923" s="81" t="s">
        <v>8</v>
      </c>
      <c r="B923" s="81" t="s">
        <v>375</v>
      </c>
      <c r="C923" s="82"/>
      <c r="D923" s="82"/>
    </row>
    <row r="924" spans="1:5" ht="15.75" customHeight="1">
      <c r="A924" s="81" t="s">
        <v>8</v>
      </c>
      <c r="B924" s="81" t="s">
        <v>376</v>
      </c>
      <c r="C924" s="82"/>
      <c r="D924" s="82"/>
    </row>
    <row r="925" spans="1:5" ht="15.75" customHeight="1">
      <c r="A925" s="81" t="s">
        <v>8</v>
      </c>
      <c r="B925" s="81" t="s">
        <v>377</v>
      </c>
      <c r="C925" s="82"/>
      <c r="D925" s="82"/>
    </row>
    <row r="926" spans="1:5" ht="15.75" customHeight="1">
      <c r="A926" s="81" t="s">
        <v>8</v>
      </c>
      <c r="B926" s="81" t="s">
        <v>378</v>
      </c>
      <c r="C926" s="82"/>
      <c r="D926" s="82"/>
    </row>
    <row r="927" spans="1:5" ht="15.75" customHeight="1">
      <c r="A927" s="81" t="s">
        <v>8</v>
      </c>
      <c r="B927" s="81" t="s">
        <v>379</v>
      </c>
      <c r="C927" s="82"/>
      <c r="D927" s="82"/>
      <c r="E927" s="77"/>
    </row>
    <row r="928" spans="1:5" ht="15.75" customHeight="1">
      <c r="A928" s="81" t="s">
        <v>8</v>
      </c>
      <c r="B928" s="81" t="s">
        <v>380</v>
      </c>
      <c r="C928" s="82"/>
      <c r="D928" s="82"/>
      <c r="E928" s="77"/>
    </row>
    <row r="929" spans="1:5" ht="15.75" customHeight="1">
      <c r="A929" s="81" t="s">
        <v>8</v>
      </c>
      <c r="B929" s="81" t="s">
        <v>381</v>
      </c>
      <c r="C929" s="82"/>
      <c r="D929" s="82"/>
      <c r="E929" s="77"/>
    </row>
    <row r="930" spans="1:5" ht="15.75" customHeight="1">
      <c r="A930" s="81" t="s">
        <v>8</v>
      </c>
      <c r="B930" s="81" t="s">
        <v>382</v>
      </c>
      <c r="C930" s="82"/>
      <c r="D930" s="82"/>
      <c r="E930" s="77"/>
    </row>
    <row r="931" spans="1:5" ht="15.75" customHeight="1">
      <c r="A931" s="81" t="s">
        <v>8</v>
      </c>
      <c r="B931" s="81" t="s">
        <v>383</v>
      </c>
      <c r="C931" s="82"/>
      <c r="D931" s="82"/>
      <c r="E931" s="77"/>
    </row>
    <row r="932" spans="1:5" ht="15.75" customHeight="1">
      <c r="A932" s="81" t="s">
        <v>8</v>
      </c>
      <c r="B932" s="81" t="s">
        <v>384</v>
      </c>
      <c r="C932" s="82"/>
      <c r="D932" s="82"/>
      <c r="E932" s="77"/>
    </row>
    <row r="933" spans="1:5" ht="15.75" customHeight="1">
      <c r="A933" s="81" t="s">
        <v>8</v>
      </c>
      <c r="B933" s="81" t="s">
        <v>385</v>
      </c>
      <c r="C933" s="82"/>
      <c r="D933" s="82"/>
      <c r="E933" s="77"/>
    </row>
    <row r="934" spans="1:5" ht="15.75" customHeight="1">
      <c r="A934" s="81" t="s">
        <v>8</v>
      </c>
      <c r="B934" s="81" t="s">
        <v>386</v>
      </c>
      <c r="C934" s="82">
        <v>0.22</v>
      </c>
      <c r="D934" s="82">
        <v>-0.05</v>
      </c>
      <c r="E934" s="77">
        <v>21</v>
      </c>
    </row>
    <row r="935" spans="1:5" ht="15.75" customHeight="1">
      <c r="A935" s="81" t="s">
        <v>8</v>
      </c>
      <c r="B935" s="81" t="s">
        <v>387</v>
      </c>
      <c r="C935" s="82">
        <v>0.28999999999999998</v>
      </c>
      <c r="D935" s="82">
        <v>-0.03</v>
      </c>
      <c r="E935" s="77">
        <v>31</v>
      </c>
    </row>
    <row r="936" spans="1:5" ht="15.75" customHeight="1">
      <c r="A936" s="81" t="s">
        <v>8</v>
      </c>
      <c r="B936" s="81" t="s">
        <v>388</v>
      </c>
      <c r="C936" s="82">
        <v>0.36</v>
      </c>
      <c r="D936" s="82">
        <v>0</v>
      </c>
      <c r="E936" s="77">
        <v>31</v>
      </c>
    </row>
    <row r="937" spans="1:5" ht="15.75" customHeight="1">
      <c r="A937" s="81" t="s">
        <v>8</v>
      </c>
      <c r="B937" s="81" t="s">
        <v>389</v>
      </c>
      <c r="C937" s="82">
        <v>0.42</v>
      </c>
      <c r="D937" s="82">
        <v>0.02</v>
      </c>
      <c r="E937" s="77">
        <v>31</v>
      </c>
    </row>
    <row r="938" spans="1:5" ht="15.75" customHeight="1">
      <c r="A938" s="81" t="s">
        <v>8</v>
      </c>
      <c r="B938" s="81" t="s">
        <v>390</v>
      </c>
      <c r="C938" s="82">
        <v>0.49</v>
      </c>
      <c r="D938" s="82">
        <v>0.05</v>
      </c>
      <c r="E938" s="77">
        <v>31</v>
      </c>
    </row>
    <row r="939" spans="1:5" ht="15.75" customHeight="1">
      <c r="A939" s="81" t="s">
        <v>8</v>
      </c>
      <c r="B939" s="81" t="s">
        <v>391</v>
      </c>
      <c r="C939" s="82">
        <v>0.51</v>
      </c>
      <c r="D939" s="82">
        <v>0.05</v>
      </c>
      <c r="E939" s="77">
        <v>49</v>
      </c>
    </row>
    <row r="940" spans="1:5" ht="15.75" customHeight="1">
      <c r="A940" s="81" t="s">
        <v>8</v>
      </c>
      <c r="B940" s="81" t="s">
        <v>392</v>
      </c>
      <c r="C940" s="82">
        <v>0.53</v>
      </c>
      <c r="D940" s="82">
        <v>0.04</v>
      </c>
      <c r="E940" s="77">
        <v>49</v>
      </c>
    </row>
    <row r="941" spans="1:5" ht="15.75" customHeight="1">
      <c r="A941" s="81" t="s">
        <v>8</v>
      </c>
      <c r="B941" s="81" t="s">
        <v>393</v>
      </c>
      <c r="C941" s="82">
        <v>0.56000000000000005</v>
      </c>
      <c r="D941" s="82">
        <v>0.04</v>
      </c>
      <c r="E941" s="77">
        <v>49</v>
      </c>
    </row>
    <row r="942" spans="1:5" ht="15.75" customHeight="1">
      <c r="A942" s="81" t="s">
        <v>8</v>
      </c>
      <c r="B942" s="81" t="s">
        <v>394</v>
      </c>
      <c r="C942" s="82">
        <v>0.57999999999999996</v>
      </c>
      <c r="D942" s="82">
        <v>0.03</v>
      </c>
      <c r="E942" s="77">
        <v>49</v>
      </c>
    </row>
    <row r="943" spans="1:5" ht="15.75" customHeight="1">
      <c r="A943" s="81" t="s">
        <v>8</v>
      </c>
      <c r="B943" s="81" t="s">
        <v>395</v>
      </c>
      <c r="C943" s="82">
        <v>0.47</v>
      </c>
      <c r="D943" s="82">
        <v>0.01</v>
      </c>
      <c r="E943" s="77">
        <v>57</v>
      </c>
    </row>
    <row r="944" spans="1:5" ht="15.75" customHeight="1">
      <c r="A944" s="81" t="s">
        <v>8</v>
      </c>
      <c r="B944" s="81" t="s">
        <v>396</v>
      </c>
      <c r="C944" s="82">
        <v>0.37</v>
      </c>
      <c r="D944" s="82">
        <v>-0.01</v>
      </c>
      <c r="E944" s="77">
        <v>57</v>
      </c>
    </row>
    <row r="945" spans="1:5" ht="15.75" customHeight="1">
      <c r="A945" s="81" t="s">
        <v>8</v>
      </c>
      <c r="B945" s="81" t="s">
        <v>397</v>
      </c>
      <c r="C945" s="82">
        <v>0.27</v>
      </c>
      <c r="D945" s="82">
        <v>-0.04</v>
      </c>
      <c r="E945" s="77">
        <v>57</v>
      </c>
    </row>
    <row r="946" spans="1:5" ht="15.75" customHeight="1">
      <c r="A946" s="81" t="s">
        <v>8</v>
      </c>
      <c r="B946" s="81" t="s">
        <v>398</v>
      </c>
      <c r="C946" s="82">
        <v>0.16</v>
      </c>
      <c r="D946" s="82">
        <v>-0.06</v>
      </c>
      <c r="E946" s="77">
        <v>57</v>
      </c>
    </row>
    <row r="947" spans="1:5" ht="15.75" customHeight="1">
      <c r="A947" s="81" t="s">
        <v>8</v>
      </c>
      <c r="B947" s="81" t="s">
        <v>399</v>
      </c>
      <c r="C947" s="82">
        <v>0.15</v>
      </c>
      <c r="D947" s="82">
        <v>-0.06</v>
      </c>
      <c r="E947" s="77">
        <v>64</v>
      </c>
    </row>
    <row r="948" spans="1:5" ht="15.75" customHeight="1">
      <c r="A948" s="81" t="s">
        <v>8</v>
      </c>
      <c r="B948" s="81" t="s">
        <v>400</v>
      </c>
      <c r="C948" s="82">
        <v>0.14000000000000001</v>
      </c>
      <c r="D948" s="82">
        <v>-0.05</v>
      </c>
      <c r="E948" s="77">
        <v>64</v>
      </c>
    </row>
    <row r="949" spans="1:5" ht="15.75" customHeight="1">
      <c r="A949" s="81" t="s">
        <v>8</v>
      </c>
      <c r="B949" s="81" t="s">
        <v>401</v>
      </c>
      <c r="C949" s="82">
        <v>0.13</v>
      </c>
      <c r="D949" s="82">
        <v>-0.04</v>
      </c>
      <c r="E949" s="77">
        <v>64</v>
      </c>
    </row>
    <row r="950" spans="1:5" ht="15.75" customHeight="1">
      <c r="A950" s="81" t="s">
        <v>8</v>
      </c>
      <c r="B950" s="81" t="s">
        <v>402</v>
      </c>
      <c r="C950" s="82">
        <v>0.12</v>
      </c>
      <c r="D950" s="82">
        <v>-0.04</v>
      </c>
      <c r="E950" s="77">
        <v>64</v>
      </c>
    </row>
    <row r="951" spans="1:5" ht="15.75" customHeight="1">
      <c r="A951" s="81" t="s">
        <v>8</v>
      </c>
      <c r="B951" s="81" t="s">
        <v>403</v>
      </c>
      <c r="C951" s="82">
        <v>0.13</v>
      </c>
      <c r="D951" s="82">
        <v>-0.03</v>
      </c>
      <c r="E951" s="77">
        <v>75</v>
      </c>
    </row>
    <row r="952" spans="1:5" ht="15.75" customHeight="1">
      <c r="A952" s="81" t="s">
        <v>8</v>
      </c>
      <c r="B952" s="81" t="s">
        <v>404</v>
      </c>
      <c r="C952" s="82">
        <v>0.15</v>
      </c>
      <c r="D952" s="82">
        <v>-0.03</v>
      </c>
      <c r="E952" s="77">
        <v>75</v>
      </c>
    </row>
    <row r="953" spans="1:5" ht="15.75" customHeight="1">
      <c r="A953" s="81" t="s">
        <v>8</v>
      </c>
      <c r="B953" s="81" t="s">
        <v>405</v>
      </c>
      <c r="C953" s="82">
        <v>0.16</v>
      </c>
      <c r="D953" s="82">
        <v>-0.03</v>
      </c>
      <c r="E953" s="77">
        <v>75</v>
      </c>
    </row>
    <row r="954" spans="1:5" ht="15.75" customHeight="1">
      <c r="A954" s="81" t="s">
        <v>8</v>
      </c>
      <c r="B954" s="81" t="s">
        <v>406</v>
      </c>
      <c r="C954" s="82">
        <v>0.17</v>
      </c>
      <c r="D954" s="82">
        <v>-0.02</v>
      </c>
      <c r="E954" s="77">
        <v>75</v>
      </c>
    </row>
    <row r="955" spans="1:5" ht="15.75" customHeight="1">
      <c r="A955" s="81" t="s">
        <v>8</v>
      </c>
      <c r="B955" s="81" t="s">
        <v>407</v>
      </c>
      <c r="C955" s="82">
        <v>0.16</v>
      </c>
      <c r="D955" s="82">
        <v>-0.06</v>
      </c>
      <c r="E955" s="77">
        <v>84</v>
      </c>
    </row>
    <row r="956" spans="1:5" ht="15.75" customHeight="1">
      <c r="A956" s="81" t="s">
        <v>8</v>
      </c>
      <c r="B956" s="81" t="s">
        <v>408</v>
      </c>
      <c r="C956" s="82">
        <v>0.15</v>
      </c>
      <c r="D956" s="82">
        <v>-0.09</v>
      </c>
      <c r="E956" s="77">
        <v>84</v>
      </c>
    </row>
    <row r="957" spans="1:5" ht="15.75" customHeight="1">
      <c r="A957" s="81" t="s">
        <v>8</v>
      </c>
      <c r="B957" s="81" t="s">
        <v>409</v>
      </c>
      <c r="C957" s="82">
        <v>0.13</v>
      </c>
      <c r="D957" s="82">
        <v>-0.13</v>
      </c>
      <c r="E957" s="77">
        <v>84</v>
      </c>
    </row>
    <row r="958" spans="1:5" ht="15.75" customHeight="1">
      <c r="A958" s="81" t="s">
        <v>8</v>
      </c>
      <c r="B958" s="81" t="s">
        <v>410</v>
      </c>
      <c r="C958" s="82">
        <v>0.13</v>
      </c>
      <c r="D958" s="82">
        <v>-0.27</v>
      </c>
      <c r="E958" s="77">
        <v>88</v>
      </c>
    </row>
    <row r="959" spans="1:5" ht="15.75" customHeight="1">
      <c r="A959" s="81" t="s">
        <v>8</v>
      </c>
      <c r="B959" s="81" t="s">
        <v>411</v>
      </c>
      <c r="C959" s="82">
        <v>0.21</v>
      </c>
      <c r="D959" s="82">
        <v>-0.25</v>
      </c>
      <c r="E959" s="77">
        <v>121</v>
      </c>
    </row>
    <row r="960" spans="1:5" ht="15.75" customHeight="1">
      <c r="A960" s="81" t="s">
        <v>8</v>
      </c>
      <c r="B960" s="81" t="s">
        <v>412</v>
      </c>
      <c r="C960" s="82">
        <v>0.18</v>
      </c>
      <c r="D960" s="82">
        <v>-0.33</v>
      </c>
      <c r="E960" s="77">
        <v>83</v>
      </c>
    </row>
    <row r="961" spans="1:5" ht="15.75" customHeight="1">
      <c r="A961" s="81" t="s">
        <v>8</v>
      </c>
      <c r="B961" s="81" t="s">
        <v>413</v>
      </c>
      <c r="C961" s="82">
        <v>0.26</v>
      </c>
      <c r="D961" s="82">
        <v>-0.26</v>
      </c>
      <c r="E961" s="77">
        <v>123</v>
      </c>
    </row>
    <row r="962" spans="1:5" ht="15.75" customHeight="1">
      <c r="A962" s="81" t="s">
        <v>8</v>
      </c>
      <c r="B962" s="81" t="s">
        <v>414</v>
      </c>
      <c r="C962" s="82">
        <v>0.31</v>
      </c>
      <c r="D962" s="82">
        <v>-0.27</v>
      </c>
      <c r="E962" s="77">
        <v>120</v>
      </c>
    </row>
    <row r="963" spans="1:5" ht="15.75" customHeight="1">
      <c r="A963" s="81" t="s">
        <v>8</v>
      </c>
      <c r="B963" s="81" t="s">
        <v>415</v>
      </c>
      <c r="C963" s="82">
        <v>0.35</v>
      </c>
      <c r="D963" s="82">
        <v>-0.33</v>
      </c>
      <c r="E963" s="77">
        <v>192</v>
      </c>
    </row>
    <row r="964" spans="1:5" ht="15.75" customHeight="1">
      <c r="A964" s="81" t="s">
        <v>8</v>
      </c>
      <c r="B964" s="81" t="s">
        <v>416</v>
      </c>
      <c r="C964" s="82">
        <v>0.56000000000000005</v>
      </c>
      <c r="D964" s="82">
        <v>-0.31</v>
      </c>
      <c r="E964" s="77">
        <v>153</v>
      </c>
    </row>
    <row r="965" spans="1:5" ht="15.75" customHeight="1">
      <c r="A965" s="81" t="s">
        <v>8</v>
      </c>
      <c r="B965" s="81" t="s">
        <v>417</v>
      </c>
      <c r="C965" s="82">
        <v>0.55000000000000004</v>
      </c>
      <c r="D965" s="82">
        <v>-0.41</v>
      </c>
      <c r="E965" s="77">
        <v>172</v>
      </c>
    </row>
    <row r="966" spans="1:5" ht="15.75" customHeight="1">
      <c r="A966" s="81" t="s">
        <v>8</v>
      </c>
      <c r="B966" s="81" t="s">
        <v>418</v>
      </c>
      <c r="C966" s="82">
        <v>0.54</v>
      </c>
      <c r="D966" s="82">
        <v>-0.33</v>
      </c>
      <c r="E966" s="77">
        <v>158</v>
      </c>
    </row>
    <row r="967" spans="1:5" ht="15.75" customHeight="1">
      <c r="A967" s="81" t="s">
        <v>8</v>
      </c>
      <c r="B967" s="81" t="s">
        <v>419</v>
      </c>
      <c r="C967" s="82">
        <v>0.32</v>
      </c>
      <c r="D967" s="82">
        <v>-0.33</v>
      </c>
      <c r="E967" s="77">
        <v>137</v>
      </c>
    </row>
    <row r="968" spans="1:5" ht="15.75" customHeight="1">
      <c r="A968" s="81" t="s">
        <v>8</v>
      </c>
      <c r="B968" s="81" t="s">
        <v>420</v>
      </c>
      <c r="C968" s="82">
        <v>0.03</v>
      </c>
      <c r="D968" s="82">
        <v>-0.34</v>
      </c>
      <c r="E968" s="77">
        <v>104</v>
      </c>
    </row>
    <row r="969" spans="1:5" ht="15.75" customHeight="1">
      <c r="A969" s="81" t="s">
        <v>8</v>
      </c>
      <c r="B969" s="81" t="s">
        <v>421</v>
      </c>
      <c r="C969" s="82">
        <v>-0.14000000000000001</v>
      </c>
      <c r="D969" s="82">
        <v>-0.34</v>
      </c>
      <c r="E969" s="77">
        <v>125</v>
      </c>
    </row>
    <row r="970" spans="1:5" ht="15.75" customHeight="1">
      <c r="A970" s="81" t="s">
        <v>8</v>
      </c>
      <c r="B970" s="81" t="s">
        <v>422</v>
      </c>
      <c r="C970" s="82">
        <v>-0.28000000000000003</v>
      </c>
      <c r="D970" s="82">
        <v>-0.35</v>
      </c>
      <c r="E970" s="77">
        <v>120</v>
      </c>
    </row>
    <row r="971" spans="1:5" ht="15.75" customHeight="1">
      <c r="A971" s="81" t="s">
        <v>8</v>
      </c>
      <c r="B971" s="81" t="s">
        <v>423</v>
      </c>
      <c r="C971" s="82">
        <v>-0.2</v>
      </c>
      <c r="D971" s="82">
        <v>-0.33</v>
      </c>
      <c r="E971" s="77">
        <v>142</v>
      </c>
    </row>
    <row r="972" spans="1:5" ht="15.75" customHeight="1">
      <c r="A972" s="81" t="s">
        <v>8</v>
      </c>
      <c r="B972" s="81" t="s">
        <v>424</v>
      </c>
      <c r="C972" s="82">
        <v>-0.09</v>
      </c>
      <c r="D972" s="82">
        <v>-0.3</v>
      </c>
      <c r="E972" s="77">
        <v>118</v>
      </c>
    </row>
    <row r="973" spans="1:5" ht="15.75" customHeight="1">
      <c r="A973" s="81" t="s">
        <v>8</v>
      </c>
      <c r="B973" s="81" t="s">
        <v>425</v>
      </c>
      <c r="C973" s="82">
        <v>0.03</v>
      </c>
      <c r="D973" s="82">
        <v>-0.28999999999999998</v>
      </c>
      <c r="E973" s="77">
        <v>147</v>
      </c>
    </row>
    <row r="974" spans="1:5" ht="15.75" customHeight="1">
      <c r="A974" s="81" t="s">
        <v>8</v>
      </c>
      <c r="B974" s="81" t="s">
        <v>426</v>
      </c>
      <c r="C974" s="82">
        <v>0.06</v>
      </c>
      <c r="D974" s="82">
        <v>-0.5</v>
      </c>
      <c r="E974" s="77">
        <v>105</v>
      </c>
    </row>
    <row r="975" spans="1:5" ht="15.75" customHeight="1">
      <c r="A975" s="81" t="s">
        <v>8</v>
      </c>
      <c r="B975" s="81" t="s">
        <v>427</v>
      </c>
      <c r="C975" s="82">
        <v>-0.19</v>
      </c>
      <c r="D975" s="82">
        <v>-0.5</v>
      </c>
      <c r="E975" s="77">
        <v>6</v>
      </c>
    </row>
    <row r="976" spans="1:5" ht="15.75" customHeight="1">
      <c r="A976" s="81" t="s">
        <v>8</v>
      </c>
      <c r="B976" s="81" t="s">
        <v>428</v>
      </c>
      <c r="C976" s="82">
        <v>-0.3</v>
      </c>
      <c r="D976" s="82">
        <v>-0.5</v>
      </c>
      <c r="E976" s="77">
        <v>23</v>
      </c>
    </row>
    <row r="977" spans="1:5" ht="15.75" customHeight="1">
      <c r="A977" s="81" t="s">
        <v>8</v>
      </c>
      <c r="B977" s="81" t="s">
        <v>429</v>
      </c>
      <c r="C977" s="82">
        <v>-0.3</v>
      </c>
      <c r="D977" s="82">
        <v>-0.5</v>
      </c>
      <c r="E977" s="77">
        <v>57</v>
      </c>
    </row>
    <row r="978" spans="1:5" ht="15.75" customHeight="1">
      <c r="A978" s="81" t="s">
        <v>8</v>
      </c>
      <c r="B978" s="81" t="s">
        <v>430</v>
      </c>
      <c r="C978" s="82">
        <v>-0.3</v>
      </c>
      <c r="D978" s="82">
        <v>-0.5</v>
      </c>
      <c r="E978" s="77">
        <v>79</v>
      </c>
    </row>
    <row r="979" spans="1:5" ht="15.75" customHeight="1">
      <c r="A979" s="81" t="s">
        <v>8</v>
      </c>
      <c r="B979" s="81" t="s">
        <v>431</v>
      </c>
      <c r="C979" s="82">
        <v>0.62</v>
      </c>
      <c r="D979" s="82">
        <v>-0.44</v>
      </c>
      <c r="E979" s="77">
        <v>33</v>
      </c>
    </row>
    <row r="980" spans="1:5" ht="15.75" customHeight="1">
      <c r="A980" s="81" t="s">
        <v>8</v>
      </c>
      <c r="B980" s="81" t="s">
        <v>432</v>
      </c>
      <c r="C980" s="82">
        <v>1</v>
      </c>
      <c r="D980" s="82">
        <v>-0.24</v>
      </c>
      <c r="E980" s="77">
        <v>67</v>
      </c>
    </row>
    <row r="981" spans="1:5" ht="15.75" customHeight="1">
      <c r="A981" s="81" t="s">
        <v>8</v>
      </c>
      <c r="B981" s="81" t="s">
        <v>433</v>
      </c>
      <c r="C981" s="82">
        <v>1</v>
      </c>
      <c r="D981" s="82">
        <v>-0.25</v>
      </c>
      <c r="E981" s="77">
        <v>115</v>
      </c>
    </row>
    <row r="982" spans="1:5" ht="15.75" customHeight="1">
      <c r="A982" s="81" t="s">
        <v>8</v>
      </c>
      <c r="B982" s="81" t="s">
        <v>434</v>
      </c>
      <c r="C982" s="82">
        <v>1</v>
      </c>
      <c r="D982" s="82">
        <v>-0.25</v>
      </c>
      <c r="E982" s="77">
        <v>89</v>
      </c>
    </row>
    <row r="983" spans="1:5" ht="15.75" customHeight="1">
      <c r="A983" s="81" t="s">
        <v>8</v>
      </c>
      <c r="B983" s="81" t="s">
        <v>435</v>
      </c>
      <c r="C983" s="82">
        <v>1</v>
      </c>
      <c r="D983" s="82">
        <v>-0.08</v>
      </c>
      <c r="E983" s="77">
        <v>143</v>
      </c>
    </row>
    <row r="984" spans="1:5" ht="15.75" customHeight="1">
      <c r="A984" s="81" t="s">
        <v>8</v>
      </c>
      <c r="B984" s="81" t="s">
        <v>436</v>
      </c>
      <c r="C984" s="82">
        <v>1</v>
      </c>
      <c r="D984" s="82">
        <v>-0.06</v>
      </c>
      <c r="E984" s="77">
        <v>131</v>
      </c>
    </row>
    <row r="985" spans="1:5" ht="15.75" customHeight="1">
      <c r="A985" s="81" t="s">
        <v>8</v>
      </c>
      <c r="B985" s="81" t="s">
        <v>437</v>
      </c>
      <c r="C985" s="82">
        <v>1</v>
      </c>
      <c r="D985" s="82">
        <v>-0.04</v>
      </c>
      <c r="E985" s="77">
        <v>171</v>
      </c>
    </row>
    <row r="986" spans="1:5" ht="15.75" customHeight="1">
      <c r="A986" s="81" t="s">
        <v>8</v>
      </c>
      <c r="B986" s="81" t="s">
        <v>438</v>
      </c>
      <c r="C986" s="82">
        <v>1</v>
      </c>
      <c r="D986" s="82">
        <v>-0.02</v>
      </c>
      <c r="E986" s="77">
        <v>149</v>
      </c>
    </row>
    <row r="987" spans="1:5" ht="15.75" customHeight="1">
      <c r="A987" s="81" t="s">
        <v>8</v>
      </c>
      <c r="B987" s="81" t="s">
        <v>439</v>
      </c>
      <c r="C987" s="82">
        <v>0.62</v>
      </c>
      <c r="D987" s="82">
        <v>0.02</v>
      </c>
      <c r="E987" s="77">
        <v>197</v>
      </c>
    </row>
    <row r="988" spans="1:5" ht="15.75" customHeight="1">
      <c r="A988" s="81" t="s">
        <v>8</v>
      </c>
      <c r="B988" s="81" t="s">
        <v>440</v>
      </c>
      <c r="C988" s="82">
        <v>0.46</v>
      </c>
      <c r="D988" s="82">
        <v>0.04</v>
      </c>
      <c r="E988" s="77">
        <v>169</v>
      </c>
    </row>
    <row r="989" spans="1:5" ht="15.75" customHeight="1">
      <c r="A989" s="81" t="s">
        <v>8</v>
      </c>
      <c r="B989" s="81" t="s">
        <v>441</v>
      </c>
      <c r="C989" s="82">
        <v>0.4</v>
      </c>
      <c r="D989" s="82">
        <v>0.06</v>
      </c>
      <c r="E989" s="77">
        <v>214</v>
      </c>
    </row>
    <row r="990" spans="1:5" ht="15.75" customHeight="1">
      <c r="A990" s="81" t="s">
        <v>8</v>
      </c>
      <c r="B990" s="81" t="s">
        <v>442</v>
      </c>
      <c r="C990" s="82">
        <v>0.32</v>
      </c>
      <c r="D990" s="82">
        <v>0.11</v>
      </c>
      <c r="E990" s="77">
        <v>203</v>
      </c>
    </row>
    <row r="991" spans="1:5" ht="15.75" customHeight="1">
      <c r="A991" s="81" t="s">
        <v>8</v>
      </c>
      <c r="B991" s="81" t="s">
        <v>443</v>
      </c>
      <c r="C991" s="82">
        <v>0.3</v>
      </c>
      <c r="D991" s="82">
        <v>0.12</v>
      </c>
      <c r="E991" s="77">
        <v>255</v>
      </c>
    </row>
    <row r="992" spans="1:5" ht="15.75" customHeight="1">
      <c r="A992" s="81" t="s">
        <v>9</v>
      </c>
      <c r="B992" s="81" t="s">
        <v>334</v>
      </c>
      <c r="C992" s="82"/>
      <c r="D992" s="82"/>
    </row>
    <row r="993" spans="1:4" ht="15.75" customHeight="1">
      <c r="A993" s="81" t="s">
        <v>9</v>
      </c>
      <c r="B993" s="81" t="s">
        <v>335</v>
      </c>
      <c r="C993" s="82"/>
      <c r="D993" s="82"/>
    </row>
    <row r="994" spans="1:4" ht="15.75" customHeight="1">
      <c r="A994" s="81" t="s">
        <v>9</v>
      </c>
      <c r="B994" s="81" t="s">
        <v>336</v>
      </c>
      <c r="C994" s="82"/>
      <c r="D994" s="82"/>
    </row>
    <row r="995" spans="1:4" ht="15.75" customHeight="1">
      <c r="A995" s="81" t="s">
        <v>9</v>
      </c>
      <c r="B995" s="81" t="s">
        <v>337</v>
      </c>
      <c r="C995" s="82"/>
      <c r="D995" s="82"/>
    </row>
    <row r="996" spans="1:4" ht="15.75" customHeight="1">
      <c r="A996" s="81" t="s">
        <v>9</v>
      </c>
      <c r="B996" s="81" t="s">
        <v>338</v>
      </c>
      <c r="C996" s="82"/>
      <c r="D996" s="82"/>
    </row>
    <row r="997" spans="1:4" ht="15.75" customHeight="1">
      <c r="A997" s="81" t="s">
        <v>9</v>
      </c>
      <c r="B997" s="81" t="s">
        <v>339</v>
      </c>
      <c r="C997" s="82"/>
      <c r="D997" s="82"/>
    </row>
    <row r="998" spans="1:4" ht="15.75" customHeight="1">
      <c r="A998" s="81" t="s">
        <v>9</v>
      </c>
      <c r="B998" s="81" t="s">
        <v>340</v>
      </c>
      <c r="C998" s="82"/>
      <c r="D998" s="82"/>
    </row>
    <row r="999" spans="1:4" ht="15.75" customHeight="1">
      <c r="A999" s="81" t="s">
        <v>9</v>
      </c>
      <c r="B999" s="81" t="s">
        <v>341</v>
      </c>
      <c r="C999" s="82"/>
      <c r="D999" s="82"/>
    </row>
    <row r="1000" spans="1:4" ht="15.75" customHeight="1">
      <c r="A1000" s="81" t="s">
        <v>9</v>
      </c>
      <c r="B1000" s="81" t="s">
        <v>342</v>
      </c>
      <c r="C1000" s="82"/>
      <c r="D1000" s="82"/>
    </row>
    <row r="1001" spans="1:4" ht="15.75" customHeight="1">
      <c r="A1001" s="81" t="s">
        <v>9</v>
      </c>
      <c r="B1001" s="81" t="s">
        <v>343</v>
      </c>
      <c r="C1001" s="82"/>
      <c r="D1001" s="82"/>
    </row>
    <row r="1002" spans="1:4" ht="15.75" customHeight="1">
      <c r="A1002" s="81" t="s">
        <v>9</v>
      </c>
      <c r="B1002" s="81" t="s">
        <v>344</v>
      </c>
      <c r="C1002" s="82"/>
      <c r="D1002" s="82"/>
    </row>
    <row r="1003" spans="1:4" ht="15.75" customHeight="1">
      <c r="A1003" s="81" t="s">
        <v>9</v>
      </c>
      <c r="B1003" s="81" t="s">
        <v>345</v>
      </c>
      <c r="C1003" s="82"/>
      <c r="D1003" s="82"/>
    </row>
    <row r="1004" spans="1:4" ht="15.75" customHeight="1">
      <c r="A1004" s="81" t="s">
        <v>9</v>
      </c>
      <c r="B1004" s="81" t="s">
        <v>346</v>
      </c>
      <c r="C1004" s="82"/>
      <c r="D1004" s="82"/>
    </row>
    <row r="1005" spans="1:4" ht="15.75" customHeight="1">
      <c r="A1005" s="81" t="s">
        <v>9</v>
      </c>
      <c r="B1005" s="81" t="s">
        <v>347</v>
      </c>
      <c r="C1005" s="82"/>
      <c r="D1005" s="82"/>
    </row>
    <row r="1006" spans="1:4" ht="15.75" customHeight="1">
      <c r="A1006" s="81" t="s">
        <v>9</v>
      </c>
      <c r="B1006" s="81" t="s">
        <v>348</v>
      </c>
      <c r="C1006" s="82"/>
      <c r="D1006" s="82"/>
    </row>
    <row r="1007" spans="1:4" ht="15.75" customHeight="1">
      <c r="A1007" s="81" t="s">
        <v>9</v>
      </c>
      <c r="B1007" s="81" t="s">
        <v>349</v>
      </c>
      <c r="C1007" s="82"/>
      <c r="D1007" s="82"/>
    </row>
    <row r="1008" spans="1:4" ht="15.75" customHeight="1">
      <c r="A1008" s="81" t="s">
        <v>9</v>
      </c>
      <c r="B1008" s="81" t="s">
        <v>350</v>
      </c>
      <c r="C1008" s="82"/>
      <c r="D1008" s="82"/>
    </row>
    <row r="1009" spans="1:4" ht="15.75" customHeight="1">
      <c r="A1009" s="81" t="s">
        <v>9</v>
      </c>
      <c r="B1009" s="81" t="s">
        <v>351</v>
      </c>
      <c r="C1009" s="82"/>
      <c r="D1009" s="82"/>
    </row>
    <row r="1010" spans="1:4" ht="15.75" customHeight="1">
      <c r="A1010" s="81" t="s">
        <v>9</v>
      </c>
      <c r="B1010" s="81" t="s">
        <v>352</v>
      </c>
      <c r="C1010" s="82"/>
      <c r="D1010" s="82"/>
    </row>
    <row r="1011" spans="1:4" ht="15.75" customHeight="1">
      <c r="A1011" s="81" t="s">
        <v>9</v>
      </c>
      <c r="B1011" s="81" t="s">
        <v>353</v>
      </c>
      <c r="C1011" s="82"/>
      <c r="D1011" s="82"/>
    </row>
    <row r="1012" spans="1:4" ht="15.75" customHeight="1">
      <c r="A1012" s="81" t="s">
        <v>9</v>
      </c>
      <c r="B1012" s="81" t="s">
        <v>354</v>
      </c>
      <c r="C1012" s="82"/>
      <c r="D1012" s="82"/>
    </row>
    <row r="1013" spans="1:4" ht="15.75" customHeight="1">
      <c r="A1013" s="81" t="s">
        <v>9</v>
      </c>
      <c r="B1013" s="81" t="s">
        <v>355</v>
      </c>
      <c r="C1013" s="82"/>
      <c r="D1013" s="82"/>
    </row>
    <row r="1014" spans="1:4" ht="15.75" customHeight="1">
      <c r="A1014" s="81" t="s">
        <v>9</v>
      </c>
      <c r="B1014" s="81" t="s">
        <v>356</v>
      </c>
      <c r="C1014" s="82"/>
      <c r="D1014" s="82"/>
    </row>
    <row r="1015" spans="1:4" ht="15.75" customHeight="1">
      <c r="A1015" s="81" t="s">
        <v>9</v>
      </c>
      <c r="B1015" s="81" t="s">
        <v>357</v>
      </c>
      <c r="C1015" s="82"/>
      <c r="D1015" s="82"/>
    </row>
    <row r="1016" spans="1:4" ht="15.75" customHeight="1">
      <c r="A1016" s="81" t="s">
        <v>9</v>
      </c>
      <c r="B1016" s="81" t="s">
        <v>358</v>
      </c>
      <c r="C1016" s="82"/>
      <c r="D1016" s="82"/>
    </row>
    <row r="1017" spans="1:4" ht="15.75" customHeight="1">
      <c r="A1017" s="81" t="s">
        <v>9</v>
      </c>
      <c r="B1017" s="81" t="s">
        <v>359</v>
      </c>
      <c r="C1017" s="82"/>
      <c r="D1017" s="82"/>
    </row>
    <row r="1018" spans="1:4" ht="15.75" customHeight="1">
      <c r="A1018" s="81" t="s">
        <v>9</v>
      </c>
      <c r="B1018" s="81" t="s">
        <v>360</v>
      </c>
      <c r="C1018" s="82"/>
      <c r="D1018" s="82"/>
    </row>
    <row r="1019" spans="1:4" ht="15.75" customHeight="1">
      <c r="A1019" s="81" t="s">
        <v>9</v>
      </c>
      <c r="B1019" s="81" t="s">
        <v>361</v>
      </c>
      <c r="C1019" s="82"/>
      <c r="D1019" s="82"/>
    </row>
    <row r="1020" spans="1:4" ht="15.75" customHeight="1">
      <c r="A1020" s="81" t="s">
        <v>9</v>
      </c>
      <c r="B1020" s="81" t="s">
        <v>362</v>
      </c>
      <c r="C1020" s="82"/>
      <c r="D1020" s="82"/>
    </row>
    <row r="1021" spans="1:4" ht="15.75" customHeight="1">
      <c r="A1021" s="81" t="s">
        <v>9</v>
      </c>
      <c r="B1021" s="81" t="s">
        <v>363</v>
      </c>
      <c r="C1021" s="82"/>
      <c r="D1021" s="82"/>
    </row>
    <row r="1022" spans="1:4" ht="15.75" customHeight="1">
      <c r="A1022" s="81" t="s">
        <v>9</v>
      </c>
      <c r="B1022" s="81" t="s">
        <v>364</v>
      </c>
      <c r="C1022" s="82"/>
      <c r="D1022" s="82"/>
    </row>
    <row r="1023" spans="1:4" ht="15.75" customHeight="1">
      <c r="A1023" s="81" t="s">
        <v>9</v>
      </c>
      <c r="B1023" s="81" t="s">
        <v>365</v>
      </c>
      <c r="C1023" s="82"/>
      <c r="D1023" s="82"/>
    </row>
    <row r="1024" spans="1:4" ht="15.75" customHeight="1">
      <c r="A1024" s="81" t="s">
        <v>9</v>
      </c>
      <c r="B1024" s="81" t="s">
        <v>366</v>
      </c>
      <c r="C1024" s="82"/>
      <c r="D1024" s="82"/>
    </row>
    <row r="1025" spans="1:4" ht="15.75" customHeight="1">
      <c r="A1025" s="81" t="s">
        <v>9</v>
      </c>
      <c r="B1025" s="81" t="s">
        <v>367</v>
      </c>
      <c r="C1025" s="82"/>
      <c r="D1025" s="82"/>
    </row>
    <row r="1026" spans="1:4" ht="15.75" customHeight="1">
      <c r="A1026" s="81" t="s">
        <v>9</v>
      </c>
      <c r="B1026" s="81" t="s">
        <v>368</v>
      </c>
      <c r="C1026" s="82"/>
      <c r="D1026" s="82"/>
    </row>
    <row r="1027" spans="1:4" ht="15.75" customHeight="1">
      <c r="A1027" s="81" t="s">
        <v>9</v>
      </c>
      <c r="B1027" s="81" t="s">
        <v>369</v>
      </c>
      <c r="C1027" s="82"/>
      <c r="D1027" s="82"/>
    </row>
    <row r="1028" spans="1:4" ht="15.75" customHeight="1">
      <c r="A1028" s="81" t="s">
        <v>9</v>
      </c>
      <c r="B1028" s="81" t="s">
        <v>370</v>
      </c>
      <c r="C1028" s="82"/>
      <c r="D1028" s="82"/>
    </row>
    <row r="1029" spans="1:4" ht="15.75" customHeight="1">
      <c r="A1029" s="81" t="s">
        <v>9</v>
      </c>
      <c r="B1029" s="81" t="s">
        <v>371</v>
      </c>
      <c r="C1029" s="82"/>
      <c r="D1029" s="82"/>
    </row>
    <row r="1030" spans="1:4" ht="15.75" customHeight="1">
      <c r="A1030" s="81" t="s">
        <v>9</v>
      </c>
      <c r="B1030" s="81" t="s">
        <v>372</v>
      </c>
      <c r="C1030" s="82"/>
      <c r="D1030" s="82"/>
    </row>
    <row r="1031" spans="1:4" ht="15.75" customHeight="1">
      <c r="A1031" s="81" t="s">
        <v>9</v>
      </c>
      <c r="B1031" s="81" t="s">
        <v>373</v>
      </c>
      <c r="C1031" s="82"/>
      <c r="D1031" s="82"/>
    </row>
    <row r="1032" spans="1:4" ht="15.75" customHeight="1">
      <c r="A1032" s="81" t="s">
        <v>9</v>
      </c>
      <c r="B1032" s="81" t="s">
        <v>374</v>
      </c>
      <c r="C1032" s="82"/>
      <c r="D1032" s="82"/>
    </row>
    <row r="1033" spans="1:4" ht="15.75" customHeight="1">
      <c r="A1033" s="81" t="s">
        <v>9</v>
      </c>
      <c r="B1033" s="81" t="s">
        <v>375</v>
      </c>
      <c r="C1033" s="82"/>
      <c r="D1033" s="82"/>
    </row>
    <row r="1034" spans="1:4" ht="15.75" customHeight="1">
      <c r="A1034" s="81" t="s">
        <v>9</v>
      </c>
      <c r="B1034" s="81" t="s">
        <v>376</v>
      </c>
      <c r="C1034" s="82"/>
      <c r="D1034" s="82"/>
    </row>
    <row r="1035" spans="1:4" ht="15.75" customHeight="1">
      <c r="A1035" s="81" t="s">
        <v>9</v>
      </c>
      <c r="B1035" s="81" t="s">
        <v>377</v>
      </c>
      <c r="C1035" s="82"/>
      <c r="D1035" s="82"/>
    </row>
    <row r="1036" spans="1:4" ht="15.75" customHeight="1">
      <c r="A1036" s="81" t="s">
        <v>9</v>
      </c>
      <c r="B1036" s="81" t="s">
        <v>378</v>
      </c>
      <c r="C1036" s="82"/>
      <c r="D1036" s="82"/>
    </row>
    <row r="1037" spans="1:4" ht="15.75" customHeight="1">
      <c r="A1037" s="81" t="s">
        <v>9</v>
      </c>
      <c r="B1037" s="81" t="s">
        <v>379</v>
      </c>
      <c r="C1037" s="82"/>
      <c r="D1037" s="82"/>
    </row>
    <row r="1038" spans="1:4" ht="15.75" customHeight="1">
      <c r="A1038" s="81" t="s">
        <v>9</v>
      </c>
      <c r="B1038" s="81" t="s">
        <v>380</v>
      </c>
      <c r="C1038" s="82"/>
      <c r="D1038" s="82"/>
    </row>
    <row r="1039" spans="1:4" ht="15.75" customHeight="1">
      <c r="A1039" s="81" t="s">
        <v>9</v>
      </c>
      <c r="B1039" s="81" t="s">
        <v>381</v>
      </c>
      <c r="C1039" s="82"/>
      <c r="D1039" s="82"/>
    </row>
    <row r="1040" spans="1:4" ht="15.75" customHeight="1">
      <c r="A1040" s="81" t="s">
        <v>9</v>
      </c>
      <c r="B1040" s="81" t="s">
        <v>382</v>
      </c>
      <c r="C1040" s="82"/>
      <c r="D1040" s="82"/>
    </row>
    <row r="1041" spans="1:4" ht="15.75" customHeight="1">
      <c r="A1041" s="81" t="s">
        <v>9</v>
      </c>
      <c r="B1041" s="81" t="s">
        <v>383</v>
      </c>
      <c r="C1041" s="82"/>
      <c r="D1041" s="82"/>
    </row>
    <row r="1042" spans="1:4" ht="15.75" customHeight="1">
      <c r="A1042" s="81" t="s">
        <v>9</v>
      </c>
      <c r="B1042" s="81" t="s">
        <v>384</v>
      </c>
      <c r="C1042" s="82"/>
      <c r="D1042" s="82"/>
    </row>
    <row r="1043" spans="1:4" ht="15.75" customHeight="1">
      <c r="A1043" s="81" t="s">
        <v>9</v>
      </c>
      <c r="B1043" s="81" t="s">
        <v>385</v>
      </c>
      <c r="C1043" s="82"/>
      <c r="D1043" s="82"/>
    </row>
    <row r="1044" spans="1:4" ht="15.75" customHeight="1">
      <c r="A1044" s="81" t="s">
        <v>9</v>
      </c>
      <c r="B1044" s="81" t="s">
        <v>386</v>
      </c>
      <c r="C1044" s="82"/>
      <c r="D1044" s="82"/>
    </row>
    <row r="1045" spans="1:4" ht="15.75" customHeight="1">
      <c r="A1045" s="81" t="s">
        <v>9</v>
      </c>
      <c r="B1045" s="81" t="s">
        <v>387</v>
      </c>
      <c r="C1045" s="82"/>
      <c r="D1045" s="82"/>
    </row>
    <row r="1046" spans="1:4" ht="15.75" customHeight="1">
      <c r="A1046" s="81" t="s">
        <v>9</v>
      </c>
      <c r="B1046" s="81" t="s">
        <v>388</v>
      </c>
      <c r="C1046" s="82"/>
      <c r="D1046" s="82"/>
    </row>
    <row r="1047" spans="1:4" ht="15.75" customHeight="1">
      <c r="A1047" s="81" t="s">
        <v>9</v>
      </c>
      <c r="B1047" s="81" t="s">
        <v>389</v>
      </c>
      <c r="C1047" s="82"/>
      <c r="D1047" s="82"/>
    </row>
    <row r="1048" spans="1:4" ht="15.75" customHeight="1">
      <c r="A1048" s="81" t="s">
        <v>9</v>
      </c>
      <c r="B1048" s="81" t="s">
        <v>390</v>
      </c>
      <c r="C1048" s="82"/>
      <c r="D1048" s="82"/>
    </row>
    <row r="1049" spans="1:4" ht="15.75" customHeight="1">
      <c r="A1049" s="81" t="s">
        <v>9</v>
      </c>
      <c r="B1049" s="81" t="s">
        <v>391</v>
      </c>
      <c r="C1049" s="82"/>
      <c r="D1049" s="82"/>
    </row>
    <row r="1050" spans="1:4" ht="15.75" customHeight="1">
      <c r="A1050" s="81" t="s">
        <v>9</v>
      </c>
      <c r="B1050" s="81" t="s">
        <v>392</v>
      </c>
      <c r="C1050" s="82"/>
      <c r="D1050" s="82"/>
    </row>
    <row r="1051" spans="1:4" ht="15.75" customHeight="1">
      <c r="A1051" s="81" t="s">
        <v>9</v>
      </c>
      <c r="B1051" s="81" t="s">
        <v>393</v>
      </c>
      <c r="C1051" s="82"/>
      <c r="D1051" s="82"/>
    </row>
    <row r="1052" spans="1:4" ht="15.75" customHeight="1">
      <c r="A1052" s="81" t="s">
        <v>9</v>
      </c>
      <c r="B1052" s="81" t="s">
        <v>394</v>
      </c>
      <c r="C1052" s="82"/>
      <c r="D1052" s="82"/>
    </row>
    <row r="1053" spans="1:4" ht="15.75" customHeight="1">
      <c r="A1053" s="81" t="s">
        <v>9</v>
      </c>
      <c r="B1053" s="81" t="s">
        <v>395</v>
      </c>
      <c r="C1053" s="82"/>
      <c r="D1053" s="82"/>
    </row>
    <row r="1054" spans="1:4" ht="15.75" customHeight="1">
      <c r="A1054" s="81" t="s">
        <v>9</v>
      </c>
      <c r="B1054" s="81" t="s">
        <v>396</v>
      </c>
      <c r="C1054" s="82"/>
      <c r="D1054" s="82"/>
    </row>
    <row r="1055" spans="1:4" ht="15.75" customHeight="1">
      <c r="A1055" s="81" t="s">
        <v>9</v>
      </c>
      <c r="B1055" s="81" t="s">
        <v>397</v>
      </c>
      <c r="C1055" s="82"/>
      <c r="D1055" s="82"/>
    </row>
    <row r="1056" spans="1:4" ht="15.75" customHeight="1">
      <c r="A1056" s="81" t="s">
        <v>9</v>
      </c>
      <c r="B1056" s="81" t="s">
        <v>398</v>
      </c>
      <c r="C1056" s="82"/>
      <c r="D1056" s="82"/>
    </row>
    <row r="1057" spans="1:4" ht="15.75" customHeight="1">
      <c r="A1057" s="81" t="s">
        <v>9</v>
      </c>
      <c r="B1057" s="81" t="s">
        <v>399</v>
      </c>
      <c r="C1057" s="82"/>
      <c r="D1057" s="82"/>
    </row>
    <row r="1058" spans="1:4" ht="15.75" customHeight="1">
      <c r="A1058" s="81" t="s">
        <v>9</v>
      </c>
      <c r="B1058" s="81" t="s">
        <v>400</v>
      </c>
      <c r="C1058" s="82"/>
      <c r="D1058" s="82"/>
    </row>
    <row r="1059" spans="1:4" ht="15.75" customHeight="1">
      <c r="A1059" s="81" t="s">
        <v>9</v>
      </c>
      <c r="B1059" s="81" t="s">
        <v>401</v>
      </c>
      <c r="C1059" s="82"/>
      <c r="D1059" s="82"/>
    </row>
    <row r="1060" spans="1:4" ht="15.75" customHeight="1">
      <c r="A1060" s="81" t="s">
        <v>9</v>
      </c>
      <c r="B1060" s="81" t="s">
        <v>402</v>
      </c>
      <c r="C1060" s="82"/>
      <c r="D1060" s="82"/>
    </row>
    <row r="1061" spans="1:4" ht="15.75" customHeight="1">
      <c r="A1061" s="81" t="s">
        <v>9</v>
      </c>
      <c r="B1061" s="81" t="s">
        <v>403</v>
      </c>
      <c r="C1061" s="82"/>
      <c r="D1061" s="82"/>
    </row>
    <row r="1062" spans="1:4" ht="15.75" customHeight="1">
      <c r="A1062" s="81" t="s">
        <v>9</v>
      </c>
      <c r="B1062" s="81" t="s">
        <v>404</v>
      </c>
      <c r="C1062" s="82"/>
      <c r="D1062" s="82"/>
    </row>
    <row r="1063" spans="1:4" ht="15.75" customHeight="1">
      <c r="A1063" s="81" t="s">
        <v>9</v>
      </c>
      <c r="B1063" s="81" t="s">
        <v>405</v>
      </c>
      <c r="C1063" s="82"/>
      <c r="D1063" s="82"/>
    </row>
    <row r="1064" spans="1:4" ht="15.75" customHeight="1">
      <c r="A1064" s="81" t="s">
        <v>9</v>
      </c>
      <c r="B1064" s="81" t="s">
        <v>406</v>
      </c>
      <c r="C1064" s="82"/>
      <c r="D1064" s="82"/>
    </row>
    <row r="1065" spans="1:4" ht="15.75" customHeight="1">
      <c r="A1065" s="81" t="s">
        <v>9</v>
      </c>
      <c r="B1065" s="81" t="s">
        <v>407</v>
      </c>
      <c r="C1065" s="82"/>
      <c r="D1065" s="82"/>
    </row>
    <row r="1066" spans="1:4" ht="15.75" customHeight="1">
      <c r="A1066" s="81" t="s">
        <v>9</v>
      </c>
      <c r="B1066" s="81" t="s">
        <v>408</v>
      </c>
      <c r="C1066" s="82"/>
      <c r="D1066" s="82"/>
    </row>
    <row r="1067" spans="1:4" ht="15.75" customHeight="1">
      <c r="A1067" s="81" t="s">
        <v>9</v>
      </c>
      <c r="B1067" s="81" t="s">
        <v>409</v>
      </c>
      <c r="C1067" s="82"/>
      <c r="D1067" s="82"/>
    </row>
    <row r="1068" spans="1:4" ht="15.75" customHeight="1">
      <c r="A1068" s="81" t="s">
        <v>9</v>
      </c>
      <c r="B1068" s="81" t="s">
        <v>410</v>
      </c>
      <c r="C1068" s="82"/>
      <c r="D1068" s="82"/>
    </row>
    <row r="1069" spans="1:4" ht="15.75" customHeight="1">
      <c r="A1069" s="81" t="s">
        <v>9</v>
      </c>
      <c r="B1069" s="81" t="s">
        <v>411</v>
      </c>
      <c r="C1069" s="82"/>
      <c r="D1069" s="82"/>
    </row>
    <row r="1070" spans="1:4" ht="15.75" customHeight="1">
      <c r="A1070" s="81" t="s">
        <v>9</v>
      </c>
      <c r="B1070" s="81" t="s">
        <v>412</v>
      </c>
      <c r="C1070" s="82"/>
      <c r="D1070" s="82"/>
    </row>
    <row r="1071" spans="1:4" ht="15.75" customHeight="1">
      <c r="A1071" s="81" t="s">
        <v>9</v>
      </c>
      <c r="B1071" s="81" t="s">
        <v>413</v>
      </c>
      <c r="C1071" s="82"/>
      <c r="D1071" s="82"/>
    </row>
    <row r="1072" spans="1:4" ht="15.75" customHeight="1">
      <c r="A1072" s="81" t="s">
        <v>9</v>
      </c>
      <c r="B1072" s="81" t="s">
        <v>414</v>
      </c>
      <c r="C1072" s="82"/>
      <c r="D1072" s="82"/>
    </row>
    <row r="1073" spans="1:5" ht="15.75" customHeight="1">
      <c r="A1073" s="81" t="s">
        <v>9</v>
      </c>
      <c r="B1073" s="81" t="s">
        <v>415</v>
      </c>
      <c r="C1073" s="82"/>
      <c r="D1073" s="82"/>
    </row>
    <row r="1074" spans="1:5" ht="15.75" customHeight="1">
      <c r="A1074" s="81" t="s">
        <v>9</v>
      </c>
      <c r="B1074" s="81" t="s">
        <v>416</v>
      </c>
      <c r="C1074" s="82"/>
      <c r="D1074" s="82"/>
    </row>
    <row r="1075" spans="1:5" ht="15.75" customHeight="1">
      <c r="A1075" s="81" t="s">
        <v>9</v>
      </c>
      <c r="B1075" s="81" t="s">
        <v>417</v>
      </c>
      <c r="C1075" s="82"/>
      <c r="D1075" s="82"/>
    </row>
    <row r="1076" spans="1:5" ht="15.75" customHeight="1">
      <c r="A1076" s="81" t="s">
        <v>9</v>
      </c>
      <c r="B1076" s="81" t="s">
        <v>418</v>
      </c>
      <c r="C1076" s="82"/>
      <c r="D1076" s="82"/>
    </row>
    <row r="1077" spans="1:5" ht="15.75" customHeight="1">
      <c r="A1077" s="81" t="s">
        <v>9</v>
      </c>
      <c r="B1077" s="81" t="s">
        <v>419</v>
      </c>
      <c r="C1077" s="82"/>
      <c r="D1077" s="82"/>
      <c r="E1077" s="84"/>
    </row>
    <row r="1078" spans="1:5" ht="15.75" customHeight="1">
      <c r="A1078" s="81" t="s">
        <v>9</v>
      </c>
      <c r="B1078" s="81" t="s">
        <v>420</v>
      </c>
      <c r="C1078" s="82"/>
      <c r="D1078" s="82"/>
      <c r="E1078" s="84"/>
    </row>
    <row r="1079" spans="1:5" ht="15.75" customHeight="1">
      <c r="A1079" s="81" t="s">
        <v>9</v>
      </c>
      <c r="B1079" s="81" t="s">
        <v>421</v>
      </c>
      <c r="C1079" s="82"/>
      <c r="D1079" s="82"/>
      <c r="E1079" s="84"/>
    </row>
    <row r="1080" spans="1:5" ht="15.75" customHeight="1">
      <c r="A1080" s="81" t="s">
        <v>9</v>
      </c>
      <c r="B1080" s="81" t="s">
        <v>422</v>
      </c>
      <c r="C1080" s="82"/>
      <c r="D1080" s="82"/>
      <c r="E1080" s="84"/>
    </row>
    <row r="1081" spans="1:5" ht="15.75" customHeight="1">
      <c r="A1081" s="81" t="s">
        <v>9</v>
      </c>
      <c r="B1081" s="81" t="s">
        <v>423</v>
      </c>
      <c r="C1081" s="82">
        <v>1</v>
      </c>
      <c r="D1081" s="82">
        <v>-0.5</v>
      </c>
      <c r="E1081" s="84">
        <v>3.7</v>
      </c>
    </row>
    <row r="1082" spans="1:5" ht="15.75" customHeight="1">
      <c r="A1082" s="81" t="s">
        <v>9</v>
      </c>
      <c r="B1082" s="81" t="s">
        <v>424</v>
      </c>
      <c r="C1082" s="82">
        <v>1</v>
      </c>
      <c r="D1082" s="82">
        <v>-0.5</v>
      </c>
      <c r="E1082" s="84">
        <v>3.7</v>
      </c>
    </row>
    <row r="1083" spans="1:5" ht="15.75" customHeight="1">
      <c r="A1083" s="81" t="s">
        <v>9</v>
      </c>
      <c r="B1083" s="81" t="s">
        <v>425</v>
      </c>
      <c r="C1083" s="82">
        <v>1</v>
      </c>
      <c r="D1083" s="82">
        <v>-0.48</v>
      </c>
      <c r="E1083" s="84">
        <v>3.7</v>
      </c>
    </row>
    <row r="1084" spans="1:5" ht="15.75" customHeight="1">
      <c r="A1084" s="81" t="s">
        <v>9</v>
      </c>
      <c r="B1084" s="81" t="s">
        <v>426</v>
      </c>
      <c r="C1084" s="82">
        <v>1</v>
      </c>
      <c r="D1084" s="82">
        <v>-0.21</v>
      </c>
      <c r="E1084" s="84">
        <v>3.7</v>
      </c>
    </row>
    <row r="1085" spans="1:5" ht="15.75" customHeight="1">
      <c r="A1085" s="81" t="s">
        <v>9</v>
      </c>
      <c r="B1085" s="81" t="s">
        <v>427</v>
      </c>
      <c r="C1085" s="82">
        <v>1</v>
      </c>
      <c r="D1085" s="82">
        <v>-0.15</v>
      </c>
      <c r="E1085" s="84">
        <v>4.7</v>
      </c>
    </row>
    <row r="1086" spans="1:5" ht="15.75" customHeight="1">
      <c r="A1086" s="81" t="s">
        <v>9</v>
      </c>
      <c r="B1086" s="81" t="s">
        <v>428</v>
      </c>
      <c r="C1086" s="82">
        <v>0.89</v>
      </c>
      <c r="D1086" s="82">
        <v>-0.08</v>
      </c>
      <c r="E1086" s="84">
        <v>4.7</v>
      </c>
    </row>
    <row r="1087" spans="1:5" ht="15.75" customHeight="1">
      <c r="A1087" s="81" t="s">
        <v>9</v>
      </c>
      <c r="B1087" s="81" t="s">
        <v>429</v>
      </c>
      <c r="C1087" s="82">
        <v>0.56999999999999995</v>
      </c>
      <c r="D1087" s="82">
        <v>-0.02</v>
      </c>
      <c r="E1087" s="84">
        <v>4.7</v>
      </c>
    </row>
    <row r="1088" spans="1:5" ht="15.75" customHeight="1">
      <c r="A1088" s="81" t="s">
        <v>9</v>
      </c>
      <c r="B1088" s="81" t="s">
        <v>430</v>
      </c>
      <c r="C1088" s="82">
        <v>0.26</v>
      </c>
      <c r="D1088" s="82">
        <v>0.04</v>
      </c>
      <c r="E1088" s="84">
        <v>4.7</v>
      </c>
    </row>
    <row r="1089" spans="1:5" ht="15.75" customHeight="1">
      <c r="A1089" s="81" t="s">
        <v>9</v>
      </c>
      <c r="B1089" s="81" t="s">
        <v>431</v>
      </c>
      <c r="C1089" s="82">
        <v>0.61</v>
      </c>
      <c r="D1089" s="82">
        <v>0.02</v>
      </c>
      <c r="E1089" s="77">
        <v>13</v>
      </c>
    </row>
    <row r="1090" spans="1:5" ht="15.75" customHeight="1">
      <c r="A1090" s="81" t="s">
        <v>9</v>
      </c>
      <c r="B1090" s="81" t="s">
        <v>432</v>
      </c>
      <c r="C1090" s="82">
        <v>0.97</v>
      </c>
      <c r="D1090" s="82">
        <v>0.01</v>
      </c>
      <c r="E1090" s="77">
        <v>13</v>
      </c>
    </row>
    <row r="1091" spans="1:5" ht="15.75" customHeight="1">
      <c r="A1091" s="81" t="s">
        <v>9</v>
      </c>
      <c r="B1091" s="81" t="s">
        <v>433</v>
      </c>
      <c r="C1091" s="82">
        <v>1</v>
      </c>
      <c r="D1091" s="82">
        <v>-0.01</v>
      </c>
      <c r="E1091" s="77">
        <v>13</v>
      </c>
    </row>
    <row r="1092" spans="1:5" ht="15.75" customHeight="1">
      <c r="A1092" s="81" t="s">
        <v>9</v>
      </c>
      <c r="B1092" s="81" t="s">
        <v>434</v>
      </c>
      <c r="C1092" s="82">
        <v>1</v>
      </c>
      <c r="D1092" s="82">
        <v>-0.03</v>
      </c>
      <c r="E1092" s="77">
        <v>13</v>
      </c>
    </row>
    <row r="1093" spans="1:5" ht="15.75" customHeight="1">
      <c r="A1093" s="81" t="s">
        <v>9</v>
      </c>
      <c r="B1093" s="81" t="s">
        <v>435</v>
      </c>
      <c r="C1093" s="82">
        <v>1</v>
      </c>
      <c r="D1093" s="82">
        <v>0</v>
      </c>
      <c r="E1093" s="77">
        <v>15</v>
      </c>
    </row>
    <row r="1094" spans="1:5" ht="15.75" customHeight="1">
      <c r="A1094" s="81" t="s">
        <v>9</v>
      </c>
      <c r="B1094" s="81" t="s">
        <v>436</v>
      </c>
      <c r="C1094" s="82">
        <v>0.95</v>
      </c>
      <c r="D1094" s="82">
        <v>0.02</v>
      </c>
      <c r="E1094" s="77">
        <v>15</v>
      </c>
    </row>
    <row r="1095" spans="1:5" ht="15.75" customHeight="1">
      <c r="A1095" s="81" t="s">
        <v>9</v>
      </c>
      <c r="B1095" s="81" t="s">
        <v>437</v>
      </c>
      <c r="C1095" s="82">
        <v>0.57999999999999996</v>
      </c>
      <c r="D1095" s="82">
        <v>0.05</v>
      </c>
      <c r="E1095" s="77">
        <v>15</v>
      </c>
    </row>
    <row r="1096" spans="1:5" ht="15.75" customHeight="1">
      <c r="A1096" s="81" t="s">
        <v>9</v>
      </c>
      <c r="B1096" s="81" t="s">
        <v>438</v>
      </c>
      <c r="C1096" s="82">
        <v>0.25</v>
      </c>
      <c r="D1096" s="82">
        <v>0.08</v>
      </c>
      <c r="E1096" s="77">
        <v>17</v>
      </c>
    </row>
    <row r="1097" spans="1:5" ht="15.75" customHeight="1">
      <c r="A1097" s="81" t="s">
        <v>9</v>
      </c>
      <c r="B1097" s="81" t="s">
        <v>439</v>
      </c>
      <c r="C1097" s="82">
        <v>0.26</v>
      </c>
      <c r="D1097" s="82">
        <v>0.08</v>
      </c>
      <c r="E1097" s="77">
        <v>19</v>
      </c>
    </row>
    <row r="1098" spans="1:5" ht="15.75" customHeight="1">
      <c r="A1098" s="81" t="s">
        <v>9</v>
      </c>
      <c r="B1098" s="81" t="s">
        <v>440</v>
      </c>
      <c r="C1098" s="82">
        <v>0.28000000000000003</v>
      </c>
      <c r="D1098" s="82">
        <v>0.08</v>
      </c>
      <c r="E1098" s="77">
        <v>20</v>
      </c>
    </row>
    <row r="1099" spans="1:5" ht="15.75" customHeight="1">
      <c r="A1099" s="81" t="s">
        <v>9</v>
      </c>
      <c r="B1099" s="81" t="s">
        <v>441</v>
      </c>
      <c r="C1099" s="82">
        <v>0.31</v>
      </c>
      <c r="D1099" s="82">
        <v>0.08</v>
      </c>
      <c r="E1099" s="77">
        <v>20</v>
      </c>
    </row>
    <row r="1100" spans="1:5" ht="15.75" customHeight="1">
      <c r="A1100" s="81" t="s">
        <v>9</v>
      </c>
      <c r="B1100" s="81" t="s">
        <v>442</v>
      </c>
      <c r="C1100" s="82">
        <v>0.27</v>
      </c>
      <c r="D1100" s="82">
        <v>0.08</v>
      </c>
      <c r="E1100" s="77">
        <v>20</v>
      </c>
    </row>
    <row r="1101" spans="1:5" ht="15.75" customHeight="1">
      <c r="A1101" s="81" t="s">
        <v>9</v>
      </c>
      <c r="B1101" s="81" t="s">
        <v>443</v>
      </c>
      <c r="C1101" s="82">
        <v>0.25</v>
      </c>
      <c r="D1101" s="82">
        <v>0.09</v>
      </c>
      <c r="E1101" s="77">
        <v>22</v>
      </c>
    </row>
    <row r="1102" spans="1:5" ht="15.75" customHeight="1">
      <c r="A1102" s="81" t="s">
        <v>10</v>
      </c>
      <c r="B1102" s="81" t="s">
        <v>334</v>
      </c>
      <c r="C1102" s="82"/>
      <c r="D1102" s="82"/>
    </row>
    <row r="1103" spans="1:5" ht="15.75" customHeight="1">
      <c r="A1103" s="81" t="s">
        <v>10</v>
      </c>
      <c r="B1103" s="81" t="s">
        <v>335</v>
      </c>
      <c r="C1103" s="82"/>
      <c r="D1103" s="82"/>
    </row>
    <row r="1104" spans="1:5" ht="15.75" customHeight="1">
      <c r="A1104" s="81" t="s">
        <v>10</v>
      </c>
      <c r="B1104" s="81" t="s">
        <v>336</v>
      </c>
      <c r="C1104" s="82"/>
      <c r="D1104" s="82"/>
    </row>
    <row r="1105" spans="1:4" ht="15.75" customHeight="1">
      <c r="A1105" s="81" t="s">
        <v>10</v>
      </c>
      <c r="B1105" s="81" t="s">
        <v>337</v>
      </c>
      <c r="C1105" s="82"/>
      <c r="D1105" s="82"/>
    </row>
    <row r="1106" spans="1:4" ht="15.75" customHeight="1">
      <c r="A1106" s="81" t="s">
        <v>10</v>
      </c>
      <c r="B1106" s="81" t="s">
        <v>338</v>
      </c>
      <c r="C1106" s="82"/>
      <c r="D1106" s="82"/>
    </row>
    <row r="1107" spans="1:4" ht="15.75" customHeight="1">
      <c r="A1107" s="81" t="s">
        <v>10</v>
      </c>
      <c r="B1107" s="81" t="s">
        <v>339</v>
      </c>
      <c r="C1107" s="82"/>
      <c r="D1107" s="82"/>
    </row>
    <row r="1108" spans="1:4" ht="15.75" customHeight="1">
      <c r="A1108" s="81" t="s">
        <v>10</v>
      </c>
      <c r="B1108" s="81" t="s">
        <v>340</v>
      </c>
      <c r="C1108" s="82"/>
      <c r="D1108" s="82"/>
    </row>
    <row r="1109" spans="1:4" ht="15.75" customHeight="1">
      <c r="A1109" s="81" t="s">
        <v>10</v>
      </c>
      <c r="B1109" s="81" t="s">
        <v>341</v>
      </c>
      <c r="C1109" s="82"/>
      <c r="D1109" s="82"/>
    </row>
    <row r="1110" spans="1:4" ht="15.75" customHeight="1">
      <c r="A1110" s="81" t="s">
        <v>10</v>
      </c>
      <c r="B1110" s="81" t="s">
        <v>342</v>
      </c>
      <c r="C1110" s="82"/>
      <c r="D1110" s="82"/>
    </row>
    <row r="1111" spans="1:4" ht="15.75" customHeight="1">
      <c r="A1111" s="81" t="s">
        <v>10</v>
      </c>
      <c r="B1111" s="81" t="s">
        <v>343</v>
      </c>
      <c r="C1111" s="82"/>
      <c r="D1111" s="82"/>
    </row>
    <row r="1112" spans="1:4" ht="15.75" customHeight="1">
      <c r="A1112" s="81" t="s">
        <v>10</v>
      </c>
      <c r="B1112" s="81" t="s">
        <v>344</v>
      </c>
      <c r="C1112" s="82"/>
      <c r="D1112" s="82"/>
    </row>
    <row r="1113" spans="1:4" ht="15.75" customHeight="1">
      <c r="A1113" s="81" t="s">
        <v>10</v>
      </c>
      <c r="B1113" s="81" t="s">
        <v>345</v>
      </c>
      <c r="C1113" s="82"/>
      <c r="D1113" s="82"/>
    </row>
    <row r="1114" spans="1:4" ht="15.75" customHeight="1">
      <c r="A1114" s="81" t="s">
        <v>10</v>
      </c>
      <c r="B1114" s="81" t="s">
        <v>346</v>
      </c>
      <c r="C1114" s="82"/>
      <c r="D1114" s="82"/>
    </row>
    <row r="1115" spans="1:4" ht="15.75" customHeight="1">
      <c r="A1115" s="81" t="s">
        <v>10</v>
      </c>
      <c r="B1115" s="81" t="s">
        <v>347</v>
      </c>
      <c r="C1115" s="82"/>
      <c r="D1115" s="82"/>
    </row>
    <row r="1116" spans="1:4" ht="15.75" customHeight="1">
      <c r="A1116" s="81" t="s">
        <v>10</v>
      </c>
      <c r="B1116" s="81" t="s">
        <v>348</v>
      </c>
      <c r="C1116" s="82"/>
      <c r="D1116" s="82"/>
    </row>
    <row r="1117" spans="1:4" ht="15.75" customHeight="1">
      <c r="A1117" s="81" t="s">
        <v>10</v>
      </c>
      <c r="B1117" s="81" t="s">
        <v>349</v>
      </c>
      <c r="C1117" s="82"/>
      <c r="D1117" s="82"/>
    </row>
    <row r="1118" spans="1:4" ht="15.75" customHeight="1">
      <c r="A1118" s="81" t="s">
        <v>10</v>
      </c>
      <c r="B1118" s="81" t="s">
        <v>350</v>
      </c>
      <c r="C1118" s="82"/>
      <c r="D1118" s="82"/>
    </row>
    <row r="1119" spans="1:4" ht="15.75" customHeight="1">
      <c r="A1119" s="81" t="s">
        <v>10</v>
      </c>
      <c r="B1119" s="81" t="s">
        <v>351</v>
      </c>
      <c r="C1119" s="82"/>
      <c r="D1119" s="82"/>
    </row>
    <row r="1120" spans="1:4" ht="15.75" customHeight="1">
      <c r="A1120" s="81" t="s">
        <v>10</v>
      </c>
      <c r="B1120" s="81" t="s">
        <v>352</v>
      </c>
      <c r="C1120" s="82"/>
      <c r="D1120" s="82"/>
    </row>
    <row r="1121" spans="1:4" ht="15.75" customHeight="1">
      <c r="A1121" s="81" t="s">
        <v>10</v>
      </c>
      <c r="B1121" s="81" t="s">
        <v>353</v>
      </c>
      <c r="C1121" s="82"/>
      <c r="D1121" s="82"/>
    </row>
    <row r="1122" spans="1:4" ht="15.75" customHeight="1">
      <c r="A1122" s="81" t="s">
        <v>10</v>
      </c>
      <c r="B1122" s="81" t="s">
        <v>354</v>
      </c>
      <c r="C1122" s="82"/>
      <c r="D1122" s="82"/>
    </row>
    <row r="1123" spans="1:4" ht="15.75" customHeight="1">
      <c r="A1123" s="81" t="s">
        <v>10</v>
      </c>
      <c r="B1123" s="81" t="s">
        <v>355</v>
      </c>
      <c r="C1123" s="82"/>
      <c r="D1123" s="82"/>
    </row>
    <row r="1124" spans="1:4" ht="15.75" customHeight="1">
      <c r="A1124" s="81" t="s">
        <v>10</v>
      </c>
      <c r="B1124" s="81" t="s">
        <v>356</v>
      </c>
      <c r="C1124" s="82"/>
      <c r="D1124" s="82"/>
    </row>
    <row r="1125" spans="1:4" ht="15.75" customHeight="1">
      <c r="A1125" s="81" t="s">
        <v>10</v>
      </c>
      <c r="B1125" s="81" t="s">
        <v>357</v>
      </c>
      <c r="C1125" s="82"/>
      <c r="D1125" s="82"/>
    </row>
    <row r="1126" spans="1:4" ht="15.75" customHeight="1">
      <c r="A1126" s="81" t="s">
        <v>10</v>
      </c>
      <c r="B1126" s="81" t="s">
        <v>358</v>
      </c>
      <c r="C1126" s="82"/>
      <c r="D1126" s="82"/>
    </row>
    <row r="1127" spans="1:4" ht="15.75" customHeight="1">
      <c r="A1127" s="81" t="s">
        <v>10</v>
      </c>
      <c r="B1127" s="81" t="s">
        <v>359</v>
      </c>
      <c r="C1127" s="82"/>
      <c r="D1127" s="82"/>
    </row>
    <row r="1128" spans="1:4" ht="15.75" customHeight="1">
      <c r="A1128" s="81" t="s">
        <v>10</v>
      </c>
      <c r="B1128" s="81" t="s">
        <v>360</v>
      </c>
      <c r="C1128" s="82"/>
      <c r="D1128" s="82"/>
    </row>
    <row r="1129" spans="1:4" ht="15.75" customHeight="1">
      <c r="A1129" s="81" t="s">
        <v>10</v>
      </c>
      <c r="B1129" s="81" t="s">
        <v>361</v>
      </c>
      <c r="C1129" s="82"/>
      <c r="D1129" s="82"/>
    </row>
    <row r="1130" spans="1:4" ht="15.75" customHeight="1">
      <c r="A1130" s="81" t="s">
        <v>10</v>
      </c>
      <c r="B1130" s="81" t="s">
        <v>362</v>
      </c>
      <c r="C1130" s="82"/>
      <c r="D1130" s="82"/>
    </row>
    <row r="1131" spans="1:4" ht="15.75" customHeight="1">
      <c r="A1131" s="81" t="s">
        <v>10</v>
      </c>
      <c r="B1131" s="81" t="s">
        <v>363</v>
      </c>
      <c r="C1131" s="82"/>
      <c r="D1131" s="82"/>
    </row>
    <row r="1132" spans="1:4" ht="15.75" customHeight="1">
      <c r="A1132" s="81" t="s">
        <v>10</v>
      </c>
      <c r="B1132" s="81" t="s">
        <v>364</v>
      </c>
      <c r="C1132" s="82"/>
      <c r="D1132" s="82"/>
    </row>
    <row r="1133" spans="1:4" ht="15.75" customHeight="1">
      <c r="A1133" s="81" t="s">
        <v>10</v>
      </c>
      <c r="B1133" s="81" t="s">
        <v>365</v>
      </c>
      <c r="C1133" s="82"/>
      <c r="D1133" s="82"/>
    </row>
    <row r="1134" spans="1:4" ht="15.75" customHeight="1">
      <c r="A1134" s="81" t="s">
        <v>10</v>
      </c>
      <c r="B1134" s="81" t="s">
        <v>366</v>
      </c>
      <c r="C1134" s="82"/>
      <c r="D1134" s="82"/>
    </row>
    <row r="1135" spans="1:4" ht="15.75" customHeight="1">
      <c r="A1135" s="81" t="s">
        <v>10</v>
      </c>
      <c r="B1135" s="81" t="s">
        <v>367</v>
      </c>
      <c r="C1135" s="82"/>
      <c r="D1135" s="82"/>
    </row>
    <row r="1136" spans="1:4" ht="15.75" customHeight="1">
      <c r="A1136" s="81" t="s">
        <v>10</v>
      </c>
      <c r="B1136" s="81" t="s">
        <v>368</v>
      </c>
      <c r="C1136" s="82"/>
      <c r="D1136" s="82"/>
    </row>
    <row r="1137" spans="1:4" ht="15.75" customHeight="1">
      <c r="A1137" s="81" t="s">
        <v>10</v>
      </c>
      <c r="B1137" s="81" t="s">
        <v>369</v>
      </c>
      <c r="C1137" s="82"/>
      <c r="D1137" s="82"/>
    </row>
    <row r="1138" spans="1:4" ht="15.75" customHeight="1">
      <c r="A1138" s="81" t="s">
        <v>10</v>
      </c>
      <c r="B1138" s="81" t="s">
        <v>370</v>
      </c>
      <c r="C1138" s="82"/>
      <c r="D1138" s="82"/>
    </row>
    <row r="1139" spans="1:4" ht="15.75" customHeight="1">
      <c r="A1139" s="81" t="s">
        <v>10</v>
      </c>
      <c r="B1139" s="81" t="s">
        <v>371</v>
      </c>
      <c r="C1139" s="82"/>
      <c r="D1139" s="82"/>
    </row>
    <row r="1140" spans="1:4" ht="15.75" customHeight="1">
      <c r="A1140" s="81" t="s">
        <v>10</v>
      </c>
      <c r="B1140" s="81" t="s">
        <v>372</v>
      </c>
      <c r="C1140" s="82"/>
      <c r="D1140" s="82"/>
    </row>
    <row r="1141" spans="1:4" ht="15.75" customHeight="1">
      <c r="A1141" s="81" t="s">
        <v>10</v>
      </c>
      <c r="B1141" s="81" t="s">
        <v>373</v>
      </c>
      <c r="C1141" s="82"/>
      <c r="D1141" s="82"/>
    </row>
    <row r="1142" spans="1:4" ht="15.75" customHeight="1">
      <c r="A1142" s="81" t="s">
        <v>10</v>
      </c>
      <c r="B1142" s="81" t="s">
        <v>374</v>
      </c>
      <c r="C1142" s="82"/>
      <c r="D1142" s="82"/>
    </row>
    <row r="1143" spans="1:4" ht="15.75" customHeight="1">
      <c r="A1143" s="81" t="s">
        <v>10</v>
      </c>
      <c r="B1143" s="81" t="s">
        <v>375</v>
      </c>
      <c r="C1143" s="82"/>
      <c r="D1143" s="82"/>
    </row>
    <row r="1144" spans="1:4" ht="15.75" customHeight="1">
      <c r="A1144" s="81" t="s">
        <v>10</v>
      </c>
      <c r="B1144" s="81" t="s">
        <v>376</v>
      </c>
      <c r="C1144" s="82"/>
      <c r="D1144" s="82"/>
    </row>
    <row r="1145" spans="1:4" ht="15.75" customHeight="1">
      <c r="A1145" s="81" t="s">
        <v>10</v>
      </c>
      <c r="B1145" s="81" t="s">
        <v>377</v>
      </c>
      <c r="C1145" s="82"/>
      <c r="D1145" s="82"/>
    </row>
    <row r="1146" spans="1:4" ht="15.75" customHeight="1">
      <c r="A1146" s="81" t="s">
        <v>10</v>
      </c>
      <c r="B1146" s="81" t="s">
        <v>378</v>
      </c>
      <c r="C1146" s="82"/>
      <c r="D1146" s="82"/>
    </row>
    <row r="1147" spans="1:4" ht="15.75" customHeight="1">
      <c r="A1147" s="81" t="s">
        <v>10</v>
      </c>
      <c r="B1147" s="81" t="s">
        <v>379</v>
      </c>
      <c r="C1147" s="82"/>
      <c r="D1147" s="82"/>
    </row>
    <row r="1148" spans="1:4" ht="15.75" customHeight="1">
      <c r="A1148" s="81" t="s">
        <v>10</v>
      </c>
      <c r="B1148" s="81" t="s">
        <v>380</v>
      </c>
      <c r="C1148" s="82"/>
      <c r="D1148" s="82"/>
    </row>
    <row r="1149" spans="1:4" ht="15.75" customHeight="1">
      <c r="A1149" s="81" t="s">
        <v>10</v>
      </c>
      <c r="B1149" s="81" t="s">
        <v>381</v>
      </c>
      <c r="C1149" s="82"/>
      <c r="D1149" s="82"/>
    </row>
    <row r="1150" spans="1:4" ht="15.75" customHeight="1">
      <c r="A1150" s="81" t="s">
        <v>10</v>
      </c>
      <c r="B1150" s="81" t="s">
        <v>382</v>
      </c>
      <c r="C1150" s="82"/>
      <c r="D1150" s="82"/>
    </row>
    <row r="1151" spans="1:4" ht="15.75" customHeight="1">
      <c r="A1151" s="81" t="s">
        <v>10</v>
      </c>
      <c r="B1151" s="81" t="s">
        <v>383</v>
      </c>
      <c r="C1151" s="82"/>
      <c r="D1151" s="82"/>
    </row>
    <row r="1152" spans="1:4" ht="15.75" customHeight="1">
      <c r="A1152" s="81" t="s">
        <v>10</v>
      </c>
      <c r="B1152" s="81" t="s">
        <v>384</v>
      </c>
      <c r="C1152" s="82"/>
      <c r="D1152" s="82"/>
    </row>
    <row r="1153" spans="1:4" ht="15.75" customHeight="1">
      <c r="A1153" s="81" t="s">
        <v>10</v>
      </c>
      <c r="B1153" s="81" t="s">
        <v>385</v>
      </c>
      <c r="C1153" s="82"/>
      <c r="D1153" s="82"/>
    </row>
    <row r="1154" spans="1:4" ht="15.75" customHeight="1">
      <c r="A1154" s="81" t="s">
        <v>10</v>
      </c>
      <c r="B1154" s="81" t="s">
        <v>386</v>
      </c>
      <c r="C1154" s="82"/>
      <c r="D1154" s="82"/>
    </row>
    <row r="1155" spans="1:4" ht="15.75" customHeight="1">
      <c r="A1155" s="81" t="s">
        <v>10</v>
      </c>
      <c r="B1155" s="81" t="s">
        <v>387</v>
      </c>
      <c r="C1155" s="82"/>
      <c r="D1155" s="82"/>
    </row>
    <row r="1156" spans="1:4" ht="15.75" customHeight="1">
      <c r="A1156" s="81" t="s">
        <v>10</v>
      </c>
      <c r="B1156" s="81" t="s">
        <v>388</v>
      </c>
      <c r="C1156" s="82"/>
      <c r="D1156" s="82"/>
    </row>
    <row r="1157" spans="1:4" ht="15.75" customHeight="1">
      <c r="A1157" s="81" t="s">
        <v>10</v>
      </c>
      <c r="B1157" s="81" t="s">
        <v>389</v>
      </c>
      <c r="C1157" s="82"/>
      <c r="D1157" s="82"/>
    </row>
    <row r="1158" spans="1:4" ht="15.75" customHeight="1">
      <c r="A1158" s="81" t="s">
        <v>10</v>
      </c>
      <c r="B1158" s="81" t="s">
        <v>390</v>
      </c>
      <c r="C1158" s="82"/>
      <c r="D1158" s="82"/>
    </row>
    <row r="1159" spans="1:4" ht="15.75" customHeight="1">
      <c r="A1159" s="81" t="s">
        <v>10</v>
      </c>
      <c r="B1159" s="81" t="s">
        <v>391</v>
      </c>
      <c r="C1159" s="82"/>
      <c r="D1159" s="82"/>
    </row>
    <row r="1160" spans="1:4" ht="15.75" customHeight="1">
      <c r="A1160" s="81" t="s">
        <v>10</v>
      </c>
      <c r="B1160" s="81" t="s">
        <v>392</v>
      </c>
      <c r="C1160" s="82"/>
      <c r="D1160" s="82"/>
    </row>
    <row r="1161" spans="1:4" ht="15.75" customHeight="1">
      <c r="A1161" s="81" t="s">
        <v>10</v>
      </c>
      <c r="B1161" s="81" t="s">
        <v>393</v>
      </c>
      <c r="C1161" s="82"/>
      <c r="D1161" s="82"/>
    </row>
    <row r="1162" spans="1:4" ht="15.75" customHeight="1">
      <c r="A1162" s="81" t="s">
        <v>10</v>
      </c>
      <c r="B1162" s="81" t="s">
        <v>394</v>
      </c>
      <c r="C1162" s="82"/>
      <c r="D1162" s="82"/>
    </row>
    <row r="1163" spans="1:4" ht="15.75" customHeight="1">
      <c r="A1163" s="81" t="s">
        <v>10</v>
      </c>
      <c r="B1163" s="81" t="s">
        <v>395</v>
      </c>
      <c r="C1163" s="82"/>
      <c r="D1163" s="82"/>
    </row>
    <row r="1164" spans="1:4" ht="15.75" customHeight="1">
      <c r="A1164" s="81" t="s">
        <v>10</v>
      </c>
      <c r="B1164" s="81" t="s">
        <v>396</v>
      </c>
      <c r="C1164" s="82"/>
      <c r="D1164" s="82"/>
    </row>
    <row r="1165" spans="1:4" ht="15.75" customHeight="1">
      <c r="A1165" s="81" t="s">
        <v>10</v>
      </c>
      <c r="B1165" s="81" t="s">
        <v>397</v>
      </c>
      <c r="C1165" s="82"/>
      <c r="D1165" s="82"/>
    </row>
    <row r="1166" spans="1:4" ht="15.75" customHeight="1">
      <c r="A1166" s="81" t="s">
        <v>10</v>
      </c>
      <c r="B1166" s="81" t="s">
        <v>398</v>
      </c>
      <c r="C1166" s="82"/>
      <c r="D1166" s="82"/>
    </row>
    <row r="1167" spans="1:4" ht="15.75" customHeight="1">
      <c r="A1167" s="81" t="s">
        <v>10</v>
      </c>
      <c r="B1167" s="81" t="s">
        <v>399</v>
      </c>
      <c r="C1167" s="82"/>
      <c r="D1167" s="82"/>
    </row>
    <row r="1168" spans="1:4" ht="15.75" customHeight="1">
      <c r="A1168" s="81" t="s">
        <v>10</v>
      </c>
      <c r="B1168" s="81" t="s">
        <v>400</v>
      </c>
      <c r="C1168" s="82"/>
      <c r="D1168" s="82"/>
    </row>
    <row r="1169" spans="1:5" ht="15.75" customHeight="1">
      <c r="A1169" s="81" t="s">
        <v>10</v>
      </c>
      <c r="B1169" s="81" t="s">
        <v>401</v>
      </c>
      <c r="C1169" s="82"/>
      <c r="D1169" s="82"/>
    </row>
    <row r="1170" spans="1:5" ht="15.75" customHeight="1">
      <c r="A1170" s="81" t="s">
        <v>10</v>
      </c>
      <c r="B1170" s="81" t="s">
        <v>402</v>
      </c>
      <c r="C1170" s="82"/>
      <c r="D1170" s="82"/>
    </row>
    <row r="1171" spans="1:5" ht="15.75" customHeight="1">
      <c r="A1171" s="81" t="s">
        <v>10</v>
      </c>
      <c r="B1171" s="81" t="s">
        <v>403</v>
      </c>
      <c r="C1171" s="82"/>
      <c r="D1171" s="82"/>
    </row>
    <row r="1172" spans="1:5" ht="15.75" customHeight="1">
      <c r="A1172" s="81" t="s">
        <v>10</v>
      </c>
      <c r="B1172" s="81" t="s">
        <v>404</v>
      </c>
      <c r="C1172" s="82"/>
      <c r="D1172" s="82"/>
    </row>
    <row r="1173" spans="1:5" ht="15.75" customHeight="1">
      <c r="A1173" s="81" t="s">
        <v>10</v>
      </c>
      <c r="B1173" s="81" t="s">
        <v>405</v>
      </c>
      <c r="C1173" s="82"/>
      <c r="D1173" s="82"/>
    </row>
    <row r="1174" spans="1:5" ht="15.75" customHeight="1">
      <c r="A1174" s="81" t="s">
        <v>10</v>
      </c>
      <c r="B1174" s="81" t="s">
        <v>406</v>
      </c>
      <c r="C1174" s="82"/>
      <c r="D1174" s="82"/>
    </row>
    <row r="1175" spans="1:5" ht="15.75" customHeight="1">
      <c r="A1175" s="81" t="s">
        <v>10</v>
      </c>
      <c r="B1175" s="81" t="s">
        <v>407</v>
      </c>
      <c r="C1175" s="82"/>
      <c r="D1175" s="82"/>
    </row>
    <row r="1176" spans="1:5" ht="15.75" customHeight="1">
      <c r="A1176" s="81" t="s">
        <v>10</v>
      </c>
      <c r="B1176" s="81" t="s">
        <v>408</v>
      </c>
      <c r="C1176" s="82"/>
      <c r="D1176" s="82"/>
    </row>
    <row r="1177" spans="1:5" ht="15.75" customHeight="1">
      <c r="A1177" s="81" t="s">
        <v>10</v>
      </c>
      <c r="B1177" s="81" t="s">
        <v>409</v>
      </c>
      <c r="C1177" s="82"/>
      <c r="D1177" s="82"/>
    </row>
    <row r="1178" spans="1:5" ht="15.75" customHeight="1">
      <c r="A1178" s="81" t="s">
        <v>10</v>
      </c>
      <c r="B1178" s="81" t="s">
        <v>410</v>
      </c>
      <c r="C1178" s="82"/>
      <c r="D1178" s="82"/>
      <c r="E1178" s="77"/>
    </row>
    <row r="1179" spans="1:5" ht="15.75" customHeight="1">
      <c r="A1179" s="81" t="s">
        <v>10</v>
      </c>
      <c r="B1179" s="81" t="s">
        <v>411</v>
      </c>
      <c r="C1179" s="82"/>
      <c r="D1179" s="82"/>
      <c r="E1179" s="77"/>
    </row>
    <row r="1180" spans="1:5" ht="15.75" customHeight="1">
      <c r="A1180" s="81" t="s">
        <v>10</v>
      </c>
      <c r="B1180" s="81" t="s">
        <v>412</v>
      </c>
      <c r="C1180" s="82"/>
      <c r="D1180" s="82"/>
      <c r="E1180" s="77"/>
    </row>
    <row r="1181" spans="1:5" ht="15.75" customHeight="1">
      <c r="A1181" s="81" t="s">
        <v>10</v>
      </c>
      <c r="B1181" s="81" t="s">
        <v>413</v>
      </c>
      <c r="C1181" s="82"/>
      <c r="D1181" s="82"/>
      <c r="E1181" s="77"/>
    </row>
    <row r="1182" spans="1:5" ht="15.75" customHeight="1">
      <c r="A1182" s="81" t="s">
        <v>10</v>
      </c>
      <c r="B1182" s="81" t="s">
        <v>414</v>
      </c>
      <c r="C1182" s="82">
        <v>-0.13</v>
      </c>
      <c r="D1182" s="82">
        <v>0.37</v>
      </c>
      <c r="E1182" s="77">
        <v>124</v>
      </c>
    </row>
    <row r="1183" spans="1:5" ht="15.75" customHeight="1">
      <c r="A1183" s="81" t="s">
        <v>10</v>
      </c>
      <c r="B1183" s="81" t="s">
        <v>415</v>
      </c>
      <c r="C1183" s="82">
        <v>-0.1</v>
      </c>
      <c r="D1183" s="82">
        <v>0.34</v>
      </c>
      <c r="E1183" s="77">
        <v>153</v>
      </c>
    </row>
    <row r="1184" spans="1:5" ht="15.75" customHeight="1">
      <c r="A1184" s="81" t="s">
        <v>10</v>
      </c>
      <c r="B1184" s="81" t="s">
        <v>416</v>
      </c>
      <c r="C1184" s="82">
        <v>-0.09</v>
      </c>
      <c r="D1184" s="82">
        <v>0.31</v>
      </c>
      <c r="E1184" s="77">
        <v>130</v>
      </c>
    </row>
    <row r="1185" spans="1:5" ht="15.75" customHeight="1">
      <c r="A1185" s="81" t="s">
        <v>10</v>
      </c>
      <c r="B1185" s="81" t="s">
        <v>417</v>
      </c>
      <c r="C1185" s="82">
        <v>-0.01</v>
      </c>
      <c r="D1185" s="82">
        <v>0.25</v>
      </c>
      <c r="E1185" s="77">
        <v>154</v>
      </c>
    </row>
    <row r="1186" spans="1:5" ht="15.75" customHeight="1">
      <c r="A1186" s="81" t="s">
        <v>10</v>
      </c>
      <c r="B1186" s="81" t="s">
        <v>418</v>
      </c>
      <c r="C1186" s="82">
        <v>0.03</v>
      </c>
      <c r="D1186" s="82">
        <v>0.22</v>
      </c>
      <c r="E1186" s="77">
        <v>128</v>
      </c>
    </row>
    <row r="1187" spans="1:5" ht="15.75" customHeight="1">
      <c r="A1187" s="81" t="s">
        <v>10</v>
      </c>
      <c r="B1187" s="81" t="s">
        <v>419</v>
      </c>
      <c r="C1187" s="82">
        <v>0.03</v>
      </c>
      <c r="D1187" s="82">
        <v>0.22</v>
      </c>
      <c r="E1187" s="77">
        <v>142</v>
      </c>
    </row>
    <row r="1188" spans="1:5" ht="15.75" customHeight="1">
      <c r="A1188" s="81" t="s">
        <v>10</v>
      </c>
      <c r="B1188" s="81" t="s">
        <v>420</v>
      </c>
      <c r="C1188" s="82">
        <v>0.05</v>
      </c>
      <c r="D1188" s="82">
        <v>-0.02</v>
      </c>
      <c r="E1188" s="77">
        <v>131</v>
      </c>
    </row>
    <row r="1189" spans="1:5" ht="15.75" customHeight="1">
      <c r="A1189" s="81" t="s">
        <v>10</v>
      </c>
      <c r="B1189" s="81" t="s">
        <v>421</v>
      </c>
      <c r="C1189" s="82">
        <v>-7.0000000000000007E-2</v>
      </c>
      <c r="D1189" s="82">
        <v>-0.04</v>
      </c>
      <c r="E1189" s="77">
        <v>118</v>
      </c>
    </row>
    <row r="1190" spans="1:5" ht="15.75" customHeight="1">
      <c r="A1190" s="81" t="s">
        <v>10</v>
      </c>
      <c r="B1190" s="81" t="s">
        <v>422</v>
      </c>
      <c r="C1190" s="82">
        <v>-0.17</v>
      </c>
      <c r="D1190" s="82">
        <v>-0.03</v>
      </c>
      <c r="E1190" s="77">
        <v>81</v>
      </c>
    </row>
    <row r="1191" spans="1:5" ht="15.75" customHeight="1">
      <c r="A1191" s="81" t="s">
        <v>10</v>
      </c>
      <c r="B1191" s="81" t="s">
        <v>423</v>
      </c>
      <c r="C1191" s="82">
        <v>-0.24</v>
      </c>
      <c r="D1191" s="82">
        <v>-7.0000000000000007E-2</v>
      </c>
      <c r="E1191" s="77">
        <v>91</v>
      </c>
    </row>
    <row r="1192" spans="1:5" ht="15.75" customHeight="1">
      <c r="A1192" s="81" t="s">
        <v>10</v>
      </c>
      <c r="B1192" s="81" t="s">
        <v>424</v>
      </c>
      <c r="C1192" s="82">
        <v>-0.3</v>
      </c>
      <c r="D1192" s="82">
        <v>0.15</v>
      </c>
      <c r="E1192" s="77">
        <v>93</v>
      </c>
    </row>
    <row r="1193" spans="1:5" ht="15.75" customHeight="1">
      <c r="A1193" s="81" t="s">
        <v>10</v>
      </c>
      <c r="B1193" s="81" t="s">
        <v>425</v>
      </c>
      <c r="C1193" s="82">
        <v>-0.3</v>
      </c>
      <c r="D1193" s="82">
        <v>0.16</v>
      </c>
      <c r="E1193" s="77">
        <v>75</v>
      </c>
    </row>
    <row r="1194" spans="1:5" ht="15.75" customHeight="1">
      <c r="A1194" s="81" t="s">
        <v>10</v>
      </c>
      <c r="B1194" s="81" t="s">
        <v>426</v>
      </c>
      <c r="C1194" s="82">
        <v>-0.3</v>
      </c>
      <c r="D1194" s="82">
        <v>0.5</v>
      </c>
      <c r="E1194" s="77">
        <v>49</v>
      </c>
    </row>
    <row r="1195" spans="1:5" ht="15.75" customHeight="1">
      <c r="A1195" s="81" t="s">
        <v>10</v>
      </c>
      <c r="B1195" s="81" t="s">
        <v>427</v>
      </c>
      <c r="C1195" s="82">
        <v>-0.3</v>
      </c>
      <c r="D1195" s="82">
        <v>0</v>
      </c>
      <c r="E1195" s="77">
        <v>7</v>
      </c>
    </row>
    <row r="1196" spans="1:5" ht="15.75" customHeight="1">
      <c r="A1196" s="81" t="s">
        <v>10</v>
      </c>
      <c r="B1196" s="81" t="s">
        <v>428</v>
      </c>
      <c r="C1196" s="82">
        <v>-0.3</v>
      </c>
      <c r="D1196" s="82">
        <v>-0.5</v>
      </c>
      <c r="E1196" s="77">
        <v>8</v>
      </c>
    </row>
    <row r="1197" spans="1:5" ht="15.75" customHeight="1">
      <c r="A1197" s="81" t="s">
        <v>10</v>
      </c>
      <c r="B1197" s="81" t="s">
        <v>429</v>
      </c>
      <c r="C1197" s="82">
        <v>-0.3</v>
      </c>
      <c r="D1197" s="82">
        <v>-0.5</v>
      </c>
      <c r="E1197" s="77">
        <v>17</v>
      </c>
    </row>
    <row r="1198" spans="1:5" ht="15.75" customHeight="1">
      <c r="A1198" s="81" t="s">
        <v>10</v>
      </c>
      <c r="B1198" s="81" t="s">
        <v>430</v>
      </c>
      <c r="C1198" s="82">
        <v>-0.3</v>
      </c>
      <c r="D1198" s="82">
        <v>-0.5</v>
      </c>
      <c r="E1198" s="77">
        <v>16</v>
      </c>
    </row>
    <row r="1199" spans="1:5" ht="15.75" customHeight="1">
      <c r="A1199" s="81" t="s">
        <v>10</v>
      </c>
      <c r="B1199" s="81" t="s">
        <v>431</v>
      </c>
      <c r="C1199" s="82">
        <v>0.81</v>
      </c>
      <c r="D1199" s="82">
        <v>-0.5</v>
      </c>
      <c r="E1199" s="77">
        <v>47</v>
      </c>
    </row>
    <row r="1200" spans="1:5" ht="15.75" customHeight="1">
      <c r="A1200" s="81" t="s">
        <v>10</v>
      </c>
      <c r="B1200" s="81" t="s">
        <v>432</v>
      </c>
      <c r="C1200" s="82">
        <v>1</v>
      </c>
      <c r="D1200" s="82">
        <v>-0.5</v>
      </c>
      <c r="E1200" s="77">
        <v>50</v>
      </c>
    </row>
    <row r="1201" spans="1:5" ht="15.75" customHeight="1">
      <c r="A1201" s="81" t="s">
        <v>10</v>
      </c>
      <c r="B1201" s="81" t="s">
        <v>433</v>
      </c>
      <c r="C1201" s="82">
        <v>1</v>
      </c>
      <c r="D1201" s="82">
        <v>-0.5</v>
      </c>
      <c r="E1201" s="77">
        <v>50</v>
      </c>
    </row>
    <row r="1202" spans="1:5" ht="15.75" customHeight="1">
      <c r="A1202" s="81" t="s">
        <v>10</v>
      </c>
      <c r="B1202" s="81" t="s">
        <v>434</v>
      </c>
      <c r="C1202" s="82">
        <v>1</v>
      </c>
      <c r="D1202" s="82">
        <v>-0.37</v>
      </c>
      <c r="E1202" s="77">
        <v>42</v>
      </c>
    </row>
    <row r="1203" spans="1:5" ht="15.75" customHeight="1">
      <c r="A1203" s="81" t="s">
        <v>10</v>
      </c>
      <c r="B1203" s="81" t="s">
        <v>435</v>
      </c>
      <c r="C1203" s="82">
        <v>1</v>
      </c>
      <c r="D1203" s="82">
        <v>-0.31</v>
      </c>
      <c r="E1203" s="77">
        <v>59</v>
      </c>
    </row>
    <row r="1204" spans="1:5" ht="15.75" customHeight="1">
      <c r="A1204" s="81" t="s">
        <v>10</v>
      </c>
      <c r="B1204" s="81" t="s">
        <v>436</v>
      </c>
      <c r="C1204" s="82">
        <v>1</v>
      </c>
      <c r="D1204" s="82">
        <v>-0.16</v>
      </c>
      <c r="E1204" s="77">
        <v>68</v>
      </c>
    </row>
    <row r="1205" spans="1:5" ht="15.75" customHeight="1">
      <c r="A1205" s="81" t="s">
        <v>10</v>
      </c>
      <c r="B1205" s="81" t="s">
        <v>437</v>
      </c>
      <c r="C1205" s="82">
        <v>0.72</v>
      </c>
      <c r="D1205" s="82">
        <v>-0.09</v>
      </c>
      <c r="E1205" s="77">
        <v>77</v>
      </c>
    </row>
    <row r="1206" spans="1:5" ht="15.75" customHeight="1">
      <c r="A1206" s="81" t="s">
        <v>10</v>
      </c>
      <c r="B1206" s="81" t="s">
        <v>438</v>
      </c>
      <c r="C1206" s="82">
        <v>0.54</v>
      </c>
      <c r="D1206" s="82">
        <v>0.05</v>
      </c>
      <c r="E1206" s="77">
        <v>83</v>
      </c>
    </row>
    <row r="1207" spans="1:5" ht="15.75" customHeight="1">
      <c r="A1207" s="81" t="s">
        <v>10</v>
      </c>
      <c r="B1207" s="81" t="s">
        <v>439</v>
      </c>
      <c r="C1207" s="82">
        <v>0.61</v>
      </c>
      <c r="D1207" s="82">
        <v>0.17</v>
      </c>
      <c r="E1207" s="77">
        <v>92</v>
      </c>
    </row>
    <row r="1208" spans="1:5" ht="15.75" customHeight="1">
      <c r="A1208" s="81" t="s">
        <v>10</v>
      </c>
      <c r="B1208" s="81" t="s">
        <v>440</v>
      </c>
      <c r="C1208" s="82">
        <v>0.62</v>
      </c>
      <c r="D1208" s="82">
        <v>0.13</v>
      </c>
      <c r="E1208" s="77">
        <v>95</v>
      </c>
    </row>
    <row r="1209" spans="1:5" ht="15.75" customHeight="1">
      <c r="A1209" s="81" t="s">
        <v>10</v>
      </c>
      <c r="B1209" s="81" t="s">
        <v>441</v>
      </c>
      <c r="C1209" s="82">
        <v>0.57999999999999996</v>
      </c>
      <c r="D1209" s="82">
        <v>0.2</v>
      </c>
      <c r="E1209" s="77">
        <v>107</v>
      </c>
    </row>
    <row r="1210" spans="1:5" ht="15.75" customHeight="1">
      <c r="A1210" s="81" t="s">
        <v>10</v>
      </c>
      <c r="B1210" s="81" t="s">
        <v>442</v>
      </c>
      <c r="C1210" s="82">
        <v>0.45</v>
      </c>
      <c r="D1210" s="82">
        <v>0.19</v>
      </c>
      <c r="E1210" s="77">
        <v>123</v>
      </c>
    </row>
    <row r="1211" spans="1:5" ht="15.75" customHeight="1">
      <c r="A1211" s="81" t="s">
        <v>10</v>
      </c>
      <c r="B1211" s="81" t="s">
        <v>443</v>
      </c>
      <c r="C1211" s="82">
        <v>0.38</v>
      </c>
      <c r="D1211" s="82">
        <v>0.18</v>
      </c>
      <c r="E1211" s="77">
        <v>116</v>
      </c>
    </row>
    <row r="1212" spans="1:5" ht="15.75" customHeight="1">
      <c r="A1212" s="81" t="s">
        <v>13</v>
      </c>
      <c r="B1212" s="81" t="s">
        <v>334</v>
      </c>
      <c r="C1212" s="82"/>
      <c r="D1212" s="82"/>
    </row>
    <row r="1213" spans="1:5" ht="15.75" customHeight="1">
      <c r="A1213" s="81" t="s">
        <v>13</v>
      </c>
      <c r="B1213" s="81" t="s">
        <v>335</v>
      </c>
      <c r="C1213" s="82"/>
      <c r="D1213" s="82"/>
    </row>
    <row r="1214" spans="1:5" ht="15.75" customHeight="1">
      <c r="A1214" s="81" t="s">
        <v>13</v>
      </c>
      <c r="B1214" s="81" t="s">
        <v>336</v>
      </c>
      <c r="C1214" s="82"/>
      <c r="D1214" s="82"/>
    </row>
    <row r="1215" spans="1:5" ht="15.75" customHeight="1">
      <c r="A1215" s="81" t="s">
        <v>13</v>
      </c>
      <c r="B1215" s="81" t="s">
        <v>337</v>
      </c>
      <c r="C1215" s="82"/>
      <c r="D1215" s="82"/>
    </row>
    <row r="1216" spans="1:5" ht="15.75" customHeight="1">
      <c r="A1216" s="81" t="s">
        <v>13</v>
      </c>
      <c r="B1216" s="81" t="s">
        <v>338</v>
      </c>
      <c r="C1216" s="82"/>
      <c r="D1216" s="82"/>
    </row>
    <row r="1217" spans="1:5" ht="15.75" customHeight="1">
      <c r="A1217" s="81" t="s">
        <v>13</v>
      </c>
      <c r="B1217" s="81" t="s">
        <v>339</v>
      </c>
      <c r="C1217" s="82"/>
      <c r="D1217" s="82"/>
    </row>
    <row r="1218" spans="1:5" ht="15.75" customHeight="1">
      <c r="A1218" s="81" t="s">
        <v>13</v>
      </c>
      <c r="B1218" s="81" t="s">
        <v>340</v>
      </c>
      <c r="C1218" s="82"/>
      <c r="D1218" s="82"/>
    </row>
    <row r="1219" spans="1:5" ht="15.75" customHeight="1">
      <c r="A1219" s="81" t="s">
        <v>13</v>
      </c>
      <c r="B1219" s="81" t="s">
        <v>341</v>
      </c>
      <c r="C1219" s="82"/>
      <c r="D1219" s="82"/>
    </row>
    <row r="1220" spans="1:5" ht="15.75" customHeight="1">
      <c r="A1220" s="81" t="s">
        <v>13</v>
      </c>
      <c r="B1220" s="81" t="s">
        <v>342</v>
      </c>
      <c r="C1220" s="82"/>
      <c r="D1220" s="82"/>
    </row>
    <row r="1221" spans="1:5" ht="15.75" customHeight="1">
      <c r="A1221" s="81" t="s">
        <v>13</v>
      </c>
      <c r="B1221" s="81" t="s">
        <v>343</v>
      </c>
      <c r="C1221" s="82"/>
      <c r="D1221" s="82"/>
    </row>
    <row r="1222" spans="1:5" ht="15.75" customHeight="1">
      <c r="A1222" s="81" t="s">
        <v>13</v>
      </c>
      <c r="B1222" s="81" t="s">
        <v>344</v>
      </c>
      <c r="C1222" s="82"/>
      <c r="D1222" s="82"/>
    </row>
    <row r="1223" spans="1:5" ht="15.75" customHeight="1">
      <c r="A1223" s="81" t="s">
        <v>13</v>
      </c>
      <c r="B1223" s="81" t="s">
        <v>345</v>
      </c>
      <c r="C1223" s="82"/>
      <c r="D1223" s="82"/>
    </row>
    <row r="1224" spans="1:5" ht="15.75" customHeight="1">
      <c r="A1224" s="81" t="s">
        <v>13</v>
      </c>
      <c r="B1224" s="81" t="s">
        <v>346</v>
      </c>
      <c r="C1224" s="82"/>
      <c r="D1224" s="82"/>
    </row>
    <row r="1225" spans="1:5" ht="15.75" customHeight="1">
      <c r="A1225" s="81" t="s">
        <v>13</v>
      </c>
      <c r="B1225" s="81" t="s">
        <v>347</v>
      </c>
      <c r="C1225" s="82"/>
      <c r="D1225" s="82"/>
    </row>
    <row r="1226" spans="1:5" ht="15.75" customHeight="1">
      <c r="A1226" s="81" t="s">
        <v>13</v>
      </c>
      <c r="B1226" s="81" t="s">
        <v>348</v>
      </c>
      <c r="C1226" s="82"/>
      <c r="D1226" s="82"/>
      <c r="E1226" s="84"/>
    </row>
    <row r="1227" spans="1:5" ht="15.75" customHeight="1">
      <c r="A1227" s="81" t="s">
        <v>13</v>
      </c>
      <c r="B1227" s="81" t="s">
        <v>349</v>
      </c>
      <c r="C1227" s="82"/>
      <c r="D1227" s="82"/>
      <c r="E1227" s="84"/>
    </row>
    <row r="1228" spans="1:5" ht="15.75" customHeight="1">
      <c r="A1228" s="81" t="s">
        <v>13</v>
      </c>
      <c r="B1228" s="81" t="s">
        <v>350</v>
      </c>
      <c r="C1228" s="82"/>
      <c r="D1228" s="82"/>
      <c r="E1228" s="84"/>
    </row>
    <row r="1229" spans="1:5" ht="15.75" customHeight="1">
      <c r="A1229" s="81" t="s">
        <v>13</v>
      </c>
      <c r="B1229" s="81" t="s">
        <v>351</v>
      </c>
      <c r="C1229" s="82"/>
      <c r="D1229" s="82"/>
      <c r="E1229" s="84"/>
    </row>
    <row r="1230" spans="1:5" ht="15.75" customHeight="1">
      <c r="A1230" s="81" t="s">
        <v>13</v>
      </c>
      <c r="B1230" s="81" t="s">
        <v>352</v>
      </c>
      <c r="C1230" s="82"/>
      <c r="D1230" s="82"/>
      <c r="E1230" s="84"/>
    </row>
    <row r="1231" spans="1:5" ht="15.75" customHeight="1">
      <c r="A1231" s="81" t="s">
        <v>13</v>
      </c>
      <c r="B1231" s="81" t="s">
        <v>353</v>
      </c>
      <c r="C1231" s="82"/>
      <c r="D1231" s="82"/>
      <c r="E1231" s="84"/>
    </row>
    <row r="1232" spans="1:5" ht="15.75" customHeight="1">
      <c r="A1232" s="81" t="s">
        <v>13</v>
      </c>
      <c r="B1232" s="81" t="s">
        <v>354</v>
      </c>
      <c r="C1232" s="82"/>
      <c r="D1232" s="82"/>
      <c r="E1232" s="84"/>
    </row>
    <row r="1233" spans="1:5" ht="15.75" customHeight="1">
      <c r="A1233" s="81" t="s">
        <v>13</v>
      </c>
      <c r="B1233" s="81" t="s">
        <v>355</v>
      </c>
      <c r="C1233" s="82"/>
      <c r="D1233" s="82"/>
      <c r="E1233" s="84"/>
    </row>
    <row r="1234" spans="1:5" ht="15.75" customHeight="1">
      <c r="A1234" s="81" t="s">
        <v>13</v>
      </c>
      <c r="B1234" s="81" t="s">
        <v>356</v>
      </c>
      <c r="C1234" s="82">
        <v>1</v>
      </c>
      <c r="D1234" s="82">
        <v>0.5</v>
      </c>
      <c r="E1234" s="84">
        <v>0.2</v>
      </c>
    </row>
    <row r="1235" spans="1:5" ht="15.75" customHeight="1">
      <c r="A1235" s="81" t="s">
        <v>13</v>
      </c>
      <c r="B1235" s="81" t="s">
        <v>357</v>
      </c>
      <c r="C1235" s="82">
        <v>1</v>
      </c>
      <c r="D1235" s="82">
        <v>0.5</v>
      </c>
      <c r="E1235" s="84">
        <v>0.2</v>
      </c>
    </row>
    <row r="1236" spans="1:5" ht="15.75" customHeight="1">
      <c r="A1236" s="81" t="s">
        <v>13</v>
      </c>
      <c r="B1236" s="81" t="s">
        <v>358</v>
      </c>
      <c r="C1236" s="82">
        <v>1</v>
      </c>
      <c r="D1236" s="82">
        <v>0.5</v>
      </c>
      <c r="E1236" s="84">
        <v>0.2</v>
      </c>
    </row>
    <row r="1237" spans="1:5" ht="15.75" customHeight="1">
      <c r="A1237" s="81" t="s">
        <v>13</v>
      </c>
      <c r="B1237" s="81" t="s">
        <v>359</v>
      </c>
      <c r="C1237" s="82">
        <v>-0.3</v>
      </c>
      <c r="D1237" s="82">
        <v>0.5</v>
      </c>
      <c r="E1237" s="84">
        <v>0.2</v>
      </c>
    </row>
    <row r="1238" spans="1:5" ht="15.75" customHeight="1">
      <c r="A1238" s="81" t="s">
        <v>13</v>
      </c>
      <c r="B1238" s="81" t="s">
        <v>360</v>
      </c>
      <c r="C1238" s="82">
        <v>-0.3</v>
      </c>
      <c r="D1238" s="82">
        <v>0.5</v>
      </c>
      <c r="E1238" s="84">
        <v>0.2</v>
      </c>
    </row>
    <row r="1239" spans="1:5" ht="15.75" customHeight="1">
      <c r="A1239" s="81" t="s">
        <v>13</v>
      </c>
      <c r="B1239" s="81" t="s">
        <v>361</v>
      </c>
      <c r="C1239" s="82">
        <v>-0.3</v>
      </c>
      <c r="D1239" s="82">
        <v>0.5</v>
      </c>
      <c r="E1239" s="84">
        <v>0.2</v>
      </c>
    </row>
    <row r="1240" spans="1:5" ht="15.75" customHeight="1">
      <c r="A1240" s="81" t="s">
        <v>13</v>
      </c>
      <c r="B1240" s="81" t="s">
        <v>362</v>
      </c>
      <c r="C1240" s="82">
        <v>-0.16</v>
      </c>
      <c r="D1240" s="82">
        <v>0.5</v>
      </c>
      <c r="E1240" s="84">
        <v>0.2</v>
      </c>
    </row>
    <row r="1241" spans="1:5" ht="15.75" customHeight="1">
      <c r="A1241" s="81" t="s">
        <v>13</v>
      </c>
      <c r="B1241" s="81" t="s">
        <v>363</v>
      </c>
      <c r="C1241" s="82">
        <v>7.0000000000000007E-2</v>
      </c>
      <c r="D1241" s="82">
        <v>0.5</v>
      </c>
      <c r="E1241" s="84">
        <v>0.2</v>
      </c>
    </row>
    <row r="1242" spans="1:5" ht="15.75" customHeight="1">
      <c r="A1242" s="81" t="s">
        <v>13</v>
      </c>
      <c r="B1242" s="81" t="s">
        <v>364</v>
      </c>
      <c r="C1242" s="82">
        <v>0.81</v>
      </c>
      <c r="D1242" s="82">
        <v>0.5</v>
      </c>
      <c r="E1242" s="84">
        <v>1</v>
      </c>
    </row>
    <row r="1243" spans="1:5" ht="15.75" customHeight="1">
      <c r="A1243" s="81" t="s">
        <v>13</v>
      </c>
      <c r="B1243" s="81" t="s">
        <v>365</v>
      </c>
      <c r="C1243" s="82">
        <v>1</v>
      </c>
      <c r="D1243" s="82">
        <v>0.5</v>
      </c>
      <c r="E1243" s="84">
        <v>1</v>
      </c>
    </row>
    <row r="1244" spans="1:5" ht="15.75" customHeight="1">
      <c r="A1244" s="81" t="s">
        <v>13</v>
      </c>
      <c r="B1244" s="81" t="s">
        <v>366</v>
      </c>
      <c r="C1244" s="82">
        <v>1</v>
      </c>
      <c r="D1244" s="82">
        <v>0.5</v>
      </c>
      <c r="E1244" s="84">
        <v>1</v>
      </c>
    </row>
    <row r="1245" spans="1:5" ht="15.75" customHeight="1">
      <c r="A1245" s="81" t="s">
        <v>13</v>
      </c>
      <c r="B1245" s="81" t="s">
        <v>367</v>
      </c>
      <c r="C1245" s="82">
        <v>1</v>
      </c>
      <c r="D1245" s="82">
        <v>0.5</v>
      </c>
      <c r="E1245" s="84">
        <v>1</v>
      </c>
    </row>
    <row r="1246" spans="1:5" ht="15.75" customHeight="1">
      <c r="A1246" s="81" t="s">
        <v>13</v>
      </c>
      <c r="B1246" s="81" t="s">
        <v>368</v>
      </c>
      <c r="C1246" s="82">
        <v>1</v>
      </c>
      <c r="D1246" s="82">
        <v>0.5</v>
      </c>
      <c r="E1246" s="84">
        <v>2.1</v>
      </c>
    </row>
    <row r="1247" spans="1:5" ht="15.75" customHeight="1">
      <c r="A1247" s="81" t="s">
        <v>13</v>
      </c>
      <c r="B1247" s="81" t="s">
        <v>369</v>
      </c>
      <c r="C1247" s="82">
        <v>1</v>
      </c>
      <c r="D1247" s="82">
        <v>0.5</v>
      </c>
      <c r="E1247" s="84">
        <v>2.1</v>
      </c>
    </row>
    <row r="1248" spans="1:5" ht="15.75" customHeight="1">
      <c r="A1248" s="81" t="s">
        <v>13</v>
      </c>
      <c r="B1248" s="81" t="s">
        <v>370</v>
      </c>
      <c r="C1248" s="82">
        <v>1</v>
      </c>
      <c r="D1248" s="82">
        <v>0.5</v>
      </c>
      <c r="E1248" s="84">
        <v>2.1</v>
      </c>
    </row>
    <row r="1249" spans="1:5" ht="15.75" customHeight="1">
      <c r="A1249" s="81" t="s">
        <v>13</v>
      </c>
      <c r="B1249" s="81" t="s">
        <v>371</v>
      </c>
      <c r="C1249" s="82">
        <v>1</v>
      </c>
      <c r="D1249" s="82">
        <v>0.5</v>
      </c>
      <c r="E1249" s="84">
        <v>2.1</v>
      </c>
    </row>
    <row r="1250" spans="1:5" ht="15.75" customHeight="1">
      <c r="A1250" s="81" t="s">
        <v>13</v>
      </c>
      <c r="B1250" s="81" t="s">
        <v>372</v>
      </c>
      <c r="C1250" s="82">
        <v>1</v>
      </c>
      <c r="D1250" s="82">
        <v>0.5</v>
      </c>
      <c r="E1250" s="84">
        <v>3.3</v>
      </c>
    </row>
    <row r="1251" spans="1:5" ht="15.75" customHeight="1">
      <c r="A1251" s="81" t="s">
        <v>13</v>
      </c>
      <c r="B1251" s="81" t="s">
        <v>373</v>
      </c>
      <c r="C1251" s="82">
        <v>0.85</v>
      </c>
      <c r="D1251" s="82">
        <v>0.5</v>
      </c>
      <c r="E1251" s="84">
        <v>3.3</v>
      </c>
    </row>
    <row r="1252" spans="1:5" ht="15.75" customHeight="1">
      <c r="A1252" s="81" t="s">
        <v>13</v>
      </c>
      <c r="B1252" s="81" t="s">
        <v>374</v>
      </c>
      <c r="C1252" s="82">
        <v>0.71</v>
      </c>
      <c r="D1252" s="82">
        <v>0.5</v>
      </c>
      <c r="E1252" s="84">
        <v>3.3</v>
      </c>
    </row>
    <row r="1253" spans="1:5" ht="15.75" customHeight="1">
      <c r="A1253" s="81" t="s">
        <v>13</v>
      </c>
      <c r="B1253" s="81" t="s">
        <v>375</v>
      </c>
      <c r="C1253" s="82">
        <v>0.56000000000000005</v>
      </c>
      <c r="D1253" s="82">
        <v>0.5</v>
      </c>
      <c r="E1253" s="84">
        <v>3.3</v>
      </c>
    </row>
    <row r="1254" spans="1:5" ht="15.75" customHeight="1">
      <c r="A1254" s="81" t="s">
        <v>13</v>
      </c>
      <c r="B1254" s="81" t="s">
        <v>376</v>
      </c>
      <c r="C1254" s="82">
        <v>0.59</v>
      </c>
      <c r="D1254" s="82">
        <v>0.5</v>
      </c>
      <c r="E1254" s="84">
        <v>5.7</v>
      </c>
    </row>
    <row r="1255" spans="1:5" ht="15.75" customHeight="1">
      <c r="A1255" s="81" t="s">
        <v>13</v>
      </c>
      <c r="B1255" s="81" t="s">
        <v>377</v>
      </c>
      <c r="C1255" s="82">
        <v>0.63</v>
      </c>
      <c r="D1255" s="82">
        <v>0.5</v>
      </c>
      <c r="E1255" s="84">
        <v>5.7</v>
      </c>
    </row>
    <row r="1256" spans="1:5" ht="15.75" customHeight="1">
      <c r="A1256" s="81" t="s">
        <v>13</v>
      </c>
      <c r="B1256" s="81" t="s">
        <v>378</v>
      </c>
      <c r="C1256" s="82">
        <v>0.66</v>
      </c>
      <c r="D1256" s="82">
        <v>0.5</v>
      </c>
      <c r="E1256" s="84">
        <v>5.7</v>
      </c>
    </row>
    <row r="1257" spans="1:5" ht="15.75" customHeight="1">
      <c r="A1257" s="81" t="s">
        <v>13</v>
      </c>
      <c r="B1257" s="81" t="s">
        <v>379</v>
      </c>
      <c r="C1257" s="82">
        <v>0.69</v>
      </c>
      <c r="D1257" s="82">
        <v>0.5</v>
      </c>
      <c r="E1257" s="84">
        <v>5.7</v>
      </c>
    </row>
    <row r="1258" spans="1:5" ht="15.75" customHeight="1">
      <c r="A1258" s="81" t="s">
        <v>13</v>
      </c>
      <c r="B1258" s="81" t="s">
        <v>380</v>
      </c>
      <c r="C1258" s="82">
        <v>0.52</v>
      </c>
      <c r="D1258" s="82">
        <v>0.5</v>
      </c>
      <c r="E1258" s="84">
        <v>5.7</v>
      </c>
    </row>
    <row r="1259" spans="1:5" ht="15.75" customHeight="1">
      <c r="A1259" s="81" t="s">
        <v>13</v>
      </c>
      <c r="B1259" s="81" t="s">
        <v>381</v>
      </c>
      <c r="C1259" s="82">
        <v>0.35</v>
      </c>
      <c r="D1259" s="82">
        <v>0.5</v>
      </c>
      <c r="E1259" s="84">
        <v>5.7</v>
      </c>
    </row>
    <row r="1260" spans="1:5" ht="15.75" customHeight="1">
      <c r="A1260" s="81" t="s">
        <v>13</v>
      </c>
      <c r="B1260" s="81" t="s">
        <v>382</v>
      </c>
      <c r="C1260" s="82">
        <v>0.18</v>
      </c>
      <c r="D1260" s="82">
        <v>0.5</v>
      </c>
      <c r="E1260" s="84">
        <v>5.7</v>
      </c>
    </row>
    <row r="1261" spans="1:5" ht="15.75" customHeight="1">
      <c r="A1261" s="81" t="s">
        <v>13</v>
      </c>
      <c r="B1261" s="81" t="s">
        <v>383</v>
      </c>
      <c r="C1261" s="82">
        <v>0.02</v>
      </c>
      <c r="D1261" s="82">
        <v>0.5</v>
      </c>
      <c r="E1261" s="84">
        <v>5.7</v>
      </c>
    </row>
    <row r="1262" spans="1:5" ht="15.75" customHeight="1">
      <c r="A1262" s="81" t="s">
        <v>13</v>
      </c>
      <c r="B1262" s="81" t="s">
        <v>384</v>
      </c>
      <c r="C1262" s="82">
        <v>0.11</v>
      </c>
      <c r="D1262" s="82">
        <v>0.5</v>
      </c>
      <c r="E1262" s="84">
        <v>7.9</v>
      </c>
    </row>
    <row r="1263" spans="1:5" ht="15.75" customHeight="1">
      <c r="A1263" s="81" t="s">
        <v>13</v>
      </c>
      <c r="B1263" s="81" t="s">
        <v>385</v>
      </c>
      <c r="C1263" s="82">
        <v>0.2</v>
      </c>
      <c r="D1263" s="82">
        <v>0.5</v>
      </c>
      <c r="E1263" s="84">
        <v>7.9</v>
      </c>
    </row>
    <row r="1264" spans="1:5" ht="15.75" customHeight="1">
      <c r="A1264" s="81" t="s">
        <v>13</v>
      </c>
      <c r="B1264" s="81" t="s">
        <v>386</v>
      </c>
      <c r="C1264" s="82">
        <v>0.28999999999999998</v>
      </c>
      <c r="D1264" s="82">
        <v>0.47</v>
      </c>
      <c r="E1264" s="84">
        <v>7.9</v>
      </c>
    </row>
    <row r="1265" spans="1:5" ht="15.75" customHeight="1">
      <c r="A1265" s="81" t="s">
        <v>13</v>
      </c>
      <c r="B1265" s="81" t="s">
        <v>387</v>
      </c>
      <c r="C1265" s="82">
        <v>0.38</v>
      </c>
      <c r="D1265" s="82">
        <v>0.35</v>
      </c>
      <c r="E1265" s="84">
        <v>7.9</v>
      </c>
    </row>
    <row r="1266" spans="1:5" ht="15.75" customHeight="1">
      <c r="A1266" s="81" t="s">
        <v>13</v>
      </c>
      <c r="B1266" s="81" t="s">
        <v>388</v>
      </c>
      <c r="C1266" s="82">
        <v>0.4</v>
      </c>
      <c r="D1266" s="82">
        <v>0.38</v>
      </c>
      <c r="E1266" s="77">
        <v>12</v>
      </c>
    </row>
    <row r="1267" spans="1:5" ht="15.75" customHeight="1">
      <c r="A1267" s="81" t="s">
        <v>13</v>
      </c>
      <c r="B1267" s="81" t="s">
        <v>389</v>
      </c>
      <c r="C1267" s="82">
        <v>0.43</v>
      </c>
      <c r="D1267" s="82">
        <v>0.42</v>
      </c>
      <c r="E1267" s="77">
        <v>12</v>
      </c>
    </row>
    <row r="1268" spans="1:5" ht="15.75" customHeight="1">
      <c r="A1268" s="81" t="s">
        <v>13</v>
      </c>
      <c r="B1268" s="81" t="s">
        <v>390</v>
      </c>
      <c r="C1268" s="82">
        <v>0.45</v>
      </c>
      <c r="D1268" s="82">
        <v>0.45</v>
      </c>
      <c r="E1268" s="77">
        <v>12</v>
      </c>
    </row>
    <row r="1269" spans="1:5" ht="15.75" customHeight="1">
      <c r="A1269" s="81" t="s">
        <v>13</v>
      </c>
      <c r="B1269" s="81" t="s">
        <v>391</v>
      </c>
      <c r="C1269" s="82">
        <v>0.48</v>
      </c>
      <c r="D1269" s="82">
        <v>0.48</v>
      </c>
      <c r="E1269" s="77">
        <v>12</v>
      </c>
    </row>
    <row r="1270" spans="1:5" ht="15.75" customHeight="1">
      <c r="A1270" s="81" t="s">
        <v>13</v>
      </c>
      <c r="B1270" s="81" t="s">
        <v>392</v>
      </c>
      <c r="C1270" s="82">
        <v>0.42</v>
      </c>
      <c r="D1270" s="82">
        <v>0.46</v>
      </c>
      <c r="E1270" s="77">
        <v>15</v>
      </c>
    </row>
    <row r="1271" spans="1:5" ht="15.75" customHeight="1">
      <c r="A1271" s="81" t="s">
        <v>13</v>
      </c>
      <c r="B1271" s="81" t="s">
        <v>393</v>
      </c>
      <c r="C1271" s="82">
        <v>0.37</v>
      </c>
      <c r="D1271" s="82">
        <v>0.43</v>
      </c>
      <c r="E1271" s="77">
        <v>15</v>
      </c>
    </row>
    <row r="1272" spans="1:5" ht="15.75" customHeight="1">
      <c r="A1272" s="81" t="s">
        <v>13</v>
      </c>
      <c r="B1272" s="81" t="s">
        <v>394</v>
      </c>
      <c r="C1272" s="82">
        <v>0.31</v>
      </c>
      <c r="D1272" s="82">
        <v>0.41</v>
      </c>
      <c r="E1272" s="77">
        <v>15</v>
      </c>
    </row>
    <row r="1273" spans="1:5" ht="15.75" customHeight="1">
      <c r="A1273" s="81" t="s">
        <v>13</v>
      </c>
      <c r="B1273" s="81" t="s">
        <v>395</v>
      </c>
      <c r="C1273" s="82">
        <v>0.26</v>
      </c>
      <c r="D1273" s="82">
        <v>0.38</v>
      </c>
      <c r="E1273" s="77">
        <v>15</v>
      </c>
    </row>
    <row r="1274" spans="1:5" ht="15.75" customHeight="1">
      <c r="A1274" s="81" t="s">
        <v>13</v>
      </c>
      <c r="B1274" s="81" t="s">
        <v>396</v>
      </c>
      <c r="C1274" s="82">
        <v>0.24</v>
      </c>
      <c r="D1274" s="82">
        <v>0.39</v>
      </c>
      <c r="E1274" s="77">
        <v>17</v>
      </c>
    </row>
    <row r="1275" spans="1:5" ht="15.75" customHeight="1">
      <c r="A1275" s="81" t="s">
        <v>13</v>
      </c>
      <c r="B1275" s="81" t="s">
        <v>397</v>
      </c>
      <c r="C1275" s="82">
        <v>0.22</v>
      </c>
      <c r="D1275" s="82">
        <v>0.39</v>
      </c>
      <c r="E1275" s="77">
        <v>17</v>
      </c>
    </row>
    <row r="1276" spans="1:5" ht="15.75" customHeight="1">
      <c r="A1276" s="81" t="s">
        <v>13</v>
      </c>
      <c r="B1276" s="81" t="s">
        <v>398</v>
      </c>
      <c r="C1276" s="82">
        <v>0.2</v>
      </c>
      <c r="D1276" s="82">
        <v>0.39</v>
      </c>
      <c r="E1276" s="77">
        <v>17</v>
      </c>
    </row>
    <row r="1277" spans="1:5" ht="15.75" customHeight="1">
      <c r="A1277" s="81" t="s">
        <v>13</v>
      </c>
      <c r="B1277" s="81" t="s">
        <v>399</v>
      </c>
      <c r="C1277" s="82">
        <v>0.18</v>
      </c>
      <c r="D1277" s="82">
        <v>0.39</v>
      </c>
      <c r="E1277" s="77">
        <v>17</v>
      </c>
    </row>
    <row r="1278" spans="1:5" ht="15.75" customHeight="1">
      <c r="A1278" s="81" t="s">
        <v>13</v>
      </c>
      <c r="B1278" s="81" t="s">
        <v>400</v>
      </c>
      <c r="C1278" s="82">
        <v>0.22</v>
      </c>
      <c r="D1278" s="82">
        <v>0.38</v>
      </c>
      <c r="E1278" s="77">
        <v>23</v>
      </c>
    </row>
    <row r="1279" spans="1:5" ht="15.75" customHeight="1">
      <c r="A1279" s="81" t="s">
        <v>13</v>
      </c>
      <c r="B1279" s="81" t="s">
        <v>401</v>
      </c>
      <c r="C1279" s="82">
        <v>0.26</v>
      </c>
      <c r="D1279" s="82">
        <v>0.37</v>
      </c>
      <c r="E1279" s="77">
        <v>23</v>
      </c>
    </row>
    <row r="1280" spans="1:5" ht="15.75" customHeight="1">
      <c r="A1280" s="81" t="s">
        <v>13</v>
      </c>
      <c r="B1280" s="81" t="s">
        <v>402</v>
      </c>
      <c r="C1280" s="82">
        <v>0.3</v>
      </c>
      <c r="D1280" s="82">
        <v>0.36</v>
      </c>
      <c r="E1280" s="77">
        <v>23</v>
      </c>
    </row>
    <row r="1281" spans="1:5" ht="15.75" customHeight="1">
      <c r="A1281" s="81" t="s">
        <v>13</v>
      </c>
      <c r="B1281" s="81" t="s">
        <v>403</v>
      </c>
      <c r="C1281" s="82">
        <v>0.34</v>
      </c>
      <c r="D1281" s="82">
        <v>0.35</v>
      </c>
      <c r="E1281" s="77">
        <v>23</v>
      </c>
    </row>
    <row r="1282" spans="1:5" ht="15.75" customHeight="1">
      <c r="A1282" s="81" t="s">
        <v>13</v>
      </c>
      <c r="B1282" s="81" t="s">
        <v>404</v>
      </c>
      <c r="C1282" s="82">
        <v>0.25</v>
      </c>
      <c r="D1282" s="82">
        <v>0.44</v>
      </c>
      <c r="E1282" s="77">
        <v>23</v>
      </c>
    </row>
    <row r="1283" spans="1:5" ht="15.75" customHeight="1">
      <c r="A1283" s="81" t="s">
        <v>13</v>
      </c>
      <c r="B1283" s="81" t="s">
        <v>405</v>
      </c>
      <c r="C1283" s="82">
        <v>0.16</v>
      </c>
      <c r="D1283" s="82">
        <v>0.5</v>
      </c>
      <c r="E1283" s="77">
        <v>23</v>
      </c>
    </row>
    <row r="1284" spans="1:5" ht="15.75" customHeight="1">
      <c r="A1284" s="81" t="s">
        <v>13</v>
      </c>
      <c r="B1284" s="81" t="s">
        <v>406</v>
      </c>
      <c r="C1284" s="82">
        <v>7.0000000000000007E-2</v>
      </c>
      <c r="D1284" s="82">
        <v>0.5</v>
      </c>
      <c r="E1284" s="77">
        <v>23</v>
      </c>
    </row>
    <row r="1285" spans="1:5" ht="15.75" customHeight="1">
      <c r="A1285" s="81" t="s">
        <v>13</v>
      </c>
      <c r="B1285" s="81" t="s">
        <v>407</v>
      </c>
      <c r="C1285" s="82">
        <v>-0.02</v>
      </c>
      <c r="D1285" s="82">
        <v>0.5</v>
      </c>
      <c r="E1285" s="77">
        <v>23</v>
      </c>
    </row>
    <row r="1286" spans="1:5" ht="15.75" customHeight="1">
      <c r="A1286" s="81" t="s">
        <v>13</v>
      </c>
      <c r="B1286" s="81" t="s">
        <v>408</v>
      </c>
      <c r="C1286" s="82">
        <v>0.05</v>
      </c>
      <c r="D1286" s="82">
        <v>0.5</v>
      </c>
      <c r="E1286" s="77">
        <v>29</v>
      </c>
    </row>
    <row r="1287" spans="1:5" ht="15.75" customHeight="1">
      <c r="A1287" s="81" t="s">
        <v>13</v>
      </c>
      <c r="B1287" s="81" t="s">
        <v>409</v>
      </c>
      <c r="C1287" s="82">
        <v>0.12</v>
      </c>
      <c r="D1287" s="82">
        <v>0.5</v>
      </c>
      <c r="E1287" s="77">
        <v>29</v>
      </c>
    </row>
    <row r="1288" spans="1:5" ht="15.75" customHeight="1">
      <c r="A1288" s="81" t="s">
        <v>13</v>
      </c>
      <c r="B1288" s="81" t="s">
        <v>410</v>
      </c>
      <c r="C1288" s="82">
        <v>0.19</v>
      </c>
      <c r="D1288" s="82">
        <v>0.5</v>
      </c>
      <c r="E1288" s="77">
        <v>29</v>
      </c>
    </row>
    <row r="1289" spans="1:5" ht="15.75" customHeight="1">
      <c r="A1289" s="81" t="s">
        <v>13</v>
      </c>
      <c r="B1289" s="81" t="s">
        <v>411</v>
      </c>
      <c r="C1289" s="82">
        <v>0.25</v>
      </c>
      <c r="D1289" s="82">
        <v>0.5</v>
      </c>
      <c r="E1289" s="77">
        <v>29</v>
      </c>
    </row>
    <row r="1290" spans="1:5" ht="15.75" customHeight="1">
      <c r="A1290" s="81" t="s">
        <v>13</v>
      </c>
      <c r="B1290" s="81" t="s">
        <v>412</v>
      </c>
      <c r="C1290" s="82">
        <v>0.28999999999999998</v>
      </c>
      <c r="D1290" s="82">
        <v>0.5</v>
      </c>
      <c r="E1290" s="77">
        <v>40</v>
      </c>
    </row>
    <row r="1291" spans="1:5" ht="15.75" customHeight="1">
      <c r="A1291" s="81" t="s">
        <v>13</v>
      </c>
      <c r="B1291" s="81" t="s">
        <v>413</v>
      </c>
      <c r="C1291" s="82">
        <v>0.32</v>
      </c>
      <c r="D1291" s="82">
        <v>0.37</v>
      </c>
      <c r="E1291" s="77">
        <v>40</v>
      </c>
    </row>
    <row r="1292" spans="1:5" ht="15.75" customHeight="1">
      <c r="A1292" s="81" t="s">
        <v>13</v>
      </c>
      <c r="B1292" s="81" t="s">
        <v>414</v>
      </c>
      <c r="C1292" s="82">
        <v>0.35</v>
      </c>
      <c r="D1292" s="82">
        <v>0.24</v>
      </c>
      <c r="E1292" s="77">
        <v>40</v>
      </c>
    </row>
    <row r="1293" spans="1:5" ht="15.75" customHeight="1">
      <c r="A1293" s="81" t="s">
        <v>13</v>
      </c>
      <c r="B1293" s="81" t="s">
        <v>415</v>
      </c>
      <c r="C1293" s="82">
        <v>0.39</v>
      </c>
      <c r="D1293" s="82">
        <v>0.11</v>
      </c>
      <c r="E1293" s="77">
        <v>40</v>
      </c>
    </row>
    <row r="1294" spans="1:5" ht="15.75" customHeight="1">
      <c r="A1294" s="81" t="s">
        <v>13</v>
      </c>
      <c r="B1294" s="81" t="s">
        <v>416</v>
      </c>
      <c r="C1294" s="82">
        <v>0.92</v>
      </c>
      <c r="D1294" s="82">
        <v>0.06</v>
      </c>
      <c r="E1294" s="77">
        <v>141</v>
      </c>
    </row>
    <row r="1295" spans="1:5" ht="15.75" customHeight="1">
      <c r="A1295" s="81" t="s">
        <v>13</v>
      </c>
      <c r="B1295" s="81" t="s">
        <v>417</v>
      </c>
      <c r="C1295" s="82">
        <v>1</v>
      </c>
      <c r="D1295" s="82">
        <v>0.01</v>
      </c>
      <c r="E1295" s="77">
        <v>141</v>
      </c>
    </row>
    <row r="1296" spans="1:5" ht="15.75" customHeight="1">
      <c r="A1296" s="81" t="s">
        <v>13</v>
      </c>
      <c r="B1296" s="81" t="s">
        <v>418</v>
      </c>
      <c r="C1296" s="82">
        <v>1</v>
      </c>
      <c r="D1296" s="82">
        <v>-0.03</v>
      </c>
      <c r="E1296" s="77">
        <v>141</v>
      </c>
    </row>
    <row r="1297" spans="1:5" ht="15.75" customHeight="1">
      <c r="A1297" s="81" t="s">
        <v>13</v>
      </c>
      <c r="B1297" s="81" t="s">
        <v>419</v>
      </c>
      <c r="C1297" s="82">
        <v>1</v>
      </c>
      <c r="D1297" s="82">
        <v>-0.08</v>
      </c>
      <c r="E1297" s="77">
        <v>141</v>
      </c>
    </row>
    <row r="1298" spans="1:5" ht="15.75" customHeight="1">
      <c r="A1298" s="81" t="s">
        <v>13</v>
      </c>
      <c r="B1298" s="81" t="s">
        <v>420</v>
      </c>
      <c r="C1298" s="82">
        <v>1</v>
      </c>
      <c r="D1298" s="82">
        <v>-0.11</v>
      </c>
      <c r="E1298" s="81">
        <v>57.1</v>
      </c>
    </row>
    <row r="1299" spans="1:5" ht="15.75" customHeight="1">
      <c r="A1299" s="81" t="s">
        <v>13</v>
      </c>
      <c r="B1299" s="81" t="s">
        <v>421</v>
      </c>
      <c r="C1299" s="82">
        <v>0.97</v>
      </c>
      <c r="D1299" s="82">
        <v>-0.13</v>
      </c>
      <c r="E1299" s="81">
        <v>57.1</v>
      </c>
    </row>
    <row r="1300" spans="1:5" ht="15.75" customHeight="1">
      <c r="A1300" s="81" t="s">
        <v>13</v>
      </c>
      <c r="B1300" s="81" t="s">
        <v>422</v>
      </c>
      <c r="C1300" s="82">
        <v>0.2</v>
      </c>
      <c r="D1300" s="82">
        <v>-0.17</v>
      </c>
      <c r="E1300" s="81">
        <v>62.3</v>
      </c>
    </row>
    <row r="1301" spans="1:5" ht="15.75" customHeight="1">
      <c r="A1301" s="81" t="s">
        <v>13</v>
      </c>
      <c r="B1301" s="81" t="s">
        <v>423</v>
      </c>
      <c r="C1301" s="82">
        <v>-0.3</v>
      </c>
      <c r="D1301" s="82">
        <v>-0.2</v>
      </c>
      <c r="E1301" s="81">
        <v>62.3</v>
      </c>
    </row>
    <row r="1302" spans="1:5" ht="15.75" customHeight="1">
      <c r="A1302" s="81" t="s">
        <v>13</v>
      </c>
      <c r="B1302" s="81" t="s">
        <v>424</v>
      </c>
      <c r="C1302" s="82">
        <v>-0.3</v>
      </c>
      <c r="D1302" s="82">
        <v>-0.17</v>
      </c>
      <c r="E1302" s="81">
        <v>70.900000000000006</v>
      </c>
    </row>
    <row r="1303" spans="1:5" ht="15.75" customHeight="1">
      <c r="A1303" s="81" t="s">
        <v>13</v>
      </c>
      <c r="B1303" s="81" t="s">
        <v>425</v>
      </c>
      <c r="C1303" s="82">
        <v>-0.16</v>
      </c>
      <c r="D1303" s="82">
        <v>-0.14000000000000001</v>
      </c>
      <c r="E1303" s="81">
        <v>70.900000000000006</v>
      </c>
    </row>
    <row r="1304" spans="1:5" ht="15.75" customHeight="1">
      <c r="A1304" s="81" t="s">
        <v>13</v>
      </c>
      <c r="B1304" s="81" t="s">
        <v>426</v>
      </c>
      <c r="C1304" s="82">
        <v>-0.21</v>
      </c>
      <c r="D1304" s="82">
        <v>0.5</v>
      </c>
      <c r="E1304" s="81">
        <v>15.8</v>
      </c>
    </row>
    <row r="1305" spans="1:5" ht="15.75" customHeight="1">
      <c r="A1305" s="81" t="s">
        <v>13</v>
      </c>
      <c r="B1305" s="81" t="s">
        <v>427</v>
      </c>
      <c r="C1305" s="82">
        <v>-0.25</v>
      </c>
      <c r="D1305" s="82">
        <v>0.5</v>
      </c>
      <c r="E1305" s="81">
        <v>15.8</v>
      </c>
    </row>
    <row r="1306" spans="1:5" ht="15.75" customHeight="1">
      <c r="A1306" s="81" t="s">
        <v>13</v>
      </c>
      <c r="B1306" s="81" t="s">
        <v>428</v>
      </c>
      <c r="C1306" s="82">
        <v>-0.3</v>
      </c>
      <c r="D1306" s="82">
        <v>0.5</v>
      </c>
      <c r="E1306" s="81">
        <v>7.4</v>
      </c>
    </row>
    <row r="1307" spans="1:5" ht="15.75" customHeight="1">
      <c r="A1307" s="81" t="s">
        <v>13</v>
      </c>
      <c r="B1307" s="81" t="s">
        <v>429</v>
      </c>
      <c r="C1307" s="82">
        <v>-0.3</v>
      </c>
      <c r="D1307" s="82">
        <v>0.5</v>
      </c>
      <c r="E1307" s="81">
        <v>7.4</v>
      </c>
    </row>
    <row r="1308" spans="1:5" ht="15.75" customHeight="1">
      <c r="A1308" s="81" t="s">
        <v>13</v>
      </c>
      <c r="B1308" s="81" t="s">
        <v>430</v>
      </c>
      <c r="C1308" s="82">
        <v>-0.3</v>
      </c>
      <c r="D1308" s="82">
        <v>0.5</v>
      </c>
      <c r="E1308" s="81">
        <v>5.0999999999999996</v>
      </c>
    </row>
    <row r="1309" spans="1:5" ht="15.75" customHeight="1">
      <c r="A1309" s="81" t="s">
        <v>13</v>
      </c>
      <c r="B1309" s="81" t="s">
        <v>431</v>
      </c>
      <c r="C1309" s="82">
        <v>-0.3</v>
      </c>
      <c r="D1309" s="82">
        <v>0.5</v>
      </c>
      <c r="E1309" s="81">
        <v>18.100000000000001</v>
      </c>
    </row>
    <row r="1310" spans="1:5" ht="15.75" customHeight="1">
      <c r="A1310" s="81" t="s">
        <v>13</v>
      </c>
      <c r="B1310" s="81" t="s">
        <v>432</v>
      </c>
      <c r="C1310" s="82">
        <v>0</v>
      </c>
      <c r="D1310" s="82">
        <v>0.5</v>
      </c>
      <c r="E1310" s="81">
        <v>18.100000000000001</v>
      </c>
    </row>
    <row r="1311" spans="1:5" ht="15.75" customHeight="1">
      <c r="A1311" s="81" t="s">
        <v>13</v>
      </c>
      <c r="B1311" s="81" t="s">
        <v>433</v>
      </c>
      <c r="C1311" s="82">
        <v>0.88</v>
      </c>
      <c r="D1311" s="82">
        <v>0.5</v>
      </c>
      <c r="E1311" s="81">
        <v>27</v>
      </c>
    </row>
    <row r="1312" spans="1:5" ht="15.75" customHeight="1">
      <c r="A1312" s="81" t="s">
        <v>13</v>
      </c>
      <c r="B1312" s="81" t="s">
        <v>434</v>
      </c>
      <c r="C1312" s="82">
        <v>1</v>
      </c>
      <c r="D1312" s="82">
        <v>0.5</v>
      </c>
      <c r="E1312" s="81">
        <v>27</v>
      </c>
    </row>
    <row r="1313" spans="1:5" ht="15.75" customHeight="1">
      <c r="A1313" s="81" t="s">
        <v>13</v>
      </c>
      <c r="B1313" s="81" t="s">
        <v>435</v>
      </c>
      <c r="C1313" s="82">
        <v>1</v>
      </c>
      <c r="D1313" s="82">
        <v>0.5</v>
      </c>
      <c r="E1313" s="81">
        <v>57.1</v>
      </c>
    </row>
    <row r="1314" spans="1:5" ht="15.75" customHeight="1">
      <c r="A1314" s="81" t="s">
        <v>13</v>
      </c>
      <c r="B1314" s="81" t="s">
        <v>436</v>
      </c>
      <c r="C1314" s="82">
        <v>1</v>
      </c>
      <c r="D1314" s="82">
        <v>0.18</v>
      </c>
      <c r="E1314" s="81">
        <v>57.1</v>
      </c>
    </row>
    <row r="1315" spans="1:5" ht="15.75" customHeight="1">
      <c r="A1315" s="81" t="s">
        <v>13</v>
      </c>
      <c r="B1315" s="81" t="s">
        <v>437</v>
      </c>
      <c r="C1315" s="82">
        <v>1</v>
      </c>
      <c r="D1315" s="82">
        <v>0.06</v>
      </c>
      <c r="E1315" s="81">
        <v>61.3</v>
      </c>
    </row>
    <row r="1316" spans="1:5" ht="15.75" customHeight="1">
      <c r="A1316" s="81" t="s">
        <v>13</v>
      </c>
      <c r="B1316" s="81" t="s">
        <v>438</v>
      </c>
      <c r="C1316" s="82">
        <v>1</v>
      </c>
      <c r="D1316" s="82">
        <v>-0.05</v>
      </c>
      <c r="E1316" s="81">
        <v>61.3</v>
      </c>
    </row>
    <row r="1317" spans="1:5" ht="15.75" customHeight="1">
      <c r="A1317" s="81" t="s">
        <v>13</v>
      </c>
      <c r="B1317" s="81" t="s">
        <v>439</v>
      </c>
      <c r="C1317" s="82">
        <v>1</v>
      </c>
      <c r="D1317" s="82">
        <v>-0.1</v>
      </c>
      <c r="E1317" s="81">
        <v>79.5</v>
      </c>
    </row>
    <row r="1318" spans="1:5" ht="15.75" customHeight="1">
      <c r="A1318" s="81" t="s">
        <v>13</v>
      </c>
      <c r="B1318" s="81" t="s">
        <v>440</v>
      </c>
      <c r="C1318" s="82">
        <v>0.83</v>
      </c>
      <c r="D1318" s="82">
        <v>-0.15</v>
      </c>
      <c r="E1318" s="81">
        <v>79.5</v>
      </c>
    </row>
    <row r="1319" spans="1:5" ht="15.75" customHeight="1">
      <c r="A1319" s="81" t="s">
        <v>13</v>
      </c>
      <c r="B1319" s="81" t="s">
        <v>441</v>
      </c>
      <c r="C1319" s="82">
        <v>0.56000000000000005</v>
      </c>
      <c r="D1319" s="82">
        <v>-0.19</v>
      </c>
      <c r="E1319" s="81">
        <v>73.8</v>
      </c>
    </row>
    <row r="1320" spans="1:5" ht="15.75" customHeight="1">
      <c r="A1320" s="81" t="s">
        <v>13</v>
      </c>
      <c r="B1320" s="81" t="s">
        <v>442</v>
      </c>
      <c r="C1320" s="82">
        <v>0.3</v>
      </c>
      <c r="D1320" s="82">
        <v>-0.23</v>
      </c>
      <c r="E1320" s="81">
        <v>73.8</v>
      </c>
    </row>
    <row r="1321" spans="1:5" ht="15.75" customHeight="1">
      <c r="A1321" s="81" t="s">
        <v>13</v>
      </c>
      <c r="B1321" s="81" t="s">
        <v>443</v>
      </c>
      <c r="C1321" s="82"/>
      <c r="D1321" s="82"/>
    </row>
    <row r="1322" spans="1:5" ht="15.75" customHeight="1">
      <c r="A1322" s="81" t="s">
        <v>16</v>
      </c>
      <c r="B1322" s="81" t="s">
        <v>334</v>
      </c>
      <c r="C1322" s="82"/>
      <c r="D1322" s="82"/>
    </row>
    <row r="1323" spans="1:5" ht="15.75" customHeight="1">
      <c r="A1323" s="81" t="s">
        <v>16</v>
      </c>
      <c r="B1323" s="81" t="s">
        <v>335</v>
      </c>
      <c r="C1323" s="82"/>
      <c r="D1323" s="82"/>
    </row>
    <row r="1324" spans="1:5" ht="15.75" customHeight="1">
      <c r="A1324" s="81" t="s">
        <v>16</v>
      </c>
      <c r="B1324" s="81" t="s">
        <v>336</v>
      </c>
      <c r="C1324" s="82"/>
      <c r="D1324" s="82"/>
    </row>
    <row r="1325" spans="1:5" ht="15.75" customHeight="1">
      <c r="A1325" s="81" t="s">
        <v>16</v>
      </c>
      <c r="B1325" s="81" t="s">
        <v>337</v>
      </c>
      <c r="C1325" s="82"/>
      <c r="D1325" s="82"/>
    </row>
    <row r="1326" spans="1:5" ht="15.75" customHeight="1">
      <c r="A1326" s="81" t="s">
        <v>16</v>
      </c>
      <c r="B1326" s="81" t="s">
        <v>338</v>
      </c>
      <c r="C1326" s="82"/>
      <c r="D1326" s="82"/>
    </row>
    <row r="1327" spans="1:5" ht="15.75" customHeight="1">
      <c r="A1327" s="81" t="s">
        <v>16</v>
      </c>
      <c r="B1327" s="81" t="s">
        <v>339</v>
      </c>
      <c r="C1327" s="82"/>
      <c r="D1327" s="82"/>
    </row>
    <row r="1328" spans="1:5" ht="15.75" customHeight="1">
      <c r="A1328" s="81" t="s">
        <v>16</v>
      </c>
      <c r="B1328" s="81" t="s">
        <v>340</v>
      </c>
      <c r="C1328" s="82"/>
      <c r="D1328" s="82"/>
    </row>
    <row r="1329" spans="1:4" ht="15.75" customHeight="1">
      <c r="A1329" s="81" t="s">
        <v>16</v>
      </c>
      <c r="B1329" s="81" t="s">
        <v>341</v>
      </c>
      <c r="C1329" s="82"/>
      <c r="D1329" s="82"/>
    </row>
    <row r="1330" spans="1:4" ht="15.75" customHeight="1">
      <c r="A1330" s="81" t="s">
        <v>16</v>
      </c>
      <c r="B1330" s="81" t="s">
        <v>342</v>
      </c>
      <c r="C1330" s="82"/>
      <c r="D1330" s="82"/>
    </row>
    <row r="1331" spans="1:4" ht="15.75" customHeight="1">
      <c r="A1331" s="81" t="s">
        <v>16</v>
      </c>
      <c r="B1331" s="81" t="s">
        <v>343</v>
      </c>
      <c r="C1331" s="82"/>
      <c r="D1331" s="82"/>
    </row>
    <row r="1332" spans="1:4" ht="15.75" customHeight="1">
      <c r="A1332" s="81" t="s">
        <v>16</v>
      </c>
      <c r="B1332" s="81" t="s">
        <v>344</v>
      </c>
      <c r="C1332" s="82"/>
      <c r="D1332" s="82"/>
    </row>
    <row r="1333" spans="1:4" ht="15.75" customHeight="1">
      <c r="A1333" s="81" t="s">
        <v>16</v>
      </c>
      <c r="B1333" s="81" t="s">
        <v>345</v>
      </c>
      <c r="C1333" s="82"/>
      <c r="D1333" s="82"/>
    </row>
    <row r="1334" spans="1:4" ht="15.75" customHeight="1">
      <c r="A1334" s="81" t="s">
        <v>16</v>
      </c>
      <c r="B1334" s="81" t="s">
        <v>346</v>
      </c>
      <c r="C1334" s="82"/>
      <c r="D1334" s="82"/>
    </row>
    <row r="1335" spans="1:4" ht="15.75" customHeight="1">
      <c r="A1335" s="81" t="s">
        <v>16</v>
      </c>
      <c r="B1335" s="81" t="s">
        <v>347</v>
      </c>
      <c r="C1335" s="82"/>
      <c r="D1335" s="82"/>
    </row>
    <row r="1336" spans="1:4" ht="15.75" customHeight="1">
      <c r="A1336" s="81" t="s">
        <v>16</v>
      </c>
      <c r="B1336" s="81" t="s">
        <v>348</v>
      </c>
      <c r="C1336" s="82"/>
      <c r="D1336" s="82"/>
    </row>
    <row r="1337" spans="1:4" ht="15.75" customHeight="1">
      <c r="A1337" s="81" t="s">
        <v>16</v>
      </c>
      <c r="B1337" s="81" t="s">
        <v>349</v>
      </c>
      <c r="C1337" s="82"/>
      <c r="D1337" s="82"/>
    </row>
    <row r="1338" spans="1:4" ht="15.75" customHeight="1">
      <c r="A1338" s="81" t="s">
        <v>16</v>
      </c>
      <c r="B1338" s="81" t="s">
        <v>350</v>
      </c>
      <c r="C1338" s="82"/>
      <c r="D1338" s="82"/>
    </row>
    <row r="1339" spans="1:4" ht="15.75" customHeight="1">
      <c r="A1339" s="81" t="s">
        <v>16</v>
      </c>
      <c r="B1339" s="81" t="s">
        <v>351</v>
      </c>
      <c r="C1339" s="82"/>
      <c r="D1339" s="82"/>
    </row>
    <row r="1340" spans="1:4" ht="15.75" customHeight="1">
      <c r="A1340" s="81" t="s">
        <v>16</v>
      </c>
      <c r="B1340" s="81" t="s">
        <v>352</v>
      </c>
      <c r="C1340" s="82"/>
      <c r="D1340" s="82"/>
    </row>
    <row r="1341" spans="1:4" ht="15.75" customHeight="1">
      <c r="A1341" s="81" t="s">
        <v>16</v>
      </c>
      <c r="B1341" s="81" t="s">
        <v>353</v>
      </c>
      <c r="C1341" s="82"/>
      <c r="D1341" s="82"/>
    </row>
    <row r="1342" spans="1:4" ht="15.75" customHeight="1">
      <c r="A1342" s="81" t="s">
        <v>16</v>
      </c>
      <c r="B1342" s="81" t="s">
        <v>354</v>
      </c>
      <c r="C1342" s="82"/>
      <c r="D1342" s="82"/>
    </row>
    <row r="1343" spans="1:4" ht="15.75" customHeight="1">
      <c r="A1343" s="81" t="s">
        <v>16</v>
      </c>
      <c r="B1343" s="81" t="s">
        <v>355</v>
      </c>
      <c r="C1343" s="82"/>
      <c r="D1343" s="82"/>
    </row>
    <row r="1344" spans="1:4" ht="15.75" customHeight="1">
      <c r="A1344" s="81" t="s">
        <v>16</v>
      </c>
      <c r="B1344" s="81" t="s">
        <v>356</v>
      </c>
      <c r="C1344" s="82"/>
      <c r="D1344" s="82"/>
    </row>
    <row r="1345" spans="1:4" ht="15.75" customHeight="1">
      <c r="A1345" s="81" t="s">
        <v>16</v>
      </c>
      <c r="B1345" s="81" t="s">
        <v>357</v>
      </c>
      <c r="C1345" s="82"/>
      <c r="D1345" s="82"/>
    </row>
    <row r="1346" spans="1:4" ht="15.75" customHeight="1">
      <c r="A1346" s="81" t="s">
        <v>16</v>
      </c>
      <c r="B1346" s="81" t="s">
        <v>358</v>
      </c>
      <c r="C1346" s="82"/>
      <c r="D1346" s="82"/>
    </row>
    <row r="1347" spans="1:4" ht="15.75" customHeight="1">
      <c r="A1347" s="81" t="s">
        <v>16</v>
      </c>
      <c r="B1347" s="81" t="s">
        <v>359</v>
      </c>
      <c r="C1347" s="82"/>
      <c r="D1347" s="82"/>
    </row>
    <row r="1348" spans="1:4" ht="15.75" customHeight="1">
      <c r="A1348" s="81" t="s">
        <v>16</v>
      </c>
      <c r="B1348" s="81" t="s">
        <v>360</v>
      </c>
      <c r="C1348" s="82"/>
      <c r="D1348" s="82"/>
    </row>
    <row r="1349" spans="1:4" ht="15.75" customHeight="1">
      <c r="A1349" s="81" t="s">
        <v>16</v>
      </c>
      <c r="B1349" s="81" t="s">
        <v>361</v>
      </c>
      <c r="C1349" s="82"/>
      <c r="D1349" s="82"/>
    </row>
    <row r="1350" spans="1:4" ht="15.75" customHeight="1">
      <c r="A1350" s="81" t="s">
        <v>16</v>
      </c>
      <c r="B1350" s="81" t="s">
        <v>362</v>
      </c>
      <c r="C1350" s="82"/>
      <c r="D1350" s="82"/>
    </row>
    <row r="1351" spans="1:4" ht="15.75" customHeight="1">
      <c r="A1351" s="81" t="s">
        <v>16</v>
      </c>
      <c r="B1351" s="81" t="s">
        <v>363</v>
      </c>
      <c r="C1351" s="82"/>
      <c r="D1351" s="82"/>
    </row>
    <row r="1352" spans="1:4" ht="15.75" customHeight="1">
      <c r="A1352" s="81" t="s">
        <v>16</v>
      </c>
      <c r="B1352" s="81" t="s">
        <v>364</v>
      </c>
      <c r="C1352" s="82"/>
      <c r="D1352" s="82"/>
    </row>
    <row r="1353" spans="1:4" ht="15.75" customHeight="1">
      <c r="A1353" s="81" t="s">
        <v>16</v>
      </c>
      <c r="B1353" s="81" t="s">
        <v>365</v>
      </c>
      <c r="C1353" s="82"/>
      <c r="D1353" s="82"/>
    </row>
    <row r="1354" spans="1:4" ht="15.75" customHeight="1">
      <c r="A1354" s="81" t="s">
        <v>16</v>
      </c>
      <c r="B1354" s="81" t="s">
        <v>366</v>
      </c>
      <c r="C1354" s="82"/>
      <c r="D1354" s="82"/>
    </row>
    <row r="1355" spans="1:4" ht="15.75" customHeight="1">
      <c r="A1355" s="81" t="s">
        <v>16</v>
      </c>
      <c r="B1355" s="81" t="s">
        <v>367</v>
      </c>
      <c r="C1355" s="82"/>
      <c r="D1355" s="82"/>
    </row>
    <row r="1356" spans="1:4" ht="15.75" customHeight="1">
      <c r="A1356" s="81" t="s">
        <v>16</v>
      </c>
      <c r="B1356" s="81" t="s">
        <v>368</v>
      </c>
      <c r="C1356" s="82"/>
      <c r="D1356" s="82"/>
    </row>
    <row r="1357" spans="1:4" ht="15.75" customHeight="1">
      <c r="A1357" s="81" t="s">
        <v>16</v>
      </c>
      <c r="B1357" s="81" t="s">
        <v>369</v>
      </c>
      <c r="C1357" s="82"/>
      <c r="D1357" s="82"/>
    </row>
    <row r="1358" spans="1:4" ht="15.75" customHeight="1">
      <c r="A1358" s="81" t="s">
        <v>16</v>
      </c>
      <c r="B1358" s="81" t="s">
        <v>370</v>
      </c>
      <c r="C1358" s="82"/>
      <c r="D1358" s="82"/>
    </row>
    <row r="1359" spans="1:4" ht="15.75" customHeight="1">
      <c r="A1359" s="81" t="s">
        <v>16</v>
      </c>
      <c r="B1359" s="81" t="s">
        <v>371</v>
      </c>
      <c r="C1359" s="82"/>
      <c r="D1359" s="82"/>
    </row>
    <row r="1360" spans="1:4" ht="15.75" customHeight="1">
      <c r="A1360" s="81" t="s">
        <v>16</v>
      </c>
      <c r="B1360" s="81" t="s">
        <v>372</v>
      </c>
      <c r="C1360" s="82"/>
      <c r="D1360" s="82"/>
    </row>
    <row r="1361" spans="1:4" ht="15.75" customHeight="1">
      <c r="A1361" s="81" t="s">
        <v>16</v>
      </c>
      <c r="B1361" s="81" t="s">
        <v>373</v>
      </c>
      <c r="C1361" s="82"/>
      <c r="D1361" s="82"/>
    </row>
    <row r="1362" spans="1:4" ht="15.75" customHeight="1">
      <c r="A1362" s="81" t="s">
        <v>16</v>
      </c>
      <c r="B1362" s="81" t="s">
        <v>374</v>
      </c>
      <c r="C1362" s="82"/>
      <c r="D1362" s="82"/>
    </row>
    <row r="1363" spans="1:4" ht="15.75" customHeight="1">
      <c r="A1363" s="81" t="s">
        <v>16</v>
      </c>
      <c r="B1363" s="81" t="s">
        <v>375</v>
      </c>
      <c r="C1363" s="82"/>
      <c r="D1363" s="82"/>
    </row>
    <row r="1364" spans="1:4" ht="15.75" customHeight="1">
      <c r="A1364" s="81" t="s">
        <v>16</v>
      </c>
      <c r="B1364" s="81" t="s">
        <v>376</v>
      </c>
      <c r="C1364" s="82"/>
      <c r="D1364" s="82"/>
    </row>
    <row r="1365" spans="1:4" ht="15.75" customHeight="1">
      <c r="A1365" s="81" t="s">
        <v>16</v>
      </c>
      <c r="B1365" s="81" t="s">
        <v>377</v>
      </c>
      <c r="C1365" s="82"/>
      <c r="D1365" s="82"/>
    </row>
    <row r="1366" spans="1:4" ht="15.75" customHeight="1">
      <c r="A1366" s="81" t="s">
        <v>16</v>
      </c>
      <c r="B1366" s="81" t="s">
        <v>378</v>
      </c>
      <c r="C1366" s="82"/>
      <c r="D1366" s="82"/>
    </row>
    <row r="1367" spans="1:4" ht="15.75" customHeight="1">
      <c r="A1367" s="81" t="s">
        <v>16</v>
      </c>
      <c r="B1367" s="81" t="s">
        <v>379</v>
      </c>
      <c r="C1367" s="82"/>
      <c r="D1367" s="82"/>
    </row>
    <row r="1368" spans="1:4" ht="15.75" customHeight="1">
      <c r="A1368" s="81" t="s">
        <v>16</v>
      </c>
      <c r="B1368" s="81" t="s">
        <v>380</v>
      </c>
      <c r="C1368" s="82"/>
      <c r="D1368" s="82"/>
    </row>
    <row r="1369" spans="1:4" ht="15.75" customHeight="1">
      <c r="A1369" s="81" t="s">
        <v>16</v>
      </c>
      <c r="B1369" s="81" t="s">
        <v>381</v>
      </c>
      <c r="C1369" s="82"/>
      <c r="D1369" s="82"/>
    </row>
    <row r="1370" spans="1:4" ht="15.75" customHeight="1">
      <c r="A1370" s="81" t="s">
        <v>16</v>
      </c>
      <c r="B1370" s="81" t="s">
        <v>382</v>
      </c>
      <c r="C1370" s="82"/>
      <c r="D1370" s="82"/>
    </row>
    <row r="1371" spans="1:4" ht="15.75" customHeight="1">
      <c r="A1371" s="81" t="s">
        <v>16</v>
      </c>
      <c r="B1371" s="81" t="s">
        <v>383</v>
      </c>
      <c r="C1371" s="82"/>
      <c r="D1371" s="82"/>
    </row>
    <row r="1372" spans="1:4" ht="15.75" customHeight="1">
      <c r="A1372" s="81" t="s">
        <v>16</v>
      </c>
      <c r="B1372" s="81" t="s">
        <v>384</v>
      </c>
      <c r="C1372" s="82"/>
      <c r="D1372" s="82"/>
    </row>
    <row r="1373" spans="1:4" ht="15.75" customHeight="1">
      <c r="A1373" s="81" t="s">
        <v>16</v>
      </c>
      <c r="B1373" s="81" t="s">
        <v>385</v>
      </c>
      <c r="C1373" s="82"/>
      <c r="D1373" s="82"/>
    </row>
    <row r="1374" spans="1:4" ht="15.75" customHeight="1">
      <c r="A1374" s="81" t="s">
        <v>16</v>
      </c>
      <c r="B1374" s="81" t="s">
        <v>386</v>
      </c>
      <c r="C1374" s="82"/>
      <c r="D1374" s="82"/>
    </row>
    <row r="1375" spans="1:4" ht="15.75" customHeight="1">
      <c r="A1375" s="81" t="s">
        <v>16</v>
      </c>
      <c r="B1375" s="81" t="s">
        <v>387</v>
      </c>
      <c r="C1375" s="82"/>
      <c r="D1375" s="82"/>
    </row>
    <row r="1376" spans="1:4" ht="15.75" customHeight="1">
      <c r="A1376" s="81" t="s">
        <v>16</v>
      </c>
      <c r="B1376" s="81" t="s">
        <v>388</v>
      </c>
      <c r="C1376" s="82"/>
      <c r="D1376" s="82"/>
    </row>
    <row r="1377" spans="1:5" ht="15.75" customHeight="1">
      <c r="A1377" s="81" t="s">
        <v>16</v>
      </c>
      <c r="B1377" s="81" t="s">
        <v>389</v>
      </c>
      <c r="C1377" s="82"/>
      <c r="D1377" s="82"/>
    </row>
    <row r="1378" spans="1:5" ht="15.75" customHeight="1">
      <c r="A1378" s="81" t="s">
        <v>16</v>
      </c>
      <c r="B1378" s="81" t="s">
        <v>390</v>
      </c>
      <c r="C1378" s="82"/>
      <c r="D1378" s="82"/>
    </row>
    <row r="1379" spans="1:5" ht="15.75" customHeight="1">
      <c r="A1379" s="81" t="s">
        <v>16</v>
      </c>
      <c r="B1379" s="81" t="s">
        <v>391</v>
      </c>
      <c r="C1379" s="82"/>
      <c r="D1379" s="82"/>
    </row>
    <row r="1380" spans="1:5" ht="15.75" customHeight="1">
      <c r="A1380" s="81" t="s">
        <v>16</v>
      </c>
      <c r="B1380" s="81" t="s">
        <v>392</v>
      </c>
      <c r="C1380" s="82"/>
      <c r="D1380" s="82"/>
    </row>
    <row r="1381" spans="1:5" ht="15.75" customHeight="1">
      <c r="A1381" s="81" t="s">
        <v>16</v>
      </c>
      <c r="B1381" s="81" t="s">
        <v>393</v>
      </c>
      <c r="C1381" s="82"/>
      <c r="D1381" s="82"/>
    </row>
    <row r="1382" spans="1:5" ht="15.75" customHeight="1">
      <c r="A1382" s="81" t="s">
        <v>16</v>
      </c>
      <c r="B1382" s="81" t="s">
        <v>394</v>
      </c>
      <c r="C1382" s="82"/>
      <c r="D1382" s="82"/>
      <c r="E1382" s="77"/>
    </row>
    <row r="1383" spans="1:5" ht="15.75" customHeight="1">
      <c r="A1383" s="81" t="s">
        <v>16</v>
      </c>
      <c r="B1383" s="81" t="s">
        <v>395</v>
      </c>
      <c r="C1383" s="82"/>
      <c r="D1383" s="82"/>
      <c r="E1383" s="77"/>
    </row>
    <row r="1384" spans="1:5" ht="15.75" customHeight="1">
      <c r="A1384" s="81" t="s">
        <v>16</v>
      </c>
      <c r="B1384" s="81" t="s">
        <v>396</v>
      </c>
      <c r="C1384" s="82"/>
      <c r="D1384" s="82"/>
      <c r="E1384" s="77"/>
    </row>
    <row r="1385" spans="1:5" ht="15.75" customHeight="1">
      <c r="A1385" s="81" t="s">
        <v>16</v>
      </c>
      <c r="B1385" s="81" t="s">
        <v>397</v>
      </c>
      <c r="C1385" s="82"/>
      <c r="D1385" s="82"/>
      <c r="E1385" s="77"/>
    </row>
    <row r="1386" spans="1:5" ht="15.75" customHeight="1">
      <c r="A1386" s="81" t="s">
        <v>16</v>
      </c>
      <c r="B1386" s="81" t="s">
        <v>398</v>
      </c>
      <c r="C1386" s="82"/>
      <c r="D1386" s="82"/>
      <c r="E1386" s="77"/>
    </row>
    <row r="1387" spans="1:5" ht="15.75" customHeight="1">
      <c r="A1387" s="81" t="s">
        <v>16</v>
      </c>
      <c r="B1387" s="81" t="s">
        <v>399</v>
      </c>
      <c r="C1387" s="82"/>
      <c r="D1387" s="82"/>
      <c r="E1387" s="77"/>
    </row>
    <row r="1388" spans="1:5" ht="15.75" customHeight="1">
      <c r="A1388" s="81" t="s">
        <v>16</v>
      </c>
      <c r="B1388" s="81" t="s">
        <v>400</v>
      </c>
      <c r="C1388" s="82"/>
      <c r="D1388" s="82"/>
      <c r="E1388" s="77"/>
    </row>
    <row r="1389" spans="1:5" ht="15.75" customHeight="1">
      <c r="A1389" s="81" t="s">
        <v>16</v>
      </c>
      <c r="B1389" s="81" t="s">
        <v>401</v>
      </c>
      <c r="C1389" s="82"/>
      <c r="D1389" s="82"/>
      <c r="E1389" s="77"/>
    </row>
    <row r="1390" spans="1:5" ht="15.75" customHeight="1">
      <c r="A1390" s="81" t="s">
        <v>16</v>
      </c>
      <c r="B1390" s="81" t="s">
        <v>402</v>
      </c>
      <c r="C1390" s="82">
        <v>0.55000000000000004</v>
      </c>
      <c r="D1390" s="82">
        <v>0.17</v>
      </c>
      <c r="E1390" s="77">
        <v>45</v>
      </c>
    </row>
    <row r="1391" spans="1:5" ht="15.75" customHeight="1">
      <c r="A1391" s="81" t="s">
        <v>16</v>
      </c>
      <c r="B1391" s="81" t="s">
        <v>403</v>
      </c>
      <c r="C1391" s="82">
        <v>0.38</v>
      </c>
      <c r="D1391" s="82">
        <v>0.17</v>
      </c>
      <c r="E1391" s="77">
        <v>45</v>
      </c>
    </row>
    <row r="1392" spans="1:5" ht="15.75" customHeight="1">
      <c r="A1392" s="81" t="s">
        <v>16</v>
      </c>
      <c r="B1392" s="81" t="s">
        <v>404</v>
      </c>
      <c r="C1392" s="82">
        <v>0.22</v>
      </c>
      <c r="D1392" s="82">
        <v>0.16</v>
      </c>
      <c r="E1392" s="77">
        <v>45</v>
      </c>
    </row>
    <row r="1393" spans="1:5" ht="15.75" customHeight="1">
      <c r="A1393" s="81" t="s">
        <v>16</v>
      </c>
      <c r="B1393" s="81" t="s">
        <v>405</v>
      </c>
      <c r="C1393" s="82">
        <v>0.05</v>
      </c>
      <c r="D1393" s="82">
        <v>0.16</v>
      </c>
      <c r="E1393" s="77">
        <v>45</v>
      </c>
    </row>
    <row r="1394" spans="1:5" ht="15.75" customHeight="1">
      <c r="A1394" s="81" t="s">
        <v>16</v>
      </c>
      <c r="B1394" s="81" t="s">
        <v>406</v>
      </c>
      <c r="C1394" s="82">
        <v>0.17</v>
      </c>
      <c r="D1394" s="82">
        <v>0.11</v>
      </c>
      <c r="E1394" s="77">
        <v>68</v>
      </c>
    </row>
    <row r="1395" spans="1:5" ht="15.75" customHeight="1">
      <c r="A1395" s="81" t="s">
        <v>16</v>
      </c>
      <c r="B1395" s="81" t="s">
        <v>407</v>
      </c>
      <c r="C1395" s="82">
        <v>0.28999999999999998</v>
      </c>
      <c r="D1395" s="82">
        <v>0.06</v>
      </c>
      <c r="E1395" s="77">
        <v>68</v>
      </c>
    </row>
    <row r="1396" spans="1:5" ht="15.75" customHeight="1">
      <c r="A1396" s="81" t="s">
        <v>16</v>
      </c>
      <c r="B1396" s="81" t="s">
        <v>408</v>
      </c>
      <c r="C1396" s="82">
        <v>0.41</v>
      </c>
      <c r="D1396" s="82">
        <v>0.01</v>
      </c>
      <c r="E1396" s="77">
        <v>68</v>
      </c>
    </row>
    <row r="1397" spans="1:5" ht="15.75" customHeight="1">
      <c r="A1397" s="81" t="s">
        <v>16</v>
      </c>
      <c r="B1397" s="81" t="s">
        <v>409</v>
      </c>
      <c r="C1397" s="82">
        <v>0.52</v>
      </c>
      <c r="D1397" s="82">
        <v>-0.04</v>
      </c>
      <c r="E1397" s="77">
        <v>68</v>
      </c>
    </row>
    <row r="1398" spans="1:5" ht="15.75" customHeight="1">
      <c r="A1398" s="81" t="s">
        <v>16</v>
      </c>
      <c r="B1398" s="81" t="s">
        <v>410</v>
      </c>
      <c r="C1398" s="82">
        <v>0.4</v>
      </c>
      <c r="D1398" s="82">
        <v>-0.01</v>
      </c>
      <c r="E1398" s="77">
        <v>69</v>
      </c>
    </row>
    <row r="1399" spans="1:5" ht="15.75" customHeight="1">
      <c r="A1399" s="81" t="s">
        <v>16</v>
      </c>
      <c r="B1399" s="81" t="s">
        <v>411</v>
      </c>
      <c r="C1399" s="82">
        <v>0.27</v>
      </c>
      <c r="D1399" s="82">
        <v>0.02</v>
      </c>
      <c r="E1399" s="77">
        <v>69</v>
      </c>
    </row>
    <row r="1400" spans="1:5" ht="15.75" customHeight="1">
      <c r="A1400" s="81" t="s">
        <v>16</v>
      </c>
      <c r="B1400" s="81" t="s">
        <v>412</v>
      </c>
      <c r="C1400" s="82">
        <v>0.14000000000000001</v>
      </c>
      <c r="D1400" s="82">
        <v>0.06</v>
      </c>
      <c r="E1400" s="77">
        <v>69</v>
      </c>
    </row>
    <row r="1401" spans="1:5" ht="15.75" customHeight="1">
      <c r="A1401" s="81" t="s">
        <v>16</v>
      </c>
      <c r="B1401" s="81" t="s">
        <v>413</v>
      </c>
      <c r="C1401" s="82">
        <v>0.01</v>
      </c>
      <c r="D1401" s="82">
        <v>0.09</v>
      </c>
      <c r="E1401" s="77">
        <v>69</v>
      </c>
    </row>
    <row r="1402" spans="1:5" ht="15.75" customHeight="1">
      <c r="A1402" s="81" t="s">
        <v>16</v>
      </c>
      <c r="B1402" s="81" t="s">
        <v>414</v>
      </c>
      <c r="C1402" s="82">
        <v>0.04</v>
      </c>
      <c r="D1402" s="82">
        <v>0.08</v>
      </c>
      <c r="E1402" s="77">
        <v>78</v>
      </c>
    </row>
    <row r="1403" spans="1:5" ht="15.75" customHeight="1">
      <c r="A1403" s="81" t="s">
        <v>16</v>
      </c>
      <c r="B1403" s="81" t="s">
        <v>415</v>
      </c>
      <c r="C1403" s="82">
        <v>7.0000000000000007E-2</v>
      </c>
      <c r="D1403" s="82">
        <v>0.06</v>
      </c>
      <c r="E1403" s="77">
        <v>78</v>
      </c>
    </row>
    <row r="1404" spans="1:5" ht="15.75" customHeight="1">
      <c r="A1404" s="81" t="s">
        <v>16</v>
      </c>
      <c r="B1404" s="81" t="s">
        <v>416</v>
      </c>
      <c r="C1404" s="82">
        <v>0.1</v>
      </c>
      <c r="D1404" s="82">
        <v>0.05</v>
      </c>
      <c r="E1404" s="77">
        <v>78</v>
      </c>
    </row>
    <row r="1405" spans="1:5" ht="15.75" customHeight="1">
      <c r="A1405" s="81" t="s">
        <v>16</v>
      </c>
      <c r="B1405" s="81" t="s">
        <v>417</v>
      </c>
      <c r="C1405" s="82">
        <v>0.13</v>
      </c>
      <c r="D1405" s="82">
        <v>0.03</v>
      </c>
      <c r="E1405" s="77">
        <v>78</v>
      </c>
    </row>
    <row r="1406" spans="1:5" ht="15.75" customHeight="1">
      <c r="A1406" s="81" t="s">
        <v>16</v>
      </c>
      <c r="B1406" s="81" t="s">
        <v>418</v>
      </c>
      <c r="C1406" s="82">
        <v>0.11</v>
      </c>
      <c r="D1406" s="82">
        <v>0.05</v>
      </c>
      <c r="E1406" s="77">
        <v>83</v>
      </c>
    </row>
    <row r="1407" spans="1:5" ht="15.75" customHeight="1">
      <c r="A1407" s="81" t="s">
        <v>16</v>
      </c>
      <c r="B1407" s="81" t="s">
        <v>419</v>
      </c>
      <c r="C1407" s="82">
        <v>0.1</v>
      </c>
      <c r="D1407" s="82">
        <v>0.06</v>
      </c>
      <c r="E1407" s="77">
        <v>83</v>
      </c>
    </row>
    <row r="1408" spans="1:5" ht="15.75" customHeight="1">
      <c r="A1408" s="81" t="s">
        <v>16</v>
      </c>
      <c r="B1408" s="81" t="s">
        <v>420</v>
      </c>
      <c r="C1408" s="82">
        <v>0.09</v>
      </c>
      <c r="D1408" s="82">
        <v>0.08</v>
      </c>
      <c r="E1408" s="77">
        <v>83</v>
      </c>
    </row>
    <row r="1409" spans="1:5" ht="15.75" customHeight="1">
      <c r="A1409" s="81" t="s">
        <v>16</v>
      </c>
      <c r="B1409" s="81" t="s">
        <v>421</v>
      </c>
      <c r="C1409" s="82">
        <v>7.0000000000000007E-2</v>
      </c>
      <c r="D1409" s="82">
        <v>0.1</v>
      </c>
      <c r="E1409" s="77">
        <v>83</v>
      </c>
    </row>
    <row r="1410" spans="1:5" ht="15.75" customHeight="1">
      <c r="A1410" s="81" t="s">
        <v>16</v>
      </c>
      <c r="B1410" s="81" t="s">
        <v>422</v>
      </c>
      <c r="C1410" s="82">
        <v>0.1</v>
      </c>
      <c r="D1410" s="82">
        <v>0.11</v>
      </c>
      <c r="E1410" s="77">
        <v>98</v>
      </c>
    </row>
    <row r="1411" spans="1:5" ht="15.75" customHeight="1">
      <c r="A1411" s="81" t="s">
        <v>16</v>
      </c>
      <c r="B1411" s="81" t="s">
        <v>423</v>
      </c>
      <c r="C1411" s="82">
        <v>0.13</v>
      </c>
      <c r="D1411" s="82">
        <v>0.13</v>
      </c>
      <c r="E1411" s="77">
        <v>98</v>
      </c>
    </row>
    <row r="1412" spans="1:5" ht="15.75" customHeight="1">
      <c r="A1412" s="81" t="s">
        <v>16</v>
      </c>
      <c r="B1412" s="81" t="s">
        <v>424</v>
      </c>
      <c r="C1412" s="82">
        <v>0.15</v>
      </c>
      <c r="D1412" s="82">
        <v>0.14000000000000001</v>
      </c>
      <c r="E1412" s="77">
        <v>98</v>
      </c>
    </row>
    <row r="1413" spans="1:5" ht="15.75" customHeight="1">
      <c r="A1413" s="81" t="s">
        <v>16</v>
      </c>
      <c r="B1413" s="81" t="s">
        <v>425</v>
      </c>
      <c r="C1413" s="82">
        <v>0.18</v>
      </c>
      <c r="D1413" s="82">
        <v>0.16</v>
      </c>
      <c r="E1413" s="77">
        <v>98</v>
      </c>
    </row>
    <row r="1414" spans="1:5" ht="15.75" customHeight="1">
      <c r="A1414" s="81" t="s">
        <v>16</v>
      </c>
      <c r="B1414" s="81" t="s">
        <v>426</v>
      </c>
      <c r="C1414" s="82">
        <v>-0.03</v>
      </c>
      <c r="D1414" s="82">
        <v>0.01</v>
      </c>
      <c r="E1414" s="77">
        <v>32</v>
      </c>
    </row>
    <row r="1415" spans="1:5" ht="15.75" customHeight="1">
      <c r="A1415" s="81" t="s">
        <v>16</v>
      </c>
      <c r="B1415" s="81" t="s">
        <v>427</v>
      </c>
      <c r="C1415" s="82">
        <v>-0.25</v>
      </c>
      <c r="D1415" s="82">
        <v>-0.13</v>
      </c>
      <c r="E1415" s="77">
        <v>32</v>
      </c>
    </row>
    <row r="1416" spans="1:5" ht="15.75" customHeight="1">
      <c r="A1416" s="81" t="s">
        <v>16</v>
      </c>
      <c r="B1416" s="81" t="s">
        <v>428</v>
      </c>
      <c r="C1416" s="82">
        <v>-0.3</v>
      </c>
      <c r="D1416" s="82">
        <v>-0.28000000000000003</v>
      </c>
      <c r="E1416" s="77">
        <v>32</v>
      </c>
    </row>
    <row r="1417" spans="1:5" ht="15.75" customHeight="1">
      <c r="A1417" s="81" t="s">
        <v>16</v>
      </c>
      <c r="B1417" s="81" t="s">
        <v>429</v>
      </c>
      <c r="C1417" s="82">
        <v>-0.3</v>
      </c>
      <c r="D1417" s="82">
        <v>-0.43</v>
      </c>
      <c r="E1417" s="77">
        <v>32</v>
      </c>
    </row>
    <row r="1418" spans="1:5" ht="15.75" customHeight="1">
      <c r="A1418" s="81" t="s">
        <v>16</v>
      </c>
      <c r="B1418" s="81" t="s">
        <v>430</v>
      </c>
      <c r="C1418" s="82">
        <v>-0.3</v>
      </c>
      <c r="D1418" s="82">
        <v>-0.32</v>
      </c>
      <c r="E1418" s="77">
        <v>47</v>
      </c>
    </row>
    <row r="1419" spans="1:5" ht="15.75" customHeight="1">
      <c r="A1419" s="81" t="s">
        <v>16</v>
      </c>
      <c r="B1419" s="81" t="s">
        <v>431</v>
      </c>
      <c r="C1419" s="82">
        <v>-0.11</v>
      </c>
      <c r="D1419" s="82">
        <v>-0.21</v>
      </c>
      <c r="E1419" s="77">
        <v>47</v>
      </c>
    </row>
    <row r="1420" spans="1:5" ht="15.75" customHeight="1">
      <c r="A1420" s="81" t="s">
        <v>16</v>
      </c>
      <c r="B1420" s="81" t="s">
        <v>432</v>
      </c>
      <c r="C1420" s="82">
        <v>0.17</v>
      </c>
      <c r="D1420" s="82">
        <v>-0.11</v>
      </c>
      <c r="E1420" s="77">
        <v>47</v>
      </c>
    </row>
    <row r="1421" spans="1:5" ht="15.75" customHeight="1">
      <c r="A1421" s="81" t="s">
        <v>16</v>
      </c>
      <c r="B1421" s="81" t="s">
        <v>433</v>
      </c>
      <c r="C1421" s="82">
        <v>0.45</v>
      </c>
      <c r="D1421" s="82">
        <v>0</v>
      </c>
      <c r="E1421" s="77">
        <v>47</v>
      </c>
    </row>
    <row r="1422" spans="1:5" ht="15.75" customHeight="1">
      <c r="A1422" s="81" t="s">
        <v>16</v>
      </c>
      <c r="B1422" s="81" t="s">
        <v>434</v>
      </c>
      <c r="C1422" s="82">
        <v>0.52</v>
      </c>
      <c r="D1422" s="82">
        <v>0</v>
      </c>
      <c r="E1422" s="77">
        <v>82</v>
      </c>
    </row>
    <row r="1423" spans="1:5" ht="15.75" customHeight="1">
      <c r="A1423" s="81" t="s">
        <v>16</v>
      </c>
      <c r="B1423" s="81" t="s">
        <v>435</v>
      </c>
      <c r="C1423" s="82">
        <v>0.6</v>
      </c>
      <c r="D1423" s="82">
        <v>0.01</v>
      </c>
      <c r="E1423" s="77">
        <v>82</v>
      </c>
    </row>
    <row r="1424" spans="1:5" ht="15.75" customHeight="1">
      <c r="A1424" s="81" t="s">
        <v>16</v>
      </c>
      <c r="B1424" s="81" t="s">
        <v>436</v>
      </c>
      <c r="C1424" s="82">
        <v>0.68</v>
      </c>
      <c r="D1424" s="82">
        <v>0.01</v>
      </c>
      <c r="E1424" s="77">
        <v>82</v>
      </c>
    </row>
    <row r="1425" spans="1:5" ht="15.75" customHeight="1">
      <c r="A1425" s="81" t="s">
        <v>16</v>
      </c>
      <c r="B1425" s="81" t="s">
        <v>437</v>
      </c>
      <c r="C1425" s="82">
        <v>0.76</v>
      </c>
      <c r="D1425" s="82">
        <v>0.02</v>
      </c>
      <c r="E1425" s="77">
        <v>82</v>
      </c>
    </row>
    <row r="1426" spans="1:5" ht="15.75" customHeight="1">
      <c r="A1426" s="81" t="s">
        <v>16</v>
      </c>
      <c r="B1426" s="81" t="s">
        <v>438</v>
      </c>
      <c r="C1426" s="82">
        <v>0.6</v>
      </c>
      <c r="D1426" s="82">
        <v>0.04</v>
      </c>
      <c r="E1426" s="77">
        <v>91</v>
      </c>
    </row>
    <row r="1427" spans="1:5" ht="15.75" customHeight="1">
      <c r="A1427" s="81" t="s">
        <v>16</v>
      </c>
      <c r="B1427" s="81" t="s">
        <v>439</v>
      </c>
      <c r="C1427" s="82">
        <v>0.43</v>
      </c>
      <c r="D1427" s="82">
        <v>0.06</v>
      </c>
      <c r="E1427" s="77">
        <v>91</v>
      </c>
    </row>
    <row r="1428" spans="1:5" ht="15.75" customHeight="1">
      <c r="A1428" s="81" t="s">
        <v>16</v>
      </c>
      <c r="B1428" s="81" t="s">
        <v>440</v>
      </c>
      <c r="C1428" s="82">
        <v>0.27</v>
      </c>
      <c r="D1428" s="82">
        <v>0.08</v>
      </c>
      <c r="E1428" s="77">
        <v>91</v>
      </c>
    </row>
    <row r="1429" spans="1:5" ht="15.75" customHeight="1">
      <c r="A1429" s="81" t="s">
        <v>16</v>
      </c>
      <c r="B1429" s="81" t="s">
        <v>441</v>
      </c>
      <c r="C1429" s="82">
        <v>0.1</v>
      </c>
      <c r="D1429" s="82">
        <v>0.1</v>
      </c>
      <c r="E1429" s="77">
        <v>91</v>
      </c>
    </row>
    <row r="1430" spans="1:5" ht="15.75" customHeight="1">
      <c r="A1430" s="81" t="s">
        <v>16</v>
      </c>
      <c r="B1430" s="81" t="s">
        <v>442</v>
      </c>
      <c r="C1430" s="82"/>
      <c r="D1430" s="82"/>
    </row>
    <row r="1431" spans="1:5" ht="15.75" customHeight="1">
      <c r="A1431" s="81" t="s">
        <v>16</v>
      </c>
      <c r="B1431" s="81" t="s">
        <v>443</v>
      </c>
      <c r="C1431" s="82"/>
      <c r="D1431" s="82"/>
    </row>
    <row r="1432" spans="1:5" ht="15.75" customHeight="1">
      <c r="A1432" s="81" t="s">
        <v>17</v>
      </c>
      <c r="B1432" s="81" t="s">
        <v>334</v>
      </c>
      <c r="C1432" s="82"/>
      <c r="D1432" s="82"/>
    </row>
    <row r="1433" spans="1:5" ht="15.75" customHeight="1">
      <c r="A1433" s="81" t="s">
        <v>17</v>
      </c>
      <c r="B1433" s="81" t="s">
        <v>335</v>
      </c>
      <c r="C1433" s="82"/>
      <c r="D1433" s="82"/>
    </row>
    <row r="1434" spans="1:5" ht="15.75" customHeight="1">
      <c r="A1434" s="81" t="s">
        <v>17</v>
      </c>
      <c r="B1434" s="81" t="s">
        <v>336</v>
      </c>
      <c r="C1434" s="82"/>
      <c r="D1434" s="82"/>
    </row>
    <row r="1435" spans="1:5" ht="15.75" customHeight="1">
      <c r="A1435" s="81" t="s">
        <v>17</v>
      </c>
      <c r="B1435" s="81" t="s">
        <v>337</v>
      </c>
      <c r="C1435" s="82"/>
      <c r="D1435" s="82"/>
    </row>
    <row r="1436" spans="1:5" ht="15.75" customHeight="1">
      <c r="A1436" s="81" t="s">
        <v>17</v>
      </c>
      <c r="B1436" s="81" t="s">
        <v>338</v>
      </c>
      <c r="C1436" s="82"/>
      <c r="D1436" s="82"/>
    </row>
    <row r="1437" spans="1:5" ht="15.75" customHeight="1">
      <c r="A1437" s="81" t="s">
        <v>17</v>
      </c>
      <c r="B1437" s="81" t="s">
        <v>339</v>
      </c>
      <c r="C1437" s="82"/>
      <c r="D1437" s="82"/>
    </row>
    <row r="1438" spans="1:5" ht="15.75" customHeight="1">
      <c r="A1438" s="81" t="s">
        <v>17</v>
      </c>
      <c r="B1438" s="81" t="s">
        <v>340</v>
      </c>
      <c r="C1438" s="82"/>
      <c r="D1438" s="82"/>
    </row>
    <row r="1439" spans="1:5" ht="15.75" customHeight="1">
      <c r="A1439" s="81" t="s">
        <v>17</v>
      </c>
      <c r="B1439" s="81" t="s">
        <v>341</v>
      </c>
      <c r="C1439" s="82"/>
      <c r="D1439" s="82"/>
    </row>
    <row r="1440" spans="1:5" ht="15.75" customHeight="1">
      <c r="A1440" s="81" t="s">
        <v>17</v>
      </c>
      <c r="B1440" s="81" t="s">
        <v>342</v>
      </c>
      <c r="C1440" s="82"/>
      <c r="D1440" s="82"/>
    </row>
    <row r="1441" spans="1:4" ht="15.75" customHeight="1">
      <c r="A1441" s="81" t="s">
        <v>17</v>
      </c>
      <c r="B1441" s="81" t="s">
        <v>343</v>
      </c>
      <c r="C1441" s="82"/>
      <c r="D1441" s="82"/>
    </row>
    <row r="1442" spans="1:4" ht="15.75" customHeight="1">
      <c r="A1442" s="81" t="s">
        <v>17</v>
      </c>
      <c r="B1442" s="81" t="s">
        <v>344</v>
      </c>
      <c r="C1442" s="82"/>
      <c r="D1442" s="82"/>
    </row>
    <row r="1443" spans="1:4" ht="15.75" customHeight="1">
      <c r="A1443" s="81" t="s">
        <v>17</v>
      </c>
      <c r="B1443" s="81" t="s">
        <v>345</v>
      </c>
      <c r="C1443" s="82"/>
      <c r="D1443" s="82"/>
    </row>
    <row r="1444" spans="1:4" ht="15.75" customHeight="1">
      <c r="A1444" s="81" t="s">
        <v>17</v>
      </c>
      <c r="B1444" s="81" t="s">
        <v>346</v>
      </c>
      <c r="C1444" s="82"/>
      <c r="D1444" s="82"/>
    </row>
    <row r="1445" spans="1:4" ht="15.75" customHeight="1">
      <c r="A1445" s="81" t="s">
        <v>17</v>
      </c>
      <c r="B1445" s="81" t="s">
        <v>347</v>
      </c>
      <c r="C1445" s="82"/>
      <c r="D1445" s="82"/>
    </row>
    <row r="1446" spans="1:4" ht="15.75" customHeight="1">
      <c r="A1446" s="81" t="s">
        <v>17</v>
      </c>
      <c r="B1446" s="81" t="s">
        <v>348</v>
      </c>
      <c r="C1446" s="82"/>
      <c r="D1446" s="82"/>
    </row>
    <row r="1447" spans="1:4" ht="15.75" customHeight="1">
      <c r="A1447" s="81" t="s">
        <v>17</v>
      </c>
      <c r="B1447" s="81" t="s">
        <v>349</v>
      </c>
      <c r="C1447" s="82"/>
      <c r="D1447" s="82"/>
    </row>
    <row r="1448" spans="1:4" ht="15.75" customHeight="1">
      <c r="A1448" s="81" t="s">
        <v>17</v>
      </c>
      <c r="B1448" s="81" t="s">
        <v>350</v>
      </c>
      <c r="C1448" s="82"/>
      <c r="D1448" s="82"/>
    </row>
    <row r="1449" spans="1:4" ht="15.75" customHeight="1">
      <c r="A1449" s="81" t="s">
        <v>17</v>
      </c>
      <c r="B1449" s="81" t="s">
        <v>351</v>
      </c>
      <c r="C1449" s="82"/>
      <c r="D1449" s="82"/>
    </row>
    <row r="1450" spans="1:4" ht="15.75" customHeight="1">
      <c r="A1450" s="81" t="s">
        <v>17</v>
      </c>
      <c r="B1450" s="81" t="s">
        <v>352</v>
      </c>
      <c r="C1450" s="82"/>
      <c r="D1450" s="82"/>
    </row>
    <row r="1451" spans="1:4" ht="15.75" customHeight="1">
      <c r="A1451" s="81" t="s">
        <v>17</v>
      </c>
      <c r="B1451" s="81" t="s">
        <v>353</v>
      </c>
      <c r="C1451" s="82"/>
      <c r="D1451" s="82"/>
    </row>
    <row r="1452" spans="1:4" ht="15.75" customHeight="1">
      <c r="A1452" s="81" t="s">
        <v>17</v>
      </c>
      <c r="B1452" s="81" t="s">
        <v>354</v>
      </c>
      <c r="C1452" s="82"/>
      <c r="D1452" s="82"/>
    </row>
    <row r="1453" spans="1:4" ht="15.75" customHeight="1">
      <c r="A1453" s="81" t="s">
        <v>17</v>
      </c>
      <c r="B1453" s="81" t="s">
        <v>355</v>
      </c>
      <c r="C1453" s="82"/>
      <c r="D1453" s="82"/>
    </row>
    <row r="1454" spans="1:4" ht="15.75" customHeight="1">
      <c r="A1454" s="81" t="s">
        <v>17</v>
      </c>
      <c r="B1454" s="81" t="s">
        <v>356</v>
      </c>
      <c r="C1454" s="82"/>
      <c r="D1454" s="82"/>
    </row>
    <row r="1455" spans="1:4" ht="15.75" customHeight="1">
      <c r="A1455" s="81" t="s">
        <v>17</v>
      </c>
      <c r="B1455" s="81" t="s">
        <v>357</v>
      </c>
      <c r="C1455" s="82"/>
      <c r="D1455" s="82"/>
    </row>
    <row r="1456" spans="1:4" ht="15.75" customHeight="1">
      <c r="A1456" s="81" t="s">
        <v>17</v>
      </c>
      <c r="B1456" s="81" t="s">
        <v>358</v>
      </c>
      <c r="C1456" s="82"/>
      <c r="D1456" s="82"/>
    </row>
    <row r="1457" spans="1:4" ht="15.75" customHeight="1">
      <c r="A1457" s="81" t="s">
        <v>17</v>
      </c>
      <c r="B1457" s="81" t="s">
        <v>359</v>
      </c>
      <c r="C1457" s="82"/>
      <c r="D1457" s="82"/>
    </row>
    <row r="1458" spans="1:4" ht="15.75" customHeight="1">
      <c r="A1458" s="81" t="s">
        <v>17</v>
      </c>
      <c r="B1458" s="81" t="s">
        <v>360</v>
      </c>
      <c r="C1458" s="82"/>
      <c r="D1458" s="82"/>
    </row>
    <row r="1459" spans="1:4" ht="15.75" customHeight="1">
      <c r="A1459" s="81" t="s">
        <v>17</v>
      </c>
      <c r="B1459" s="81" t="s">
        <v>361</v>
      </c>
      <c r="C1459" s="82"/>
      <c r="D1459" s="82"/>
    </row>
    <row r="1460" spans="1:4" ht="15.75" customHeight="1">
      <c r="A1460" s="81" t="s">
        <v>17</v>
      </c>
      <c r="B1460" s="81" t="s">
        <v>362</v>
      </c>
      <c r="C1460" s="82"/>
      <c r="D1460" s="82"/>
    </row>
    <row r="1461" spans="1:4" ht="15.75" customHeight="1">
      <c r="A1461" s="81" t="s">
        <v>17</v>
      </c>
      <c r="B1461" s="81" t="s">
        <v>363</v>
      </c>
      <c r="C1461" s="82"/>
      <c r="D1461" s="82"/>
    </row>
    <row r="1462" spans="1:4" ht="15.75" customHeight="1">
      <c r="A1462" s="81" t="s">
        <v>17</v>
      </c>
      <c r="B1462" s="81" t="s">
        <v>364</v>
      </c>
      <c r="C1462" s="82"/>
      <c r="D1462" s="82"/>
    </row>
    <row r="1463" spans="1:4" ht="15.75" customHeight="1">
      <c r="A1463" s="81" t="s">
        <v>17</v>
      </c>
      <c r="B1463" s="81" t="s">
        <v>365</v>
      </c>
      <c r="C1463" s="82"/>
      <c r="D1463" s="82"/>
    </row>
    <row r="1464" spans="1:4" ht="15.75" customHeight="1">
      <c r="A1464" s="81" t="s">
        <v>17</v>
      </c>
      <c r="B1464" s="81" t="s">
        <v>366</v>
      </c>
      <c r="C1464" s="82"/>
      <c r="D1464" s="82"/>
    </row>
    <row r="1465" spans="1:4" ht="15.75" customHeight="1">
      <c r="A1465" s="81" t="s">
        <v>17</v>
      </c>
      <c r="B1465" s="81" t="s">
        <v>367</v>
      </c>
      <c r="C1465" s="82"/>
      <c r="D1465" s="82"/>
    </row>
    <row r="1466" spans="1:4" ht="15.75" customHeight="1">
      <c r="A1466" s="81" t="s">
        <v>17</v>
      </c>
      <c r="B1466" s="81" t="s">
        <v>368</v>
      </c>
      <c r="C1466" s="82"/>
      <c r="D1466" s="82"/>
    </row>
    <row r="1467" spans="1:4" ht="15.75" customHeight="1">
      <c r="A1467" s="81" t="s">
        <v>17</v>
      </c>
      <c r="B1467" s="81" t="s">
        <v>369</v>
      </c>
      <c r="C1467" s="82"/>
      <c r="D1467" s="82"/>
    </row>
    <row r="1468" spans="1:4" ht="15.75" customHeight="1">
      <c r="A1468" s="81" t="s">
        <v>17</v>
      </c>
      <c r="B1468" s="81" t="s">
        <v>370</v>
      </c>
      <c r="C1468" s="82"/>
      <c r="D1468" s="82"/>
    </row>
    <row r="1469" spans="1:4" ht="15.75" customHeight="1">
      <c r="A1469" s="81" t="s">
        <v>17</v>
      </c>
      <c r="B1469" s="81" t="s">
        <v>371</v>
      </c>
      <c r="C1469" s="82"/>
      <c r="D1469" s="82"/>
    </row>
    <row r="1470" spans="1:4" ht="15.75" customHeight="1">
      <c r="A1470" s="81" t="s">
        <v>17</v>
      </c>
      <c r="B1470" s="81" t="s">
        <v>372</v>
      </c>
      <c r="C1470" s="82"/>
      <c r="D1470" s="82"/>
    </row>
    <row r="1471" spans="1:4" ht="15.75" customHeight="1">
      <c r="A1471" s="81" t="s">
        <v>17</v>
      </c>
      <c r="B1471" s="81" t="s">
        <v>373</v>
      </c>
      <c r="C1471" s="82"/>
      <c r="D1471" s="82"/>
    </row>
    <row r="1472" spans="1:4" ht="15.75" customHeight="1">
      <c r="A1472" s="81" t="s">
        <v>17</v>
      </c>
      <c r="B1472" s="81" t="s">
        <v>374</v>
      </c>
      <c r="C1472" s="82"/>
      <c r="D1472" s="82"/>
    </row>
    <row r="1473" spans="1:4" ht="15.75" customHeight="1">
      <c r="A1473" s="81" t="s">
        <v>17</v>
      </c>
      <c r="B1473" s="81" t="s">
        <v>375</v>
      </c>
      <c r="C1473" s="82"/>
      <c r="D1473" s="82"/>
    </row>
    <row r="1474" spans="1:4" ht="15.75" customHeight="1">
      <c r="A1474" s="81" t="s">
        <v>17</v>
      </c>
      <c r="B1474" s="81" t="s">
        <v>376</v>
      </c>
      <c r="C1474" s="82"/>
      <c r="D1474" s="82"/>
    </row>
    <row r="1475" spans="1:4" ht="15.75" customHeight="1">
      <c r="A1475" s="81" t="s">
        <v>17</v>
      </c>
      <c r="B1475" s="81" t="s">
        <v>377</v>
      </c>
      <c r="C1475" s="82"/>
      <c r="D1475" s="82"/>
    </row>
    <row r="1476" spans="1:4" ht="15.75" customHeight="1">
      <c r="A1476" s="81" t="s">
        <v>17</v>
      </c>
      <c r="B1476" s="81" t="s">
        <v>378</v>
      </c>
      <c r="C1476" s="82"/>
      <c r="D1476" s="82"/>
    </row>
    <row r="1477" spans="1:4" ht="15.75" customHeight="1">
      <c r="A1477" s="81" t="s">
        <v>17</v>
      </c>
      <c r="B1477" s="81" t="s">
        <v>379</v>
      </c>
      <c r="C1477" s="82"/>
      <c r="D1477" s="82"/>
    </row>
    <row r="1478" spans="1:4" ht="15.75" customHeight="1">
      <c r="A1478" s="81" t="s">
        <v>17</v>
      </c>
      <c r="B1478" s="81" t="s">
        <v>380</v>
      </c>
      <c r="C1478" s="82"/>
      <c r="D1478" s="82"/>
    </row>
    <row r="1479" spans="1:4" ht="15.75" customHeight="1">
      <c r="A1479" s="81" t="s">
        <v>17</v>
      </c>
      <c r="B1479" s="81" t="s">
        <v>381</v>
      </c>
      <c r="C1479" s="82"/>
      <c r="D1479" s="82"/>
    </row>
    <row r="1480" spans="1:4" ht="15.75" customHeight="1">
      <c r="A1480" s="81" t="s">
        <v>17</v>
      </c>
      <c r="B1480" s="81" t="s">
        <v>382</v>
      </c>
      <c r="C1480" s="82"/>
      <c r="D1480" s="82"/>
    </row>
    <row r="1481" spans="1:4" ht="15.75" customHeight="1">
      <c r="A1481" s="81" t="s">
        <v>17</v>
      </c>
      <c r="B1481" s="81" t="s">
        <v>383</v>
      </c>
      <c r="C1481" s="82"/>
      <c r="D1481" s="82"/>
    </row>
    <row r="1482" spans="1:4" ht="15.75" customHeight="1">
      <c r="A1482" s="81" t="s">
        <v>17</v>
      </c>
      <c r="B1482" s="81" t="s">
        <v>384</v>
      </c>
      <c r="C1482" s="82"/>
      <c r="D1482" s="82"/>
    </row>
    <row r="1483" spans="1:4" ht="15.75" customHeight="1">
      <c r="A1483" s="81" t="s">
        <v>17</v>
      </c>
      <c r="B1483" s="81" t="s">
        <v>385</v>
      </c>
      <c r="C1483" s="82"/>
      <c r="D1483" s="82"/>
    </row>
    <row r="1484" spans="1:4" ht="15.75" customHeight="1">
      <c r="A1484" s="81" t="s">
        <v>17</v>
      </c>
      <c r="B1484" s="81" t="s">
        <v>386</v>
      </c>
      <c r="C1484" s="82"/>
      <c r="D1484" s="82"/>
    </row>
    <row r="1485" spans="1:4" ht="15.75" customHeight="1">
      <c r="A1485" s="81" t="s">
        <v>17</v>
      </c>
      <c r="B1485" s="81" t="s">
        <v>387</v>
      </c>
      <c r="C1485" s="82"/>
      <c r="D1485" s="82"/>
    </row>
    <row r="1486" spans="1:4" ht="15.75" customHeight="1">
      <c r="A1486" s="81" t="s">
        <v>17</v>
      </c>
      <c r="B1486" s="81" t="s">
        <v>388</v>
      </c>
      <c r="C1486" s="82"/>
      <c r="D1486" s="82"/>
    </row>
    <row r="1487" spans="1:4" ht="15.75" customHeight="1">
      <c r="A1487" s="81" t="s">
        <v>17</v>
      </c>
      <c r="B1487" s="81" t="s">
        <v>389</v>
      </c>
      <c r="C1487" s="82"/>
      <c r="D1487" s="82"/>
    </row>
    <row r="1488" spans="1:4" ht="15.75" customHeight="1">
      <c r="A1488" s="81" t="s">
        <v>17</v>
      </c>
      <c r="B1488" s="81" t="s">
        <v>390</v>
      </c>
      <c r="C1488" s="82"/>
      <c r="D1488" s="82"/>
    </row>
    <row r="1489" spans="1:4" ht="15.75" customHeight="1">
      <c r="A1489" s="81" t="s">
        <v>17</v>
      </c>
      <c r="B1489" s="81" t="s">
        <v>391</v>
      </c>
      <c r="C1489" s="82"/>
      <c r="D1489" s="82"/>
    </row>
    <row r="1490" spans="1:4" ht="15.75" customHeight="1">
      <c r="A1490" s="81" t="s">
        <v>17</v>
      </c>
      <c r="B1490" s="81" t="s">
        <v>392</v>
      </c>
      <c r="C1490" s="82"/>
      <c r="D1490" s="82"/>
    </row>
    <row r="1491" spans="1:4" ht="15.75" customHeight="1">
      <c r="A1491" s="81" t="s">
        <v>17</v>
      </c>
      <c r="B1491" s="81" t="s">
        <v>393</v>
      </c>
      <c r="C1491" s="82"/>
      <c r="D1491" s="82"/>
    </row>
    <row r="1492" spans="1:4" ht="15.75" customHeight="1">
      <c r="A1492" s="81" t="s">
        <v>17</v>
      </c>
      <c r="B1492" s="81" t="s">
        <v>394</v>
      </c>
      <c r="C1492" s="82"/>
      <c r="D1492" s="82"/>
    </row>
    <row r="1493" spans="1:4" ht="15.75" customHeight="1">
      <c r="A1493" s="81" t="s">
        <v>17</v>
      </c>
      <c r="B1493" s="81" t="s">
        <v>395</v>
      </c>
      <c r="C1493" s="82"/>
      <c r="D1493" s="82"/>
    </row>
    <row r="1494" spans="1:4" ht="15.75" customHeight="1">
      <c r="A1494" s="81" t="s">
        <v>17</v>
      </c>
      <c r="B1494" s="81" t="s">
        <v>396</v>
      </c>
      <c r="C1494" s="82"/>
      <c r="D1494" s="82"/>
    </row>
    <row r="1495" spans="1:4" ht="15.75" customHeight="1">
      <c r="A1495" s="81" t="s">
        <v>17</v>
      </c>
      <c r="B1495" s="81" t="s">
        <v>397</v>
      </c>
      <c r="C1495" s="82"/>
      <c r="D1495" s="82"/>
    </row>
    <row r="1496" spans="1:4" ht="15.75" customHeight="1">
      <c r="A1496" s="81" t="s">
        <v>17</v>
      </c>
      <c r="B1496" s="81" t="s">
        <v>398</v>
      </c>
      <c r="C1496" s="82"/>
      <c r="D1496" s="82"/>
    </row>
    <row r="1497" spans="1:4" ht="15.75" customHeight="1">
      <c r="A1497" s="81" t="s">
        <v>17</v>
      </c>
      <c r="B1497" s="81" t="s">
        <v>399</v>
      </c>
      <c r="C1497" s="82"/>
      <c r="D1497" s="82"/>
    </row>
    <row r="1498" spans="1:4" ht="15.75" customHeight="1">
      <c r="A1498" s="81" t="s">
        <v>17</v>
      </c>
      <c r="B1498" s="81" t="s">
        <v>400</v>
      </c>
      <c r="C1498" s="82"/>
      <c r="D1498" s="82"/>
    </row>
    <row r="1499" spans="1:4" ht="15.75" customHeight="1">
      <c r="A1499" s="81" t="s">
        <v>17</v>
      </c>
      <c r="B1499" s="81" t="s">
        <v>401</v>
      </c>
      <c r="C1499" s="82"/>
      <c r="D1499" s="82"/>
    </row>
    <row r="1500" spans="1:4" ht="15.75" customHeight="1">
      <c r="A1500" s="81" t="s">
        <v>17</v>
      </c>
      <c r="B1500" s="81" t="s">
        <v>402</v>
      </c>
      <c r="C1500" s="82"/>
      <c r="D1500" s="82"/>
    </row>
    <row r="1501" spans="1:4" ht="15.75" customHeight="1">
      <c r="A1501" s="81" t="s">
        <v>17</v>
      </c>
      <c r="B1501" s="81" t="s">
        <v>403</v>
      </c>
      <c r="C1501" s="82"/>
      <c r="D1501" s="82"/>
    </row>
    <row r="1502" spans="1:4" ht="15.75" customHeight="1">
      <c r="A1502" s="81" t="s">
        <v>17</v>
      </c>
      <c r="B1502" s="81" t="s">
        <v>404</v>
      </c>
      <c r="C1502" s="82"/>
      <c r="D1502" s="82"/>
    </row>
    <row r="1503" spans="1:4" ht="15.75" customHeight="1">
      <c r="A1503" s="81" t="s">
        <v>17</v>
      </c>
      <c r="B1503" s="81" t="s">
        <v>405</v>
      </c>
      <c r="C1503" s="82"/>
      <c r="D1503" s="82"/>
    </row>
    <row r="1504" spans="1:4" ht="15.75" customHeight="1">
      <c r="A1504" s="81" t="s">
        <v>17</v>
      </c>
      <c r="B1504" s="81" t="s">
        <v>406</v>
      </c>
      <c r="C1504" s="82"/>
      <c r="D1504" s="82"/>
    </row>
    <row r="1505" spans="1:5" ht="15.75" customHeight="1">
      <c r="A1505" s="81" t="s">
        <v>17</v>
      </c>
      <c r="B1505" s="81" t="s">
        <v>407</v>
      </c>
      <c r="C1505" s="82"/>
      <c r="D1505" s="82"/>
    </row>
    <row r="1506" spans="1:5" ht="15.75" customHeight="1">
      <c r="A1506" s="81" t="s">
        <v>17</v>
      </c>
      <c r="B1506" s="81" t="s">
        <v>408</v>
      </c>
      <c r="C1506" s="82"/>
      <c r="D1506" s="82"/>
    </row>
    <row r="1507" spans="1:5" ht="15.75" customHeight="1">
      <c r="A1507" s="81" t="s">
        <v>17</v>
      </c>
      <c r="B1507" s="81" t="s">
        <v>409</v>
      </c>
      <c r="C1507" s="82"/>
      <c r="D1507" s="82"/>
    </row>
    <row r="1508" spans="1:5" ht="15.75" customHeight="1">
      <c r="A1508" s="81" t="s">
        <v>17</v>
      </c>
      <c r="B1508" s="81" t="s">
        <v>410</v>
      </c>
      <c r="C1508" s="82"/>
      <c r="D1508" s="82"/>
    </row>
    <row r="1509" spans="1:5" ht="15.75" customHeight="1">
      <c r="A1509" s="81" t="s">
        <v>17</v>
      </c>
      <c r="B1509" s="81" t="s">
        <v>411</v>
      </c>
      <c r="C1509" s="82"/>
      <c r="D1509" s="82"/>
      <c r="E1509" s="84"/>
    </row>
    <row r="1510" spans="1:5" ht="15.75" customHeight="1">
      <c r="A1510" s="81" t="s">
        <v>17</v>
      </c>
      <c r="B1510" s="81" t="s">
        <v>412</v>
      </c>
      <c r="C1510" s="82"/>
      <c r="D1510" s="82"/>
      <c r="E1510" s="84"/>
    </row>
    <row r="1511" spans="1:5" ht="15.75" customHeight="1">
      <c r="A1511" s="81" t="s">
        <v>17</v>
      </c>
      <c r="B1511" s="81" t="s">
        <v>413</v>
      </c>
      <c r="C1511" s="82"/>
      <c r="D1511" s="82"/>
      <c r="E1511" s="84"/>
    </row>
    <row r="1512" spans="1:5" ht="15.75" customHeight="1">
      <c r="A1512" s="81" t="s">
        <v>17</v>
      </c>
      <c r="B1512" s="81" t="s">
        <v>414</v>
      </c>
      <c r="C1512" s="82"/>
      <c r="D1512" s="82"/>
      <c r="E1512" s="84"/>
    </row>
    <row r="1513" spans="1:5" ht="15.75" customHeight="1">
      <c r="A1513" s="81" t="s">
        <v>17</v>
      </c>
      <c r="B1513" s="81" t="s">
        <v>415</v>
      </c>
      <c r="C1513" s="82"/>
      <c r="D1513" s="82"/>
      <c r="E1513" s="84"/>
    </row>
    <row r="1514" spans="1:5" ht="15.75" customHeight="1">
      <c r="A1514" s="81" t="s">
        <v>17</v>
      </c>
      <c r="B1514" s="81" t="s">
        <v>416</v>
      </c>
      <c r="C1514" s="82"/>
      <c r="D1514" s="82"/>
      <c r="E1514" s="84"/>
    </row>
    <row r="1515" spans="1:5" ht="15.75" customHeight="1">
      <c r="A1515" s="81" t="s">
        <v>17</v>
      </c>
      <c r="B1515" s="81" t="s">
        <v>417</v>
      </c>
      <c r="C1515" s="82"/>
      <c r="D1515" s="82"/>
      <c r="E1515" s="84"/>
    </row>
    <row r="1516" spans="1:5" ht="15.75" customHeight="1">
      <c r="A1516" s="81" t="s">
        <v>17</v>
      </c>
      <c r="B1516" s="81" t="s">
        <v>418</v>
      </c>
      <c r="C1516" s="82"/>
      <c r="D1516" s="82"/>
      <c r="E1516" s="84"/>
    </row>
    <row r="1517" spans="1:5" ht="15.75" customHeight="1">
      <c r="A1517" s="81" t="s">
        <v>17</v>
      </c>
      <c r="B1517" s="81" t="s">
        <v>419</v>
      </c>
      <c r="C1517" s="82">
        <v>0.66</v>
      </c>
      <c r="D1517" s="82">
        <v>0.09</v>
      </c>
      <c r="E1517" s="84">
        <v>7.1</v>
      </c>
    </row>
    <row r="1518" spans="1:5" ht="15.75" customHeight="1">
      <c r="A1518" s="81" t="s">
        <v>17</v>
      </c>
      <c r="B1518" s="81" t="s">
        <v>420</v>
      </c>
      <c r="C1518" s="82">
        <v>0.35</v>
      </c>
      <c r="D1518" s="82">
        <v>0.12</v>
      </c>
      <c r="E1518" s="84">
        <v>7.1</v>
      </c>
    </row>
    <row r="1519" spans="1:5" ht="15.75" customHeight="1">
      <c r="A1519" s="81" t="s">
        <v>17</v>
      </c>
      <c r="B1519" s="81" t="s">
        <v>421</v>
      </c>
      <c r="C1519" s="82">
        <v>0.04</v>
      </c>
      <c r="D1519" s="82">
        <v>0.14000000000000001</v>
      </c>
      <c r="E1519" s="84">
        <v>7.1</v>
      </c>
    </row>
    <row r="1520" spans="1:5" ht="15.75" customHeight="1">
      <c r="A1520" s="81" t="s">
        <v>17</v>
      </c>
      <c r="B1520" s="81" t="s">
        <v>422</v>
      </c>
      <c r="C1520" s="82">
        <v>-0.27</v>
      </c>
      <c r="D1520" s="82">
        <v>0.17</v>
      </c>
      <c r="E1520" s="84">
        <v>7.1</v>
      </c>
    </row>
    <row r="1521" spans="1:5" ht="15.75" customHeight="1">
      <c r="A1521" s="81" t="s">
        <v>17</v>
      </c>
      <c r="B1521" s="81" t="s">
        <v>423</v>
      </c>
      <c r="C1521" s="82">
        <v>-0.25</v>
      </c>
      <c r="D1521" s="82">
        <v>0.19</v>
      </c>
      <c r="E1521" s="84">
        <v>5.6</v>
      </c>
    </row>
    <row r="1522" spans="1:5" ht="15.75" customHeight="1">
      <c r="A1522" s="81" t="s">
        <v>17</v>
      </c>
      <c r="B1522" s="81" t="s">
        <v>424</v>
      </c>
      <c r="C1522" s="82">
        <v>-0.24</v>
      </c>
      <c r="D1522" s="82">
        <v>0.22</v>
      </c>
      <c r="E1522" s="84">
        <v>5.6</v>
      </c>
    </row>
    <row r="1523" spans="1:5" ht="15.75" customHeight="1">
      <c r="A1523" s="81" t="s">
        <v>17</v>
      </c>
      <c r="B1523" s="81" t="s">
        <v>425</v>
      </c>
      <c r="C1523" s="82">
        <v>-0.22</v>
      </c>
      <c r="D1523" s="82">
        <v>0.24</v>
      </c>
      <c r="E1523" s="84">
        <v>5.6</v>
      </c>
    </row>
    <row r="1524" spans="1:5" ht="15.75" customHeight="1">
      <c r="A1524" s="81" t="s">
        <v>17</v>
      </c>
      <c r="B1524" s="81" t="s">
        <v>426</v>
      </c>
      <c r="C1524" s="82">
        <v>-0.2</v>
      </c>
      <c r="D1524" s="82">
        <v>0.26</v>
      </c>
      <c r="E1524" s="84">
        <v>5.6</v>
      </c>
    </row>
    <row r="1525" spans="1:5" ht="15.75" customHeight="1">
      <c r="A1525" s="81" t="s">
        <v>17</v>
      </c>
      <c r="B1525" s="81" t="s">
        <v>427</v>
      </c>
      <c r="C1525" s="82">
        <v>-0.19</v>
      </c>
      <c r="D1525" s="82">
        <v>0.34</v>
      </c>
      <c r="E1525" s="84">
        <v>4.8</v>
      </c>
    </row>
    <row r="1526" spans="1:5" ht="15.75" customHeight="1">
      <c r="A1526" s="81" t="s">
        <v>17</v>
      </c>
      <c r="B1526" s="81" t="s">
        <v>428</v>
      </c>
      <c r="C1526" s="82">
        <v>-0.18</v>
      </c>
      <c r="D1526" s="82">
        <v>0.41</v>
      </c>
      <c r="E1526" s="84">
        <v>4.8</v>
      </c>
    </row>
    <row r="1527" spans="1:5" ht="15.75" customHeight="1">
      <c r="A1527" s="81" t="s">
        <v>17</v>
      </c>
      <c r="B1527" s="81" t="s">
        <v>429</v>
      </c>
      <c r="C1527" s="82">
        <v>-0.17</v>
      </c>
      <c r="D1527" s="82">
        <v>0.49</v>
      </c>
      <c r="E1527" s="84">
        <v>4.8</v>
      </c>
    </row>
    <row r="1528" spans="1:5" ht="15.75" customHeight="1">
      <c r="A1528" s="81" t="s">
        <v>17</v>
      </c>
      <c r="B1528" s="81" t="s">
        <v>430</v>
      </c>
      <c r="C1528" s="82">
        <v>-0.16</v>
      </c>
      <c r="D1528" s="82">
        <v>0.5</v>
      </c>
      <c r="E1528" s="84">
        <v>4.8</v>
      </c>
    </row>
    <row r="1529" spans="1:5" ht="15.75" customHeight="1">
      <c r="A1529" s="81" t="s">
        <v>17</v>
      </c>
      <c r="B1529" s="81" t="s">
        <v>431</v>
      </c>
      <c r="C1529" s="82">
        <v>0.04</v>
      </c>
      <c r="D1529" s="82">
        <v>0.5</v>
      </c>
      <c r="E1529" s="84">
        <v>7.8</v>
      </c>
    </row>
    <row r="1530" spans="1:5" ht="15.75" customHeight="1">
      <c r="A1530" s="81" t="s">
        <v>17</v>
      </c>
      <c r="B1530" s="81" t="s">
        <v>432</v>
      </c>
      <c r="C1530" s="82">
        <v>0.25</v>
      </c>
      <c r="D1530" s="82">
        <v>0.5</v>
      </c>
      <c r="E1530" s="84">
        <v>7.8</v>
      </c>
    </row>
    <row r="1531" spans="1:5" ht="15.75" customHeight="1">
      <c r="A1531" s="81" t="s">
        <v>17</v>
      </c>
      <c r="B1531" s="81" t="s">
        <v>433</v>
      </c>
      <c r="C1531" s="82">
        <v>0.45</v>
      </c>
      <c r="D1531" s="82">
        <v>0.5</v>
      </c>
      <c r="E1531" s="84">
        <v>7.8</v>
      </c>
    </row>
    <row r="1532" spans="1:5" ht="15.75" customHeight="1">
      <c r="A1532" s="81" t="s">
        <v>17</v>
      </c>
      <c r="B1532" s="81" t="s">
        <v>434</v>
      </c>
      <c r="C1532" s="82">
        <v>0.65</v>
      </c>
      <c r="D1532" s="82">
        <v>0.5</v>
      </c>
      <c r="E1532" s="84">
        <v>7.8</v>
      </c>
    </row>
    <row r="1533" spans="1:5" ht="15.75" customHeight="1">
      <c r="A1533" s="81" t="s">
        <v>17</v>
      </c>
      <c r="B1533" s="81" t="s">
        <v>435</v>
      </c>
      <c r="C1533" s="82">
        <v>0.57999999999999996</v>
      </c>
      <c r="D1533" s="82">
        <v>0.5</v>
      </c>
      <c r="E1533" s="81">
        <v>10.7</v>
      </c>
    </row>
    <row r="1534" spans="1:5" ht="15.75" customHeight="1">
      <c r="A1534" s="81" t="s">
        <v>17</v>
      </c>
      <c r="B1534" s="81" t="s">
        <v>436</v>
      </c>
      <c r="C1534" s="82">
        <v>0.59</v>
      </c>
      <c r="D1534" s="82">
        <v>0.5</v>
      </c>
      <c r="E1534" s="81">
        <v>13.2</v>
      </c>
    </row>
    <row r="1535" spans="1:5" ht="15.75" customHeight="1">
      <c r="A1535" s="81" t="s">
        <v>17</v>
      </c>
      <c r="B1535" s="81" t="s">
        <v>437</v>
      </c>
      <c r="C1535" s="82">
        <v>0.69</v>
      </c>
      <c r="D1535" s="82">
        <v>0.48</v>
      </c>
      <c r="E1535" s="81">
        <v>16.399999999999999</v>
      </c>
    </row>
    <row r="1536" spans="1:5" ht="15.75" customHeight="1">
      <c r="A1536" s="81" t="s">
        <v>17</v>
      </c>
      <c r="B1536" s="81" t="s">
        <v>438</v>
      </c>
      <c r="C1536" s="82">
        <v>0.73</v>
      </c>
      <c r="D1536" s="82">
        <v>0.45</v>
      </c>
      <c r="E1536" s="81">
        <v>14.1</v>
      </c>
    </row>
    <row r="1537" spans="1:5" ht="15.75" customHeight="1">
      <c r="A1537" s="81" t="s">
        <v>17</v>
      </c>
      <c r="B1537" s="81" t="s">
        <v>439</v>
      </c>
      <c r="C1537" s="82">
        <v>0.69</v>
      </c>
      <c r="D1537" s="82">
        <v>0.4</v>
      </c>
      <c r="E1537" s="81">
        <v>12.9</v>
      </c>
    </row>
    <row r="1538" spans="1:5" ht="15.75" customHeight="1">
      <c r="A1538" s="81" t="s">
        <v>17</v>
      </c>
      <c r="B1538" s="81" t="s">
        <v>440</v>
      </c>
      <c r="C1538" s="82">
        <v>0.56000000000000005</v>
      </c>
      <c r="D1538" s="82">
        <v>0.45</v>
      </c>
      <c r="E1538" s="81">
        <v>15.1</v>
      </c>
    </row>
    <row r="1539" spans="1:5" ht="15.75" customHeight="1">
      <c r="A1539" s="81" t="s">
        <v>17</v>
      </c>
      <c r="B1539" s="81" t="s">
        <v>441</v>
      </c>
      <c r="C1539" s="82">
        <v>0.28000000000000003</v>
      </c>
      <c r="D1539" s="82">
        <v>0.46</v>
      </c>
      <c r="E1539" s="81">
        <v>16.3</v>
      </c>
    </row>
    <row r="1540" spans="1:5" ht="15.75" customHeight="1">
      <c r="A1540" s="81" t="s">
        <v>17</v>
      </c>
      <c r="B1540" s="81" t="s">
        <v>442</v>
      </c>
      <c r="C1540" s="82">
        <v>0.13</v>
      </c>
      <c r="D1540" s="82">
        <v>0.46</v>
      </c>
      <c r="E1540" s="81">
        <v>16.7</v>
      </c>
    </row>
    <row r="1541" spans="1:5" ht="15.75" customHeight="1">
      <c r="A1541" s="81" t="s">
        <v>17</v>
      </c>
      <c r="B1541" s="81" t="s">
        <v>443</v>
      </c>
      <c r="C1541" s="82">
        <v>0.09</v>
      </c>
      <c r="D1541" s="82">
        <v>0.48</v>
      </c>
      <c r="E1541" s="81">
        <v>13.4</v>
      </c>
    </row>
    <row r="1542" spans="1:5" ht="15.75" customHeight="1">
      <c r="A1542" s="81" t="s">
        <v>18</v>
      </c>
      <c r="B1542" s="81" t="s">
        <v>334</v>
      </c>
      <c r="C1542" s="82"/>
      <c r="D1542" s="82"/>
    </row>
    <row r="1543" spans="1:5" ht="15.75" customHeight="1">
      <c r="A1543" s="81" t="s">
        <v>18</v>
      </c>
      <c r="B1543" s="81" t="s">
        <v>335</v>
      </c>
      <c r="C1543" s="82"/>
      <c r="D1543" s="82"/>
    </row>
    <row r="1544" spans="1:5" ht="15.75" customHeight="1">
      <c r="A1544" s="81" t="s">
        <v>18</v>
      </c>
      <c r="B1544" s="81" t="s">
        <v>336</v>
      </c>
      <c r="C1544" s="82"/>
      <c r="D1544" s="82"/>
    </row>
    <row r="1545" spans="1:5" ht="15.75" customHeight="1">
      <c r="A1545" s="81" t="s">
        <v>18</v>
      </c>
      <c r="B1545" s="81" t="s">
        <v>337</v>
      </c>
      <c r="C1545" s="82"/>
      <c r="D1545" s="82"/>
    </row>
    <row r="1546" spans="1:5" ht="15.75" customHeight="1">
      <c r="A1546" s="81" t="s">
        <v>18</v>
      </c>
      <c r="B1546" s="81" t="s">
        <v>338</v>
      </c>
      <c r="C1546" s="82"/>
      <c r="D1546" s="82"/>
    </row>
    <row r="1547" spans="1:5" ht="15.75" customHeight="1">
      <c r="A1547" s="81" t="s">
        <v>18</v>
      </c>
      <c r="B1547" s="81" t="s">
        <v>339</v>
      </c>
      <c r="C1547" s="82"/>
      <c r="D1547" s="82"/>
    </row>
    <row r="1548" spans="1:5" ht="15.75" customHeight="1">
      <c r="A1548" s="81" t="s">
        <v>18</v>
      </c>
      <c r="B1548" s="81" t="s">
        <v>340</v>
      </c>
      <c r="C1548" s="82"/>
      <c r="D1548" s="82"/>
    </row>
    <row r="1549" spans="1:5" ht="15.75" customHeight="1">
      <c r="A1549" s="81" t="s">
        <v>18</v>
      </c>
      <c r="B1549" s="81" t="s">
        <v>341</v>
      </c>
      <c r="C1549" s="82"/>
      <c r="D1549" s="82"/>
    </row>
    <row r="1550" spans="1:5" ht="15.75" customHeight="1">
      <c r="A1550" s="81" t="s">
        <v>18</v>
      </c>
      <c r="B1550" s="81" t="s">
        <v>342</v>
      </c>
      <c r="C1550" s="82"/>
      <c r="D1550" s="82"/>
    </row>
    <row r="1551" spans="1:5" ht="15.75" customHeight="1">
      <c r="A1551" s="81" t="s">
        <v>18</v>
      </c>
      <c r="B1551" s="81" t="s">
        <v>343</v>
      </c>
      <c r="C1551" s="82"/>
      <c r="D1551" s="82"/>
    </row>
    <row r="1552" spans="1:5" ht="15.75" customHeight="1">
      <c r="A1552" s="81" t="s">
        <v>18</v>
      </c>
      <c r="B1552" s="81" t="s">
        <v>344</v>
      </c>
      <c r="C1552" s="82"/>
      <c r="D1552" s="82"/>
    </row>
    <row r="1553" spans="1:4" ht="15.75" customHeight="1">
      <c r="A1553" s="81" t="s">
        <v>18</v>
      </c>
      <c r="B1553" s="81" t="s">
        <v>345</v>
      </c>
      <c r="C1553" s="82"/>
      <c r="D1553" s="82"/>
    </row>
    <row r="1554" spans="1:4" ht="15.75" customHeight="1">
      <c r="A1554" s="81" t="s">
        <v>18</v>
      </c>
      <c r="B1554" s="81" t="s">
        <v>346</v>
      </c>
      <c r="C1554" s="82"/>
      <c r="D1554" s="82"/>
    </row>
    <row r="1555" spans="1:4" ht="15.75" customHeight="1">
      <c r="A1555" s="81" t="s">
        <v>18</v>
      </c>
      <c r="B1555" s="81" t="s">
        <v>347</v>
      </c>
      <c r="C1555" s="82"/>
      <c r="D1555" s="82"/>
    </row>
    <row r="1556" spans="1:4" ht="15.75" customHeight="1">
      <c r="A1556" s="81" t="s">
        <v>18</v>
      </c>
      <c r="B1556" s="81" t="s">
        <v>348</v>
      </c>
      <c r="C1556" s="82"/>
      <c r="D1556" s="82"/>
    </row>
    <row r="1557" spans="1:4" ht="15.75" customHeight="1">
      <c r="A1557" s="81" t="s">
        <v>18</v>
      </c>
      <c r="B1557" s="81" t="s">
        <v>349</v>
      </c>
      <c r="C1557" s="82"/>
      <c r="D1557" s="82"/>
    </row>
    <row r="1558" spans="1:4" ht="15.75" customHeight="1">
      <c r="A1558" s="81" t="s">
        <v>18</v>
      </c>
      <c r="B1558" s="81" t="s">
        <v>350</v>
      </c>
      <c r="C1558" s="82"/>
      <c r="D1558" s="82"/>
    </row>
    <row r="1559" spans="1:4" ht="15.75" customHeight="1">
      <c r="A1559" s="81" t="s">
        <v>18</v>
      </c>
      <c r="B1559" s="81" t="s">
        <v>351</v>
      </c>
      <c r="C1559" s="82"/>
      <c r="D1559" s="82"/>
    </row>
    <row r="1560" spans="1:4" ht="15.75" customHeight="1">
      <c r="A1560" s="81" t="s">
        <v>18</v>
      </c>
      <c r="B1560" s="81" t="s">
        <v>352</v>
      </c>
      <c r="C1560" s="82"/>
      <c r="D1560" s="82"/>
    </row>
    <row r="1561" spans="1:4" ht="15.75" customHeight="1">
      <c r="A1561" s="81" t="s">
        <v>18</v>
      </c>
      <c r="B1561" s="81" t="s">
        <v>353</v>
      </c>
      <c r="C1561" s="82"/>
      <c r="D1561" s="82"/>
    </row>
    <row r="1562" spans="1:4" ht="15.75" customHeight="1">
      <c r="A1562" s="81" t="s">
        <v>18</v>
      </c>
      <c r="B1562" s="81" t="s">
        <v>354</v>
      </c>
      <c r="C1562" s="82"/>
      <c r="D1562" s="82"/>
    </row>
    <row r="1563" spans="1:4" ht="15.75" customHeight="1">
      <c r="A1563" s="81" t="s">
        <v>18</v>
      </c>
      <c r="B1563" s="81" t="s">
        <v>355</v>
      </c>
      <c r="C1563" s="82"/>
      <c r="D1563" s="82"/>
    </row>
    <row r="1564" spans="1:4" ht="15.75" customHeight="1">
      <c r="A1564" s="81" t="s">
        <v>18</v>
      </c>
      <c r="B1564" s="81" t="s">
        <v>356</v>
      </c>
      <c r="C1564" s="82"/>
      <c r="D1564" s="82"/>
    </row>
    <row r="1565" spans="1:4" ht="15.75" customHeight="1">
      <c r="A1565" s="81" t="s">
        <v>18</v>
      </c>
      <c r="B1565" s="81" t="s">
        <v>357</v>
      </c>
      <c r="C1565" s="82"/>
      <c r="D1565" s="82"/>
    </row>
    <row r="1566" spans="1:4" ht="15.75" customHeight="1">
      <c r="A1566" s="81" t="s">
        <v>18</v>
      </c>
      <c r="B1566" s="81" t="s">
        <v>358</v>
      </c>
      <c r="C1566" s="82"/>
      <c r="D1566" s="82"/>
    </row>
    <row r="1567" spans="1:4" ht="15.75" customHeight="1">
      <c r="A1567" s="81" t="s">
        <v>18</v>
      </c>
      <c r="B1567" s="81" t="s">
        <v>359</v>
      </c>
      <c r="C1567" s="82"/>
      <c r="D1567" s="82"/>
    </row>
    <row r="1568" spans="1:4" ht="15.75" customHeight="1">
      <c r="A1568" s="81" t="s">
        <v>18</v>
      </c>
      <c r="B1568" s="81" t="s">
        <v>360</v>
      </c>
      <c r="C1568" s="82"/>
      <c r="D1568" s="82"/>
    </row>
    <row r="1569" spans="1:4" ht="15.75" customHeight="1">
      <c r="A1569" s="81" t="s">
        <v>18</v>
      </c>
      <c r="B1569" s="81" t="s">
        <v>361</v>
      </c>
      <c r="C1569" s="82"/>
      <c r="D1569" s="82"/>
    </row>
    <row r="1570" spans="1:4" ht="15.75" customHeight="1">
      <c r="A1570" s="81" t="s">
        <v>18</v>
      </c>
      <c r="B1570" s="81" t="s">
        <v>362</v>
      </c>
      <c r="C1570" s="82"/>
      <c r="D1570" s="82"/>
    </row>
    <row r="1571" spans="1:4" ht="15.75" customHeight="1">
      <c r="A1571" s="81" t="s">
        <v>18</v>
      </c>
      <c r="B1571" s="81" t="s">
        <v>363</v>
      </c>
      <c r="C1571" s="82"/>
      <c r="D1571" s="82"/>
    </row>
    <row r="1572" spans="1:4" ht="15.75" customHeight="1">
      <c r="A1572" s="81" t="s">
        <v>18</v>
      </c>
      <c r="B1572" s="81" t="s">
        <v>364</v>
      </c>
      <c r="C1572" s="82"/>
      <c r="D1572" s="82"/>
    </row>
    <row r="1573" spans="1:4" ht="15.75" customHeight="1">
      <c r="A1573" s="81" t="s">
        <v>18</v>
      </c>
      <c r="B1573" s="81" t="s">
        <v>365</v>
      </c>
      <c r="C1573" s="82"/>
      <c r="D1573" s="82"/>
    </row>
    <row r="1574" spans="1:4" ht="15.75" customHeight="1">
      <c r="A1574" s="81" t="s">
        <v>18</v>
      </c>
      <c r="B1574" s="81" t="s">
        <v>366</v>
      </c>
      <c r="C1574" s="82"/>
      <c r="D1574" s="82"/>
    </row>
    <row r="1575" spans="1:4" ht="15.75" customHeight="1">
      <c r="A1575" s="81" t="s">
        <v>18</v>
      </c>
      <c r="B1575" s="81" t="s">
        <v>367</v>
      </c>
      <c r="C1575" s="82"/>
      <c r="D1575" s="82"/>
    </row>
    <row r="1576" spans="1:4" ht="15.75" customHeight="1">
      <c r="A1576" s="81" t="s">
        <v>18</v>
      </c>
      <c r="B1576" s="81" t="s">
        <v>368</v>
      </c>
      <c r="C1576" s="82"/>
      <c r="D1576" s="82"/>
    </row>
    <row r="1577" spans="1:4" ht="15.75" customHeight="1">
      <c r="A1577" s="81" t="s">
        <v>18</v>
      </c>
      <c r="B1577" s="81" t="s">
        <v>369</v>
      </c>
      <c r="C1577" s="82"/>
      <c r="D1577" s="82"/>
    </row>
    <row r="1578" spans="1:4" ht="15.75" customHeight="1">
      <c r="A1578" s="81" t="s">
        <v>18</v>
      </c>
      <c r="B1578" s="81" t="s">
        <v>370</v>
      </c>
      <c r="C1578" s="82"/>
      <c r="D1578" s="82"/>
    </row>
    <row r="1579" spans="1:4" ht="15.75" customHeight="1">
      <c r="A1579" s="81" t="s">
        <v>18</v>
      </c>
      <c r="B1579" s="81" t="s">
        <v>371</v>
      </c>
      <c r="C1579" s="82"/>
      <c r="D1579" s="82"/>
    </row>
    <row r="1580" spans="1:4" ht="15.75" customHeight="1">
      <c r="A1580" s="81" t="s">
        <v>18</v>
      </c>
      <c r="B1580" s="81" t="s">
        <v>372</v>
      </c>
      <c r="C1580" s="82"/>
      <c r="D1580" s="82"/>
    </row>
    <row r="1581" spans="1:4" ht="15.75" customHeight="1">
      <c r="A1581" s="81" t="s">
        <v>18</v>
      </c>
      <c r="B1581" s="81" t="s">
        <v>373</v>
      </c>
      <c r="C1581" s="82"/>
      <c r="D1581" s="82"/>
    </row>
    <row r="1582" spans="1:4" ht="15.75" customHeight="1">
      <c r="A1582" s="81" t="s">
        <v>18</v>
      </c>
      <c r="B1582" s="81" t="s">
        <v>374</v>
      </c>
      <c r="C1582" s="82"/>
      <c r="D1582" s="82"/>
    </row>
    <row r="1583" spans="1:4" ht="15.75" customHeight="1">
      <c r="A1583" s="81" t="s">
        <v>18</v>
      </c>
      <c r="B1583" s="81" t="s">
        <v>375</v>
      </c>
      <c r="C1583" s="82"/>
      <c r="D1583" s="82"/>
    </row>
    <row r="1584" spans="1:4" ht="15.75" customHeight="1">
      <c r="A1584" s="81" t="s">
        <v>18</v>
      </c>
      <c r="B1584" s="81" t="s">
        <v>376</v>
      </c>
      <c r="C1584" s="82"/>
      <c r="D1584" s="82"/>
    </row>
    <row r="1585" spans="1:4" ht="15.75" customHeight="1">
      <c r="A1585" s="81" t="s">
        <v>18</v>
      </c>
      <c r="B1585" s="81" t="s">
        <v>377</v>
      </c>
      <c r="C1585" s="82"/>
      <c r="D1585" s="82"/>
    </row>
    <row r="1586" spans="1:4" ht="15.75" customHeight="1">
      <c r="A1586" s="81" t="s">
        <v>18</v>
      </c>
      <c r="B1586" s="81" t="s">
        <v>378</v>
      </c>
      <c r="C1586" s="82"/>
      <c r="D1586" s="82"/>
    </row>
    <row r="1587" spans="1:4" ht="15.75" customHeight="1">
      <c r="A1587" s="81" t="s">
        <v>18</v>
      </c>
      <c r="B1587" s="81" t="s">
        <v>379</v>
      </c>
      <c r="C1587" s="82"/>
      <c r="D1587" s="82"/>
    </row>
    <row r="1588" spans="1:4" ht="15.75" customHeight="1">
      <c r="A1588" s="81" t="s">
        <v>18</v>
      </c>
      <c r="B1588" s="81" t="s">
        <v>380</v>
      </c>
      <c r="C1588" s="82"/>
      <c r="D1588" s="82"/>
    </row>
    <row r="1589" spans="1:4" ht="15.75" customHeight="1">
      <c r="A1589" s="81" t="s">
        <v>18</v>
      </c>
      <c r="B1589" s="81" t="s">
        <v>381</v>
      </c>
      <c r="C1589" s="82"/>
      <c r="D1589" s="82"/>
    </row>
    <row r="1590" spans="1:4" ht="15.75" customHeight="1">
      <c r="A1590" s="81" t="s">
        <v>18</v>
      </c>
      <c r="B1590" s="81" t="s">
        <v>382</v>
      </c>
      <c r="C1590" s="82"/>
      <c r="D1590" s="82"/>
    </row>
    <row r="1591" spans="1:4" ht="15.75" customHeight="1">
      <c r="A1591" s="81" t="s">
        <v>18</v>
      </c>
      <c r="B1591" s="81" t="s">
        <v>383</v>
      </c>
      <c r="C1591" s="82"/>
      <c r="D1591" s="82"/>
    </row>
    <row r="1592" spans="1:4" ht="15.75" customHeight="1">
      <c r="A1592" s="81" t="s">
        <v>18</v>
      </c>
      <c r="B1592" s="81" t="s">
        <v>384</v>
      </c>
      <c r="C1592" s="82"/>
      <c r="D1592" s="82"/>
    </row>
    <row r="1593" spans="1:4" ht="15.75" customHeight="1">
      <c r="A1593" s="81" t="s">
        <v>18</v>
      </c>
      <c r="B1593" s="81" t="s">
        <v>385</v>
      </c>
      <c r="C1593" s="82"/>
      <c r="D1593" s="82"/>
    </row>
    <row r="1594" spans="1:4" ht="15.75" customHeight="1">
      <c r="A1594" s="81" t="s">
        <v>18</v>
      </c>
      <c r="B1594" s="81" t="s">
        <v>386</v>
      </c>
      <c r="C1594" s="82"/>
      <c r="D1594" s="82"/>
    </row>
    <row r="1595" spans="1:4" ht="15.75" customHeight="1">
      <c r="A1595" s="81" t="s">
        <v>18</v>
      </c>
      <c r="B1595" s="81" t="s">
        <v>387</v>
      </c>
      <c r="C1595" s="82"/>
      <c r="D1595" s="82"/>
    </row>
    <row r="1596" spans="1:4" ht="15.75" customHeight="1">
      <c r="A1596" s="81" t="s">
        <v>18</v>
      </c>
      <c r="B1596" s="81" t="s">
        <v>388</v>
      </c>
      <c r="C1596" s="82"/>
      <c r="D1596" s="82"/>
    </row>
    <row r="1597" spans="1:4" ht="15.75" customHeight="1">
      <c r="A1597" s="81" t="s">
        <v>18</v>
      </c>
      <c r="B1597" s="81" t="s">
        <v>389</v>
      </c>
      <c r="C1597" s="82"/>
      <c r="D1597" s="82"/>
    </row>
    <row r="1598" spans="1:4" ht="15.75" customHeight="1">
      <c r="A1598" s="81" t="s">
        <v>18</v>
      </c>
      <c r="B1598" s="81" t="s">
        <v>390</v>
      </c>
      <c r="C1598" s="82"/>
      <c r="D1598" s="82"/>
    </row>
    <row r="1599" spans="1:4" ht="15.75" customHeight="1">
      <c r="A1599" s="81" t="s">
        <v>18</v>
      </c>
      <c r="B1599" s="81" t="s">
        <v>391</v>
      </c>
      <c r="C1599" s="82"/>
      <c r="D1599" s="82"/>
    </row>
    <row r="1600" spans="1:4" ht="15.75" customHeight="1">
      <c r="A1600" s="81" t="s">
        <v>18</v>
      </c>
      <c r="B1600" s="81" t="s">
        <v>392</v>
      </c>
      <c r="C1600" s="82"/>
      <c r="D1600" s="82"/>
    </row>
    <row r="1601" spans="1:4" ht="15.75" customHeight="1">
      <c r="A1601" s="81" t="s">
        <v>18</v>
      </c>
      <c r="B1601" s="81" t="s">
        <v>393</v>
      </c>
      <c r="C1601" s="82"/>
      <c r="D1601" s="82"/>
    </row>
    <row r="1602" spans="1:4" ht="15.75" customHeight="1">
      <c r="A1602" s="81" t="s">
        <v>18</v>
      </c>
      <c r="B1602" s="81" t="s">
        <v>394</v>
      </c>
      <c r="C1602" s="82"/>
      <c r="D1602" s="82"/>
    </row>
    <row r="1603" spans="1:4" ht="15.75" customHeight="1">
      <c r="A1603" s="81" t="s">
        <v>18</v>
      </c>
      <c r="B1603" s="81" t="s">
        <v>395</v>
      </c>
      <c r="C1603" s="82"/>
      <c r="D1603" s="82"/>
    </row>
    <row r="1604" spans="1:4" ht="15.75" customHeight="1">
      <c r="A1604" s="81" t="s">
        <v>18</v>
      </c>
      <c r="B1604" s="81" t="s">
        <v>396</v>
      </c>
      <c r="C1604" s="82"/>
      <c r="D1604" s="82"/>
    </row>
    <row r="1605" spans="1:4" ht="15.75" customHeight="1">
      <c r="A1605" s="81" t="s">
        <v>18</v>
      </c>
      <c r="B1605" s="81" t="s">
        <v>397</v>
      </c>
      <c r="C1605" s="82"/>
      <c r="D1605" s="82"/>
    </row>
    <row r="1606" spans="1:4" ht="15.75" customHeight="1">
      <c r="A1606" s="81" t="s">
        <v>18</v>
      </c>
      <c r="B1606" s="81" t="s">
        <v>398</v>
      </c>
      <c r="C1606" s="82"/>
      <c r="D1606" s="82"/>
    </row>
    <row r="1607" spans="1:4" ht="15.75" customHeight="1">
      <c r="A1607" s="81" t="s">
        <v>18</v>
      </c>
      <c r="B1607" s="81" t="s">
        <v>399</v>
      </c>
      <c r="C1607" s="82"/>
      <c r="D1607" s="82"/>
    </row>
    <row r="1608" spans="1:4" ht="15.75" customHeight="1">
      <c r="A1608" s="81" t="s">
        <v>18</v>
      </c>
      <c r="B1608" s="81" t="s">
        <v>400</v>
      </c>
      <c r="C1608" s="82"/>
      <c r="D1608" s="82"/>
    </row>
    <row r="1609" spans="1:4" ht="15.75" customHeight="1">
      <c r="A1609" s="81" t="s">
        <v>18</v>
      </c>
      <c r="B1609" s="81" t="s">
        <v>401</v>
      </c>
      <c r="C1609" s="82"/>
      <c r="D1609" s="82"/>
    </row>
    <row r="1610" spans="1:4" ht="15.75" customHeight="1">
      <c r="A1610" s="81" t="s">
        <v>18</v>
      </c>
      <c r="B1610" s="81" t="s">
        <v>402</v>
      </c>
      <c r="C1610" s="82"/>
      <c r="D1610" s="82"/>
    </row>
    <row r="1611" spans="1:4" ht="15.75" customHeight="1">
      <c r="A1611" s="81" t="s">
        <v>18</v>
      </c>
      <c r="B1611" s="81" t="s">
        <v>403</v>
      </c>
      <c r="C1611" s="82"/>
      <c r="D1611" s="82"/>
    </row>
    <row r="1612" spans="1:4" ht="15.75" customHeight="1">
      <c r="A1612" s="81" t="s">
        <v>18</v>
      </c>
      <c r="B1612" s="81" t="s">
        <v>404</v>
      </c>
      <c r="C1612" s="82"/>
      <c r="D1612" s="82"/>
    </row>
    <row r="1613" spans="1:4" ht="15.75" customHeight="1">
      <c r="A1613" s="81" t="s">
        <v>18</v>
      </c>
      <c r="B1613" s="81" t="s">
        <v>405</v>
      </c>
      <c r="C1613" s="82"/>
      <c r="D1613" s="82"/>
    </row>
    <row r="1614" spans="1:4" ht="15.75" customHeight="1">
      <c r="A1614" s="81" t="s">
        <v>18</v>
      </c>
      <c r="B1614" s="81" t="s">
        <v>406</v>
      </c>
      <c r="C1614" s="82"/>
      <c r="D1614" s="82"/>
    </row>
    <row r="1615" spans="1:4" ht="15.75" customHeight="1">
      <c r="A1615" s="81" t="s">
        <v>18</v>
      </c>
      <c r="B1615" s="81" t="s">
        <v>407</v>
      </c>
      <c r="C1615" s="82"/>
      <c r="D1615" s="82"/>
    </row>
    <row r="1616" spans="1:4" ht="15.75" customHeight="1">
      <c r="A1616" s="81" t="s">
        <v>18</v>
      </c>
      <c r="B1616" s="81" t="s">
        <v>408</v>
      </c>
      <c r="C1616" s="82"/>
      <c r="D1616" s="82"/>
    </row>
    <row r="1617" spans="1:4" ht="15.75" customHeight="1">
      <c r="A1617" s="81" t="s">
        <v>18</v>
      </c>
      <c r="B1617" s="81" t="s">
        <v>409</v>
      </c>
      <c r="C1617" s="82"/>
      <c r="D1617" s="82"/>
    </row>
    <row r="1618" spans="1:4" ht="15.75" customHeight="1">
      <c r="A1618" s="81" t="s">
        <v>18</v>
      </c>
      <c r="B1618" s="81" t="s">
        <v>410</v>
      </c>
      <c r="C1618" s="82"/>
      <c r="D1618" s="82"/>
    </row>
    <row r="1619" spans="1:4" ht="15.75" customHeight="1">
      <c r="A1619" s="81" t="s">
        <v>18</v>
      </c>
      <c r="B1619" s="81" t="s">
        <v>411</v>
      </c>
      <c r="C1619" s="82"/>
      <c r="D1619" s="82"/>
    </row>
    <row r="1620" spans="1:4" ht="15.75" customHeight="1">
      <c r="A1620" s="81" t="s">
        <v>18</v>
      </c>
      <c r="B1620" s="81" t="s">
        <v>412</v>
      </c>
      <c r="C1620" s="82"/>
      <c r="D1620" s="82"/>
    </row>
    <row r="1621" spans="1:4" ht="15.75" customHeight="1">
      <c r="A1621" s="81" t="s">
        <v>18</v>
      </c>
      <c r="B1621" s="81" t="s">
        <v>413</v>
      </c>
      <c r="C1621" s="82"/>
      <c r="D1621" s="82"/>
    </row>
    <row r="1622" spans="1:4" ht="15.75" customHeight="1">
      <c r="A1622" s="81" t="s">
        <v>18</v>
      </c>
      <c r="B1622" s="81" t="s">
        <v>414</v>
      </c>
      <c r="C1622" s="82"/>
      <c r="D1622" s="82"/>
    </row>
    <row r="1623" spans="1:4" ht="15.75" customHeight="1">
      <c r="A1623" s="81" t="s">
        <v>18</v>
      </c>
      <c r="B1623" s="81" t="s">
        <v>415</v>
      </c>
      <c r="C1623" s="82"/>
      <c r="D1623" s="82"/>
    </row>
    <row r="1624" spans="1:4" ht="15.75" customHeight="1">
      <c r="A1624" s="81" t="s">
        <v>18</v>
      </c>
      <c r="B1624" s="81" t="s">
        <v>416</v>
      </c>
      <c r="C1624" s="82"/>
      <c r="D1624" s="82"/>
    </row>
    <row r="1625" spans="1:4" ht="15.75" customHeight="1">
      <c r="A1625" s="81" t="s">
        <v>18</v>
      </c>
      <c r="B1625" s="81" t="s">
        <v>417</v>
      </c>
      <c r="C1625" s="82"/>
      <c r="D1625" s="82"/>
    </row>
    <row r="1626" spans="1:4" ht="15.75" customHeight="1">
      <c r="A1626" s="81" t="s">
        <v>18</v>
      </c>
      <c r="B1626" s="81" t="s">
        <v>418</v>
      </c>
      <c r="C1626" s="82"/>
      <c r="D1626" s="82"/>
    </row>
    <row r="1627" spans="1:4" ht="15.75" customHeight="1">
      <c r="A1627" s="81" t="s">
        <v>18</v>
      </c>
      <c r="B1627" s="81" t="s">
        <v>419</v>
      </c>
      <c r="C1627" s="82"/>
      <c r="D1627" s="82"/>
    </row>
    <row r="1628" spans="1:4" ht="15.75" customHeight="1">
      <c r="A1628" s="81" t="s">
        <v>18</v>
      </c>
      <c r="B1628" s="81" t="s">
        <v>420</v>
      </c>
      <c r="C1628" s="82"/>
      <c r="D1628" s="82"/>
    </row>
    <row r="1629" spans="1:4" ht="15.75" customHeight="1">
      <c r="A1629" s="81" t="s">
        <v>18</v>
      </c>
      <c r="B1629" s="81" t="s">
        <v>421</v>
      </c>
      <c r="C1629" s="82"/>
      <c r="D1629" s="82"/>
    </row>
    <row r="1630" spans="1:4" ht="15.75" customHeight="1">
      <c r="A1630" s="81" t="s">
        <v>18</v>
      </c>
      <c r="B1630" s="81" t="s">
        <v>422</v>
      </c>
      <c r="C1630" s="82"/>
      <c r="D1630" s="82"/>
    </row>
    <row r="1631" spans="1:4" ht="15.75" customHeight="1">
      <c r="A1631" s="81" t="s">
        <v>18</v>
      </c>
      <c r="B1631" s="81" t="s">
        <v>423</v>
      </c>
      <c r="C1631" s="82"/>
      <c r="D1631" s="82"/>
    </row>
    <row r="1632" spans="1:4" ht="15.75" customHeight="1">
      <c r="A1632" s="81" t="s">
        <v>18</v>
      </c>
      <c r="B1632" s="81" t="s">
        <v>424</v>
      </c>
      <c r="C1632" s="82"/>
      <c r="D1632" s="82"/>
    </row>
    <row r="1633" spans="1:5" ht="15.75" customHeight="1">
      <c r="A1633" s="81" t="s">
        <v>18</v>
      </c>
      <c r="B1633" s="81" t="s">
        <v>425</v>
      </c>
      <c r="C1633" s="82"/>
      <c r="D1633" s="82"/>
    </row>
    <row r="1634" spans="1:5" ht="15.75" customHeight="1">
      <c r="A1634" s="81" t="s">
        <v>18</v>
      </c>
      <c r="B1634" s="81" t="s">
        <v>426</v>
      </c>
      <c r="C1634" s="82">
        <v>-0.3</v>
      </c>
      <c r="D1634" s="82">
        <v>-0.11</v>
      </c>
      <c r="E1634" s="81">
        <v>-85</v>
      </c>
    </row>
    <row r="1635" spans="1:5" ht="15.75" customHeight="1">
      <c r="A1635" s="81" t="s">
        <v>18</v>
      </c>
      <c r="B1635" s="81" t="s">
        <v>427</v>
      </c>
      <c r="C1635" s="82">
        <v>-0.3</v>
      </c>
      <c r="D1635" s="82">
        <v>-0.17</v>
      </c>
      <c r="E1635" s="81">
        <v>2.5</v>
      </c>
    </row>
    <row r="1636" spans="1:5" ht="15.75" customHeight="1">
      <c r="A1636" s="81" t="s">
        <v>18</v>
      </c>
      <c r="B1636" s="81" t="s">
        <v>428</v>
      </c>
      <c r="C1636" s="82">
        <v>-0.3</v>
      </c>
      <c r="D1636" s="82">
        <v>-0.4</v>
      </c>
      <c r="E1636" s="81">
        <v>3.6</v>
      </c>
    </row>
    <row r="1637" spans="1:5" ht="15.75" customHeight="1">
      <c r="A1637" s="81" t="s">
        <v>18</v>
      </c>
      <c r="B1637" s="81" t="s">
        <v>429</v>
      </c>
      <c r="C1637" s="82">
        <v>-0.3</v>
      </c>
      <c r="D1637" s="82">
        <v>-0.5</v>
      </c>
      <c r="E1637" s="81">
        <v>4.2</v>
      </c>
    </row>
    <row r="1638" spans="1:5" ht="15.75" customHeight="1">
      <c r="A1638" s="81" t="s">
        <v>18</v>
      </c>
      <c r="B1638" s="81" t="s">
        <v>430</v>
      </c>
      <c r="C1638" s="82">
        <v>-0.3</v>
      </c>
      <c r="D1638" s="82">
        <v>-0.5</v>
      </c>
      <c r="E1638" s="81">
        <v>6.9</v>
      </c>
    </row>
    <row r="1639" spans="1:5" ht="15.75" customHeight="1">
      <c r="A1639" s="81" t="s">
        <v>18</v>
      </c>
      <c r="B1639" s="81" t="s">
        <v>431</v>
      </c>
      <c r="C1639" s="82">
        <v>-0.3</v>
      </c>
      <c r="D1639" s="82">
        <v>-0.5</v>
      </c>
      <c r="E1639" s="81">
        <v>4.0999999999999996</v>
      </c>
    </row>
    <row r="1640" spans="1:5" ht="15.75" customHeight="1">
      <c r="A1640" s="81" t="s">
        <v>18</v>
      </c>
      <c r="B1640" s="81" t="s">
        <v>432</v>
      </c>
      <c r="C1640" s="82">
        <v>-0.15</v>
      </c>
      <c r="D1640" s="82">
        <v>-0.5</v>
      </c>
      <c r="E1640" s="81">
        <v>6.1</v>
      </c>
    </row>
    <row r="1641" spans="1:5" ht="15.75" customHeight="1">
      <c r="A1641" s="81" t="s">
        <v>18</v>
      </c>
      <c r="B1641" s="81" t="s">
        <v>433</v>
      </c>
      <c r="C1641" s="82">
        <v>0.31</v>
      </c>
      <c r="D1641" s="82">
        <v>-0.45</v>
      </c>
      <c r="E1641" s="81">
        <v>8.4</v>
      </c>
    </row>
    <row r="1642" spans="1:5" ht="15.75" customHeight="1">
      <c r="A1642" s="81" t="s">
        <v>18</v>
      </c>
      <c r="B1642" s="81" t="s">
        <v>434</v>
      </c>
      <c r="C1642" s="82">
        <v>0.62</v>
      </c>
      <c r="D1642" s="82">
        <v>-0.24</v>
      </c>
      <c r="E1642" s="81">
        <v>8</v>
      </c>
    </row>
    <row r="1643" spans="1:5" ht="15.75" customHeight="1">
      <c r="A1643" s="81" t="s">
        <v>18</v>
      </c>
      <c r="B1643" s="81" t="s">
        <v>435</v>
      </c>
      <c r="C1643" s="82">
        <v>0.9</v>
      </c>
      <c r="D1643" s="82">
        <v>-0.18</v>
      </c>
      <c r="E1643" s="81">
        <v>11.4</v>
      </c>
    </row>
    <row r="1644" spans="1:5" ht="15.75" customHeight="1">
      <c r="A1644" s="81" t="s">
        <v>18</v>
      </c>
      <c r="B1644" s="81" t="s">
        <v>436</v>
      </c>
      <c r="C1644" s="82">
        <v>0.89</v>
      </c>
      <c r="D1644" s="82">
        <v>-0.12</v>
      </c>
      <c r="E1644" s="81">
        <v>10.199999999999999</v>
      </c>
    </row>
    <row r="1645" spans="1:5" ht="15.75" customHeight="1">
      <c r="A1645" s="81" t="s">
        <v>18</v>
      </c>
      <c r="B1645" s="81" t="s">
        <v>437</v>
      </c>
      <c r="C1645" s="82">
        <v>0.72</v>
      </c>
      <c r="D1645" s="82">
        <v>-0.12</v>
      </c>
      <c r="E1645" s="81">
        <v>10.9</v>
      </c>
    </row>
    <row r="1646" spans="1:5" ht="15.75" customHeight="1">
      <c r="A1646" s="81" t="s">
        <v>18</v>
      </c>
      <c r="B1646" s="81" t="s">
        <v>438</v>
      </c>
      <c r="C1646" s="82">
        <v>0.89</v>
      </c>
      <c r="D1646" s="82">
        <v>-7.0000000000000007E-2</v>
      </c>
      <c r="E1646" s="81">
        <v>14.5</v>
      </c>
    </row>
    <row r="1647" spans="1:5" ht="15.75" customHeight="1">
      <c r="A1647" s="81" t="s">
        <v>18</v>
      </c>
      <c r="B1647" s="81" t="s">
        <v>439</v>
      </c>
      <c r="C1647" s="82">
        <v>0.5</v>
      </c>
      <c r="D1647" s="82">
        <v>-7.0000000000000007E-2</v>
      </c>
      <c r="E1647" s="81">
        <v>13.5</v>
      </c>
    </row>
    <row r="1648" spans="1:5" ht="15.75" customHeight="1">
      <c r="A1648" s="81" t="s">
        <v>18</v>
      </c>
      <c r="B1648" s="81" t="s">
        <v>440</v>
      </c>
      <c r="C1648" s="82">
        <v>0.35</v>
      </c>
      <c r="D1648" s="82">
        <v>-0.12</v>
      </c>
      <c r="E1648" s="81">
        <v>11.4</v>
      </c>
    </row>
    <row r="1649" spans="1:5" ht="15.75" customHeight="1">
      <c r="A1649" s="81" t="s">
        <v>18</v>
      </c>
      <c r="B1649" s="81" t="s">
        <v>441</v>
      </c>
      <c r="C1649" s="82">
        <v>0.34</v>
      </c>
      <c r="D1649" s="82">
        <v>-7.0000000000000007E-2</v>
      </c>
      <c r="E1649" s="81">
        <v>13.4</v>
      </c>
    </row>
    <row r="1650" spans="1:5" ht="15.75" customHeight="1">
      <c r="A1650" s="81" t="s">
        <v>18</v>
      </c>
      <c r="B1650" s="81" t="s">
        <v>442</v>
      </c>
      <c r="C1650" s="82">
        <v>0.1</v>
      </c>
      <c r="D1650" s="82">
        <v>-0.08</v>
      </c>
      <c r="E1650" s="81">
        <v>12.9</v>
      </c>
    </row>
    <row r="1651" spans="1:5" ht="15.75" customHeight="1">
      <c r="A1651" s="81" t="s">
        <v>18</v>
      </c>
      <c r="B1651" s="81" t="s">
        <v>443</v>
      </c>
      <c r="C1651" s="82">
        <v>0.04</v>
      </c>
      <c r="D1651" s="82">
        <v>-7.0000000000000007E-2</v>
      </c>
      <c r="E1651" s="81">
        <v>12.6</v>
      </c>
    </row>
    <row r="1652" spans="1:5" ht="15.75" customHeight="1">
      <c r="A1652" s="81"/>
      <c r="B1652" s="81"/>
      <c r="C1652" s="82"/>
      <c r="D1652" s="82"/>
    </row>
    <row r="1653" spans="1:5" ht="15.75" customHeight="1">
      <c r="A1653" s="81"/>
      <c r="B1653" s="81"/>
      <c r="C1653" s="82"/>
      <c r="D1653" s="82"/>
    </row>
    <row r="1654" spans="1:5" ht="15.75" customHeight="1">
      <c r="A1654" s="81"/>
      <c r="B1654" s="81"/>
      <c r="C1654" s="82"/>
      <c r="D1654" s="82"/>
    </row>
    <row r="1655" spans="1:5" ht="15.75" customHeight="1">
      <c r="A1655" s="81"/>
      <c r="B1655" s="81"/>
      <c r="C1655" s="82"/>
      <c r="D1655" s="82"/>
    </row>
    <row r="1656" spans="1:5" ht="15.75" customHeight="1">
      <c r="A1656" s="81"/>
      <c r="B1656" s="81"/>
      <c r="C1656" s="82"/>
      <c r="D1656" s="82"/>
    </row>
    <row r="1657" spans="1:5" ht="15.75" customHeight="1">
      <c r="A1657" s="81"/>
      <c r="B1657" s="81"/>
      <c r="C1657" s="82"/>
      <c r="D1657" s="82"/>
    </row>
    <row r="1658" spans="1:5" ht="15.75" customHeight="1">
      <c r="A1658" s="81"/>
      <c r="B1658" s="81"/>
      <c r="C1658" s="82"/>
      <c r="D1658" s="82"/>
    </row>
    <row r="1659" spans="1:5" ht="15.75" customHeight="1">
      <c r="A1659" s="81"/>
      <c r="B1659" s="81"/>
      <c r="C1659" s="82"/>
      <c r="D1659" s="82"/>
    </row>
    <row r="1660" spans="1:5" ht="15.75" customHeight="1">
      <c r="A1660" s="81"/>
      <c r="B1660" s="81"/>
      <c r="C1660" s="82"/>
      <c r="D1660" s="82"/>
    </row>
    <row r="1661" spans="1:5" ht="15.75" customHeight="1">
      <c r="A1661" s="81"/>
      <c r="B1661" s="81"/>
      <c r="C1661" s="82"/>
      <c r="D1661" s="82"/>
    </row>
    <row r="1662" spans="1:5" ht="15.75" customHeight="1">
      <c r="A1662" s="81"/>
      <c r="B1662" s="81"/>
      <c r="C1662" s="82"/>
      <c r="D1662" s="82"/>
    </row>
    <row r="1663" spans="1:5" ht="15.75" customHeight="1">
      <c r="A1663" s="81"/>
      <c r="B1663" s="81"/>
      <c r="C1663" s="82"/>
      <c r="D1663" s="82"/>
    </row>
    <row r="1664" spans="1:5" ht="15.75" customHeight="1">
      <c r="A1664" s="81"/>
      <c r="B1664" s="81"/>
      <c r="C1664" s="82"/>
      <c r="D1664" s="82"/>
    </row>
    <row r="1665" spans="1:4" ht="15.75" customHeight="1">
      <c r="A1665" s="81"/>
      <c r="B1665" s="81"/>
      <c r="C1665" s="82"/>
      <c r="D1665" s="82"/>
    </row>
    <row r="1666" spans="1:4" ht="15.75" customHeight="1">
      <c r="A1666" s="81"/>
      <c r="B1666" s="81"/>
      <c r="C1666" s="82"/>
      <c r="D1666" s="82"/>
    </row>
    <row r="1667" spans="1:4" ht="15.75" customHeight="1">
      <c r="A1667" s="81"/>
      <c r="B1667" s="81"/>
      <c r="C1667" s="82"/>
      <c r="D1667" s="82"/>
    </row>
    <row r="1668" spans="1:4" ht="15.75" customHeight="1">
      <c r="A1668" s="81"/>
      <c r="B1668" s="81"/>
      <c r="C1668" s="82"/>
      <c r="D1668" s="82"/>
    </row>
    <row r="1669" spans="1:4" ht="15.75" customHeight="1">
      <c r="A1669" s="81"/>
      <c r="B1669" s="81"/>
      <c r="C1669" s="82"/>
      <c r="D1669" s="82"/>
    </row>
    <row r="1670" spans="1:4" ht="15.75" customHeight="1">
      <c r="A1670" s="81"/>
      <c r="B1670" s="81"/>
      <c r="C1670" s="82"/>
      <c r="D1670" s="82"/>
    </row>
    <row r="1671" spans="1:4" ht="15.75" customHeight="1">
      <c r="A1671" s="81"/>
      <c r="B1671" s="81"/>
      <c r="C1671" s="82"/>
      <c r="D1671" s="82"/>
    </row>
    <row r="1672" spans="1:4" ht="15.75" customHeight="1">
      <c r="A1672" s="81"/>
      <c r="B1672" s="81"/>
      <c r="C1672" s="82"/>
      <c r="D1672" s="82"/>
    </row>
    <row r="1673" spans="1:4" ht="15.75" customHeight="1">
      <c r="A1673" s="81"/>
      <c r="B1673" s="81"/>
      <c r="C1673" s="82"/>
      <c r="D1673" s="82"/>
    </row>
    <row r="1674" spans="1:4" ht="15.75" customHeight="1">
      <c r="A1674" s="81"/>
      <c r="B1674" s="81"/>
      <c r="C1674" s="82"/>
      <c r="D1674" s="82"/>
    </row>
    <row r="1675" spans="1:4" ht="15.75" customHeight="1">
      <c r="A1675" s="81"/>
      <c r="B1675" s="81"/>
      <c r="C1675" s="82"/>
      <c r="D1675" s="82"/>
    </row>
    <row r="1676" spans="1:4" ht="15.75" customHeight="1">
      <c r="A1676" s="81"/>
      <c r="B1676" s="81"/>
      <c r="C1676" s="82"/>
      <c r="D1676" s="82"/>
    </row>
    <row r="1677" spans="1:4" ht="15.75" customHeight="1">
      <c r="A1677" s="81"/>
      <c r="B1677" s="81"/>
      <c r="C1677" s="82"/>
      <c r="D1677" s="82"/>
    </row>
    <row r="1678" spans="1:4" ht="15.75" customHeight="1">
      <c r="A1678" s="81"/>
      <c r="B1678" s="81"/>
      <c r="C1678" s="82"/>
      <c r="D1678" s="82"/>
    </row>
    <row r="1679" spans="1:4" ht="15.75" customHeight="1">
      <c r="A1679" s="81"/>
      <c r="B1679" s="81"/>
      <c r="C1679" s="82"/>
      <c r="D1679" s="82"/>
    </row>
    <row r="1680" spans="1:4" ht="15.75" customHeight="1">
      <c r="A1680" s="81"/>
      <c r="B1680" s="81"/>
      <c r="C1680" s="82"/>
      <c r="D1680" s="82"/>
    </row>
    <row r="1681" spans="1:4" ht="15.75" customHeight="1">
      <c r="A1681" s="81"/>
      <c r="B1681" s="81"/>
      <c r="C1681" s="82"/>
      <c r="D1681" s="82"/>
    </row>
    <row r="1682" spans="1:4" ht="15.75" customHeight="1">
      <c r="A1682" s="81"/>
      <c r="B1682" s="81"/>
      <c r="C1682" s="82"/>
      <c r="D1682" s="82"/>
    </row>
    <row r="1683" spans="1:4" ht="15.75" customHeight="1">
      <c r="A1683" s="81"/>
      <c r="B1683" s="81"/>
      <c r="C1683" s="82"/>
      <c r="D1683" s="82"/>
    </row>
    <row r="1684" spans="1:4" ht="15.75" customHeight="1">
      <c r="A1684" s="81"/>
      <c r="B1684" s="81"/>
      <c r="C1684" s="82"/>
      <c r="D1684" s="82"/>
    </row>
    <row r="1685" spans="1:4" ht="15.75" customHeight="1">
      <c r="A1685" s="81"/>
      <c r="B1685" s="81"/>
      <c r="C1685" s="82"/>
      <c r="D1685" s="82"/>
    </row>
    <row r="1686" spans="1:4" ht="15.75" customHeight="1">
      <c r="A1686" s="81"/>
      <c r="B1686" s="81"/>
      <c r="C1686" s="82"/>
      <c r="D1686" s="82"/>
    </row>
    <row r="1687" spans="1:4" ht="15.75" customHeight="1">
      <c r="A1687" s="81"/>
      <c r="B1687" s="81"/>
      <c r="C1687" s="82"/>
      <c r="D1687" s="82"/>
    </row>
    <row r="1688" spans="1:4" ht="15.75" customHeight="1">
      <c r="A1688" s="81"/>
      <c r="B1688" s="81"/>
      <c r="C1688" s="82"/>
      <c r="D1688" s="82"/>
    </row>
    <row r="1689" spans="1:4" ht="15.75" customHeight="1">
      <c r="A1689" s="81"/>
      <c r="B1689" s="81"/>
      <c r="C1689" s="82"/>
      <c r="D1689" s="82"/>
    </row>
    <row r="1690" spans="1:4" ht="15.75" customHeight="1">
      <c r="A1690" s="81"/>
      <c r="B1690" s="81"/>
      <c r="C1690" s="82"/>
      <c r="D1690" s="82"/>
    </row>
    <row r="1691" spans="1:4" ht="15.75" customHeight="1">
      <c r="A1691" s="81"/>
      <c r="B1691" s="81"/>
      <c r="C1691" s="82"/>
      <c r="D1691" s="82"/>
    </row>
    <row r="1692" spans="1:4" ht="15.75" customHeight="1">
      <c r="A1692" s="81"/>
      <c r="B1692" s="81"/>
      <c r="C1692" s="82"/>
      <c r="D1692" s="82"/>
    </row>
    <row r="1693" spans="1:4" ht="15.75" customHeight="1">
      <c r="A1693" s="81"/>
      <c r="B1693" s="81"/>
      <c r="C1693" s="82"/>
      <c r="D1693" s="82"/>
    </row>
    <row r="1694" spans="1:4" ht="15.75" customHeight="1">
      <c r="A1694" s="81"/>
      <c r="B1694" s="81"/>
      <c r="C1694" s="82"/>
      <c r="D1694" s="82"/>
    </row>
    <row r="1695" spans="1:4" ht="15.75" customHeight="1">
      <c r="A1695" s="81"/>
      <c r="B1695" s="81"/>
      <c r="C1695" s="82"/>
      <c r="D1695" s="82"/>
    </row>
    <row r="1696" spans="1:4" ht="15.75" customHeight="1">
      <c r="A1696" s="81"/>
      <c r="B1696" s="81"/>
      <c r="C1696" s="82"/>
      <c r="D1696" s="82"/>
    </row>
    <row r="1697" spans="1:4" ht="15.75" customHeight="1">
      <c r="A1697" s="81"/>
      <c r="B1697" s="81"/>
      <c r="C1697" s="82"/>
      <c r="D1697" s="82"/>
    </row>
    <row r="1698" spans="1:4" ht="15.75" customHeight="1">
      <c r="A1698" s="81"/>
      <c r="B1698" s="81"/>
      <c r="C1698" s="82"/>
      <c r="D1698" s="82"/>
    </row>
    <row r="1699" spans="1:4" ht="15.75" customHeight="1">
      <c r="A1699" s="81"/>
      <c r="B1699" s="81"/>
      <c r="C1699" s="82"/>
      <c r="D1699" s="82"/>
    </row>
    <row r="1700" spans="1:4" ht="15.75" customHeight="1">
      <c r="A1700" s="81"/>
      <c r="B1700" s="81"/>
      <c r="C1700" s="82"/>
      <c r="D1700" s="82"/>
    </row>
    <row r="1701" spans="1:4" ht="15.75" customHeight="1">
      <c r="A1701" s="81"/>
      <c r="B1701" s="81"/>
      <c r="C1701" s="82"/>
      <c r="D1701" s="82"/>
    </row>
    <row r="1702" spans="1:4" ht="15.75" customHeight="1">
      <c r="A1702" s="81"/>
      <c r="B1702" s="81"/>
      <c r="C1702" s="82"/>
      <c r="D1702" s="82"/>
    </row>
    <row r="1703" spans="1:4" ht="15.75" customHeight="1">
      <c r="A1703" s="81"/>
      <c r="B1703" s="81"/>
      <c r="C1703" s="82"/>
      <c r="D1703" s="82"/>
    </row>
    <row r="1704" spans="1:4" ht="15.75" customHeight="1">
      <c r="A1704" s="81"/>
      <c r="B1704" s="81"/>
      <c r="C1704" s="82"/>
      <c r="D1704" s="82"/>
    </row>
    <row r="1705" spans="1:4" ht="15.75" customHeight="1">
      <c r="A1705" s="81"/>
      <c r="B1705" s="81"/>
      <c r="C1705" s="82"/>
      <c r="D1705" s="82"/>
    </row>
    <row r="1706" spans="1:4" ht="15.75" customHeight="1">
      <c r="A1706" s="81"/>
      <c r="B1706" s="81"/>
      <c r="C1706" s="82"/>
      <c r="D1706" s="82"/>
    </row>
    <row r="1707" spans="1:4" ht="15.75" customHeight="1">
      <c r="A1707" s="81"/>
      <c r="B1707" s="81"/>
      <c r="C1707" s="82"/>
      <c r="D1707" s="82"/>
    </row>
    <row r="1708" spans="1:4" ht="15.75" customHeight="1">
      <c r="A1708" s="81"/>
      <c r="B1708" s="81"/>
      <c r="C1708" s="82"/>
      <c r="D1708" s="82"/>
    </row>
    <row r="1709" spans="1:4" ht="15.75" customHeight="1">
      <c r="A1709" s="81"/>
      <c r="B1709" s="81"/>
      <c r="C1709" s="82"/>
      <c r="D1709" s="82"/>
    </row>
    <row r="1710" spans="1:4" ht="15.75" customHeight="1">
      <c r="A1710" s="81"/>
      <c r="B1710" s="81"/>
      <c r="C1710" s="82"/>
      <c r="D1710" s="82"/>
    </row>
    <row r="1711" spans="1:4" ht="15.75" customHeight="1">
      <c r="A1711" s="81"/>
      <c r="B1711" s="81"/>
      <c r="C1711" s="82"/>
      <c r="D1711" s="82"/>
    </row>
    <row r="1712" spans="1:4" ht="15.75" customHeight="1">
      <c r="A1712" s="81"/>
      <c r="B1712" s="81"/>
      <c r="C1712" s="82"/>
      <c r="D1712" s="82"/>
    </row>
    <row r="1713" spans="1:4" ht="15.75" customHeight="1">
      <c r="A1713" s="81"/>
      <c r="B1713" s="81"/>
      <c r="C1713" s="82"/>
      <c r="D1713" s="82"/>
    </row>
    <row r="1714" spans="1:4" ht="15.75" customHeight="1">
      <c r="A1714" s="81"/>
      <c r="B1714" s="81"/>
      <c r="C1714" s="82"/>
      <c r="D1714" s="82"/>
    </row>
    <row r="1715" spans="1:4" ht="15.75" customHeight="1">
      <c r="A1715" s="81"/>
      <c r="B1715" s="81"/>
      <c r="C1715" s="82"/>
      <c r="D1715" s="82"/>
    </row>
    <row r="1716" spans="1:4" ht="15.75" customHeight="1">
      <c r="A1716" s="81"/>
      <c r="B1716" s="81"/>
      <c r="C1716" s="82"/>
      <c r="D1716" s="82"/>
    </row>
    <row r="1717" spans="1:4" ht="15.75" customHeight="1">
      <c r="A1717" s="81"/>
      <c r="B1717" s="81"/>
      <c r="C1717" s="82"/>
      <c r="D1717" s="82"/>
    </row>
    <row r="1718" spans="1:4" ht="15.75" customHeight="1">
      <c r="A1718" s="81"/>
      <c r="B1718" s="81"/>
      <c r="C1718" s="82"/>
      <c r="D1718" s="82"/>
    </row>
    <row r="1719" spans="1:4" ht="15.75" customHeight="1">
      <c r="A1719" s="81"/>
      <c r="B1719" s="81"/>
      <c r="C1719" s="82"/>
      <c r="D1719" s="82"/>
    </row>
    <row r="1720" spans="1:4" ht="15.75" customHeight="1">
      <c r="A1720" s="81"/>
      <c r="B1720" s="81"/>
      <c r="C1720" s="82"/>
      <c r="D1720" s="82"/>
    </row>
    <row r="1721" spans="1:4" ht="15.75" customHeight="1">
      <c r="A1721" s="81"/>
      <c r="B1721" s="81"/>
      <c r="C1721" s="82"/>
      <c r="D1721" s="82"/>
    </row>
    <row r="1722" spans="1:4" ht="15.75" customHeight="1">
      <c r="A1722" s="81"/>
      <c r="B1722" s="81"/>
      <c r="C1722" s="82"/>
      <c r="D1722" s="82"/>
    </row>
    <row r="1723" spans="1:4" ht="15.75" customHeight="1">
      <c r="A1723" s="81"/>
      <c r="B1723" s="81"/>
      <c r="C1723" s="82"/>
      <c r="D1723" s="82"/>
    </row>
    <row r="1724" spans="1:4" ht="15.75" customHeight="1">
      <c r="A1724" s="81"/>
      <c r="B1724" s="81"/>
      <c r="C1724" s="82"/>
      <c r="D1724" s="82"/>
    </row>
    <row r="1725" spans="1:4" ht="15.75" customHeight="1">
      <c r="A1725" s="81"/>
      <c r="B1725" s="81"/>
      <c r="C1725" s="82"/>
      <c r="D1725" s="82"/>
    </row>
    <row r="1726" spans="1:4" ht="15.75" customHeight="1">
      <c r="A1726" s="81"/>
      <c r="B1726" s="81"/>
      <c r="C1726" s="82"/>
      <c r="D1726" s="82"/>
    </row>
    <row r="1727" spans="1:4" ht="15.75" customHeight="1">
      <c r="A1727" s="81"/>
      <c r="B1727" s="81"/>
      <c r="C1727" s="82"/>
      <c r="D1727" s="82"/>
    </row>
    <row r="1728" spans="1:4" ht="15.75" customHeight="1">
      <c r="A1728" s="81"/>
      <c r="B1728" s="81"/>
      <c r="C1728" s="82"/>
      <c r="D1728" s="82"/>
    </row>
    <row r="1729" spans="1:4" ht="15.75" customHeight="1">
      <c r="A1729" s="81"/>
      <c r="B1729" s="81"/>
      <c r="C1729" s="82"/>
      <c r="D1729" s="82"/>
    </row>
    <row r="1730" spans="1:4" ht="15.75" customHeight="1">
      <c r="A1730" s="81"/>
      <c r="B1730" s="81"/>
      <c r="C1730" s="82"/>
      <c r="D1730" s="82"/>
    </row>
    <row r="1731" spans="1:4" ht="15.75" customHeight="1">
      <c r="A1731" s="81"/>
      <c r="B1731" s="81"/>
      <c r="C1731" s="82"/>
      <c r="D1731" s="82"/>
    </row>
    <row r="1732" spans="1:4" ht="15.75" customHeight="1">
      <c r="A1732" s="81"/>
      <c r="B1732" s="81"/>
      <c r="C1732" s="82"/>
      <c r="D1732" s="82"/>
    </row>
    <row r="1733" spans="1:4" ht="15.75" customHeight="1">
      <c r="A1733" s="81"/>
      <c r="B1733" s="81"/>
      <c r="C1733" s="82"/>
      <c r="D1733" s="82"/>
    </row>
    <row r="1734" spans="1:4" ht="15.75" customHeight="1">
      <c r="A1734" s="81"/>
      <c r="B1734" s="81"/>
      <c r="C1734" s="82"/>
      <c r="D1734" s="82"/>
    </row>
    <row r="1735" spans="1:4" ht="15.75" customHeight="1">
      <c r="A1735" s="81"/>
      <c r="B1735" s="81"/>
      <c r="C1735" s="82"/>
      <c r="D1735" s="82"/>
    </row>
    <row r="1736" spans="1:4" ht="15.75" customHeight="1">
      <c r="A1736" s="81"/>
      <c r="B1736" s="81"/>
      <c r="C1736" s="82"/>
      <c r="D1736" s="82"/>
    </row>
    <row r="1737" spans="1:4" ht="15.75" customHeight="1">
      <c r="A1737" s="81"/>
      <c r="B1737" s="81"/>
      <c r="C1737" s="82"/>
      <c r="D1737" s="82"/>
    </row>
    <row r="1738" spans="1:4" ht="15.75" customHeight="1">
      <c r="A1738" s="81"/>
      <c r="B1738" s="81"/>
      <c r="C1738" s="82"/>
      <c r="D1738" s="82"/>
    </row>
    <row r="1739" spans="1:4" ht="15.75" customHeight="1">
      <c r="A1739" s="81"/>
      <c r="B1739" s="81"/>
      <c r="C1739" s="82"/>
      <c r="D1739" s="82"/>
    </row>
    <row r="1740" spans="1:4" ht="15.75" customHeight="1">
      <c r="A1740" s="81"/>
      <c r="B1740" s="81"/>
      <c r="C1740" s="82"/>
      <c r="D1740" s="82"/>
    </row>
    <row r="1741" spans="1:4" ht="15.75" customHeight="1">
      <c r="A1741" s="81"/>
      <c r="B1741" s="81"/>
      <c r="C1741" s="82"/>
      <c r="D1741" s="82"/>
    </row>
    <row r="1742" spans="1:4" ht="15.75" customHeight="1">
      <c r="A1742" s="81"/>
      <c r="B1742" s="81"/>
      <c r="C1742" s="82"/>
      <c r="D1742" s="82"/>
    </row>
    <row r="1743" spans="1:4" ht="15.75" customHeight="1">
      <c r="A1743" s="81"/>
      <c r="B1743" s="81"/>
      <c r="C1743" s="82"/>
      <c r="D1743" s="82"/>
    </row>
    <row r="1744" spans="1:4" ht="15.75" customHeight="1">
      <c r="A1744" s="81"/>
      <c r="B1744" s="81"/>
      <c r="C1744" s="82"/>
      <c r="D1744" s="82"/>
    </row>
    <row r="1745" spans="1:4" ht="15.75" customHeight="1">
      <c r="A1745" s="81"/>
      <c r="B1745" s="81"/>
      <c r="C1745" s="82"/>
      <c r="D1745" s="82"/>
    </row>
    <row r="1746" spans="1:4" ht="15.75" customHeight="1">
      <c r="A1746" s="81"/>
      <c r="B1746" s="81"/>
      <c r="C1746" s="82"/>
      <c r="D1746" s="82"/>
    </row>
    <row r="1747" spans="1:4" ht="15.75" customHeight="1">
      <c r="A1747" s="81"/>
      <c r="B1747" s="81"/>
      <c r="C1747" s="82"/>
      <c r="D1747" s="82"/>
    </row>
    <row r="1748" spans="1:4" ht="15.75" customHeight="1">
      <c r="A1748" s="81"/>
      <c r="B1748" s="81"/>
      <c r="C1748" s="82"/>
      <c r="D1748" s="82"/>
    </row>
    <row r="1749" spans="1:4" ht="15.75" customHeight="1">
      <c r="A1749" s="81"/>
      <c r="B1749" s="81"/>
      <c r="C1749" s="82"/>
      <c r="D1749" s="82"/>
    </row>
    <row r="1750" spans="1:4" ht="15.75" customHeight="1">
      <c r="A1750" s="81"/>
      <c r="B1750" s="81"/>
      <c r="C1750" s="82"/>
      <c r="D1750" s="82"/>
    </row>
    <row r="1751" spans="1:4" ht="15.75" customHeight="1">
      <c r="A1751" s="81"/>
      <c r="B1751" s="81"/>
      <c r="C1751" s="82"/>
      <c r="D1751" s="82"/>
    </row>
    <row r="1752" spans="1:4" ht="15.75" customHeight="1">
      <c r="A1752" s="81"/>
      <c r="B1752" s="81"/>
      <c r="C1752" s="82"/>
      <c r="D1752" s="82"/>
    </row>
    <row r="1753" spans="1:4" ht="15.75" customHeight="1">
      <c r="A1753" s="81"/>
      <c r="B1753" s="81"/>
      <c r="C1753" s="82"/>
      <c r="D1753" s="82"/>
    </row>
    <row r="1754" spans="1:4" ht="15.75" customHeight="1">
      <c r="A1754" s="81"/>
      <c r="B1754" s="81"/>
      <c r="C1754" s="82"/>
      <c r="D1754" s="82"/>
    </row>
    <row r="1755" spans="1:4" ht="15.75" customHeight="1">
      <c r="A1755" s="81"/>
      <c r="B1755" s="81"/>
      <c r="C1755" s="82"/>
      <c r="D1755" s="82"/>
    </row>
    <row r="1756" spans="1:4" ht="15.75" customHeight="1">
      <c r="A1756" s="81"/>
      <c r="B1756" s="81"/>
      <c r="C1756" s="82"/>
      <c r="D1756" s="82"/>
    </row>
    <row r="1757" spans="1:4" ht="15.75" customHeight="1">
      <c r="A1757" s="81"/>
      <c r="B1757" s="81"/>
      <c r="C1757" s="82"/>
      <c r="D1757" s="82"/>
    </row>
    <row r="1758" spans="1:4" ht="15.75" customHeight="1">
      <c r="A1758" s="81"/>
      <c r="B1758" s="81"/>
      <c r="C1758" s="82"/>
      <c r="D1758" s="82"/>
    </row>
    <row r="1759" spans="1:4" ht="15.75" customHeight="1">
      <c r="A1759" s="81"/>
      <c r="B1759" s="81"/>
      <c r="C1759" s="82"/>
      <c r="D1759" s="82"/>
    </row>
    <row r="1760" spans="1:4" ht="15.75" customHeight="1">
      <c r="A1760" s="81"/>
      <c r="B1760" s="81"/>
      <c r="C1760" s="82"/>
      <c r="D1760" s="82"/>
    </row>
    <row r="1761" spans="1:4" ht="15.75" customHeight="1">
      <c r="A1761" s="81"/>
      <c r="B1761" s="81"/>
      <c r="C1761" s="82"/>
      <c r="D1761" s="82"/>
    </row>
    <row r="1762" spans="1:4" ht="15.75" customHeight="1">
      <c r="A1762" s="81"/>
      <c r="B1762" s="81"/>
      <c r="C1762" s="82"/>
      <c r="D1762" s="82"/>
    </row>
    <row r="1763" spans="1:4" ht="15.75" customHeight="1">
      <c r="A1763" s="81"/>
      <c r="B1763" s="81"/>
      <c r="C1763" s="82"/>
      <c r="D1763" s="82"/>
    </row>
    <row r="1764" spans="1:4" ht="15.75" customHeight="1">
      <c r="A1764" s="81"/>
      <c r="B1764" s="81"/>
      <c r="C1764" s="82"/>
      <c r="D1764" s="82"/>
    </row>
    <row r="1765" spans="1:4" ht="15.75" customHeight="1">
      <c r="A1765" s="81"/>
      <c r="B1765" s="81"/>
      <c r="C1765" s="82"/>
      <c r="D1765" s="82"/>
    </row>
    <row r="1766" spans="1:4" ht="15.75" customHeight="1">
      <c r="A1766" s="81"/>
      <c r="B1766" s="81"/>
      <c r="C1766" s="82"/>
      <c r="D1766" s="82"/>
    </row>
    <row r="1767" spans="1:4" ht="15.75" customHeight="1">
      <c r="A1767" s="81"/>
      <c r="B1767" s="81"/>
      <c r="C1767" s="82"/>
      <c r="D1767" s="82"/>
    </row>
    <row r="1768" spans="1:4" ht="15.75" customHeight="1">
      <c r="A1768" s="81"/>
      <c r="B1768" s="81"/>
      <c r="C1768" s="82"/>
      <c r="D1768" s="82"/>
    </row>
    <row r="1769" spans="1:4" ht="15.75" customHeight="1">
      <c r="A1769" s="81"/>
      <c r="B1769" s="81"/>
      <c r="C1769" s="82"/>
      <c r="D1769" s="82"/>
    </row>
    <row r="1770" spans="1:4" ht="15.75" customHeight="1">
      <c r="A1770" s="81"/>
      <c r="B1770" s="81"/>
      <c r="C1770" s="82"/>
      <c r="D1770" s="82"/>
    </row>
    <row r="1771" spans="1:4" ht="15.75" customHeight="1">
      <c r="A1771" s="81"/>
      <c r="B1771" s="81"/>
      <c r="C1771" s="82"/>
      <c r="D1771" s="82"/>
    </row>
    <row r="1772" spans="1:4" ht="15.75" customHeight="1">
      <c r="A1772" s="81"/>
      <c r="B1772" s="81"/>
      <c r="C1772" s="82"/>
      <c r="D1772" s="82"/>
    </row>
    <row r="1773" spans="1:4" ht="15.75" customHeight="1">
      <c r="A1773" s="81"/>
      <c r="B1773" s="81"/>
      <c r="C1773" s="82"/>
      <c r="D1773" s="82"/>
    </row>
    <row r="1774" spans="1:4" ht="15.75" customHeight="1">
      <c r="A1774" s="81"/>
      <c r="B1774" s="81"/>
      <c r="C1774" s="82"/>
      <c r="D1774" s="82"/>
    </row>
    <row r="1775" spans="1:4" ht="15.75" customHeight="1">
      <c r="A1775" s="81"/>
      <c r="B1775" s="81"/>
      <c r="C1775" s="82"/>
      <c r="D1775" s="82"/>
    </row>
    <row r="1776" spans="1:4" ht="15.75" customHeight="1">
      <c r="A1776" s="81"/>
      <c r="B1776" s="81"/>
      <c r="C1776" s="82"/>
      <c r="D1776" s="82"/>
    </row>
    <row r="1777" spans="1:4" ht="15.75" customHeight="1">
      <c r="A1777" s="81"/>
      <c r="B1777" s="81"/>
      <c r="C1777" s="82"/>
      <c r="D1777" s="82"/>
    </row>
    <row r="1778" spans="1:4" ht="15.75" customHeight="1">
      <c r="A1778" s="81"/>
      <c r="B1778" s="81"/>
      <c r="C1778" s="82"/>
      <c r="D1778" s="82"/>
    </row>
    <row r="1779" spans="1:4" ht="15.75" customHeight="1">
      <c r="A1779" s="81"/>
      <c r="B1779" s="81"/>
      <c r="C1779" s="82"/>
      <c r="D1779" s="82"/>
    </row>
    <row r="1780" spans="1:4" ht="15.75" customHeight="1">
      <c r="A1780" s="81"/>
      <c r="B1780" s="81"/>
      <c r="C1780" s="82"/>
      <c r="D1780" s="82"/>
    </row>
    <row r="1781" spans="1:4" ht="15.75" customHeight="1">
      <c r="A1781" s="81"/>
      <c r="B1781" s="81"/>
      <c r="C1781" s="82"/>
      <c r="D1781" s="82"/>
    </row>
    <row r="1782" spans="1:4" ht="15.75" customHeight="1">
      <c r="A1782" s="81"/>
      <c r="B1782" s="81"/>
      <c r="C1782" s="82"/>
      <c r="D1782" s="82"/>
    </row>
    <row r="1783" spans="1:4" ht="15.75" customHeight="1">
      <c r="A1783" s="81"/>
      <c r="B1783" s="81"/>
      <c r="C1783" s="82"/>
      <c r="D1783" s="82"/>
    </row>
    <row r="1784" spans="1:4" ht="15.75" customHeight="1">
      <c r="A1784" s="81"/>
      <c r="B1784" s="81"/>
      <c r="C1784" s="82"/>
      <c r="D1784" s="82"/>
    </row>
    <row r="1785" spans="1:4" ht="15.75" customHeight="1">
      <c r="A1785" s="81"/>
      <c r="B1785" s="81"/>
      <c r="C1785" s="82"/>
      <c r="D1785" s="82"/>
    </row>
    <row r="1786" spans="1:4" ht="15.75" customHeight="1">
      <c r="A1786" s="81"/>
      <c r="B1786" s="81"/>
      <c r="C1786" s="82"/>
      <c r="D1786" s="82"/>
    </row>
    <row r="1787" spans="1:4" ht="15.75" customHeight="1">
      <c r="A1787" s="81"/>
      <c r="B1787" s="81"/>
      <c r="C1787" s="82"/>
      <c r="D1787" s="82"/>
    </row>
    <row r="1788" spans="1:4" ht="15.75" customHeight="1">
      <c r="A1788" s="81"/>
      <c r="B1788" s="81"/>
      <c r="C1788" s="82"/>
      <c r="D1788" s="82"/>
    </row>
    <row r="1789" spans="1:4" ht="15.75" customHeight="1">
      <c r="A1789" s="81"/>
      <c r="B1789" s="81"/>
      <c r="C1789" s="82"/>
      <c r="D1789" s="82"/>
    </row>
    <row r="1790" spans="1:4" ht="15.75" customHeight="1">
      <c r="A1790" s="81"/>
      <c r="B1790" s="81"/>
      <c r="C1790" s="82"/>
      <c r="D1790" s="82"/>
    </row>
    <row r="1791" spans="1:4" ht="15.75" customHeight="1">
      <c r="A1791" s="81"/>
      <c r="B1791" s="81"/>
      <c r="C1791" s="82"/>
      <c r="D1791" s="82"/>
    </row>
    <row r="1792" spans="1:4" ht="15.75" customHeight="1">
      <c r="A1792" s="81"/>
      <c r="B1792" s="81"/>
      <c r="C1792" s="82"/>
      <c r="D1792" s="82"/>
    </row>
    <row r="1793" spans="1:4" ht="15.75" customHeight="1">
      <c r="A1793" s="81"/>
      <c r="B1793" s="81"/>
      <c r="C1793" s="82"/>
      <c r="D1793" s="82"/>
    </row>
    <row r="1794" spans="1:4" ht="15.75" customHeight="1">
      <c r="A1794" s="81"/>
      <c r="B1794" s="81"/>
      <c r="C1794" s="82"/>
      <c r="D1794" s="82"/>
    </row>
    <row r="1795" spans="1:4" ht="15.75" customHeight="1">
      <c r="A1795" s="81"/>
      <c r="B1795" s="81"/>
      <c r="C1795" s="82"/>
      <c r="D1795" s="82"/>
    </row>
    <row r="1796" spans="1:4" ht="15.75" customHeight="1">
      <c r="A1796" s="81"/>
      <c r="B1796" s="81"/>
      <c r="C1796" s="82"/>
      <c r="D1796" s="82"/>
    </row>
    <row r="1797" spans="1:4" ht="15.75" customHeight="1">
      <c r="A1797" s="81"/>
      <c r="B1797" s="81"/>
      <c r="C1797" s="82"/>
      <c r="D1797" s="82"/>
    </row>
    <row r="1798" spans="1:4" ht="15.75" customHeight="1">
      <c r="A1798" s="81"/>
      <c r="B1798" s="81"/>
      <c r="C1798" s="82"/>
      <c r="D1798" s="82"/>
    </row>
    <row r="1799" spans="1:4" ht="15.75" customHeight="1">
      <c r="A1799" s="81"/>
      <c r="B1799" s="81"/>
      <c r="C1799" s="82"/>
      <c r="D1799" s="82"/>
    </row>
    <row r="1800" spans="1:4" ht="15.75" customHeight="1">
      <c r="A1800" s="81"/>
      <c r="B1800" s="81"/>
      <c r="C1800" s="82"/>
      <c r="D1800" s="82"/>
    </row>
    <row r="1801" spans="1:4" ht="15.75" customHeight="1">
      <c r="A1801" s="81"/>
      <c r="B1801" s="81"/>
      <c r="C1801" s="82"/>
      <c r="D1801" s="82"/>
    </row>
    <row r="1802" spans="1:4" ht="15.75" customHeight="1">
      <c r="A1802" s="81"/>
      <c r="B1802" s="81"/>
      <c r="C1802" s="82"/>
      <c r="D1802" s="82"/>
    </row>
    <row r="1803" spans="1:4" ht="15.75" customHeight="1">
      <c r="A1803" s="81"/>
      <c r="B1803" s="81"/>
      <c r="C1803" s="82"/>
      <c r="D1803" s="82"/>
    </row>
    <row r="1804" spans="1:4" ht="15.75" customHeight="1">
      <c r="A1804" s="81"/>
      <c r="B1804" s="81"/>
      <c r="C1804" s="82"/>
      <c r="D1804" s="82"/>
    </row>
    <row r="1805" spans="1:4" ht="15.75" customHeight="1">
      <c r="A1805" s="81"/>
      <c r="B1805" s="81"/>
      <c r="C1805" s="82"/>
      <c r="D1805" s="82"/>
    </row>
    <row r="1806" spans="1:4" ht="15.75" customHeight="1">
      <c r="A1806" s="81"/>
      <c r="B1806" s="81"/>
      <c r="C1806" s="82"/>
      <c r="D1806" s="82"/>
    </row>
    <row r="1807" spans="1:4" ht="15.75" customHeight="1">
      <c r="A1807" s="81"/>
      <c r="B1807" s="81"/>
      <c r="C1807" s="82"/>
      <c r="D1807" s="82"/>
    </row>
    <row r="1808" spans="1:4" ht="15.75" customHeight="1">
      <c r="A1808" s="81"/>
      <c r="B1808" s="81"/>
      <c r="C1808" s="82"/>
      <c r="D1808" s="82"/>
    </row>
    <row r="1809" spans="1:4" ht="15.75" customHeight="1">
      <c r="A1809" s="81"/>
      <c r="B1809" s="81"/>
      <c r="C1809" s="82"/>
      <c r="D1809" s="82"/>
    </row>
    <row r="1810" spans="1:4" ht="15.75" customHeight="1">
      <c r="A1810" s="81"/>
      <c r="B1810" s="81"/>
      <c r="C1810" s="82"/>
      <c r="D1810" s="82"/>
    </row>
    <row r="1811" spans="1:4" ht="15.75" customHeight="1">
      <c r="A1811" s="81"/>
      <c r="B1811" s="81"/>
      <c r="C1811" s="82"/>
      <c r="D1811" s="82"/>
    </row>
    <row r="1812" spans="1:4" ht="15.75" customHeight="1">
      <c r="A1812" s="81"/>
      <c r="B1812" s="81"/>
      <c r="C1812" s="82"/>
      <c r="D1812" s="82"/>
    </row>
    <row r="1813" spans="1:4" ht="15.75" customHeight="1">
      <c r="A1813" s="81"/>
      <c r="B1813" s="81"/>
      <c r="C1813" s="82"/>
      <c r="D1813" s="82"/>
    </row>
    <row r="1814" spans="1:4" ht="15.75" customHeight="1">
      <c r="A1814" s="81"/>
      <c r="B1814" s="81"/>
      <c r="C1814" s="82"/>
      <c r="D1814" s="82"/>
    </row>
    <row r="1815" spans="1:4" ht="15.75" customHeight="1">
      <c r="A1815" s="81"/>
      <c r="B1815" s="81"/>
      <c r="C1815" s="82"/>
      <c r="D1815" s="82"/>
    </row>
    <row r="1816" spans="1:4" ht="15.75" customHeight="1">
      <c r="A1816" s="81"/>
      <c r="B1816" s="81"/>
      <c r="C1816" s="82"/>
      <c r="D1816" s="82"/>
    </row>
    <row r="1817" spans="1:4" ht="15.75" customHeight="1">
      <c r="A1817" s="81"/>
      <c r="B1817" s="81"/>
      <c r="C1817" s="82"/>
      <c r="D1817" s="82"/>
    </row>
    <row r="1818" spans="1:4" ht="15.75" customHeight="1">
      <c r="A1818" s="81"/>
      <c r="B1818" s="81"/>
      <c r="C1818" s="82"/>
      <c r="D1818" s="82"/>
    </row>
    <row r="1819" spans="1:4" ht="15.75" customHeight="1">
      <c r="A1819" s="81"/>
      <c r="B1819" s="81"/>
      <c r="C1819" s="82"/>
      <c r="D1819" s="82"/>
    </row>
    <row r="1820" spans="1:4" ht="15.75" customHeight="1">
      <c r="A1820" s="81"/>
      <c r="B1820" s="81"/>
      <c r="C1820" s="82"/>
      <c r="D1820" s="82"/>
    </row>
    <row r="1821" spans="1:4" ht="15.75" customHeight="1">
      <c r="A1821" s="81"/>
      <c r="B1821" s="81"/>
      <c r="C1821" s="82"/>
      <c r="D1821" s="82"/>
    </row>
    <row r="1822" spans="1:4" ht="15.75" customHeight="1">
      <c r="A1822" s="81"/>
      <c r="B1822" s="81"/>
      <c r="C1822" s="82"/>
      <c r="D1822" s="82"/>
    </row>
    <row r="1823" spans="1:4" ht="15.75" customHeight="1">
      <c r="A1823" s="81"/>
      <c r="B1823" s="81"/>
      <c r="C1823" s="82"/>
      <c r="D1823" s="82"/>
    </row>
    <row r="1824" spans="1:4" ht="15.75" customHeight="1">
      <c r="A1824" s="81"/>
      <c r="B1824" s="81"/>
      <c r="C1824" s="82"/>
      <c r="D1824" s="82"/>
    </row>
    <row r="1825" spans="1:4" ht="15.75" customHeight="1">
      <c r="A1825" s="81"/>
      <c r="B1825" s="81"/>
      <c r="C1825" s="82"/>
      <c r="D1825" s="82"/>
    </row>
    <row r="1826" spans="1:4" ht="15.75" customHeight="1">
      <c r="A1826" s="81"/>
      <c r="B1826" s="81"/>
      <c r="C1826" s="82"/>
      <c r="D1826" s="82"/>
    </row>
    <row r="1827" spans="1:4" ht="15.75" customHeight="1">
      <c r="A1827" s="81"/>
      <c r="B1827" s="81"/>
      <c r="C1827" s="82"/>
      <c r="D1827" s="82"/>
    </row>
    <row r="1828" spans="1:4" ht="15.75" customHeight="1">
      <c r="A1828" s="81"/>
      <c r="B1828" s="81"/>
      <c r="C1828" s="82"/>
      <c r="D1828" s="82"/>
    </row>
    <row r="1829" spans="1:4" ht="15.75" customHeight="1">
      <c r="A1829" s="81"/>
      <c r="B1829" s="81"/>
      <c r="C1829" s="82"/>
      <c r="D1829" s="82"/>
    </row>
    <row r="1830" spans="1:4" ht="15.75" customHeight="1">
      <c r="A1830" s="81"/>
      <c r="B1830" s="81"/>
      <c r="C1830" s="82"/>
      <c r="D1830" s="82"/>
    </row>
    <row r="1831" spans="1:4" ht="15.75" customHeight="1">
      <c r="A1831" s="81"/>
      <c r="B1831" s="81"/>
      <c r="C1831" s="82"/>
      <c r="D1831" s="82"/>
    </row>
    <row r="1832" spans="1:4" ht="15.75" customHeight="1">
      <c r="A1832" s="81"/>
      <c r="B1832" s="81"/>
      <c r="C1832" s="82"/>
      <c r="D1832" s="82"/>
    </row>
    <row r="1833" spans="1:4" ht="15.75" customHeight="1">
      <c r="A1833" s="81"/>
      <c r="B1833" s="81"/>
      <c r="C1833" s="82"/>
      <c r="D1833" s="82"/>
    </row>
    <row r="1834" spans="1:4" ht="15.75" customHeight="1">
      <c r="A1834" s="81"/>
      <c r="B1834" s="81"/>
      <c r="C1834" s="82"/>
      <c r="D1834" s="82"/>
    </row>
    <row r="1835" spans="1:4" ht="15.75" customHeight="1">
      <c r="A1835" s="81"/>
      <c r="B1835" s="81"/>
      <c r="C1835" s="82"/>
      <c r="D1835" s="82"/>
    </row>
    <row r="1836" spans="1:4" ht="15.75" customHeight="1">
      <c r="A1836" s="81"/>
      <c r="B1836" s="81"/>
      <c r="C1836" s="82"/>
      <c r="D1836" s="82"/>
    </row>
    <row r="1837" spans="1:4" ht="15.75" customHeight="1">
      <c r="A1837" s="81"/>
      <c r="B1837" s="81"/>
      <c r="C1837" s="82"/>
      <c r="D1837" s="82"/>
    </row>
    <row r="1838" spans="1:4" ht="15.75" customHeight="1">
      <c r="A1838" s="81"/>
      <c r="B1838" s="81"/>
      <c r="C1838" s="82"/>
      <c r="D1838" s="82"/>
    </row>
    <row r="1839" spans="1:4" ht="15.75" customHeight="1">
      <c r="A1839" s="81"/>
      <c r="B1839" s="81"/>
      <c r="C1839" s="82"/>
      <c r="D1839" s="82"/>
    </row>
    <row r="1840" spans="1:4" ht="15.75" customHeight="1">
      <c r="A1840" s="81"/>
      <c r="B1840" s="81"/>
      <c r="C1840" s="82"/>
      <c r="D1840" s="82"/>
    </row>
    <row r="1841" spans="1:4" ht="15.75" customHeight="1">
      <c r="A1841" s="81"/>
      <c r="B1841" s="81"/>
      <c r="C1841" s="82"/>
      <c r="D1841" s="82"/>
    </row>
    <row r="1842" spans="1:4" ht="15.75" customHeight="1">
      <c r="A1842" s="81"/>
      <c r="B1842" s="81"/>
      <c r="C1842" s="82"/>
      <c r="D1842" s="82"/>
    </row>
    <row r="1843" spans="1:4" ht="15.75" customHeight="1">
      <c r="A1843" s="81"/>
      <c r="B1843" s="81"/>
      <c r="C1843" s="82"/>
      <c r="D1843" s="82"/>
    </row>
    <row r="1844" spans="1:4" ht="15.75" customHeight="1">
      <c r="A1844" s="81"/>
      <c r="B1844" s="81"/>
      <c r="C1844" s="82"/>
      <c r="D1844" s="82"/>
    </row>
    <row r="1845" spans="1:4" ht="15.75" customHeight="1">
      <c r="A1845" s="81"/>
      <c r="B1845" s="81"/>
      <c r="C1845" s="82"/>
      <c r="D1845" s="82"/>
    </row>
    <row r="1846" spans="1:4" ht="15.75" customHeight="1">
      <c r="A1846" s="81"/>
      <c r="B1846" s="81"/>
      <c r="C1846" s="82"/>
      <c r="D1846" s="82"/>
    </row>
    <row r="1847" spans="1:4" ht="15.75" customHeight="1">
      <c r="A1847" s="81"/>
      <c r="B1847" s="81"/>
      <c r="C1847" s="82"/>
      <c r="D1847" s="82"/>
    </row>
    <row r="1848" spans="1:4" ht="15.75" customHeight="1">
      <c r="A1848" s="81"/>
      <c r="B1848" s="81"/>
      <c r="C1848" s="82"/>
      <c r="D1848" s="82"/>
    </row>
    <row r="1849" spans="1:4" ht="15.75" customHeight="1">
      <c r="A1849" s="81"/>
      <c r="B1849" s="81"/>
      <c r="C1849" s="82"/>
      <c r="D1849" s="82"/>
    </row>
    <row r="1850" spans="1:4" ht="15.75" customHeight="1">
      <c r="A1850" s="81"/>
      <c r="B1850" s="81"/>
      <c r="C1850" s="82"/>
      <c r="D1850" s="82"/>
    </row>
    <row r="1851" spans="1:4" ht="15.75" customHeight="1">
      <c r="A1851" s="81"/>
      <c r="B1851" s="81"/>
      <c r="C1851" s="82"/>
      <c r="D1851" s="82"/>
    </row>
    <row r="1852" spans="1:4" ht="15.75" customHeight="1">
      <c r="A1852" s="81"/>
      <c r="B1852" s="81"/>
      <c r="C1852" s="82"/>
      <c r="D1852" s="82"/>
    </row>
    <row r="1853" spans="1:4" ht="15.75" customHeight="1">
      <c r="A1853" s="81"/>
      <c r="B1853" s="81"/>
      <c r="C1853" s="82"/>
      <c r="D1853" s="82"/>
    </row>
    <row r="1854" spans="1:4" ht="15.75" customHeight="1">
      <c r="A1854" s="81"/>
      <c r="B1854" s="81"/>
      <c r="C1854" s="82"/>
      <c r="D1854" s="82"/>
    </row>
    <row r="1855" spans="1:4" ht="15.75" customHeight="1">
      <c r="A1855" s="81"/>
      <c r="B1855" s="81"/>
      <c r="C1855" s="82"/>
      <c r="D1855" s="82"/>
    </row>
    <row r="1856" spans="1:4" ht="15.75" customHeight="1">
      <c r="A1856" s="81"/>
      <c r="B1856" s="81"/>
      <c r="C1856" s="82"/>
      <c r="D1856" s="82"/>
    </row>
    <row r="1857" spans="1:4" ht="15.75" customHeight="1">
      <c r="A1857" s="81"/>
      <c r="B1857" s="81"/>
      <c r="C1857" s="82"/>
      <c r="D1857" s="82"/>
    </row>
    <row r="1858" spans="1:4" ht="15.75" customHeight="1">
      <c r="A1858" s="81"/>
      <c r="B1858" s="81"/>
      <c r="C1858" s="82"/>
      <c r="D1858" s="82"/>
    </row>
    <row r="1859" spans="1:4" ht="15.75" customHeight="1">
      <c r="A1859" s="81"/>
      <c r="B1859" s="81"/>
      <c r="C1859" s="82"/>
      <c r="D1859" s="82"/>
    </row>
    <row r="1860" spans="1:4" ht="15.75" customHeight="1">
      <c r="A1860" s="81"/>
      <c r="B1860" s="81"/>
      <c r="C1860" s="82"/>
      <c r="D1860" s="82"/>
    </row>
    <row r="1861" spans="1:4" ht="15.75" customHeight="1">
      <c r="A1861" s="81"/>
      <c r="B1861" s="81"/>
      <c r="C1861" s="82"/>
      <c r="D1861" s="82"/>
    </row>
    <row r="1862" spans="1:4" ht="15.75" customHeight="1">
      <c r="A1862" s="81"/>
      <c r="B1862" s="81"/>
      <c r="C1862" s="82"/>
      <c r="D1862" s="82"/>
    </row>
    <row r="1863" spans="1:4" ht="15.75" customHeight="1">
      <c r="A1863" s="81"/>
      <c r="B1863" s="81"/>
      <c r="C1863" s="82"/>
      <c r="D1863" s="82"/>
    </row>
    <row r="1864" spans="1:4" ht="15.75" customHeight="1">
      <c r="A1864" s="81"/>
      <c r="B1864" s="81"/>
      <c r="C1864" s="82"/>
      <c r="D1864" s="82"/>
    </row>
    <row r="1865" spans="1:4" ht="15.75" customHeight="1">
      <c r="A1865" s="81"/>
      <c r="B1865" s="81"/>
      <c r="C1865" s="82"/>
      <c r="D1865" s="82"/>
    </row>
    <row r="1866" spans="1:4" ht="15.75" customHeight="1">
      <c r="A1866" s="81"/>
      <c r="B1866" s="81"/>
      <c r="C1866" s="82"/>
      <c r="D1866" s="82"/>
    </row>
    <row r="1867" spans="1:4" ht="15.75" customHeight="1">
      <c r="A1867" s="81"/>
      <c r="B1867" s="81"/>
      <c r="C1867" s="82"/>
      <c r="D1867" s="82"/>
    </row>
    <row r="1868" spans="1:4" ht="15.75" customHeight="1">
      <c r="A1868" s="81"/>
      <c r="B1868" s="81"/>
      <c r="C1868" s="82"/>
      <c r="D1868" s="82"/>
    </row>
    <row r="1869" spans="1:4" ht="15.75" customHeight="1">
      <c r="A1869" s="81"/>
      <c r="B1869" s="81"/>
      <c r="C1869" s="82"/>
      <c r="D1869" s="82"/>
    </row>
    <row r="1870" spans="1:4" ht="15.75" customHeight="1">
      <c r="A1870" s="81"/>
      <c r="B1870" s="81"/>
      <c r="C1870" s="82"/>
      <c r="D1870" s="82"/>
    </row>
    <row r="1871" spans="1:4" ht="15.75" customHeight="1">
      <c r="A1871" s="81"/>
      <c r="B1871" s="81"/>
      <c r="C1871" s="82"/>
      <c r="D1871" s="82"/>
    </row>
    <row r="1872" spans="1:4" ht="15.75" customHeight="1">
      <c r="A1872" s="81"/>
      <c r="B1872" s="81"/>
      <c r="C1872" s="82"/>
      <c r="D1872" s="82"/>
    </row>
    <row r="1873" spans="1:4" ht="15.75" customHeight="1">
      <c r="A1873" s="81"/>
      <c r="B1873" s="81"/>
      <c r="C1873" s="82"/>
      <c r="D1873" s="82"/>
    </row>
    <row r="1874" spans="1:4" ht="15.75" customHeight="1">
      <c r="A1874" s="81"/>
      <c r="B1874" s="81"/>
      <c r="C1874" s="82"/>
      <c r="D1874" s="82"/>
    </row>
    <row r="1875" spans="1:4" ht="15.75" customHeight="1">
      <c r="A1875" s="81"/>
      <c r="B1875" s="81"/>
      <c r="C1875" s="82"/>
      <c r="D1875" s="82"/>
    </row>
    <row r="1876" spans="1:4" ht="15.75" customHeight="1">
      <c r="A1876" s="81"/>
      <c r="B1876" s="81"/>
      <c r="C1876" s="82"/>
      <c r="D1876" s="82"/>
    </row>
    <row r="1877" spans="1:4" ht="15.75" customHeight="1">
      <c r="A1877" s="81"/>
      <c r="B1877" s="81"/>
      <c r="C1877" s="82"/>
      <c r="D1877" s="82"/>
    </row>
    <row r="1878" spans="1:4" ht="15.75" customHeight="1">
      <c r="A1878" s="81"/>
      <c r="B1878" s="81"/>
      <c r="C1878" s="82"/>
      <c r="D1878" s="82"/>
    </row>
    <row r="1879" spans="1:4" ht="15.75" customHeight="1">
      <c r="A1879" s="81"/>
      <c r="B1879" s="81"/>
      <c r="C1879" s="82"/>
      <c r="D1879" s="82"/>
    </row>
    <row r="1880" spans="1:4" ht="15.75" customHeight="1">
      <c r="A1880" s="81"/>
      <c r="B1880" s="81"/>
      <c r="C1880" s="82"/>
      <c r="D1880" s="82"/>
    </row>
    <row r="1881" spans="1:4" ht="15.75" customHeight="1">
      <c r="A1881" s="81"/>
      <c r="B1881" s="81"/>
      <c r="C1881" s="82"/>
      <c r="D1881" s="82"/>
    </row>
    <row r="1882" spans="1:4" ht="15.75" customHeight="1">
      <c r="A1882" s="81"/>
      <c r="B1882" s="81"/>
      <c r="C1882" s="82"/>
      <c r="D1882" s="82"/>
    </row>
    <row r="1883" spans="1:4" ht="15.75" customHeight="1">
      <c r="A1883" s="81"/>
      <c r="B1883" s="81"/>
      <c r="C1883" s="82"/>
      <c r="D1883" s="82"/>
    </row>
    <row r="1884" spans="1:4" ht="15.75" customHeight="1">
      <c r="A1884" s="81"/>
      <c r="B1884" s="81"/>
      <c r="C1884" s="82"/>
      <c r="D1884" s="82"/>
    </row>
    <row r="1885" spans="1:4" ht="15.75" customHeight="1">
      <c r="A1885" s="81"/>
      <c r="B1885" s="81"/>
      <c r="C1885" s="82"/>
      <c r="D1885" s="82"/>
    </row>
    <row r="1886" spans="1:4" ht="15.75" customHeight="1">
      <c r="A1886" s="81"/>
      <c r="B1886" s="81"/>
      <c r="C1886" s="82"/>
      <c r="D1886" s="82"/>
    </row>
    <row r="1887" spans="1:4" ht="15.75" customHeight="1">
      <c r="A1887" s="81"/>
      <c r="B1887" s="81"/>
      <c r="C1887" s="82"/>
      <c r="D1887" s="82"/>
    </row>
    <row r="1888" spans="1:4" ht="15.75" customHeight="1">
      <c r="A1888" s="81"/>
      <c r="B1888" s="81"/>
      <c r="C1888" s="82"/>
      <c r="D1888" s="82"/>
    </row>
    <row r="1889" spans="1:4" ht="15.75" customHeight="1">
      <c r="A1889" s="81"/>
      <c r="B1889" s="81"/>
      <c r="C1889" s="82"/>
      <c r="D1889" s="82"/>
    </row>
    <row r="1890" spans="1:4" ht="15.75" customHeight="1">
      <c r="A1890" s="81"/>
      <c r="B1890" s="81"/>
      <c r="C1890" s="82"/>
      <c r="D1890" s="82"/>
    </row>
    <row r="1891" spans="1:4" ht="15.75" customHeight="1">
      <c r="A1891" s="81"/>
      <c r="B1891" s="81"/>
      <c r="C1891" s="82"/>
      <c r="D1891" s="82"/>
    </row>
    <row r="1892" spans="1:4" ht="15.75" customHeight="1">
      <c r="A1892" s="81"/>
      <c r="B1892" s="81"/>
      <c r="C1892" s="82"/>
      <c r="D1892" s="82"/>
    </row>
    <row r="1893" spans="1:4" ht="15.75" customHeight="1">
      <c r="A1893" s="81"/>
      <c r="B1893" s="81"/>
      <c r="C1893" s="82"/>
      <c r="D1893" s="82"/>
    </row>
    <row r="1894" spans="1:4" ht="15.75" customHeight="1">
      <c r="A1894" s="81"/>
      <c r="B1894" s="81"/>
      <c r="C1894" s="82"/>
      <c r="D1894" s="82"/>
    </row>
    <row r="1895" spans="1:4" ht="15.75" customHeight="1">
      <c r="A1895" s="81"/>
      <c r="B1895" s="81"/>
      <c r="C1895" s="82"/>
      <c r="D1895" s="82"/>
    </row>
    <row r="1896" spans="1:4" ht="15.75" customHeight="1">
      <c r="A1896" s="81"/>
      <c r="B1896" s="81"/>
      <c r="C1896" s="82"/>
      <c r="D1896" s="82"/>
    </row>
    <row r="1897" spans="1:4" ht="15.75" customHeight="1">
      <c r="A1897" s="81"/>
      <c r="B1897" s="81"/>
      <c r="C1897" s="82"/>
      <c r="D1897" s="82"/>
    </row>
    <row r="1898" spans="1:4" ht="15.75" customHeight="1">
      <c r="A1898" s="81"/>
      <c r="B1898" s="81"/>
      <c r="C1898" s="82"/>
      <c r="D1898" s="82"/>
    </row>
    <row r="1899" spans="1:4" ht="15.75" customHeight="1">
      <c r="A1899" s="81"/>
      <c r="B1899" s="81"/>
      <c r="C1899" s="82"/>
      <c r="D1899" s="82"/>
    </row>
    <row r="1900" spans="1:4" ht="15.75" customHeight="1">
      <c r="A1900" s="81"/>
      <c r="B1900" s="81"/>
      <c r="C1900" s="82"/>
      <c r="D1900" s="82"/>
    </row>
    <row r="1901" spans="1:4" ht="15.75" customHeight="1">
      <c r="A1901" s="81"/>
      <c r="B1901" s="81"/>
      <c r="C1901" s="82"/>
      <c r="D1901" s="82"/>
    </row>
    <row r="1902" spans="1:4" ht="15.75" customHeight="1">
      <c r="A1902" s="81"/>
      <c r="B1902" s="81"/>
      <c r="C1902" s="82"/>
      <c r="D1902" s="82"/>
    </row>
    <row r="1903" spans="1:4" ht="15.75" customHeight="1">
      <c r="A1903" s="81"/>
      <c r="B1903" s="81"/>
      <c r="C1903" s="82"/>
      <c r="D1903" s="82"/>
    </row>
    <row r="1904" spans="1:4" ht="15.75" customHeight="1">
      <c r="A1904" s="81"/>
      <c r="B1904" s="81"/>
      <c r="C1904" s="82"/>
      <c r="D1904" s="82"/>
    </row>
    <row r="1905" spans="1:4" ht="15.75" customHeight="1">
      <c r="A1905" s="81"/>
      <c r="B1905" s="81"/>
      <c r="C1905" s="82"/>
      <c r="D1905" s="82"/>
    </row>
    <row r="1906" spans="1:4" ht="15.75" customHeight="1">
      <c r="A1906" s="81"/>
      <c r="B1906" s="81"/>
      <c r="C1906" s="82"/>
      <c r="D1906" s="82"/>
    </row>
    <row r="1907" spans="1:4" ht="15.75" customHeight="1">
      <c r="A1907" s="81"/>
      <c r="B1907" s="81"/>
      <c r="C1907" s="82"/>
      <c r="D1907" s="82"/>
    </row>
    <row r="1908" spans="1:4" ht="15.75" customHeight="1">
      <c r="A1908" s="81"/>
      <c r="B1908" s="81"/>
      <c r="C1908" s="82"/>
      <c r="D1908" s="82"/>
    </row>
    <row r="1909" spans="1:4" ht="15.75" customHeight="1">
      <c r="A1909" s="81"/>
      <c r="B1909" s="81"/>
      <c r="C1909" s="82"/>
      <c r="D1909" s="82"/>
    </row>
    <row r="1910" spans="1:4" ht="15.75" customHeight="1">
      <c r="A1910" s="81"/>
      <c r="B1910" s="81"/>
      <c r="C1910" s="82"/>
      <c r="D1910" s="82"/>
    </row>
    <row r="1911" spans="1:4" ht="15.75" customHeight="1">
      <c r="A1911" s="81"/>
      <c r="B1911" s="81"/>
      <c r="C1911" s="82"/>
      <c r="D1911" s="82"/>
    </row>
    <row r="1912" spans="1:4" ht="15.75" customHeight="1">
      <c r="A1912" s="81"/>
      <c r="B1912" s="81"/>
      <c r="C1912" s="82"/>
      <c r="D1912" s="82"/>
    </row>
    <row r="1913" spans="1:4" ht="15.75" customHeight="1">
      <c r="A1913" s="81"/>
      <c r="B1913" s="81"/>
      <c r="C1913" s="82"/>
      <c r="D1913" s="82"/>
    </row>
    <row r="1914" spans="1:4" ht="15.75" customHeight="1">
      <c r="A1914" s="81"/>
      <c r="B1914" s="81"/>
      <c r="C1914" s="82"/>
      <c r="D1914" s="82"/>
    </row>
    <row r="1915" spans="1:4" ht="15.75" customHeight="1">
      <c r="A1915" s="81"/>
      <c r="B1915" s="81"/>
      <c r="C1915" s="82"/>
      <c r="D1915" s="82"/>
    </row>
    <row r="1916" spans="1:4" ht="15.75" customHeight="1">
      <c r="A1916" s="81"/>
      <c r="B1916" s="81"/>
      <c r="C1916" s="82"/>
      <c r="D1916" s="82"/>
    </row>
    <row r="1917" spans="1:4" ht="15.75" customHeight="1">
      <c r="A1917" s="81"/>
      <c r="B1917" s="81"/>
      <c r="C1917" s="82"/>
      <c r="D1917" s="82"/>
    </row>
    <row r="1918" spans="1:4" ht="15.75" customHeight="1">
      <c r="A1918" s="81"/>
      <c r="B1918" s="81"/>
      <c r="C1918" s="82"/>
      <c r="D1918" s="82"/>
    </row>
    <row r="1919" spans="1:4" ht="15.75" customHeight="1">
      <c r="A1919" s="81"/>
      <c r="B1919" s="81"/>
      <c r="C1919" s="82"/>
      <c r="D1919" s="82"/>
    </row>
    <row r="1920" spans="1:4" ht="15.75" customHeight="1">
      <c r="A1920" s="81"/>
      <c r="B1920" s="81"/>
      <c r="C1920" s="82"/>
      <c r="D1920" s="82"/>
    </row>
    <row r="1921" spans="1:4" ht="15.75" customHeight="1">
      <c r="A1921" s="81"/>
      <c r="B1921" s="81"/>
      <c r="C1921" s="82"/>
      <c r="D1921" s="82"/>
    </row>
    <row r="1922" spans="1:4" ht="15.75" customHeight="1">
      <c r="A1922" s="81"/>
      <c r="B1922" s="81"/>
      <c r="C1922" s="82"/>
      <c r="D1922" s="82"/>
    </row>
    <row r="1923" spans="1:4" ht="15.75" customHeight="1">
      <c r="A1923" s="81"/>
      <c r="B1923" s="81"/>
      <c r="C1923" s="82"/>
      <c r="D1923" s="82"/>
    </row>
    <row r="1924" spans="1:4" ht="15.75" customHeight="1">
      <c r="A1924" s="81"/>
      <c r="B1924" s="81"/>
      <c r="C1924" s="82"/>
      <c r="D1924" s="82"/>
    </row>
    <row r="1925" spans="1:4" ht="15.75" customHeight="1">
      <c r="A1925" s="81"/>
      <c r="B1925" s="81"/>
      <c r="C1925" s="82"/>
      <c r="D1925" s="82"/>
    </row>
    <row r="1926" spans="1:4" ht="15.75" customHeight="1">
      <c r="A1926" s="81"/>
      <c r="B1926" s="81"/>
      <c r="C1926" s="82"/>
      <c r="D1926" s="82"/>
    </row>
    <row r="1927" spans="1:4" ht="15.75" customHeight="1">
      <c r="A1927" s="81"/>
      <c r="B1927" s="81"/>
      <c r="C1927" s="82"/>
      <c r="D1927" s="82"/>
    </row>
    <row r="1928" spans="1:4" ht="15.75" customHeight="1">
      <c r="A1928" s="81"/>
      <c r="B1928" s="81"/>
      <c r="C1928" s="82"/>
      <c r="D1928" s="82"/>
    </row>
    <row r="1929" spans="1:4" ht="15.75" customHeight="1">
      <c r="A1929" s="81"/>
      <c r="B1929" s="81"/>
      <c r="C1929" s="82"/>
      <c r="D1929" s="82"/>
    </row>
    <row r="1930" spans="1:4" ht="15.75" customHeight="1">
      <c r="A1930" s="81"/>
      <c r="B1930" s="81"/>
      <c r="C1930" s="82"/>
      <c r="D1930" s="82"/>
    </row>
    <row r="1931" spans="1:4" ht="15.75" customHeight="1">
      <c r="A1931" s="81"/>
      <c r="B1931" s="81"/>
      <c r="C1931" s="82"/>
      <c r="D1931" s="82"/>
    </row>
    <row r="1932" spans="1:4" ht="15.75" customHeight="1">
      <c r="A1932" s="81"/>
      <c r="B1932" s="81"/>
      <c r="C1932" s="82"/>
      <c r="D1932" s="82"/>
    </row>
    <row r="1933" spans="1:4" ht="15.75" customHeight="1">
      <c r="A1933" s="81"/>
      <c r="B1933" s="81"/>
      <c r="C1933" s="82"/>
      <c r="D1933" s="82"/>
    </row>
    <row r="1934" spans="1:4" ht="15.75" customHeight="1">
      <c r="A1934" s="81"/>
      <c r="B1934" s="81"/>
      <c r="C1934" s="82"/>
      <c r="D1934" s="82"/>
    </row>
    <row r="1935" spans="1:4" ht="15.75" customHeight="1">
      <c r="A1935" s="81"/>
      <c r="B1935" s="81"/>
      <c r="C1935" s="82"/>
      <c r="D1935" s="82"/>
    </row>
    <row r="1936" spans="1:4" ht="15.75" customHeight="1">
      <c r="A1936" s="81"/>
      <c r="B1936" s="81"/>
      <c r="C1936" s="82"/>
      <c r="D1936" s="82"/>
    </row>
    <row r="1937" spans="1:4" ht="15.75" customHeight="1">
      <c r="A1937" s="81"/>
      <c r="B1937" s="81"/>
      <c r="C1937" s="82"/>
      <c r="D1937" s="82"/>
    </row>
    <row r="1938" spans="1:4" ht="15.75" customHeight="1">
      <c r="A1938" s="81"/>
      <c r="B1938" s="81"/>
      <c r="C1938" s="82"/>
      <c r="D1938" s="82"/>
    </row>
    <row r="1939" spans="1:4" ht="15.75" customHeight="1">
      <c r="A1939" s="81"/>
      <c r="B1939" s="81"/>
      <c r="C1939" s="82"/>
      <c r="D1939" s="82"/>
    </row>
    <row r="1940" spans="1:4" ht="15.75" customHeight="1">
      <c r="A1940" s="81"/>
      <c r="B1940" s="81"/>
      <c r="C1940" s="82"/>
      <c r="D1940" s="82"/>
    </row>
    <row r="1941" spans="1:4" ht="15.75" customHeight="1">
      <c r="A1941" s="81"/>
      <c r="B1941" s="81"/>
      <c r="C1941" s="82"/>
      <c r="D1941" s="82"/>
    </row>
    <row r="1942" spans="1:4" ht="15.75" customHeight="1">
      <c r="A1942" s="81"/>
      <c r="B1942" s="81"/>
      <c r="C1942" s="82"/>
      <c r="D1942" s="82"/>
    </row>
    <row r="1943" spans="1:4" ht="15.75" customHeight="1">
      <c r="A1943" s="81"/>
      <c r="B1943" s="81"/>
      <c r="C1943" s="82"/>
      <c r="D1943" s="82"/>
    </row>
    <row r="1944" spans="1:4" ht="15.75" customHeight="1">
      <c r="A1944" s="81"/>
      <c r="B1944" s="81"/>
      <c r="C1944" s="82"/>
      <c r="D1944" s="82"/>
    </row>
    <row r="1945" spans="1:4" ht="15.75" customHeight="1">
      <c r="A1945" s="81"/>
      <c r="B1945" s="81"/>
      <c r="C1945" s="82"/>
      <c r="D1945" s="82"/>
    </row>
    <row r="1946" spans="1:4" ht="15.75" customHeight="1">
      <c r="A1946" s="81"/>
      <c r="B1946" s="81"/>
      <c r="C1946" s="82"/>
      <c r="D1946" s="82"/>
    </row>
    <row r="1947" spans="1:4" ht="15.75" customHeight="1">
      <c r="A1947" s="81"/>
      <c r="B1947" s="81"/>
      <c r="C1947" s="82"/>
      <c r="D1947" s="82"/>
    </row>
    <row r="1948" spans="1:4" ht="15.75" customHeight="1">
      <c r="A1948" s="81"/>
      <c r="B1948" s="81"/>
      <c r="C1948" s="82"/>
      <c r="D1948" s="82"/>
    </row>
    <row r="1949" spans="1:4" ht="15.75" customHeight="1">
      <c r="A1949" s="81"/>
      <c r="B1949" s="81"/>
      <c r="C1949" s="82"/>
      <c r="D1949" s="82"/>
    </row>
    <row r="1950" spans="1:4" ht="15.75" customHeight="1">
      <c r="A1950" s="81"/>
      <c r="B1950" s="81"/>
      <c r="C1950" s="82"/>
      <c r="D1950" s="82"/>
    </row>
    <row r="1951" spans="1:4" ht="15.75" customHeight="1">
      <c r="A1951" s="81"/>
      <c r="B1951" s="81"/>
      <c r="C1951" s="82"/>
      <c r="D1951" s="82"/>
    </row>
    <row r="1952" spans="1:4" ht="15.75" customHeight="1">
      <c r="A1952" s="81"/>
      <c r="B1952" s="81"/>
      <c r="C1952" s="82"/>
      <c r="D1952" s="82"/>
    </row>
    <row r="1953" spans="1:4" ht="15.75" customHeight="1">
      <c r="A1953" s="81"/>
      <c r="B1953" s="81"/>
      <c r="C1953" s="82"/>
      <c r="D1953" s="82"/>
    </row>
    <row r="1954" spans="1:4" ht="15.75" customHeight="1">
      <c r="A1954" s="81"/>
      <c r="B1954" s="81"/>
      <c r="C1954" s="82"/>
      <c r="D1954" s="82"/>
    </row>
    <row r="1955" spans="1:4" ht="15.75" customHeight="1">
      <c r="A1955" s="81"/>
      <c r="B1955" s="81"/>
      <c r="C1955" s="82"/>
      <c r="D1955" s="82"/>
    </row>
    <row r="1956" spans="1:4" ht="15.75" customHeight="1">
      <c r="A1956" s="81"/>
      <c r="B1956" s="81"/>
      <c r="C1956" s="82"/>
      <c r="D1956" s="82"/>
    </row>
    <row r="1957" spans="1:4" ht="15.75" customHeight="1">
      <c r="A1957" s="81"/>
      <c r="B1957" s="81"/>
      <c r="C1957" s="82"/>
      <c r="D1957" s="82"/>
    </row>
    <row r="1958" spans="1:4" ht="15.75" customHeight="1">
      <c r="A1958" s="81"/>
      <c r="B1958" s="81"/>
      <c r="C1958" s="82"/>
      <c r="D1958" s="82"/>
    </row>
    <row r="1959" spans="1:4" ht="15.75" customHeight="1">
      <c r="A1959" s="81"/>
      <c r="B1959" s="81"/>
      <c r="C1959" s="82"/>
      <c r="D1959" s="82"/>
    </row>
    <row r="1960" spans="1:4" ht="15.75" customHeight="1">
      <c r="A1960" s="81"/>
      <c r="B1960" s="81"/>
      <c r="C1960" s="82"/>
      <c r="D1960" s="82"/>
    </row>
    <row r="1961" spans="1:4" ht="15.75" customHeight="1">
      <c r="A1961" s="81"/>
      <c r="B1961" s="81"/>
      <c r="C1961" s="82"/>
      <c r="D1961" s="82"/>
    </row>
    <row r="1962" spans="1:4" ht="15.75" customHeight="1">
      <c r="A1962" s="81"/>
      <c r="B1962" s="81"/>
      <c r="C1962" s="82"/>
      <c r="D1962" s="82"/>
    </row>
    <row r="1963" spans="1:4" ht="15.75" customHeight="1">
      <c r="A1963" s="81"/>
      <c r="B1963" s="81"/>
      <c r="C1963" s="82"/>
      <c r="D1963" s="82"/>
    </row>
    <row r="1964" spans="1:4" ht="15.75" customHeight="1">
      <c r="A1964" s="81"/>
      <c r="B1964" s="81"/>
      <c r="C1964" s="82"/>
      <c r="D1964" s="82"/>
    </row>
    <row r="1965" spans="1:4" ht="15.75" customHeight="1">
      <c r="A1965" s="81"/>
      <c r="B1965" s="81"/>
      <c r="C1965" s="82"/>
      <c r="D1965" s="82"/>
    </row>
    <row r="1966" spans="1:4" ht="15.75" customHeight="1">
      <c r="A1966" s="81"/>
      <c r="B1966" s="81"/>
      <c r="C1966" s="82"/>
      <c r="D1966" s="82"/>
    </row>
    <row r="1967" spans="1:4" ht="15.75" customHeight="1">
      <c r="A1967" s="81"/>
      <c r="B1967" s="81"/>
      <c r="C1967" s="82"/>
      <c r="D1967" s="82"/>
    </row>
    <row r="1968" spans="1:4" ht="15.75" customHeight="1">
      <c r="A1968" s="81"/>
      <c r="B1968" s="81"/>
      <c r="C1968" s="82"/>
      <c r="D1968" s="82"/>
    </row>
    <row r="1969" spans="1:4" ht="15.75" customHeight="1">
      <c r="A1969" s="81"/>
      <c r="B1969" s="81"/>
      <c r="C1969" s="82"/>
      <c r="D1969" s="82"/>
    </row>
    <row r="1970" spans="1:4" ht="15.75" customHeight="1">
      <c r="A1970" s="81"/>
      <c r="B1970" s="81"/>
      <c r="C1970" s="82"/>
      <c r="D1970" s="82"/>
    </row>
    <row r="1971" spans="1:4" ht="15.75" customHeight="1">
      <c r="A1971" s="81"/>
      <c r="B1971" s="81"/>
      <c r="C1971" s="82"/>
      <c r="D1971" s="82"/>
    </row>
    <row r="1972" spans="1:4" ht="15.75" customHeight="1">
      <c r="A1972" s="81"/>
      <c r="B1972" s="81"/>
      <c r="C1972" s="82"/>
      <c r="D1972" s="82"/>
    </row>
    <row r="1973" spans="1:4" ht="15.75" customHeight="1">
      <c r="A1973" s="81"/>
      <c r="B1973" s="81"/>
      <c r="C1973" s="82"/>
      <c r="D1973" s="82"/>
    </row>
    <row r="1974" spans="1:4" ht="15.75" customHeight="1">
      <c r="A1974" s="81"/>
      <c r="B1974" s="81"/>
      <c r="C1974" s="82"/>
      <c r="D1974" s="82"/>
    </row>
    <row r="1975" spans="1:4" ht="15.75" customHeight="1">
      <c r="A1975" s="81"/>
      <c r="B1975" s="81"/>
      <c r="C1975" s="82"/>
      <c r="D1975" s="82"/>
    </row>
    <row r="1976" spans="1:4" ht="15.75" customHeight="1">
      <c r="A1976" s="81"/>
      <c r="B1976" s="81"/>
      <c r="C1976" s="82"/>
      <c r="D1976" s="82"/>
    </row>
    <row r="1977" spans="1:4" ht="15.75" customHeight="1">
      <c r="A1977" s="81"/>
      <c r="B1977" s="81"/>
      <c r="C1977" s="82"/>
      <c r="D1977" s="82"/>
    </row>
    <row r="1978" spans="1:4" ht="15.75" customHeight="1">
      <c r="A1978" s="81"/>
      <c r="B1978" s="81"/>
      <c r="C1978" s="82"/>
      <c r="D1978" s="82"/>
    </row>
    <row r="1979" spans="1:4" ht="15.75" customHeight="1">
      <c r="A1979" s="81"/>
      <c r="B1979" s="81"/>
      <c r="C1979" s="82"/>
      <c r="D1979" s="82"/>
    </row>
    <row r="1980" spans="1:4" ht="15.75" customHeight="1">
      <c r="A1980" s="81"/>
      <c r="B1980" s="81"/>
      <c r="C1980" s="82"/>
      <c r="D1980" s="82"/>
    </row>
    <row r="1981" spans="1:4" ht="15.75" customHeight="1">
      <c r="A1981" s="81"/>
      <c r="B1981" s="81"/>
      <c r="C1981" s="82"/>
      <c r="D1981" s="82"/>
    </row>
    <row r="1982" spans="1:4" ht="15.75" customHeight="1">
      <c r="A1982" s="81"/>
      <c r="B1982" s="81"/>
      <c r="C1982" s="82"/>
      <c r="D1982" s="82"/>
    </row>
    <row r="1983" spans="1:4" ht="15.75" customHeight="1">
      <c r="A1983" s="81"/>
      <c r="B1983" s="81"/>
      <c r="C1983" s="82"/>
      <c r="D1983" s="82"/>
    </row>
    <row r="1984" spans="1:4" ht="15.75" customHeight="1">
      <c r="A1984" s="81"/>
      <c r="B1984" s="81"/>
      <c r="C1984" s="82"/>
      <c r="D1984" s="82"/>
    </row>
    <row r="1985" spans="1:4" ht="15.75" customHeight="1">
      <c r="A1985" s="81"/>
      <c r="B1985" s="81"/>
      <c r="C1985" s="82"/>
      <c r="D1985" s="82"/>
    </row>
    <row r="1986" spans="1:4" ht="15.75" customHeight="1">
      <c r="A1986" s="81"/>
      <c r="B1986" s="81"/>
      <c r="C1986" s="82"/>
      <c r="D1986" s="82"/>
    </row>
    <row r="1987" spans="1:4" ht="15.75" customHeight="1">
      <c r="A1987" s="81"/>
      <c r="B1987" s="81"/>
      <c r="C1987" s="82"/>
      <c r="D1987" s="82"/>
    </row>
    <row r="1988" spans="1:4" ht="15.75" customHeight="1">
      <c r="A1988" s="81"/>
      <c r="B1988" s="81"/>
      <c r="C1988" s="82"/>
      <c r="D1988" s="82"/>
    </row>
    <row r="1989" spans="1:4" ht="15.75" customHeight="1">
      <c r="A1989" s="81"/>
      <c r="B1989" s="81"/>
      <c r="C1989" s="82"/>
      <c r="D1989" s="82"/>
    </row>
    <row r="1990" spans="1:4" ht="15.75" customHeight="1">
      <c r="A1990" s="81"/>
      <c r="B1990" s="81"/>
      <c r="C1990" s="82"/>
      <c r="D1990" s="82"/>
    </row>
    <row r="1991" spans="1:4" ht="15.75" customHeight="1">
      <c r="A1991" s="81"/>
      <c r="B1991" s="81"/>
      <c r="C1991" s="82"/>
      <c r="D1991" s="82"/>
    </row>
    <row r="1992" spans="1:4" ht="15.75" customHeight="1">
      <c r="A1992" s="81"/>
      <c r="B1992" s="81"/>
      <c r="C1992" s="82"/>
      <c r="D1992" s="82"/>
    </row>
    <row r="1993" spans="1:4" ht="15.75" customHeight="1">
      <c r="A1993" s="81"/>
      <c r="B1993" s="81"/>
      <c r="C1993" s="82"/>
      <c r="D1993" s="82"/>
    </row>
    <row r="1994" spans="1:4" ht="15.75" customHeight="1">
      <c r="A1994" s="81"/>
      <c r="B1994" s="81"/>
      <c r="C1994" s="82"/>
      <c r="D1994" s="82"/>
    </row>
    <row r="1995" spans="1:4" ht="15.75" customHeight="1">
      <c r="A1995" s="81"/>
      <c r="B1995" s="81"/>
      <c r="C1995" s="82"/>
      <c r="D1995" s="82"/>
    </row>
    <row r="1996" spans="1:4" ht="15.75" customHeight="1">
      <c r="A1996" s="81"/>
      <c r="B1996" s="81"/>
      <c r="C1996" s="82"/>
      <c r="D1996" s="82"/>
    </row>
    <row r="1997" spans="1:4" ht="15.75" customHeight="1">
      <c r="A1997" s="81"/>
      <c r="B1997" s="81"/>
      <c r="C1997" s="82"/>
      <c r="D1997" s="82"/>
    </row>
    <row r="1998" spans="1:4" ht="15.75" customHeight="1">
      <c r="A1998" s="81"/>
      <c r="B1998" s="81"/>
      <c r="C1998" s="82"/>
      <c r="D1998" s="82"/>
    </row>
    <row r="1999" spans="1:4" ht="15.75" customHeight="1">
      <c r="A1999" s="81"/>
      <c r="B1999" s="81"/>
      <c r="C1999" s="82"/>
      <c r="D1999" s="82"/>
    </row>
    <row r="2000" spans="1:4" ht="15.75" customHeight="1">
      <c r="A2000" s="81"/>
      <c r="B2000" s="81"/>
      <c r="C2000" s="82"/>
      <c r="D2000" s="82"/>
    </row>
    <row r="2001" spans="1:4" ht="15.75" customHeight="1">
      <c r="A2001" s="81"/>
      <c r="B2001" s="81"/>
      <c r="C2001" s="82"/>
      <c r="D2001" s="82"/>
    </row>
    <row r="2002" spans="1:4" ht="15.75" customHeight="1">
      <c r="A2002" s="81"/>
      <c r="B2002" s="81"/>
      <c r="C2002" s="82"/>
      <c r="D2002" s="82"/>
    </row>
    <row r="2003" spans="1:4" ht="15.75" customHeight="1">
      <c r="A2003" s="81"/>
      <c r="B2003" s="81"/>
      <c r="C2003" s="82"/>
      <c r="D2003" s="82"/>
    </row>
    <row r="2004" spans="1:4" ht="15.75" customHeight="1">
      <c r="A2004" s="81"/>
      <c r="B2004" s="81"/>
      <c r="C2004" s="82"/>
      <c r="D2004" s="82"/>
    </row>
    <row r="2005" spans="1:4" ht="15.75" customHeight="1">
      <c r="A2005" s="81"/>
      <c r="B2005" s="81"/>
      <c r="C2005" s="82"/>
      <c r="D2005" s="82"/>
    </row>
    <row r="2006" spans="1:4" ht="15.75" customHeight="1">
      <c r="A2006" s="81"/>
      <c r="B2006" s="81"/>
      <c r="C2006" s="82"/>
      <c r="D2006" s="82"/>
    </row>
    <row r="2007" spans="1:4" ht="15.75" customHeight="1">
      <c r="A2007" s="81"/>
      <c r="B2007" s="81"/>
      <c r="C2007" s="82"/>
      <c r="D2007" s="82"/>
    </row>
    <row r="2008" spans="1:4" ht="15.75" customHeight="1">
      <c r="A2008" s="81"/>
      <c r="B2008" s="81"/>
      <c r="C2008" s="82"/>
      <c r="D2008" s="82"/>
    </row>
    <row r="2009" spans="1:4" ht="15.75" customHeight="1">
      <c r="A2009" s="81"/>
      <c r="B2009" s="81"/>
      <c r="C2009" s="82"/>
      <c r="D2009" s="82"/>
    </row>
    <row r="2010" spans="1:4" ht="15.75" customHeight="1">
      <c r="A2010" s="81"/>
      <c r="B2010" s="81"/>
      <c r="C2010" s="82"/>
      <c r="D2010" s="82"/>
    </row>
    <row r="2011" spans="1:4" ht="15.75" customHeight="1">
      <c r="A2011" s="81"/>
      <c r="B2011" s="81"/>
      <c r="C2011" s="82"/>
      <c r="D2011" s="82"/>
    </row>
    <row r="2012" spans="1:4" ht="15.75" customHeight="1">
      <c r="A2012" s="81"/>
      <c r="B2012" s="81"/>
      <c r="C2012" s="82"/>
      <c r="D2012" s="82"/>
    </row>
    <row r="2013" spans="1:4" ht="15.75" customHeight="1">
      <c r="A2013" s="81"/>
      <c r="B2013" s="81"/>
      <c r="C2013" s="82"/>
      <c r="D2013" s="82"/>
    </row>
    <row r="2014" spans="1:4" ht="15.75" customHeight="1">
      <c r="A2014" s="81"/>
      <c r="B2014" s="81"/>
      <c r="C2014" s="82"/>
      <c r="D2014" s="82"/>
    </row>
    <row r="2015" spans="1:4" ht="15.75" customHeight="1">
      <c r="A2015" s="81"/>
      <c r="B2015" s="81"/>
      <c r="C2015" s="82"/>
      <c r="D2015" s="82"/>
    </row>
    <row r="2016" spans="1:4" ht="15.75" customHeight="1">
      <c r="A2016" s="81"/>
      <c r="B2016" s="81"/>
      <c r="C2016" s="82"/>
      <c r="D2016" s="82"/>
    </row>
    <row r="2017" spans="1:4" ht="15.75" customHeight="1">
      <c r="A2017" s="81"/>
      <c r="B2017" s="81"/>
      <c r="C2017" s="82"/>
      <c r="D2017" s="82"/>
    </row>
    <row r="2018" spans="1:4" ht="15.75" customHeight="1">
      <c r="A2018" s="81"/>
      <c r="B2018" s="81"/>
      <c r="C2018" s="82"/>
      <c r="D2018" s="82"/>
    </row>
    <row r="2019" spans="1:4" ht="15.75" customHeight="1">
      <c r="A2019" s="81"/>
      <c r="B2019" s="81"/>
      <c r="C2019" s="82"/>
      <c r="D2019" s="82"/>
    </row>
    <row r="2020" spans="1:4" ht="15.75" customHeight="1">
      <c r="A2020" s="81"/>
      <c r="B2020" s="81"/>
      <c r="C2020" s="82"/>
      <c r="D2020" s="82"/>
    </row>
    <row r="2021" spans="1:4" ht="15.75" customHeight="1">
      <c r="A2021" s="81"/>
      <c r="B2021" s="81"/>
      <c r="C2021" s="82"/>
      <c r="D2021" s="82"/>
    </row>
    <row r="2022" spans="1:4" ht="15.75" customHeight="1">
      <c r="A2022" s="81"/>
      <c r="B2022" s="81"/>
      <c r="C2022" s="82"/>
      <c r="D2022" s="82"/>
    </row>
    <row r="2023" spans="1:4" ht="15.75" customHeight="1">
      <c r="A2023" s="81"/>
      <c r="B2023" s="81"/>
      <c r="C2023" s="82"/>
      <c r="D2023" s="82"/>
    </row>
    <row r="2024" spans="1:4" ht="15.75" customHeight="1">
      <c r="A2024" s="81"/>
      <c r="B2024" s="81"/>
      <c r="C2024" s="82"/>
      <c r="D2024" s="82"/>
    </row>
    <row r="2025" spans="1:4" ht="15.75" customHeight="1">
      <c r="A2025" s="81"/>
      <c r="B2025" s="81"/>
      <c r="C2025" s="82"/>
      <c r="D2025" s="82"/>
    </row>
    <row r="2026" spans="1:4" ht="15.75" customHeight="1">
      <c r="A2026" s="81"/>
      <c r="B2026" s="81"/>
      <c r="C2026" s="82"/>
      <c r="D2026" s="82"/>
    </row>
    <row r="2027" spans="1:4" ht="15.75" customHeight="1">
      <c r="A2027" s="81"/>
      <c r="B2027" s="81"/>
      <c r="C2027" s="82"/>
      <c r="D2027" s="82"/>
    </row>
    <row r="2028" spans="1:4" ht="15.75" customHeight="1">
      <c r="A2028" s="81"/>
      <c r="B2028" s="81"/>
      <c r="C2028" s="82"/>
      <c r="D2028" s="82"/>
    </row>
    <row r="2029" spans="1:4" ht="15.75" customHeight="1">
      <c r="A2029" s="81"/>
      <c r="B2029" s="81"/>
      <c r="C2029" s="82"/>
      <c r="D2029" s="82"/>
    </row>
    <row r="2030" spans="1:4" ht="15.75" customHeight="1">
      <c r="A2030" s="81"/>
      <c r="B2030" s="81"/>
      <c r="C2030" s="82"/>
      <c r="D2030" s="82"/>
    </row>
    <row r="2031" spans="1:4" ht="15.75" customHeight="1">
      <c r="A2031" s="81"/>
      <c r="B2031" s="81"/>
      <c r="C2031" s="82"/>
      <c r="D2031" s="82"/>
    </row>
    <row r="2032" spans="1:4" ht="15.75" customHeight="1">
      <c r="A2032" s="81"/>
      <c r="B2032" s="81"/>
      <c r="C2032" s="82"/>
      <c r="D2032" s="82"/>
    </row>
    <row r="2033" spans="1:4" ht="15.75" customHeight="1">
      <c r="A2033" s="81"/>
      <c r="B2033" s="81"/>
      <c r="C2033" s="82"/>
      <c r="D2033" s="82"/>
    </row>
    <row r="2034" spans="1:4" ht="15.75" customHeight="1">
      <c r="A2034" s="81"/>
      <c r="B2034" s="81"/>
      <c r="C2034" s="82"/>
      <c r="D2034" s="82"/>
    </row>
    <row r="2035" spans="1:4" ht="15.75" customHeight="1">
      <c r="A2035" s="81"/>
      <c r="B2035" s="81"/>
      <c r="C2035" s="82"/>
      <c r="D2035" s="82"/>
    </row>
    <row r="2036" spans="1:4" ht="15.75" customHeight="1">
      <c r="A2036" s="81"/>
      <c r="B2036" s="81"/>
      <c r="C2036" s="82"/>
      <c r="D2036" s="82"/>
    </row>
    <row r="2037" spans="1:4" ht="15.75" customHeight="1">
      <c r="A2037" s="81"/>
      <c r="B2037" s="81"/>
      <c r="C2037" s="82"/>
      <c r="D2037" s="82"/>
    </row>
    <row r="2038" spans="1:4" ht="15.75" customHeight="1">
      <c r="A2038" s="81"/>
      <c r="B2038" s="81"/>
      <c r="C2038" s="82"/>
      <c r="D2038" s="82"/>
    </row>
    <row r="2039" spans="1:4" ht="15.75" customHeight="1">
      <c r="A2039" s="81"/>
      <c r="B2039" s="81"/>
      <c r="C2039" s="82"/>
      <c r="D2039" s="82"/>
    </row>
    <row r="2040" spans="1:4" ht="15.75" customHeight="1">
      <c r="A2040" s="81"/>
      <c r="B2040" s="81"/>
      <c r="C2040" s="82"/>
      <c r="D2040" s="82"/>
    </row>
    <row r="2041" spans="1:4" ht="15.75" customHeight="1">
      <c r="A2041" s="81"/>
      <c r="B2041" s="81"/>
      <c r="C2041" s="82"/>
      <c r="D2041" s="82"/>
    </row>
    <row r="2042" spans="1:4" ht="15.75" customHeight="1">
      <c r="A2042" s="81"/>
      <c r="B2042" s="81"/>
      <c r="C2042" s="82"/>
      <c r="D2042" s="82"/>
    </row>
    <row r="2043" spans="1:4" ht="15.75" customHeight="1">
      <c r="A2043" s="81"/>
      <c r="B2043" s="81"/>
      <c r="C2043" s="82"/>
      <c r="D2043" s="82"/>
    </row>
    <row r="2044" spans="1:4" ht="15.75" customHeight="1">
      <c r="A2044" s="81"/>
      <c r="B2044" s="81"/>
      <c r="C2044" s="82"/>
      <c r="D2044" s="82"/>
    </row>
    <row r="2045" spans="1:4" ht="15.75" customHeight="1">
      <c r="A2045" s="81"/>
      <c r="B2045" s="81"/>
      <c r="C2045" s="82"/>
      <c r="D2045" s="82"/>
    </row>
    <row r="2046" spans="1:4" ht="15.75" customHeight="1">
      <c r="A2046" s="81"/>
      <c r="B2046" s="81"/>
      <c r="C2046" s="82"/>
      <c r="D2046" s="82"/>
    </row>
    <row r="2047" spans="1:4" ht="15.75" customHeight="1">
      <c r="A2047" s="81"/>
      <c r="B2047" s="81"/>
      <c r="C2047" s="82"/>
      <c r="D2047" s="82"/>
    </row>
    <row r="2048" spans="1:4" ht="15.75" customHeight="1">
      <c r="A2048" s="81"/>
      <c r="B2048" s="81"/>
      <c r="C2048" s="82"/>
      <c r="D2048" s="82"/>
    </row>
    <row r="2049" spans="1:4" ht="15.75" customHeight="1">
      <c r="A2049" s="81"/>
      <c r="B2049" s="81"/>
      <c r="C2049" s="82"/>
      <c r="D2049" s="82"/>
    </row>
    <row r="2050" spans="1:4" ht="15.75" customHeight="1">
      <c r="A2050" s="81"/>
      <c r="B2050" s="81"/>
      <c r="C2050" s="82"/>
      <c r="D2050" s="82"/>
    </row>
    <row r="2051" spans="1:4" ht="15.75" customHeight="1">
      <c r="A2051" s="81"/>
      <c r="B2051" s="81"/>
      <c r="C2051" s="82"/>
      <c r="D2051" s="82"/>
    </row>
    <row r="2052" spans="1:4" ht="15.75" customHeight="1">
      <c r="A2052" s="81"/>
      <c r="B2052" s="81"/>
      <c r="C2052" s="82"/>
      <c r="D2052" s="82"/>
    </row>
    <row r="2053" spans="1:4" ht="15.75" customHeight="1">
      <c r="A2053" s="81"/>
      <c r="B2053" s="81"/>
      <c r="C2053" s="82"/>
      <c r="D2053" s="82"/>
    </row>
    <row r="2054" spans="1:4" ht="15.75" customHeight="1">
      <c r="A2054" s="81"/>
      <c r="B2054" s="81"/>
      <c r="C2054" s="82"/>
      <c r="D2054" s="82"/>
    </row>
    <row r="2055" spans="1:4" ht="15.75" customHeight="1">
      <c r="A2055" s="81"/>
      <c r="B2055" s="81"/>
      <c r="C2055" s="82"/>
      <c r="D2055" s="82"/>
    </row>
    <row r="2056" spans="1:4" ht="15.75" customHeight="1">
      <c r="A2056" s="81"/>
      <c r="B2056" s="81"/>
      <c r="C2056" s="82"/>
      <c r="D2056" s="82"/>
    </row>
    <row r="2057" spans="1:4" ht="15.75" customHeight="1">
      <c r="A2057" s="81"/>
      <c r="B2057" s="81"/>
      <c r="C2057" s="82"/>
      <c r="D2057" s="82"/>
    </row>
    <row r="2058" spans="1:4" ht="15.75" customHeight="1">
      <c r="A2058" s="81"/>
      <c r="B2058" s="81"/>
      <c r="C2058" s="82"/>
      <c r="D2058" s="82"/>
    </row>
    <row r="2059" spans="1:4" ht="15.75" customHeight="1">
      <c r="A2059" s="81"/>
      <c r="B2059" s="81"/>
      <c r="C2059" s="82"/>
      <c r="D2059" s="82"/>
    </row>
    <row r="2060" spans="1:4" ht="15.75" customHeight="1">
      <c r="A2060" s="81"/>
      <c r="B2060" s="81"/>
      <c r="C2060" s="82"/>
      <c r="D2060" s="82"/>
    </row>
    <row r="2061" spans="1:4" ht="15.75" customHeight="1">
      <c r="A2061" s="81"/>
      <c r="B2061" s="81"/>
      <c r="C2061" s="82"/>
      <c r="D2061" s="82"/>
    </row>
    <row r="2062" spans="1:4" ht="15.75" customHeight="1">
      <c r="A2062" s="81"/>
      <c r="B2062" s="81"/>
      <c r="C2062" s="82"/>
      <c r="D2062" s="82"/>
    </row>
    <row r="2063" spans="1:4" ht="15.75" customHeight="1">
      <c r="A2063" s="81"/>
      <c r="B2063" s="81"/>
      <c r="C2063" s="82"/>
      <c r="D2063" s="82"/>
    </row>
    <row r="2064" spans="1:4" ht="15.75" customHeight="1">
      <c r="A2064" s="81"/>
      <c r="B2064" s="81"/>
      <c r="C2064" s="82"/>
      <c r="D2064" s="82"/>
    </row>
    <row r="2065" spans="1:4" ht="15.75" customHeight="1">
      <c r="A2065" s="81"/>
      <c r="B2065" s="81"/>
      <c r="C2065" s="82"/>
      <c r="D2065" s="82"/>
    </row>
    <row r="2066" spans="1:4" ht="15.75" customHeight="1">
      <c r="A2066" s="81"/>
      <c r="B2066" s="81"/>
      <c r="C2066" s="82"/>
      <c r="D2066" s="82"/>
    </row>
    <row r="2067" spans="1:4" ht="15.75" customHeight="1">
      <c r="A2067" s="81"/>
      <c r="B2067" s="81"/>
      <c r="C2067" s="82"/>
      <c r="D2067" s="82"/>
    </row>
    <row r="2068" spans="1:4" ht="15.75" customHeight="1">
      <c r="A2068" s="81"/>
      <c r="B2068" s="81"/>
      <c r="C2068" s="82"/>
      <c r="D2068" s="82"/>
    </row>
    <row r="2069" spans="1:4" ht="15.75" customHeight="1">
      <c r="A2069" s="81"/>
      <c r="B2069" s="81"/>
      <c r="C2069" s="82"/>
      <c r="D2069" s="82"/>
    </row>
    <row r="2070" spans="1:4" ht="15.75" customHeight="1">
      <c r="A2070" s="81"/>
      <c r="B2070" s="81"/>
      <c r="C2070" s="82"/>
      <c r="D2070" s="82"/>
    </row>
    <row r="2071" spans="1:4" ht="15.75" customHeight="1">
      <c r="A2071" s="81"/>
      <c r="B2071" s="81"/>
      <c r="C2071" s="82"/>
      <c r="D2071" s="82"/>
    </row>
    <row r="2072" spans="1:4" ht="15.75" customHeight="1">
      <c r="A2072" s="81"/>
      <c r="B2072" s="81"/>
      <c r="C2072" s="82"/>
      <c r="D2072" s="82"/>
    </row>
    <row r="2073" spans="1:4" ht="15.75" customHeight="1">
      <c r="A2073" s="81"/>
      <c r="B2073" s="81"/>
      <c r="C2073" s="82"/>
      <c r="D2073" s="82"/>
    </row>
    <row r="2074" spans="1:4" ht="15.75" customHeight="1">
      <c r="A2074" s="81"/>
      <c r="B2074" s="81"/>
      <c r="C2074" s="82"/>
      <c r="D2074" s="82"/>
    </row>
    <row r="2075" spans="1:4" ht="15.75" customHeight="1">
      <c r="A2075" s="81"/>
      <c r="B2075" s="81"/>
      <c r="C2075" s="82"/>
      <c r="D2075" s="82"/>
    </row>
    <row r="2076" spans="1:4" ht="15.75" customHeight="1">
      <c r="A2076" s="81"/>
      <c r="B2076" s="81"/>
      <c r="C2076" s="82"/>
      <c r="D2076" s="82"/>
    </row>
    <row r="2077" spans="1:4" ht="15.75" customHeight="1">
      <c r="A2077" s="81"/>
      <c r="B2077" s="81"/>
      <c r="C2077" s="82"/>
      <c r="D2077" s="82"/>
    </row>
    <row r="2078" spans="1:4" ht="15.75" customHeight="1">
      <c r="A2078" s="81"/>
      <c r="B2078" s="81"/>
      <c r="C2078" s="82"/>
      <c r="D2078" s="82"/>
    </row>
    <row r="2079" spans="1:4" ht="15.75" customHeight="1">
      <c r="A2079" s="81"/>
      <c r="B2079" s="81"/>
      <c r="C2079" s="82"/>
      <c r="D2079" s="82"/>
    </row>
    <row r="2080" spans="1:4" ht="15.75" customHeight="1">
      <c r="A2080" s="81"/>
      <c r="B2080" s="81"/>
      <c r="C2080" s="82"/>
      <c r="D2080" s="82"/>
    </row>
    <row r="2081" spans="1:4" ht="15.75" customHeight="1">
      <c r="A2081" s="81"/>
      <c r="B2081" s="81"/>
      <c r="C2081" s="82"/>
      <c r="D2081" s="82"/>
    </row>
    <row r="2082" spans="1:4" ht="15.75" customHeight="1">
      <c r="A2082" s="81"/>
      <c r="B2082" s="81"/>
      <c r="C2082" s="82"/>
      <c r="D2082" s="82"/>
    </row>
    <row r="2083" spans="1:4" ht="15.75" customHeight="1">
      <c r="A2083" s="81"/>
      <c r="B2083" s="81"/>
      <c r="C2083" s="82"/>
      <c r="D2083" s="82"/>
    </row>
    <row r="2084" spans="1:4" ht="15.75" customHeight="1">
      <c r="A2084" s="81"/>
      <c r="B2084" s="81"/>
      <c r="C2084" s="82"/>
      <c r="D2084" s="82"/>
    </row>
    <row r="2085" spans="1:4" ht="15.75" customHeight="1">
      <c r="A2085" s="81"/>
      <c r="B2085" s="81"/>
      <c r="C2085" s="82"/>
      <c r="D2085" s="82"/>
    </row>
    <row r="2086" spans="1:4" ht="15.75" customHeight="1">
      <c r="A2086" s="81"/>
      <c r="B2086" s="81"/>
      <c r="C2086" s="82"/>
      <c r="D2086" s="82"/>
    </row>
    <row r="2087" spans="1:4" ht="15.75" customHeight="1">
      <c r="A2087" s="81"/>
      <c r="B2087" s="81"/>
      <c r="C2087" s="82"/>
      <c r="D2087" s="82"/>
    </row>
    <row r="2088" spans="1:4" ht="15.75" customHeight="1">
      <c r="A2088" s="81"/>
      <c r="B2088" s="81"/>
      <c r="C2088" s="82"/>
      <c r="D2088" s="82"/>
    </row>
    <row r="2089" spans="1:4" ht="15.75" customHeight="1">
      <c r="A2089" s="81"/>
      <c r="B2089" s="81"/>
      <c r="C2089" s="82"/>
      <c r="D2089" s="82"/>
    </row>
    <row r="2090" spans="1:4" ht="15.75" customHeight="1">
      <c r="A2090" s="81"/>
      <c r="B2090" s="81"/>
      <c r="C2090" s="82"/>
      <c r="D2090" s="82"/>
    </row>
    <row r="2091" spans="1:4" ht="15.75" customHeight="1">
      <c r="A2091" s="81"/>
      <c r="B2091" s="81"/>
      <c r="C2091" s="82"/>
      <c r="D2091" s="82"/>
    </row>
    <row r="2092" spans="1:4" ht="15.75" customHeight="1">
      <c r="A2092" s="81"/>
      <c r="B2092" s="81"/>
      <c r="C2092" s="82"/>
      <c r="D2092" s="82"/>
    </row>
    <row r="2093" spans="1:4" ht="15.75" customHeight="1">
      <c r="A2093" s="81"/>
      <c r="B2093" s="81"/>
      <c r="C2093" s="82"/>
      <c r="D2093" s="82"/>
    </row>
    <row r="2094" spans="1:4" ht="15.75" customHeight="1">
      <c r="A2094" s="81"/>
      <c r="B2094" s="81"/>
      <c r="C2094" s="82"/>
      <c r="D2094" s="82"/>
    </row>
    <row r="2095" spans="1:4" ht="15.75" customHeight="1">
      <c r="A2095" s="81"/>
      <c r="B2095" s="81"/>
      <c r="C2095" s="82"/>
      <c r="D2095" s="82"/>
    </row>
    <row r="2096" spans="1:4" ht="15.75" customHeight="1">
      <c r="A2096" s="81"/>
      <c r="B2096" s="81"/>
      <c r="C2096" s="82"/>
      <c r="D2096" s="82"/>
    </row>
    <row r="2097" spans="1:4" ht="15.75" customHeight="1">
      <c r="A2097" s="81"/>
      <c r="B2097" s="81"/>
      <c r="C2097" s="82"/>
      <c r="D2097" s="82"/>
    </row>
    <row r="2098" spans="1:4" ht="15.75" customHeight="1">
      <c r="A2098" s="81"/>
      <c r="B2098" s="81"/>
      <c r="C2098" s="82"/>
      <c r="D2098" s="82"/>
    </row>
    <row r="2099" spans="1:4" ht="15.75" customHeight="1">
      <c r="A2099" s="81"/>
      <c r="B2099" s="81"/>
      <c r="C2099" s="82"/>
      <c r="D2099" s="82"/>
    </row>
    <row r="2100" spans="1:4" ht="15.75" customHeight="1">
      <c r="A2100" s="81"/>
      <c r="B2100" s="81"/>
      <c r="C2100" s="82"/>
      <c r="D2100" s="82"/>
    </row>
    <row r="2101" spans="1:4" ht="15.75" customHeight="1">
      <c r="A2101" s="81"/>
      <c r="B2101" s="81"/>
      <c r="C2101" s="82"/>
      <c r="D2101" s="82"/>
    </row>
  </sheetData>
  <conditionalFormatting sqref="D77:D111 C81:C111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1000"/>
  <sheetViews>
    <sheetView workbookViewId="0">
      <pane xSplit="1" ySplit="1" topLeftCell="B78" activePane="bottomRight" state="frozen"/>
      <selection pane="topRight" activeCell="B1" sqref="B1"/>
      <selection pane="bottomLeft" activeCell="A2" sqref="A2"/>
      <selection pane="bottomRight" activeCell="A114" sqref="A114:XFD114"/>
    </sheetView>
  </sheetViews>
  <sheetFormatPr baseColWidth="10" defaultColWidth="12.6640625" defaultRowHeight="15.75" customHeight="1"/>
  <cols>
    <col min="1" max="1" width="16.66406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5" t="s">
        <v>12</v>
      </c>
      <c r="O1" s="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/>
    </row>
    <row r="2" spans="1:29" ht="14">
      <c r="A2" s="14" t="s">
        <v>27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1"/>
      <c r="V2" s="11"/>
      <c r="W2" s="11"/>
      <c r="X2" s="11"/>
      <c r="Y2" s="11"/>
      <c r="Z2" s="11"/>
      <c r="AA2" s="11"/>
      <c r="AB2" s="11"/>
      <c r="AC2" s="11"/>
    </row>
    <row r="3" spans="1:29" ht="14">
      <c r="A3" s="14" t="s">
        <v>28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1"/>
      <c r="V3" s="11"/>
      <c r="W3" s="11"/>
      <c r="X3" s="11"/>
      <c r="Y3" s="11"/>
      <c r="Z3" s="11"/>
      <c r="AA3" s="11"/>
      <c r="AB3" s="11"/>
      <c r="AC3" s="11"/>
    </row>
    <row r="4" spans="1:29" ht="14">
      <c r="A4" s="14" t="s">
        <v>29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1"/>
      <c r="V4" s="11"/>
      <c r="W4" s="11"/>
      <c r="X4" s="11"/>
      <c r="Y4" s="11"/>
      <c r="Z4" s="11"/>
      <c r="AA4" s="11"/>
      <c r="AB4" s="11"/>
      <c r="AC4" s="11"/>
    </row>
    <row r="5" spans="1:29" ht="14">
      <c r="A5" s="14" t="s">
        <v>30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1"/>
      <c r="V5" s="11"/>
      <c r="W5" s="11"/>
      <c r="X5" s="11"/>
      <c r="Y5" s="11"/>
      <c r="Z5" s="11"/>
      <c r="AA5" s="11"/>
      <c r="AB5" s="11"/>
      <c r="AC5" s="11"/>
    </row>
    <row r="6" spans="1:29" ht="14">
      <c r="A6" s="14" t="s">
        <v>31</v>
      </c>
      <c r="B6" s="13" t="str">
        <f>IFERROR(AVERAGE('Revenue Growth YoY'!B3:B6),"")</f>
        <v/>
      </c>
      <c r="C6" s="13" t="str">
        <f>IFERROR(AVERAGE('Revenue Growth YoY'!C3:C6),"")</f>
        <v/>
      </c>
      <c r="D6" s="13"/>
      <c r="E6" s="13" t="str">
        <f>IFERROR(AVERAGE('Revenue Growth YoY'!E3:E6),"")</f>
        <v/>
      </c>
      <c r="F6" s="13" t="str">
        <f>IFERROR(AVERAGE('Revenue Growth YoY'!F3:F6),"")</f>
        <v/>
      </c>
      <c r="G6" s="13" t="str">
        <f>IFERROR(AVERAGE('Revenue Growth YoY'!G3:G6),"")</f>
        <v/>
      </c>
      <c r="H6" s="13" t="str">
        <f>IFERROR(AVERAGE('Revenue Growth YoY'!H3:H6),"")</f>
        <v/>
      </c>
      <c r="I6" s="13" t="str">
        <f>IFERROR(AVERAGE('Revenue Growth YoY'!I3:I6),"")</f>
        <v/>
      </c>
      <c r="J6" s="13" t="str">
        <f>IFERROR(AVERAGE('Revenue Growth YoY'!J3:J6),"")</f>
        <v/>
      </c>
      <c r="K6" s="13" t="str">
        <f>IFERROR(AVERAGE('Revenue Growth YoY'!K3:K6),"")</f>
        <v/>
      </c>
      <c r="L6" s="13" t="str">
        <f>IFERROR(AVERAGE('Revenue Growth YoY'!L3:L6),"")</f>
        <v/>
      </c>
      <c r="M6" s="13" t="str">
        <f>IFERROR(AVERAGE('Revenue Growth YoY'!M3:M6),"")</f>
        <v/>
      </c>
      <c r="N6" s="13" t="str">
        <f>IFERROR(AVERAGE('Revenue Growth YoY'!N3:N6),"")</f>
        <v/>
      </c>
      <c r="O6" s="13" t="str">
        <f>IFERROR(AVERAGE('Revenue Growth YoY'!O3:O6),"")</f>
        <v/>
      </c>
      <c r="P6" s="13" t="str">
        <f>IFERROR(AVERAGE('Revenue Growth YoY'!P3:P6),"")</f>
        <v/>
      </c>
      <c r="Q6" s="13" t="str">
        <f>IFERROR(AVERAGE('Revenue Growth YoY'!Q3:Q6),"")</f>
        <v/>
      </c>
      <c r="R6" s="13" t="str">
        <f>IFERROR(AVERAGE('Revenue Growth YoY'!R3:R6),"")</f>
        <v/>
      </c>
      <c r="S6" s="13" t="str">
        <f>IFERROR(AVERAGE('Revenue Growth YoY'!S3:S6),"")</f>
        <v/>
      </c>
      <c r="T6" s="13" t="str">
        <f>IFERROR(AVERAGE('Revenue Growth YoY'!T3:T6),"")</f>
        <v/>
      </c>
      <c r="U6" s="13" t="str">
        <f>IFERROR(AVERAGE('Revenue Growth YoY'!U3:U6),"")</f>
        <v/>
      </c>
      <c r="V6" s="13" t="str">
        <f>IFERROR(AVERAGE('Revenue Growth YoY'!V3:V6),"")</f>
        <v/>
      </c>
      <c r="W6" s="11"/>
      <c r="X6" s="11"/>
      <c r="Y6" s="11"/>
      <c r="Z6" s="11"/>
      <c r="AA6" s="11"/>
      <c r="AB6" s="11"/>
      <c r="AC6" s="11"/>
    </row>
    <row r="7" spans="1:29" ht="14">
      <c r="A7" s="14" t="s">
        <v>32</v>
      </c>
      <c r="B7" s="13" t="str">
        <f>IFERROR(AVERAGE('Revenue Growth YoY'!B4:B7),"")</f>
        <v/>
      </c>
      <c r="C7" s="13" t="str">
        <f>IFERROR(AVERAGE('Revenue Growth YoY'!C4:C7),"")</f>
        <v/>
      </c>
      <c r="D7" s="13"/>
      <c r="E7" s="13" t="str">
        <f>IFERROR(AVERAGE('Revenue Growth YoY'!E4:E7),"")</f>
        <v/>
      </c>
      <c r="F7" s="13" t="str">
        <f>IFERROR(AVERAGE('Revenue Growth YoY'!F4:F7),"")</f>
        <v/>
      </c>
      <c r="G7" s="13" t="str">
        <f>IFERROR(AVERAGE('Revenue Growth YoY'!G4:G7),"")</f>
        <v/>
      </c>
      <c r="H7" s="13" t="str">
        <f>IFERROR(AVERAGE('Revenue Growth YoY'!H4:H7),"")</f>
        <v/>
      </c>
      <c r="I7" s="13" t="str">
        <f>IFERROR(AVERAGE('Revenue Growth YoY'!I4:I7),"")</f>
        <v/>
      </c>
      <c r="J7" s="13" t="str">
        <f>IFERROR(AVERAGE('Revenue Growth YoY'!J4:J7),"")</f>
        <v/>
      </c>
      <c r="K7" s="13" t="str">
        <f>IFERROR(AVERAGE('Revenue Growth YoY'!K4:K7),"")</f>
        <v/>
      </c>
      <c r="L7" s="13" t="str">
        <f>IFERROR(AVERAGE('Revenue Growth YoY'!L4:L7),"")</f>
        <v/>
      </c>
      <c r="M7" s="13" t="str">
        <f>IFERROR(AVERAGE('Revenue Growth YoY'!M4:M7),"")</f>
        <v/>
      </c>
      <c r="N7" s="13" t="str">
        <f>IFERROR(AVERAGE('Revenue Growth YoY'!N4:N7),"")</f>
        <v/>
      </c>
      <c r="O7" s="13" t="str">
        <f>IFERROR(AVERAGE('Revenue Growth YoY'!O4:O7),"")</f>
        <v/>
      </c>
      <c r="P7" s="13" t="str">
        <f>IFERROR(AVERAGE('Revenue Growth YoY'!P4:P7),"")</f>
        <v/>
      </c>
      <c r="Q7" s="13" t="str">
        <f>IFERROR(AVERAGE('Revenue Growth YoY'!Q4:Q7),"")</f>
        <v/>
      </c>
      <c r="R7" s="13" t="str">
        <f>IFERROR(AVERAGE('Revenue Growth YoY'!R4:R7),"")</f>
        <v/>
      </c>
      <c r="S7" s="13" t="str">
        <f>IFERROR(AVERAGE('Revenue Growth YoY'!S4:S7),"")</f>
        <v/>
      </c>
      <c r="T7" s="13" t="str">
        <f>IFERROR(AVERAGE('Revenue Growth YoY'!T4:T7),"")</f>
        <v/>
      </c>
      <c r="U7" s="13" t="str">
        <f>IFERROR(AVERAGE('Revenue Growth YoY'!U4:U7),"")</f>
        <v/>
      </c>
      <c r="V7" s="13">
        <f>IFERROR(AVERAGE('Revenue Growth YoY'!V4:V7),"")</f>
        <v>1.2868525896414345</v>
      </c>
      <c r="W7" s="13">
        <f>IFERROR(AVERAGE('Revenue Growth YoY'!W4:W7),"")</f>
        <v>7.3787041824266986E-3</v>
      </c>
      <c r="X7" s="13" t="str">
        <f>IFERROR(AVERAGE('Revenue Growth YoY'!X4:X7),"")</f>
        <v/>
      </c>
      <c r="Y7" s="13" t="str">
        <f>IFERROR(AVERAGE('Revenue Growth YoY'!Y4:Y7),"")</f>
        <v/>
      </c>
      <c r="Z7" s="13" t="str">
        <f>IFERROR(AVERAGE('Revenue Growth YoY'!Z4:Z7),"")</f>
        <v/>
      </c>
      <c r="AA7" s="13" t="str">
        <f>IFERROR(AVERAGE('Revenue Growth YoY'!AA4:AA7),"")</f>
        <v/>
      </c>
      <c r="AB7" s="13" t="str">
        <f>IFERROR(AVERAGE('Revenue Growth YoY'!AB4:AB7),"")</f>
        <v/>
      </c>
      <c r="AC7" s="11"/>
    </row>
    <row r="8" spans="1:29" ht="14">
      <c r="A8" s="14" t="s">
        <v>33</v>
      </c>
      <c r="B8" s="13" t="str">
        <f>IFERROR(AVERAGE('Revenue Growth YoY'!B5:B8),"")</f>
        <v/>
      </c>
      <c r="C8" s="13" t="str">
        <f>IFERROR(AVERAGE('Revenue Growth YoY'!C5:C8),"")</f>
        <v/>
      </c>
      <c r="D8" s="13"/>
      <c r="E8" s="13" t="str">
        <f>IFERROR(AVERAGE('Revenue Growth YoY'!E5:E8),"")</f>
        <v/>
      </c>
      <c r="F8" s="13" t="str">
        <f>IFERROR(AVERAGE('Revenue Growth YoY'!F5:F8),"")</f>
        <v/>
      </c>
      <c r="G8" s="13" t="str">
        <f>IFERROR(AVERAGE('Revenue Growth YoY'!G5:G8),"")</f>
        <v/>
      </c>
      <c r="H8" s="13" t="str">
        <f>IFERROR(AVERAGE('Revenue Growth YoY'!H5:H8),"")</f>
        <v/>
      </c>
      <c r="I8" s="13" t="str">
        <f>IFERROR(AVERAGE('Revenue Growth YoY'!I5:I8),"")</f>
        <v/>
      </c>
      <c r="J8" s="13" t="str">
        <f>IFERROR(AVERAGE('Revenue Growth YoY'!J5:J8),"")</f>
        <v/>
      </c>
      <c r="K8" s="13" t="str">
        <f>IFERROR(AVERAGE('Revenue Growth YoY'!K5:K8),"")</f>
        <v/>
      </c>
      <c r="L8" s="13" t="str">
        <f>IFERROR(AVERAGE('Revenue Growth YoY'!L5:L8),"")</f>
        <v/>
      </c>
      <c r="M8" s="13" t="str">
        <f>IFERROR(AVERAGE('Revenue Growth YoY'!M5:M8),"")</f>
        <v/>
      </c>
      <c r="N8" s="13" t="str">
        <f>IFERROR(AVERAGE('Revenue Growth YoY'!N5:N8),"")</f>
        <v/>
      </c>
      <c r="O8" s="13" t="str">
        <f>IFERROR(AVERAGE('Revenue Growth YoY'!O5:O8),"")</f>
        <v/>
      </c>
      <c r="P8" s="13" t="str">
        <f>IFERROR(AVERAGE('Revenue Growth YoY'!P5:P8),"")</f>
        <v/>
      </c>
      <c r="Q8" s="13" t="str">
        <f>IFERROR(AVERAGE('Revenue Growth YoY'!Q5:Q8),"")</f>
        <v/>
      </c>
      <c r="R8" s="13" t="str">
        <f>IFERROR(AVERAGE('Revenue Growth YoY'!R5:R8),"")</f>
        <v/>
      </c>
      <c r="S8" s="13" t="str">
        <f>IFERROR(AVERAGE('Revenue Growth YoY'!S5:S8),"")</f>
        <v/>
      </c>
      <c r="T8" s="13" t="str">
        <f>IFERROR(AVERAGE('Revenue Growth YoY'!T5:T8),"")</f>
        <v/>
      </c>
      <c r="U8" s="13" t="str">
        <f>IFERROR(AVERAGE('Revenue Growth YoY'!U5:U8),"")</f>
        <v/>
      </c>
      <c r="V8" s="13">
        <f>IFERROR(AVERAGE('Revenue Growth YoY'!V5:V8),"")</f>
        <v>1.2868525896414345</v>
      </c>
      <c r="W8" s="13">
        <f>IFERROR(AVERAGE('Revenue Growth YoY'!W5:W8),"")</f>
        <v>7.3787041824266986E-3</v>
      </c>
      <c r="X8" s="13" t="str">
        <f>IFERROR(AVERAGE('Revenue Growth YoY'!X5:X8),"")</f>
        <v/>
      </c>
      <c r="Y8" s="13" t="str">
        <f>IFERROR(AVERAGE('Revenue Growth YoY'!Y5:Y8),"")</f>
        <v/>
      </c>
      <c r="Z8" s="13" t="str">
        <f>IFERROR(AVERAGE('Revenue Growth YoY'!Z5:Z8),"")</f>
        <v/>
      </c>
      <c r="AA8" s="13" t="str">
        <f>IFERROR(AVERAGE('Revenue Growth YoY'!AA5:AA8),"")</f>
        <v/>
      </c>
      <c r="AB8" s="13" t="str">
        <f>IFERROR(AVERAGE('Revenue Growth YoY'!AB5:AB8),"")</f>
        <v/>
      </c>
      <c r="AC8" s="11"/>
    </row>
    <row r="9" spans="1:29" ht="14">
      <c r="A9" s="14" t="s">
        <v>34</v>
      </c>
      <c r="B9" s="13" t="str">
        <f>IFERROR(AVERAGE('Revenue Growth YoY'!B6:B9),"")</f>
        <v/>
      </c>
      <c r="C9" s="13" t="str">
        <f>IFERROR(AVERAGE('Revenue Growth YoY'!C6:C9),"")</f>
        <v/>
      </c>
      <c r="D9" s="13"/>
      <c r="E9" s="13" t="str">
        <f>IFERROR(AVERAGE('Revenue Growth YoY'!E6:E9),"")</f>
        <v/>
      </c>
      <c r="F9" s="13" t="str">
        <f>IFERROR(AVERAGE('Revenue Growth YoY'!F6:F9),"")</f>
        <v/>
      </c>
      <c r="G9" s="13" t="str">
        <f>IFERROR(AVERAGE('Revenue Growth YoY'!G6:G9),"")</f>
        <v/>
      </c>
      <c r="H9" s="13" t="str">
        <f>IFERROR(AVERAGE('Revenue Growth YoY'!H6:H9),"")</f>
        <v/>
      </c>
      <c r="I9" s="13" t="str">
        <f>IFERROR(AVERAGE('Revenue Growth YoY'!I6:I9),"")</f>
        <v/>
      </c>
      <c r="J9" s="13" t="str">
        <f>IFERROR(AVERAGE('Revenue Growth YoY'!J6:J9),"")</f>
        <v/>
      </c>
      <c r="K9" s="13" t="str">
        <f>IFERROR(AVERAGE('Revenue Growth YoY'!K6:K9),"")</f>
        <v/>
      </c>
      <c r="L9" s="13" t="str">
        <f>IFERROR(AVERAGE('Revenue Growth YoY'!L6:L9),"")</f>
        <v/>
      </c>
      <c r="M9" s="13" t="str">
        <f>IFERROR(AVERAGE('Revenue Growth YoY'!M6:M9),"")</f>
        <v/>
      </c>
      <c r="N9" s="13" t="str">
        <f>IFERROR(AVERAGE('Revenue Growth YoY'!N6:N9),"")</f>
        <v/>
      </c>
      <c r="O9" s="13" t="str">
        <f>IFERROR(AVERAGE('Revenue Growth YoY'!O6:O9),"")</f>
        <v/>
      </c>
      <c r="P9" s="13" t="str">
        <f>IFERROR(AVERAGE('Revenue Growth YoY'!P6:P9),"")</f>
        <v/>
      </c>
      <c r="Q9" s="13" t="str">
        <f>IFERROR(AVERAGE('Revenue Growth YoY'!Q6:Q9),"")</f>
        <v/>
      </c>
      <c r="R9" s="13" t="str">
        <f>IFERROR(AVERAGE('Revenue Growth YoY'!R6:R9),"")</f>
        <v/>
      </c>
      <c r="S9" s="13" t="str">
        <f>IFERROR(AVERAGE('Revenue Growth YoY'!S6:S9),"")</f>
        <v/>
      </c>
      <c r="T9" s="13" t="str">
        <f>IFERROR(AVERAGE('Revenue Growth YoY'!T6:T9),"")</f>
        <v/>
      </c>
      <c r="U9" s="13" t="str">
        <f>IFERROR(AVERAGE('Revenue Growth YoY'!U6:U9),"")</f>
        <v/>
      </c>
      <c r="V9" s="13">
        <f>IFERROR(AVERAGE('Revenue Growth YoY'!V6:V9),"")</f>
        <v>1.2868525896414345</v>
      </c>
      <c r="W9" s="13">
        <f>IFERROR(AVERAGE('Revenue Growth YoY'!W6:W9),"")</f>
        <v>0.1080708602992911</v>
      </c>
      <c r="X9" s="13" t="str">
        <f>IFERROR(AVERAGE('Revenue Growth YoY'!X6:X9),"")</f>
        <v/>
      </c>
      <c r="Y9" s="13" t="str">
        <f>IFERROR(AVERAGE('Revenue Growth YoY'!Y6:Y9),"")</f>
        <v/>
      </c>
      <c r="Z9" s="13" t="str">
        <f>IFERROR(AVERAGE('Revenue Growth YoY'!Z6:Z9),"")</f>
        <v/>
      </c>
      <c r="AA9" s="13" t="str">
        <f>IFERROR(AVERAGE('Revenue Growth YoY'!AA6:AA9),"")</f>
        <v/>
      </c>
      <c r="AB9" s="13" t="str">
        <f>IFERROR(AVERAGE('Revenue Growth YoY'!AB6:AB9),"")</f>
        <v/>
      </c>
      <c r="AC9" s="11"/>
    </row>
    <row r="10" spans="1:29" ht="14">
      <c r="A10" s="14" t="s">
        <v>35</v>
      </c>
      <c r="B10" s="13" t="str">
        <f>IFERROR(AVERAGE('Revenue Growth YoY'!B7:B10),"")</f>
        <v/>
      </c>
      <c r="C10" s="13"/>
      <c r="D10" s="13"/>
      <c r="E10" s="13" t="str">
        <f>IFERROR(AVERAGE('Revenue Growth YoY'!E7:E10),"")</f>
        <v/>
      </c>
      <c r="F10" s="13" t="str">
        <f>IFERROR(AVERAGE('Revenue Growth YoY'!F7:F10),"")</f>
        <v/>
      </c>
      <c r="G10" s="13" t="str">
        <f>IFERROR(AVERAGE('Revenue Growth YoY'!G7:G10),"")</f>
        <v/>
      </c>
      <c r="H10" s="13" t="str">
        <f>IFERROR(AVERAGE('Revenue Growth YoY'!H7:H10),"")</f>
        <v/>
      </c>
      <c r="I10" s="13" t="str">
        <f>IFERROR(AVERAGE('Revenue Growth YoY'!I7:I10),"")</f>
        <v/>
      </c>
      <c r="J10" s="13" t="str">
        <f>IFERROR(AVERAGE('Revenue Growth YoY'!J7:J10),"")</f>
        <v/>
      </c>
      <c r="K10" s="13" t="str">
        <f>IFERROR(AVERAGE('Revenue Growth YoY'!K7:K10),"")</f>
        <v/>
      </c>
      <c r="L10" s="13" t="str">
        <f>IFERROR(AVERAGE('Revenue Growth YoY'!L7:L10),"")</f>
        <v/>
      </c>
      <c r="M10" s="13" t="str">
        <f>IFERROR(AVERAGE('Revenue Growth YoY'!M7:M10),"")</f>
        <v/>
      </c>
      <c r="N10" s="13" t="str">
        <f>IFERROR(AVERAGE('Revenue Growth YoY'!N7:N10),"")</f>
        <v/>
      </c>
      <c r="O10" s="13" t="str">
        <f>IFERROR(AVERAGE('Revenue Growth YoY'!O7:O10),"")</f>
        <v/>
      </c>
      <c r="P10" s="13" t="str">
        <f>IFERROR(AVERAGE('Revenue Growth YoY'!P7:P10),"")</f>
        <v/>
      </c>
      <c r="Q10" s="13" t="str">
        <f>IFERROR(AVERAGE('Revenue Growth YoY'!Q7:Q10),"")</f>
        <v/>
      </c>
      <c r="R10" s="13" t="str">
        <f>IFERROR(AVERAGE('Revenue Growth YoY'!R7:R10),"")</f>
        <v/>
      </c>
      <c r="S10" s="13" t="str">
        <f>IFERROR(AVERAGE('Revenue Growth YoY'!S7:S10),"")</f>
        <v/>
      </c>
      <c r="T10" s="13" t="str">
        <f>IFERROR(AVERAGE('Revenue Growth YoY'!T7:T10),"")</f>
        <v/>
      </c>
      <c r="U10" s="13" t="str">
        <f>IFERROR(AVERAGE('Revenue Growth YoY'!U7:U10),"")</f>
        <v/>
      </c>
      <c r="V10" s="13">
        <f>IFERROR(AVERAGE('Revenue Growth YoY'!V7:V10),"")</f>
        <v>1.2868525896414345</v>
      </c>
      <c r="W10" s="13">
        <f>IFERROR(AVERAGE('Revenue Growth YoY'!W7:W10),"")</f>
        <v>0.1584169383577233</v>
      </c>
      <c r="X10" s="13" t="str">
        <f>IFERROR(AVERAGE('Revenue Growth YoY'!X7:X10),"")</f>
        <v/>
      </c>
      <c r="Y10" s="13" t="str">
        <f>IFERROR(AVERAGE('Revenue Growth YoY'!Y7:Y10),"")</f>
        <v/>
      </c>
      <c r="Z10" s="13" t="str">
        <f>IFERROR(AVERAGE('Revenue Growth YoY'!Z7:Z10),"")</f>
        <v/>
      </c>
      <c r="AA10" s="13" t="str">
        <f>IFERROR(AVERAGE('Revenue Growth YoY'!AA7:AA10),"")</f>
        <v/>
      </c>
      <c r="AB10" s="13" t="str">
        <f>IFERROR(AVERAGE('Revenue Growth YoY'!AB7:AB10),"")</f>
        <v/>
      </c>
      <c r="AC10" s="11"/>
    </row>
    <row r="11" spans="1:29" ht="14">
      <c r="A11" s="14" t="s">
        <v>36</v>
      </c>
      <c r="B11" s="13" t="str">
        <f>IFERROR(AVERAGE('Revenue Growth YoY'!B8:B11),"")</f>
        <v/>
      </c>
      <c r="C11" s="13" t="str">
        <f>IFERROR(AVERAGE('Revenue Growth YoY'!C8:C11),"")</f>
        <v/>
      </c>
      <c r="D11" s="13">
        <f>IFERROR(AVERAGE('Revenue Growth YoY'!D8:D11),"")</f>
        <v>1.7987994503507632</v>
      </c>
      <c r="E11" s="13" t="str">
        <f>IFERROR(AVERAGE('Revenue Growth YoY'!E8:E11),"")</f>
        <v/>
      </c>
      <c r="F11" s="13" t="str">
        <f>IFERROR(AVERAGE('Revenue Growth YoY'!F8:F11),"")</f>
        <v/>
      </c>
      <c r="G11" s="13" t="str">
        <f>IFERROR(AVERAGE('Revenue Growth YoY'!G8:G11),"")</f>
        <v/>
      </c>
      <c r="H11" s="13" t="str">
        <f>IFERROR(AVERAGE('Revenue Growth YoY'!H8:H11),"")</f>
        <v/>
      </c>
      <c r="I11" s="13" t="str">
        <f>IFERROR(AVERAGE('Revenue Growth YoY'!I8:I11),"")</f>
        <v/>
      </c>
      <c r="J11" s="13" t="str">
        <f>IFERROR(AVERAGE('Revenue Growth YoY'!J8:J11),"")</f>
        <v/>
      </c>
      <c r="K11" s="13" t="str">
        <f>IFERROR(AVERAGE('Revenue Growth YoY'!K8:K11),"")</f>
        <v/>
      </c>
      <c r="L11" s="13" t="str">
        <f>IFERROR(AVERAGE('Revenue Growth YoY'!L8:L11),"")</f>
        <v/>
      </c>
      <c r="M11" s="13" t="str">
        <f>IFERROR(AVERAGE('Revenue Growth YoY'!M8:M11),"")</f>
        <v/>
      </c>
      <c r="N11" s="13" t="str">
        <f>IFERROR(AVERAGE('Revenue Growth YoY'!N8:N11),"")</f>
        <v/>
      </c>
      <c r="O11" s="13" t="str">
        <f>IFERROR(AVERAGE('Revenue Growth YoY'!O8:O11),"")</f>
        <v/>
      </c>
      <c r="P11" s="13" t="str">
        <f>IFERROR(AVERAGE('Revenue Growth YoY'!P8:P11),"")</f>
        <v/>
      </c>
      <c r="Q11" s="13" t="str">
        <f>IFERROR(AVERAGE('Revenue Growth YoY'!Q8:Q11),"")</f>
        <v/>
      </c>
      <c r="R11" s="13" t="str">
        <f>IFERROR(AVERAGE('Revenue Growth YoY'!R8:R11),"")</f>
        <v/>
      </c>
      <c r="S11" s="13" t="str">
        <f>IFERROR(AVERAGE('Revenue Growth YoY'!S8:S11),"")</f>
        <v/>
      </c>
      <c r="T11" s="13" t="str">
        <f>IFERROR(AVERAGE('Revenue Growth YoY'!T8:T11),"")</f>
        <v/>
      </c>
      <c r="U11" s="13" t="str">
        <f>IFERROR(AVERAGE('Revenue Growth YoY'!U8:U11),"")</f>
        <v/>
      </c>
      <c r="V11" s="13">
        <f>IFERROR(AVERAGE('Revenue Growth YoY'!V8:V11),"")</f>
        <v>1.4707072923111211</v>
      </c>
      <c r="W11" s="13">
        <f>IFERROR(AVERAGE('Revenue Growth YoY'!W8:W11),"")</f>
        <v>0.2339360554453716</v>
      </c>
      <c r="X11" s="13" t="str">
        <f>IFERROR(AVERAGE('Revenue Growth YoY'!X8:X11),"")</f>
        <v/>
      </c>
      <c r="Y11" s="13" t="str">
        <f>IFERROR(AVERAGE('Revenue Growth YoY'!Y8:Y11),"")</f>
        <v/>
      </c>
      <c r="Z11" s="13" t="str">
        <f>IFERROR(AVERAGE('Revenue Growth YoY'!Z8:Z11),"")</f>
        <v/>
      </c>
      <c r="AA11" s="13" t="str">
        <f>IFERROR(AVERAGE('Revenue Growth YoY'!AA8:AA11),"")</f>
        <v/>
      </c>
      <c r="AB11" s="13" t="str">
        <f>IFERROR(AVERAGE('Revenue Growth YoY'!AB8:AB11),"")</f>
        <v/>
      </c>
      <c r="AC11" s="11"/>
    </row>
    <row r="12" spans="1:29" ht="14">
      <c r="A12" s="14" t="s">
        <v>37</v>
      </c>
      <c r="B12" s="13" t="str">
        <f>IFERROR(AVERAGE('Revenue Growth YoY'!B9:B12),"")</f>
        <v/>
      </c>
      <c r="C12" s="13" t="str">
        <f>IFERROR(AVERAGE('Revenue Growth YoY'!C9:C12),"")</f>
        <v/>
      </c>
      <c r="D12" s="13">
        <f>IFERROR(AVERAGE('Revenue Growth YoY'!D9:D12),"")</f>
        <v>1.7987994503507632</v>
      </c>
      <c r="E12" s="13" t="str">
        <f>IFERROR(AVERAGE('Revenue Growth YoY'!E9:E12),"")</f>
        <v/>
      </c>
      <c r="F12" s="13" t="str">
        <f>IFERROR(AVERAGE('Revenue Growth YoY'!F9:F12),"")</f>
        <v/>
      </c>
      <c r="G12" s="13" t="str">
        <f>IFERROR(AVERAGE('Revenue Growth YoY'!G9:G12),"")</f>
        <v/>
      </c>
      <c r="H12" s="13" t="str">
        <f>IFERROR(AVERAGE('Revenue Growth YoY'!H9:H12),"")</f>
        <v/>
      </c>
      <c r="I12" s="13" t="str">
        <f>IFERROR(AVERAGE('Revenue Growth YoY'!I9:I12),"")</f>
        <v/>
      </c>
      <c r="J12" s="13" t="str">
        <f>IFERROR(AVERAGE('Revenue Growth YoY'!J9:J12),"")</f>
        <v/>
      </c>
      <c r="K12" s="13" t="str">
        <f>IFERROR(AVERAGE('Revenue Growth YoY'!K9:K12),"")</f>
        <v/>
      </c>
      <c r="L12" s="13" t="str">
        <f>IFERROR(AVERAGE('Revenue Growth YoY'!L9:L12),"")</f>
        <v/>
      </c>
      <c r="M12" s="13" t="str">
        <f>IFERROR(AVERAGE('Revenue Growth YoY'!M9:M12),"")</f>
        <v/>
      </c>
      <c r="N12" s="13" t="str">
        <f>IFERROR(AVERAGE('Revenue Growth YoY'!N9:N12),"")</f>
        <v/>
      </c>
      <c r="O12" s="13" t="str">
        <f>IFERROR(AVERAGE('Revenue Growth YoY'!O9:O12),"")</f>
        <v/>
      </c>
      <c r="P12" s="13" t="str">
        <f>IFERROR(AVERAGE('Revenue Growth YoY'!P9:P12),"")</f>
        <v/>
      </c>
      <c r="Q12" s="13" t="str">
        <f>IFERROR(AVERAGE('Revenue Growth YoY'!Q9:Q12),"")</f>
        <v/>
      </c>
      <c r="R12" s="13" t="str">
        <f>IFERROR(AVERAGE('Revenue Growth YoY'!R9:R12),"")</f>
        <v/>
      </c>
      <c r="S12" s="13" t="str">
        <f>IFERROR(AVERAGE('Revenue Growth YoY'!S9:S12),"")</f>
        <v/>
      </c>
      <c r="T12" s="13" t="str">
        <f>IFERROR(AVERAGE('Revenue Growth YoY'!T9:T12),"")</f>
        <v/>
      </c>
      <c r="U12" s="13" t="str">
        <f>IFERROR(AVERAGE('Revenue Growth YoY'!U9:U12),"")</f>
        <v/>
      </c>
      <c r="V12" s="13">
        <f>IFERROR(AVERAGE('Revenue Growth YoY'!V9:V12),"")</f>
        <v>1.6545619949808077</v>
      </c>
      <c r="W12" s="13">
        <f>IFERROR(AVERAGE('Revenue Growth YoY'!W9:W12),"")</f>
        <v>0.30945517253301991</v>
      </c>
      <c r="X12" s="13" t="str">
        <f>IFERROR(AVERAGE('Revenue Growth YoY'!X9:X12),"")</f>
        <v/>
      </c>
      <c r="Y12" s="13" t="str">
        <f>IFERROR(AVERAGE('Revenue Growth YoY'!Y9:Y12),"")</f>
        <v/>
      </c>
      <c r="Z12" s="13" t="str">
        <f>IFERROR(AVERAGE('Revenue Growth YoY'!Z9:Z12),"")</f>
        <v/>
      </c>
      <c r="AA12" s="13" t="str">
        <f>IFERROR(AVERAGE('Revenue Growth YoY'!AA9:AA12),"")</f>
        <v/>
      </c>
      <c r="AB12" s="13" t="str">
        <f>IFERROR(AVERAGE('Revenue Growth YoY'!AB9:AB12),"")</f>
        <v/>
      </c>
      <c r="AC12" s="11"/>
    </row>
    <row r="13" spans="1:29" ht="14">
      <c r="A13" s="14" t="s">
        <v>38</v>
      </c>
      <c r="B13" s="13" t="str">
        <f>IFERROR(AVERAGE('Revenue Growth YoY'!B10:B13),"")</f>
        <v/>
      </c>
      <c r="C13" s="13" t="str">
        <f>IFERROR(AVERAGE('Revenue Growth YoY'!C10:C13),"")</f>
        <v/>
      </c>
      <c r="D13" s="13">
        <f>IFERROR(AVERAGE('Revenue Growth YoY'!D10:D13),"")</f>
        <v>1.7987994503507629</v>
      </c>
      <c r="E13" s="13" t="str">
        <f>IFERROR(AVERAGE('Revenue Growth YoY'!E10:E13),"")</f>
        <v/>
      </c>
      <c r="F13" s="13" t="str">
        <f>IFERROR(AVERAGE('Revenue Growth YoY'!F10:F13),"")</f>
        <v/>
      </c>
      <c r="G13" s="13" t="str">
        <f>IFERROR(AVERAGE('Revenue Growth YoY'!G10:G13),"")</f>
        <v/>
      </c>
      <c r="H13" s="13" t="str">
        <f>IFERROR(AVERAGE('Revenue Growth YoY'!H10:H13),"")</f>
        <v/>
      </c>
      <c r="I13" s="13" t="str">
        <f>IFERROR(AVERAGE('Revenue Growth YoY'!I10:I13),"")</f>
        <v/>
      </c>
      <c r="J13" s="13" t="str">
        <f>IFERROR(AVERAGE('Revenue Growth YoY'!J10:J13),"")</f>
        <v/>
      </c>
      <c r="K13" s="13" t="str">
        <f>IFERROR(AVERAGE('Revenue Growth YoY'!K10:K13),"")</f>
        <v/>
      </c>
      <c r="L13" s="13" t="str">
        <f>IFERROR(AVERAGE('Revenue Growth YoY'!L10:L13),"")</f>
        <v/>
      </c>
      <c r="M13" s="13" t="str">
        <f>IFERROR(AVERAGE('Revenue Growth YoY'!M10:M13),"")</f>
        <v/>
      </c>
      <c r="N13" s="13" t="str">
        <f>IFERROR(AVERAGE('Revenue Growth YoY'!N10:N13),"")</f>
        <v/>
      </c>
      <c r="O13" s="13" t="str">
        <f>IFERROR(AVERAGE('Revenue Growth YoY'!O10:O13),"")</f>
        <v/>
      </c>
      <c r="P13" s="13" t="str">
        <f>IFERROR(AVERAGE('Revenue Growth YoY'!P10:P13),"")</f>
        <v/>
      </c>
      <c r="Q13" s="13" t="str">
        <f>IFERROR(AVERAGE('Revenue Growth YoY'!Q10:Q13),"")</f>
        <v/>
      </c>
      <c r="R13" s="13" t="str">
        <f>IFERROR(AVERAGE('Revenue Growth YoY'!R10:R13),"")</f>
        <v/>
      </c>
      <c r="S13" s="13" t="str">
        <f>IFERROR(AVERAGE('Revenue Growth YoY'!S10:S13),"")</f>
        <v/>
      </c>
      <c r="T13" s="13" t="str">
        <f>IFERROR(AVERAGE('Revenue Growth YoY'!T10:T13),"")</f>
        <v/>
      </c>
      <c r="U13" s="13" t="str">
        <f>IFERROR(AVERAGE('Revenue Growth YoY'!U10:U13),"")</f>
        <v/>
      </c>
      <c r="V13" s="13">
        <f>IFERROR(AVERAGE('Revenue Growth YoY'!V10:V13),"")</f>
        <v>1.8384166976504943</v>
      </c>
      <c r="W13" s="13">
        <f>IFERROR(AVERAGE('Revenue Growth YoY'!W10:W13),"")</f>
        <v>0.27930275552959677</v>
      </c>
      <c r="X13" s="13" t="str">
        <f>IFERROR(AVERAGE('Revenue Growth YoY'!X10:X13),"")</f>
        <v/>
      </c>
      <c r="Y13" s="13" t="str">
        <f>IFERROR(AVERAGE('Revenue Growth YoY'!Y10:Y13),"")</f>
        <v/>
      </c>
      <c r="Z13" s="13" t="str">
        <f>IFERROR(AVERAGE('Revenue Growth YoY'!Z10:Z13),"")</f>
        <v/>
      </c>
      <c r="AA13" s="13" t="str">
        <f>IFERROR(AVERAGE('Revenue Growth YoY'!AA10:AA13),"")</f>
        <v/>
      </c>
      <c r="AB13" s="13" t="str">
        <f>IFERROR(AVERAGE('Revenue Growth YoY'!AB10:AB13),"")</f>
        <v/>
      </c>
      <c r="AC13" s="11"/>
    </row>
    <row r="14" spans="1:29" ht="14">
      <c r="A14" s="14" t="s">
        <v>39</v>
      </c>
      <c r="B14" s="13" t="str">
        <f>IFERROR(AVERAGE('Revenue Growth YoY'!B11:B14),"")</f>
        <v/>
      </c>
      <c r="C14" s="13" t="str">
        <f>IFERROR(AVERAGE('Revenue Growth YoY'!C11:C14),"")</f>
        <v/>
      </c>
      <c r="D14" s="13">
        <f>IFERROR(AVERAGE('Revenue Growth YoY'!D11:D14),"")</f>
        <v>1.7987994503507632</v>
      </c>
      <c r="E14" s="13" t="str">
        <f>IFERROR(AVERAGE('Revenue Growth YoY'!E11:E14),"")</f>
        <v/>
      </c>
      <c r="F14" s="13" t="str">
        <f>IFERROR(AVERAGE('Revenue Growth YoY'!F11:F14),"")</f>
        <v/>
      </c>
      <c r="G14" s="13" t="str">
        <f>IFERROR(AVERAGE('Revenue Growth YoY'!G11:G14),"")</f>
        <v/>
      </c>
      <c r="H14" s="13" t="str">
        <f>IFERROR(AVERAGE('Revenue Growth YoY'!H11:H14),"")</f>
        <v/>
      </c>
      <c r="I14" s="13" t="str">
        <f>IFERROR(AVERAGE('Revenue Growth YoY'!I11:I14),"")</f>
        <v/>
      </c>
      <c r="J14" s="13" t="str">
        <f>IFERROR(AVERAGE('Revenue Growth YoY'!J11:J14),"")</f>
        <v/>
      </c>
      <c r="K14" s="13" t="str">
        <f>IFERROR(AVERAGE('Revenue Growth YoY'!K11:K14),"")</f>
        <v/>
      </c>
      <c r="L14" s="13" t="str">
        <f>IFERROR(AVERAGE('Revenue Growth YoY'!L11:L14),"")</f>
        <v/>
      </c>
      <c r="M14" s="13" t="str">
        <f>IFERROR(AVERAGE('Revenue Growth YoY'!M11:M14),"")</f>
        <v/>
      </c>
      <c r="N14" s="13" t="str">
        <f>IFERROR(AVERAGE('Revenue Growth YoY'!N11:N14),"")</f>
        <v/>
      </c>
      <c r="O14" s="13" t="str">
        <f>IFERROR(AVERAGE('Revenue Growth YoY'!O11:O14),"")</f>
        <v/>
      </c>
      <c r="P14" s="13" t="str">
        <f>IFERROR(AVERAGE('Revenue Growth YoY'!P11:P14),"")</f>
        <v/>
      </c>
      <c r="Q14" s="13" t="str">
        <f>IFERROR(AVERAGE('Revenue Growth YoY'!Q11:Q14),"")</f>
        <v/>
      </c>
      <c r="R14" s="13" t="str">
        <f>IFERROR(AVERAGE('Revenue Growth YoY'!R11:R14),"")</f>
        <v/>
      </c>
      <c r="S14" s="13" t="str">
        <f>IFERROR(AVERAGE('Revenue Growth YoY'!S11:S14),"")</f>
        <v/>
      </c>
      <c r="T14" s="13" t="str">
        <f>IFERROR(AVERAGE('Revenue Growth YoY'!T11:T14),"")</f>
        <v/>
      </c>
      <c r="U14" s="13" t="str">
        <f>IFERROR(AVERAGE('Revenue Growth YoY'!U11:U14),"")</f>
        <v/>
      </c>
      <c r="V14" s="13">
        <f>IFERROR(AVERAGE('Revenue Growth YoY'!V11:V14),"")</f>
        <v>2.0222714003201809</v>
      </c>
      <c r="W14" s="13">
        <f>IFERROR(AVERAGE('Revenue Growth YoY'!W11:W14),"")</f>
        <v>0.24915033852617363</v>
      </c>
      <c r="X14" s="13" t="str">
        <f>IFERROR(AVERAGE('Revenue Growth YoY'!X11:X14),"")</f>
        <v/>
      </c>
      <c r="Y14" s="13" t="str">
        <f>IFERROR(AVERAGE('Revenue Growth YoY'!Y11:Y14),"")</f>
        <v/>
      </c>
      <c r="Z14" s="13" t="str">
        <f>IFERROR(AVERAGE('Revenue Growth YoY'!Z11:Z14),"")</f>
        <v/>
      </c>
      <c r="AA14" s="13" t="str">
        <f>IFERROR(AVERAGE('Revenue Growth YoY'!AA11:AA14),"")</f>
        <v/>
      </c>
      <c r="AB14" s="13" t="str">
        <f>IFERROR(AVERAGE('Revenue Growth YoY'!AB11:AB14),"")</f>
        <v/>
      </c>
      <c r="AC14" s="11"/>
    </row>
    <row r="15" spans="1:29" ht="14">
      <c r="A15" s="14" t="s">
        <v>40</v>
      </c>
      <c r="B15" s="13" t="str">
        <f>IFERROR(AVERAGE('Revenue Growth YoY'!B12:B15),"")</f>
        <v/>
      </c>
      <c r="C15" s="13">
        <f>IFERROR(AVERAGE('Revenue Growth YoY'!C12:C15),"")</f>
        <v>1.5608838954416369</v>
      </c>
      <c r="D15" s="13">
        <f>IFERROR(AVERAGE('Revenue Growth YoY'!D12:D15),"")</f>
        <v>1.7104267538397151</v>
      </c>
      <c r="E15" s="13" t="str">
        <f>IFERROR(AVERAGE('Revenue Growth YoY'!E12:E15),"")</f>
        <v/>
      </c>
      <c r="F15" s="13" t="str">
        <f>IFERROR(AVERAGE('Revenue Growth YoY'!F12:F15),"")</f>
        <v/>
      </c>
      <c r="G15" s="13" t="str">
        <f>IFERROR(AVERAGE('Revenue Growth YoY'!G12:G15),"")</f>
        <v/>
      </c>
      <c r="H15" s="13" t="str">
        <f>IFERROR(AVERAGE('Revenue Growth YoY'!H12:H15),"")</f>
        <v/>
      </c>
      <c r="I15" s="13" t="str">
        <f>IFERROR(AVERAGE('Revenue Growth YoY'!I12:I15),"")</f>
        <v/>
      </c>
      <c r="J15" s="13" t="str">
        <f>IFERROR(AVERAGE('Revenue Growth YoY'!J12:J15),"")</f>
        <v/>
      </c>
      <c r="K15" s="13" t="str">
        <f>IFERROR(AVERAGE('Revenue Growth YoY'!K12:K15),"")</f>
        <v/>
      </c>
      <c r="L15" s="13" t="str">
        <f>IFERROR(AVERAGE('Revenue Growth YoY'!L12:L15),"")</f>
        <v/>
      </c>
      <c r="M15" s="13" t="str">
        <f>IFERROR(AVERAGE('Revenue Growth YoY'!M12:M15),"")</f>
        <v/>
      </c>
      <c r="N15" s="13" t="str">
        <f>IFERROR(AVERAGE('Revenue Growth YoY'!N12:N15),"")</f>
        <v/>
      </c>
      <c r="O15" s="13" t="str">
        <f>IFERROR(AVERAGE('Revenue Growth YoY'!O12:O15),"")</f>
        <v/>
      </c>
      <c r="P15" s="13" t="str">
        <f>IFERROR(AVERAGE('Revenue Growth YoY'!P12:P15),"")</f>
        <v/>
      </c>
      <c r="Q15" s="13" t="str">
        <f>IFERROR(AVERAGE('Revenue Growth YoY'!Q12:Q15),"")</f>
        <v/>
      </c>
      <c r="R15" s="13" t="str">
        <f>IFERROR(AVERAGE('Revenue Growth YoY'!R12:R15),"")</f>
        <v/>
      </c>
      <c r="S15" s="13" t="str">
        <f>IFERROR(AVERAGE('Revenue Growth YoY'!S12:S15),"")</f>
        <v/>
      </c>
      <c r="T15" s="13" t="str">
        <f>IFERROR(AVERAGE('Revenue Growth YoY'!T12:T15),"")</f>
        <v/>
      </c>
      <c r="U15" s="13" t="str">
        <f>IFERROR(AVERAGE('Revenue Growth YoY'!U12:U15),"")</f>
        <v/>
      </c>
      <c r="V15" s="13">
        <f>IFERROR(AVERAGE('Revenue Growth YoY'!V12:V15),"")</f>
        <v>2.0171280910350009</v>
      </c>
      <c r="W15" s="13">
        <f>IFERROR(AVERAGE('Revenue Growth YoY'!W12:W15),"")</f>
        <v>0.21899792152275049</v>
      </c>
      <c r="X15" s="13" t="str">
        <f>IFERROR(AVERAGE('Revenue Growth YoY'!X12:X15),"")</f>
        <v/>
      </c>
      <c r="Y15" s="13" t="str">
        <f>IFERROR(AVERAGE('Revenue Growth YoY'!Y12:Y15),"")</f>
        <v/>
      </c>
      <c r="Z15" s="13" t="str">
        <f>IFERROR(AVERAGE('Revenue Growth YoY'!Z12:Z15),"")</f>
        <v/>
      </c>
      <c r="AA15" s="13" t="str">
        <f>IFERROR(AVERAGE('Revenue Growth YoY'!AA12:AA15),"")</f>
        <v/>
      </c>
      <c r="AB15" s="13" t="str">
        <f>IFERROR(AVERAGE('Revenue Growth YoY'!AB12:AB15),"")</f>
        <v/>
      </c>
      <c r="AC15" s="11"/>
    </row>
    <row r="16" spans="1:29" ht="14">
      <c r="A16" s="14" t="s">
        <v>41</v>
      </c>
      <c r="B16" s="13" t="str">
        <f>IFERROR(AVERAGE('Revenue Growth YoY'!B13:B16),"")</f>
        <v/>
      </c>
      <c r="C16" s="13">
        <f>IFERROR(AVERAGE('Revenue Growth YoY'!C13:C16),"")</f>
        <v>1.5608838954416369</v>
      </c>
      <c r="D16" s="13">
        <f>IFERROR(AVERAGE('Revenue Growth YoY'!D13:D16),"")</f>
        <v>1.6220540573286673</v>
      </c>
      <c r="E16" s="13" t="str">
        <f>IFERROR(AVERAGE('Revenue Growth YoY'!E13:E16),"")</f>
        <v/>
      </c>
      <c r="F16" s="13" t="str">
        <f>IFERROR(AVERAGE('Revenue Growth YoY'!F13:F16),"")</f>
        <v/>
      </c>
      <c r="G16" s="13" t="str">
        <f>IFERROR(AVERAGE('Revenue Growth YoY'!G13:G16),"")</f>
        <v/>
      </c>
      <c r="H16" s="13" t="str">
        <f>IFERROR(AVERAGE('Revenue Growth YoY'!H13:H16),"")</f>
        <v/>
      </c>
      <c r="I16" s="13" t="str">
        <f>IFERROR(AVERAGE('Revenue Growth YoY'!I13:I16),"")</f>
        <v/>
      </c>
      <c r="J16" s="13" t="str">
        <f>IFERROR(AVERAGE('Revenue Growth YoY'!J13:J16),"")</f>
        <v/>
      </c>
      <c r="K16" s="13" t="str">
        <f>IFERROR(AVERAGE('Revenue Growth YoY'!K13:K16),"")</f>
        <v/>
      </c>
      <c r="L16" s="13" t="str">
        <f>IFERROR(AVERAGE('Revenue Growth YoY'!L13:L16),"")</f>
        <v/>
      </c>
      <c r="M16" s="13" t="str">
        <f>IFERROR(AVERAGE('Revenue Growth YoY'!M13:M16),"")</f>
        <v/>
      </c>
      <c r="N16" s="13" t="str">
        <f>IFERROR(AVERAGE('Revenue Growth YoY'!N13:N16),"")</f>
        <v/>
      </c>
      <c r="O16" s="13" t="str">
        <f>IFERROR(AVERAGE('Revenue Growth YoY'!O13:O16),"")</f>
        <v/>
      </c>
      <c r="P16" s="13" t="str">
        <f>IFERROR(AVERAGE('Revenue Growth YoY'!P13:P16),"")</f>
        <v/>
      </c>
      <c r="Q16" s="13" t="str">
        <f>IFERROR(AVERAGE('Revenue Growth YoY'!Q13:Q16),"")</f>
        <v/>
      </c>
      <c r="R16" s="13" t="str">
        <f>IFERROR(AVERAGE('Revenue Growth YoY'!R13:R16),"")</f>
        <v/>
      </c>
      <c r="S16" s="13" t="str">
        <f>IFERROR(AVERAGE('Revenue Growth YoY'!S13:S16),"")</f>
        <v/>
      </c>
      <c r="T16" s="13" t="str">
        <f>IFERROR(AVERAGE('Revenue Growth YoY'!T13:T16),"")</f>
        <v/>
      </c>
      <c r="U16" s="13" t="str">
        <f>IFERROR(AVERAGE('Revenue Growth YoY'!U13:U16),"")</f>
        <v/>
      </c>
      <c r="V16" s="13">
        <f>IFERROR(AVERAGE('Revenue Growth YoY'!V13:V16),"")</f>
        <v>2.0119847817498204</v>
      </c>
      <c r="W16" s="13">
        <f>IFERROR(AVERAGE('Revenue Growth YoY'!W13:W16),"")</f>
        <v>0.18884550451932736</v>
      </c>
      <c r="X16" s="13" t="str">
        <f>IFERROR(AVERAGE('Revenue Growth YoY'!X13:X16),"")</f>
        <v/>
      </c>
      <c r="Y16" s="13" t="str">
        <f>IFERROR(AVERAGE('Revenue Growth YoY'!Y13:Y16),"")</f>
        <v/>
      </c>
      <c r="Z16" s="13" t="str">
        <f>IFERROR(AVERAGE('Revenue Growth YoY'!Z13:Z16),"")</f>
        <v/>
      </c>
      <c r="AA16" s="13" t="str">
        <f>IFERROR(AVERAGE('Revenue Growth YoY'!AA13:AA16),"")</f>
        <v/>
      </c>
      <c r="AB16" s="13" t="str">
        <f>IFERROR(AVERAGE('Revenue Growth YoY'!AB13:AB16),"")</f>
        <v/>
      </c>
      <c r="AC16" s="11"/>
    </row>
    <row r="17" spans="1:29" ht="14">
      <c r="A17" s="14" t="s">
        <v>42</v>
      </c>
      <c r="B17" s="13" t="str">
        <f>IFERROR(AVERAGE('Revenue Growth YoY'!B14:B17),"")</f>
        <v/>
      </c>
      <c r="C17" s="13">
        <f>IFERROR(AVERAGE('Revenue Growth YoY'!C14:C17),"")</f>
        <v>1.5608838954416369</v>
      </c>
      <c r="D17" s="13">
        <f>IFERROR(AVERAGE('Revenue Growth YoY'!D14:D17),"")</f>
        <v>1.5336813608176194</v>
      </c>
      <c r="E17" s="13" t="str">
        <f>IFERROR(AVERAGE('Revenue Growth YoY'!E14:E17),"")</f>
        <v/>
      </c>
      <c r="F17" s="13" t="str">
        <f>IFERROR(AVERAGE('Revenue Growth YoY'!F14:F17),"")</f>
        <v/>
      </c>
      <c r="G17" s="13" t="str">
        <f>IFERROR(AVERAGE('Revenue Growth YoY'!G14:G17),"")</f>
        <v/>
      </c>
      <c r="H17" s="13" t="str">
        <f>IFERROR(AVERAGE('Revenue Growth YoY'!H14:H17),"")</f>
        <v/>
      </c>
      <c r="I17" s="13" t="str">
        <f>IFERROR(AVERAGE('Revenue Growth YoY'!I14:I17),"")</f>
        <v/>
      </c>
      <c r="J17" s="13" t="str">
        <f>IFERROR(AVERAGE('Revenue Growth YoY'!J14:J17),"")</f>
        <v/>
      </c>
      <c r="K17" s="13" t="str">
        <f>IFERROR(AVERAGE('Revenue Growth YoY'!K14:K17),"")</f>
        <v/>
      </c>
      <c r="L17" s="13" t="str">
        <f>IFERROR(AVERAGE('Revenue Growth YoY'!L14:L17),"")</f>
        <v/>
      </c>
      <c r="M17" s="13" t="str">
        <f>IFERROR(AVERAGE('Revenue Growth YoY'!M14:M17),"")</f>
        <v/>
      </c>
      <c r="N17" s="13" t="str">
        <f>IFERROR(AVERAGE('Revenue Growth YoY'!N14:N17),"")</f>
        <v/>
      </c>
      <c r="O17" s="13" t="str">
        <f>IFERROR(AVERAGE('Revenue Growth YoY'!O14:O17),"")</f>
        <v/>
      </c>
      <c r="P17" s="13" t="str">
        <f>IFERROR(AVERAGE('Revenue Growth YoY'!P14:P17),"")</f>
        <v/>
      </c>
      <c r="Q17" s="13" t="str">
        <f>IFERROR(AVERAGE('Revenue Growth YoY'!Q14:Q17),"")</f>
        <v/>
      </c>
      <c r="R17" s="13" t="str">
        <f>IFERROR(AVERAGE('Revenue Growth YoY'!R14:R17),"")</f>
        <v/>
      </c>
      <c r="S17" s="13" t="str">
        <f>IFERROR(AVERAGE('Revenue Growth YoY'!S14:S17),"")</f>
        <v/>
      </c>
      <c r="T17" s="13" t="str">
        <f>IFERROR(AVERAGE('Revenue Growth YoY'!T14:T17),"")</f>
        <v/>
      </c>
      <c r="U17" s="13" t="str">
        <f>IFERROR(AVERAGE('Revenue Growth YoY'!U14:U17),"")</f>
        <v/>
      </c>
      <c r="V17" s="13">
        <f>IFERROR(AVERAGE('Revenue Growth YoY'!V14:V17),"")</f>
        <v>2.0068414724646404</v>
      </c>
      <c r="W17" s="13">
        <f>IFERROR(AVERAGE('Revenue Growth YoY'!W14:W17),"")</f>
        <v>0.15690253713510288</v>
      </c>
      <c r="X17" s="13" t="str">
        <f>IFERROR(AVERAGE('Revenue Growth YoY'!X14:X17),"")</f>
        <v/>
      </c>
      <c r="Y17" s="13" t="str">
        <f>IFERROR(AVERAGE('Revenue Growth YoY'!Y14:Y17),"")</f>
        <v/>
      </c>
      <c r="Z17" s="13" t="str">
        <f>IFERROR(AVERAGE('Revenue Growth YoY'!Z14:Z17),"")</f>
        <v/>
      </c>
      <c r="AA17" s="13" t="str">
        <f>IFERROR(AVERAGE('Revenue Growth YoY'!AA14:AA17),"")</f>
        <v/>
      </c>
      <c r="AB17" s="13" t="str">
        <f>IFERROR(AVERAGE('Revenue Growth YoY'!AB14:AB17),"")</f>
        <v/>
      </c>
      <c r="AC17" s="11"/>
    </row>
    <row r="18" spans="1:29" ht="14">
      <c r="A18" s="14" t="s">
        <v>43</v>
      </c>
      <c r="B18" s="13" t="str">
        <f>IFERROR(AVERAGE('Revenue Growth YoY'!B15:B18),"")</f>
        <v/>
      </c>
      <c r="C18" s="13">
        <f>IFERROR(AVERAGE('Revenue Growth YoY'!C15:C18),"")</f>
        <v>1.5608838954416369</v>
      </c>
      <c r="D18" s="13">
        <f>IFERROR(AVERAGE('Revenue Growth YoY'!D15:D18),"")</f>
        <v>1.4453086643065713</v>
      </c>
      <c r="E18" s="13" t="str">
        <f>IFERROR(AVERAGE('Revenue Growth YoY'!E15:E18),"")</f>
        <v/>
      </c>
      <c r="F18" s="13" t="str">
        <f>IFERROR(AVERAGE('Revenue Growth YoY'!F15:F18),"")</f>
        <v/>
      </c>
      <c r="G18" s="13" t="str">
        <f>IFERROR(AVERAGE('Revenue Growth YoY'!G15:G18),"")</f>
        <v/>
      </c>
      <c r="H18" s="13" t="str">
        <f>IFERROR(AVERAGE('Revenue Growth YoY'!H15:H18),"")</f>
        <v/>
      </c>
      <c r="I18" s="13" t="str">
        <f>IFERROR(AVERAGE('Revenue Growth YoY'!I15:I18),"")</f>
        <v/>
      </c>
      <c r="J18" s="13" t="str">
        <f>IFERROR(AVERAGE('Revenue Growth YoY'!J15:J18),"")</f>
        <v/>
      </c>
      <c r="K18" s="13" t="str">
        <f>IFERROR(AVERAGE('Revenue Growth YoY'!K15:K18),"")</f>
        <v/>
      </c>
      <c r="L18" s="13" t="str">
        <f>IFERROR(AVERAGE('Revenue Growth YoY'!L15:L18),"")</f>
        <v/>
      </c>
      <c r="M18" s="13" t="str">
        <f>IFERROR(AVERAGE('Revenue Growth YoY'!M15:M18),"")</f>
        <v/>
      </c>
      <c r="N18" s="13" t="str">
        <f>IFERROR(AVERAGE('Revenue Growth YoY'!N15:N18),"")</f>
        <v/>
      </c>
      <c r="O18" s="13" t="str">
        <f>IFERROR(AVERAGE('Revenue Growth YoY'!O15:O18),"")</f>
        <v/>
      </c>
      <c r="P18" s="13" t="str">
        <f>IFERROR(AVERAGE('Revenue Growth YoY'!P15:P18),"")</f>
        <v/>
      </c>
      <c r="Q18" s="13" t="str">
        <f>IFERROR(AVERAGE('Revenue Growth YoY'!Q15:Q18),"")</f>
        <v/>
      </c>
      <c r="R18" s="13" t="str">
        <f>IFERROR(AVERAGE('Revenue Growth YoY'!R15:R18),"")</f>
        <v/>
      </c>
      <c r="S18" s="13" t="str">
        <f>IFERROR(AVERAGE('Revenue Growth YoY'!S15:S18),"")</f>
        <v/>
      </c>
      <c r="T18" s="13" t="str">
        <f>IFERROR(AVERAGE('Revenue Growth YoY'!T15:T18),"")</f>
        <v/>
      </c>
      <c r="U18" s="13" t="str">
        <f>IFERROR(AVERAGE('Revenue Growth YoY'!U15:U18),"")</f>
        <v/>
      </c>
      <c r="V18" s="13">
        <f>IFERROR(AVERAGE('Revenue Growth YoY'!V15:V18),"")</f>
        <v>2.0016981631794599</v>
      </c>
      <c r="W18" s="13">
        <f>IFERROR(AVERAGE('Revenue Growth YoY'!W15:W18),"")</f>
        <v>0.12495956975087841</v>
      </c>
      <c r="X18" s="13" t="str">
        <f>IFERROR(AVERAGE('Revenue Growth YoY'!X15:X18),"")</f>
        <v/>
      </c>
      <c r="Y18" s="13" t="str">
        <f>IFERROR(AVERAGE('Revenue Growth YoY'!Y15:Y18),"")</f>
        <v/>
      </c>
      <c r="Z18" s="13" t="str">
        <f>IFERROR(AVERAGE('Revenue Growth YoY'!Z15:Z18),"")</f>
        <v/>
      </c>
      <c r="AA18" s="13" t="str">
        <f>IFERROR(AVERAGE('Revenue Growth YoY'!AA15:AA18),"")</f>
        <v/>
      </c>
      <c r="AB18" s="13" t="str">
        <f>IFERROR(AVERAGE('Revenue Growth YoY'!AB15:AB18),"")</f>
        <v/>
      </c>
      <c r="AC18" s="11"/>
    </row>
    <row r="19" spans="1:29" ht="14">
      <c r="A19" s="14" t="s">
        <v>44</v>
      </c>
      <c r="B19" s="13" t="str">
        <f>IFERROR(AVERAGE('Revenue Growth YoY'!B16:B19),"")</f>
        <v/>
      </c>
      <c r="C19" s="13">
        <f>IFERROR(AVERAGE('Revenue Growth YoY'!C16:C19),"")</f>
        <v>1.157783852845373</v>
      </c>
      <c r="D19" s="13">
        <f>IFERROR(AVERAGE('Revenue Growth YoY'!D16:D19),"")</f>
        <v>1.4210512745188826</v>
      </c>
      <c r="E19" s="13"/>
      <c r="F19" s="13" t="str">
        <f>IFERROR(AVERAGE('Revenue Growth YoY'!F16:F19),"")</f>
        <v/>
      </c>
      <c r="G19" s="13" t="str">
        <f>IFERROR(AVERAGE('Revenue Growth YoY'!G16:G19),"")</f>
        <v/>
      </c>
      <c r="H19" s="13" t="str">
        <f>IFERROR(AVERAGE('Revenue Growth YoY'!H16:H19),"")</f>
        <v/>
      </c>
      <c r="I19" s="13" t="str">
        <f>IFERROR(AVERAGE('Revenue Growth YoY'!I16:I19),"")</f>
        <v/>
      </c>
      <c r="J19" s="13" t="str">
        <f>IFERROR(AVERAGE('Revenue Growth YoY'!J16:J19),"")</f>
        <v/>
      </c>
      <c r="K19" s="13" t="str">
        <f>IFERROR(AVERAGE('Revenue Growth YoY'!K16:K19),"")</f>
        <v/>
      </c>
      <c r="L19" s="13" t="str">
        <f>IFERROR(AVERAGE('Revenue Growth YoY'!L16:L19),"")</f>
        <v/>
      </c>
      <c r="M19" s="13" t="str">
        <f>IFERROR(AVERAGE('Revenue Growth YoY'!M16:M19),"")</f>
        <v/>
      </c>
      <c r="N19" s="13" t="str">
        <f>IFERROR(AVERAGE('Revenue Growth YoY'!N16:N19),"")</f>
        <v/>
      </c>
      <c r="O19" s="13" t="str">
        <f>IFERROR(AVERAGE('Revenue Growth YoY'!O16:O19),"")</f>
        <v/>
      </c>
      <c r="P19" s="13" t="str">
        <f>IFERROR(AVERAGE('Revenue Growth YoY'!P16:P19),"")</f>
        <v/>
      </c>
      <c r="Q19" s="13" t="str">
        <f>IFERROR(AVERAGE('Revenue Growth YoY'!Q16:Q19),"")</f>
        <v/>
      </c>
      <c r="R19" s="13">
        <f>IFERROR(AVERAGE('Revenue Growth YoY'!R16:R19),"")</f>
        <v>3.9244630506006555</v>
      </c>
      <c r="S19" s="13" t="str">
        <f>IFERROR(AVERAGE('Revenue Growth YoY'!S16:S19),"")</f>
        <v/>
      </c>
      <c r="T19" s="13" t="str">
        <f>IFERROR(AVERAGE('Revenue Growth YoY'!T16:T19),"")</f>
        <v/>
      </c>
      <c r="U19" s="13" t="str">
        <f>IFERROR(AVERAGE('Revenue Growth YoY'!U16:U19),"")</f>
        <v/>
      </c>
      <c r="V19" s="13">
        <f>IFERROR(AVERAGE('Revenue Growth YoY'!V16:V19),"")</f>
        <v>1.6428369171372808</v>
      </c>
      <c r="W19" s="13">
        <f>IFERROR(AVERAGE('Revenue Growth YoY'!W16:W19),"")</f>
        <v>9.3016602366653933E-2</v>
      </c>
      <c r="X19" s="13" t="str">
        <f>IFERROR(AVERAGE('Revenue Growth YoY'!X16:X19),"")</f>
        <v/>
      </c>
      <c r="Y19" s="13" t="str">
        <f>IFERROR(AVERAGE('Revenue Growth YoY'!Y16:Y19),"")</f>
        <v/>
      </c>
      <c r="Z19" s="13" t="str">
        <f>IFERROR(AVERAGE('Revenue Growth YoY'!Z16:Z19),"")</f>
        <v/>
      </c>
      <c r="AA19" s="13" t="str">
        <f>IFERROR(AVERAGE('Revenue Growth YoY'!AA16:AA19),"")</f>
        <v/>
      </c>
      <c r="AB19" s="13" t="str">
        <f>IFERROR(AVERAGE('Revenue Growth YoY'!AB16:AB19),"")</f>
        <v/>
      </c>
      <c r="AC19" s="11"/>
    </row>
    <row r="20" spans="1:29" ht="14">
      <c r="A20" s="14" t="s">
        <v>45</v>
      </c>
      <c r="B20" s="13" t="str">
        <f>IFERROR(AVERAGE('Revenue Growth YoY'!B17:B20),"")</f>
        <v/>
      </c>
      <c r="C20" s="13">
        <f>IFERROR(AVERAGE('Revenue Growth YoY'!C17:C20),"")</f>
        <v>0.75468381024910891</v>
      </c>
      <c r="D20" s="13">
        <f>IFERROR(AVERAGE('Revenue Growth YoY'!D17:D20),"")</f>
        <v>1.3967938847311938</v>
      </c>
      <c r="E20" s="13"/>
      <c r="F20" s="13" t="str">
        <f>IFERROR(AVERAGE('Revenue Growth YoY'!F17:F20),"")</f>
        <v/>
      </c>
      <c r="G20" s="13" t="str">
        <f>IFERROR(AVERAGE('Revenue Growth YoY'!G17:G20),"")</f>
        <v/>
      </c>
      <c r="H20" s="13" t="str">
        <f>IFERROR(AVERAGE('Revenue Growth YoY'!H17:H20),"")</f>
        <v/>
      </c>
      <c r="I20" s="13" t="str">
        <f>IFERROR(AVERAGE('Revenue Growth YoY'!I17:I20),"")</f>
        <v/>
      </c>
      <c r="J20" s="13" t="str">
        <f>IFERROR(AVERAGE('Revenue Growth YoY'!J17:J20),"")</f>
        <v/>
      </c>
      <c r="K20" s="13" t="str">
        <f>IFERROR(AVERAGE('Revenue Growth YoY'!K17:K20),"")</f>
        <v/>
      </c>
      <c r="L20" s="13" t="str">
        <f>IFERROR(AVERAGE('Revenue Growth YoY'!L17:L20),"")</f>
        <v/>
      </c>
      <c r="M20" s="13" t="str">
        <f>IFERROR(AVERAGE('Revenue Growth YoY'!M17:M20),"")</f>
        <v/>
      </c>
      <c r="N20" s="13" t="str">
        <f>IFERROR(AVERAGE('Revenue Growth YoY'!N17:N20),"")</f>
        <v/>
      </c>
      <c r="O20" s="13" t="str">
        <f>IFERROR(AVERAGE('Revenue Growth YoY'!O17:O20),"")</f>
        <v/>
      </c>
      <c r="P20" s="13" t="str">
        <f>IFERROR(AVERAGE('Revenue Growth YoY'!P17:P20),"")</f>
        <v/>
      </c>
      <c r="Q20" s="13" t="str">
        <f>IFERROR(AVERAGE('Revenue Growth YoY'!Q17:Q20),"")</f>
        <v/>
      </c>
      <c r="R20" s="13">
        <f>IFERROR(AVERAGE('Revenue Growth YoY'!R17:R20),"")</f>
        <v>3.9244630506006555</v>
      </c>
      <c r="S20" s="13" t="str">
        <f>IFERROR(AVERAGE('Revenue Growth YoY'!S17:S20),"")</f>
        <v/>
      </c>
      <c r="T20" s="13" t="str">
        <f>IFERROR(AVERAGE('Revenue Growth YoY'!T17:T20),"")</f>
        <v/>
      </c>
      <c r="U20" s="13" t="str">
        <f>IFERROR(AVERAGE('Revenue Growth YoY'!U17:U20),"")</f>
        <v/>
      </c>
      <c r="V20" s="13">
        <f>IFERROR(AVERAGE('Revenue Growth YoY'!V17:V20),"")</f>
        <v>1.2839756710951018</v>
      </c>
      <c r="W20" s="13">
        <f>IFERROR(AVERAGE('Revenue Growth YoY'!W17:W20),"")</f>
        <v>6.1073634982429459E-2</v>
      </c>
      <c r="X20" s="13" t="str">
        <f>IFERROR(AVERAGE('Revenue Growth YoY'!X17:X20),"")</f>
        <v/>
      </c>
      <c r="Y20" s="13" t="str">
        <f>IFERROR(AVERAGE('Revenue Growth YoY'!Y17:Y20),"")</f>
        <v/>
      </c>
      <c r="Z20" s="13" t="str">
        <f>IFERROR(AVERAGE('Revenue Growth YoY'!Z17:Z20),"")</f>
        <v/>
      </c>
      <c r="AA20" s="13" t="str">
        <f>IFERROR(AVERAGE('Revenue Growth YoY'!AA17:AA20),"")</f>
        <v/>
      </c>
      <c r="AB20" s="13" t="str">
        <f>IFERROR(AVERAGE('Revenue Growth YoY'!AB17:AB20),"")</f>
        <v/>
      </c>
      <c r="AC20" s="11"/>
    </row>
    <row r="21" spans="1:29" ht="14">
      <c r="A21" s="14" t="s">
        <v>46</v>
      </c>
      <c r="B21" s="13" t="str">
        <f>IFERROR(AVERAGE('Revenue Growth YoY'!B18:B21),"")</f>
        <v/>
      </c>
      <c r="C21" s="13">
        <f>IFERROR(AVERAGE('Revenue Growth YoY'!C18:C21),"")</f>
        <v>0.35158376765284494</v>
      </c>
      <c r="D21" s="13">
        <f>IFERROR(AVERAGE('Revenue Growth YoY'!D18:D21),"")</f>
        <v>1.3725364949435046</v>
      </c>
      <c r="E21" s="13"/>
      <c r="F21" s="13" t="str">
        <f>IFERROR(AVERAGE('Revenue Growth YoY'!F18:F21),"")</f>
        <v/>
      </c>
      <c r="G21" s="13" t="str">
        <f>IFERROR(AVERAGE('Revenue Growth YoY'!G18:G21),"")</f>
        <v/>
      </c>
      <c r="H21" s="13" t="str">
        <f>IFERROR(AVERAGE('Revenue Growth YoY'!H18:H21),"")</f>
        <v/>
      </c>
      <c r="I21" s="13" t="str">
        <f>IFERROR(AVERAGE('Revenue Growth YoY'!I18:I21),"")</f>
        <v/>
      </c>
      <c r="J21" s="13" t="str">
        <f>IFERROR(AVERAGE('Revenue Growth YoY'!J18:J21),"")</f>
        <v/>
      </c>
      <c r="K21" s="13" t="str">
        <f>IFERROR(AVERAGE('Revenue Growth YoY'!K18:K21),"")</f>
        <v/>
      </c>
      <c r="L21" s="13" t="str">
        <f>IFERROR(AVERAGE('Revenue Growth YoY'!L18:L21),"")</f>
        <v/>
      </c>
      <c r="M21" s="13" t="str">
        <f>IFERROR(AVERAGE('Revenue Growth YoY'!M18:M21),"")</f>
        <v/>
      </c>
      <c r="N21" s="13" t="str">
        <f>IFERROR(AVERAGE('Revenue Growth YoY'!N18:N21),"")</f>
        <v/>
      </c>
      <c r="O21" s="13"/>
      <c r="P21" s="13" t="str">
        <f>IFERROR(AVERAGE('Revenue Growth YoY'!P18:P21),"")</f>
        <v/>
      </c>
      <c r="Q21" s="13" t="str">
        <f>IFERROR(AVERAGE('Revenue Growth YoY'!Q18:Q21),"")</f>
        <v/>
      </c>
      <c r="R21" s="13">
        <f>IFERROR(AVERAGE('Revenue Growth YoY'!R18:R21),"")</f>
        <v>3.9244630506006555</v>
      </c>
      <c r="S21" s="13" t="str">
        <f>IFERROR(AVERAGE('Revenue Growth YoY'!S18:S21),"")</f>
        <v/>
      </c>
      <c r="T21" s="13" t="str">
        <f>IFERROR(AVERAGE('Revenue Growth YoY'!T18:T21),"")</f>
        <v/>
      </c>
      <c r="U21" s="13" t="str">
        <f>IFERROR(AVERAGE('Revenue Growth YoY'!U18:U21),"")</f>
        <v/>
      </c>
      <c r="V21" s="13">
        <f>IFERROR(AVERAGE('Revenue Growth YoY'!V18:V21),"")</f>
        <v>0.92511442505292274</v>
      </c>
      <c r="W21" s="13">
        <f>IFERROR(AVERAGE('Revenue Growth YoY'!W18:W21),"")</f>
        <v>0.12862092940055853</v>
      </c>
      <c r="X21" s="13" t="str">
        <f>IFERROR(AVERAGE('Revenue Growth YoY'!X18:X21),"")</f>
        <v/>
      </c>
      <c r="Y21" s="13" t="str">
        <f>IFERROR(AVERAGE('Revenue Growth YoY'!Y18:Y21),"")</f>
        <v/>
      </c>
      <c r="Z21" s="13" t="str">
        <f>IFERROR(AVERAGE('Revenue Growth YoY'!Z18:Z21),"")</f>
        <v/>
      </c>
      <c r="AA21" s="13" t="str">
        <f>IFERROR(AVERAGE('Revenue Growth YoY'!AA18:AA21),"")</f>
        <v/>
      </c>
      <c r="AB21" s="13" t="str">
        <f>IFERROR(AVERAGE('Revenue Growth YoY'!AB18:AB21),"")</f>
        <v/>
      </c>
      <c r="AC21" s="11"/>
    </row>
    <row r="22" spans="1:29" ht="14">
      <c r="A22" s="14" t="s">
        <v>47</v>
      </c>
      <c r="B22" s="13" t="str">
        <f>IFERROR(AVERAGE('Revenue Growth YoY'!B19:B22),"")</f>
        <v/>
      </c>
      <c r="C22" s="13">
        <f>IFERROR(AVERAGE('Revenue Growth YoY'!C19:C22),"")</f>
        <v>-5.1516274943418927E-2</v>
      </c>
      <c r="D22" s="13">
        <f>IFERROR(AVERAGE('Revenue Growth YoY'!D19:D22),"")</f>
        <v>1.3482791051558158</v>
      </c>
      <c r="E22" s="13">
        <f>IFERROR(AVERAGE('Revenue Growth YoY'!E19:E22),"")</f>
        <v>5.8128205128205126</v>
      </c>
      <c r="F22" s="13" t="str">
        <f>IFERROR(AVERAGE('Revenue Growth YoY'!F19:F22),"")</f>
        <v/>
      </c>
      <c r="G22" s="13" t="str">
        <f>IFERROR(AVERAGE('Revenue Growth YoY'!G19:G22),"")</f>
        <v/>
      </c>
      <c r="H22" s="13" t="str">
        <f>IFERROR(AVERAGE('Revenue Growth YoY'!H19:H22),"")</f>
        <v/>
      </c>
      <c r="I22" s="13" t="str">
        <f>IFERROR(AVERAGE('Revenue Growth YoY'!I19:I22),"")</f>
        <v/>
      </c>
      <c r="J22" s="13" t="str">
        <f>IFERROR(AVERAGE('Revenue Growth YoY'!J19:J22),"")</f>
        <v/>
      </c>
      <c r="K22" s="13" t="str">
        <f>IFERROR(AVERAGE('Revenue Growth YoY'!K19:K22),"")</f>
        <v/>
      </c>
      <c r="L22" s="13" t="str">
        <f>IFERROR(AVERAGE('Revenue Growth YoY'!L19:L22),"")</f>
        <v/>
      </c>
      <c r="M22" s="13" t="str">
        <f>IFERROR(AVERAGE('Revenue Growth YoY'!M19:M22),"")</f>
        <v/>
      </c>
      <c r="N22" s="13" t="str">
        <f>IFERROR(AVERAGE('Revenue Growth YoY'!N19:N22),"")</f>
        <v/>
      </c>
      <c r="O22" s="13"/>
      <c r="P22" s="13" t="str">
        <f>IFERROR(AVERAGE('Revenue Growth YoY'!P19:P22),"")</f>
        <v/>
      </c>
      <c r="Q22" s="13" t="str">
        <f>IFERROR(AVERAGE('Revenue Growth YoY'!Q19:Q22),"")</f>
        <v/>
      </c>
      <c r="R22" s="13">
        <f>IFERROR(AVERAGE('Revenue Growth YoY'!R19:R22),"")</f>
        <v>3.9244630506006555</v>
      </c>
      <c r="S22" s="13" t="str">
        <f>IFERROR(AVERAGE('Revenue Growth YoY'!S19:S22),"")</f>
        <v/>
      </c>
      <c r="T22" s="13" t="str">
        <f>IFERROR(AVERAGE('Revenue Growth YoY'!T19:T22),"")</f>
        <v/>
      </c>
      <c r="U22" s="13" t="str">
        <f>IFERROR(AVERAGE('Revenue Growth YoY'!U19:U22),"")</f>
        <v/>
      </c>
      <c r="V22" s="13">
        <f>IFERROR(AVERAGE('Revenue Growth YoY'!V19:V22),"")</f>
        <v>0.56625317901074368</v>
      </c>
      <c r="W22" s="13">
        <f>IFERROR(AVERAGE('Revenue Growth YoY'!W19:W22),"")</f>
        <v>0.19616822381868759</v>
      </c>
      <c r="X22" s="13" t="str">
        <f>IFERROR(AVERAGE('Revenue Growth YoY'!X19:X22),"")</f>
        <v/>
      </c>
      <c r="Y22" s="13" t="str">
        <f>IFERROR(AVERAGE('Revenue Growth YoY'!Y19:Y22),"")</f>
        <v/>
      </c>
      <c r="Z22" s="13" t="str">
        <f>IFERROR(AVERAGE('Revenue Growth YoY'!Z19:Z22),"")</f>
        <v/>
      </c>
      <c r="AA22" s="13" t="str">
        <f>IFERROR(AVERAGE('Revenue Growth YoY'!AA19:AA22),"")</f>
        <v/>
      </c>
      <c r="AB22" s="13" t="str">
        <f>IFERROR(AVERAGE('Revenue Growth YoY'!AB19:AB22),"")</f>
        <v/>
      </c>
      <c r="AC22" s="11"/>
    </row>
    <row r="23" spans="1:29" ht="14">
      <c r="A23" s="14" t="s">
        <v>48</v>
      </c>
      <c r="B23" s="13" t="str">
        <f>IFERROR(AVERAGE('Revenue Growth YoY'!B20:B23),"")</f>
        <v/>
      </c>
      <c r="C23" s="13">
        <f>IFERROR(AVERAGE('Revenue Growth YoY'!C20:C23),"")</f>
        <v>-7.4512301044103973E-2</v>
      </c>
      <c r="D23" s="13">
        <f>IFERROR(AVERAGE('Revenue Growth YoY'!D20:D23),"")</f>
        <v>2.4476855686292591</v>
      </c>
      <c r="E23" s="13">
        <f>IFERROR(AVERAGE('Revenue Growth YoY'!E20:E23),"")</f>
        <v>4.6840414290263741</v>
      </c>
      <c r="F23" s="13" t="str">
        <f>IFERROR(AVERAGE('Revenue Growth YoY'!F20:F23),"")</f>
        <v/>
      </c>
      <c r="G23" s="13" t="str">
        <f>IFERROR(AVERAGE('Revenue Growth YoY'!G20:G23),"")</f>
        <v/>
      </c>
      <c r="H23" s="13" t="str">
        <f>IFERROR(AVERAGE('Revenue Growth YoY'!H20:H23),"")</f>
        <v/>
      </c>
      <c r="I23" s="13" t="str">
        <f>IFERROR(AVERAGE('Revenue Growth YoY'!I20:I23),"")</f>
        <v/>
      </c>
      <c r="J23" s="13" t="str">
        <f>IFERROR(AVERAGE('Revenue Growth YoY'!J20:J23),"")</f>
        <v/>
      </c>
      <c r="K23" s="13" t="str">
        <f>IFERROR(AVERAGE('Revenue Growth YoY'!K20:K23),"")</f>
        <v/>
      </c>
      <c r="L23" s="13" t="str">
        <f>IFERROR(AVERAGE('Revenue Growth YoY'!L20:L23),"")</f>
        <v/>
      </c>
      <c r="M23" s="13" t="str">
        <f>IFERROR(AVERAGE('Revenue Growth YoY'!M20:M23),"")</f>
        <v/>
      </c>
      <c r="N23" s="13" t="str">
        <f>IFERROR(AVERAGE('Revenue Growth YoY'!N20:N23),"")</f>
        <v/>
      </c>
      <c r="O23" s="13"/>
      <c r="P23" s="13" t="str">
        <f>IFERROR(AVERAGE('Revenue Growth YoY'!P20:P23),"")</f>
        <v/>
      </c>
      <c r="Q23" s="13" t="str">
        <f>IFERROR(AVERAGE('Revenue Growth YoY'!Q20:Q23),"")</f>
        <v/>
      </c>
      <c r="R23" s="13">
        <f>IFERROR(AVERAGE('Revenue Growth YoY'!R20:R23),"")</f>
        <v>3.1995106588615987</v>
      </c>
      <c r="S23" s="13" t="str">
        <f>IFERROR(AVERAGE('Revenue Growth YoY'!S20:S23),"")</f>
        <v/>
      </c>
      <c r="T23" s="13" t="str">
        <f>IFERROR(AVERAGE('Revenue Growth YoY'!T20:T23),"")</f>
        <v/>
      </c>
      <c r="U23" s="13">
        <f>IFERROR(AVERAGE('Revenue Growth YoY'!U20:U23),"")</f>
        <v>3.0437296961039557</v>
      </c>
      <c r="V23" s="13">
        <f>IFERROR(AVERAGE('Revenue Growth YoY'!V20:V23),"")</f>
        <v>0.56625317901074368</v>
      </c>
      <c r="W23" s="13">
        <f>IFERROR(AVERAGE('Revenue Growth YoY'!W20:W23),"")</f>
        <v>0.26371551823681666</v>
      </c>
      <c r="X23" s="13" t="str">
        <f>IFERROR(AVERAGE('Revenue Growth YoY'!X20:X23),"")</f>
        <v/>
      </c>
      <c r="Y23" s="13" t="str">
        <f>IFERROR(AVERAGE('Revenue Growth YoY'!Y20:Y23),"")</f>
        <v/>
      </c>
      <c r="Z23" s="13" t="str">
        <f>IFERROR(AVERAGE('Revenue Growth YoY'!Z20:Z23),"")</f>
        <v/>
      </c>
      <c r="AA23" s="13" t="str">
        <f>IFERROR(AVERAGE('Revenue Growth YoY'!AA20:AA23),"")</f>
        <v/>
      </c>
      <c r="AB23" s="13" t="str">
        <f>IFERROR(AVERAGE('Revenue Growth YoY'!AB20:AB23),"")</f>
        <v/>
      </c>
      <c r="AC23" s="11"/>
    </row>
    <row r="24" spans="1:29" ht="14">
      <c r="A24" s="14" t="s">
        <v>49</v>
      </c>
      <c r="B24" s="13" t="str">
        <f>IFERROR(AVERAGE('Revenue Growth YoY'!B21:B24),"")</f>
        <v/>
      </c>
      <c r="C24" s="13">
        <f>IFERROR(AVERAGE('Revenue Growth YoY'!C21:C24),"")</f>
        <v>-9.750832714478902E-2</v>
      </c>
      <c r="D24" s="13">
        <f>IFERROR(AVERAGE('Revenue Growth YoY'!D21:D24),"")</f>
        <v>3.5470920321027029</v>
      </c>
      <c r="E24" s="13">
        <f>IFERROR(AVERAGE('Revenue Growth YoY'!E21:E24),"")</f>
        <v>3.5552623452322361</v>
      </c>
      <c r="F24" s="13" t="str">
        <f>IFERROR(AVERAGE('Revenue Growth YoY'!F21:F24),"")</f>
        <v/>
      </c>
      <c r="G24" s="13" t="str">
        <f>IFERROR(AVERAGE('Revenue Growth YoY'!G21:G24),"")</f>
        <v/>
      </c>
      <c r="H24" s="13" t="str">
        <f>IFERROR(AVERAGE('Revenue Growth YoY'!H21:H24),"")</f>
        <v/>
      </c>
      <c r="I24" s="13" t="str">
        <f>IFERROR(AVERAGE('Revenue Growth YoY'!I21:I24),"")</f>
        <v/>
      </c>
      <c r="J24" s="13" t="str">
        <f>IFERROR(AVERAGE('Revenue Growth YoY'!J21:J24),"")</f>
        <v/>
      </c>
      <c r="K24" s="13" t="str">
        <f>IFERROR(AVERAGE('Revenue Growth YoY'!K21:K24),"")</f>
        <v/>
      </c>
      <c r="L24" s="13" t="str">
        <f>IFERROR(AVERAGE('Revenue Growth YoY'!L21:L24),"")</f>
        <v/>
      </c>
      <c r="M24" s="13" t="str">
        <f>IFERROR(AVERAGE('Revenue Growth YoY'!M21:M24),"")</f>
        <v/>
      </c>
      <c r="N24" s="13" t="str">
        <f>IFERROR(AVERAGE('Revenue Growth YoY'!N21:N24),"")</f>
        <v/>
      </c>
      <c r="O24" s="13"/>
      <c r="P24" s="13" t="str">
        <f>IFERROR(AVERAGE('Revenue Growth YoY'!P21:P24),"")</f>
        <v/>
      </c>
      <c r="Q24" s="13" t="str">
        <f>IFERROR(AVERAGE('Revenue Growth YoY'!Q21:Q24),"")</f>
        <v/>
      </c>
      <c r="R24" s="13">
        <f>IFERROR(AVERAGE('Revenue Growth YoY'!R21:R24),"")</f>
        <v>2.4745582671225419</v>
      </c>
      <c r="S24" s="13" t="str">
        <f>IFERROR(AVERAGE('Revenue Growth YoY'!S21:S24),"")</f>
        <v/>
      </c>
      <c r="T24" s="13" t="str">
        <f>IFERROR(AVERAGE('Revenue Growth YoY'!T21:T24),"")</f>
        <v/>
      </c>
      <c r="U24" s="13">
        <f>IFERROR(AVERAGE('Revenue Growth YoY'!U21:U24),"")</f>
        <v>3.0437296961039557</v>
      </c>
      <c r="V24" s="13">
        <f>IFERROR(AVERAGE('Revenue Growth YoY'!V21:V24),"")</f>
        <v>0.56625317901074368</v>
      </c>
      <c r="W24" s="13">
        <f>IFERROR(AVERAGE('Revenue Growth YoY'!W21:W24),"")</f>
        <v>0.33126281265494573</v>
      </c>
      <c r="X24" s="13" t="str">
        <f>IFERROR(AVERAGE('Revenue Growth YoY'!X21:X24),"")</f>
        <v/>
      </c>
      <c r="Y24" s="13" t="str">
        <f>IFERROR(AVERAGE('Revenue Growth YoY'!Y21:Y24),"")</f>
        <v/>
      </c>
      <c r="Z24" s="13" t="str">
        <f>IFERROR(AVERAGE('Revenue Growth YoY'!Z21:Z24),"")</f>
        <v/>
      </c>
      <c r="AA24" s="13" t="str">
        <f>IFERROR(AVERAGE('Revenue Growth YoY'!AA21:AA24),"")</f>
        <v/>
      </c>
      <c r="AB24" s="13" t="str">
        <f>IFERROR(AVERAGE('Revenue Growth YoY'!AB21:AB24),"")</f>
        <v/>
      </c>
      <c r="AC24" s="11"/>
    </row>
    <row r="25" spans="1:29" ht="14">
      <c r="A25" s="14" t="s">
        <v>50</v>
      </c>
      <c r="B25" s="13" t="str">
        <f>IFERROR(AVERAGE('Revenue Growth YoY'!B22:B25),"")</f>
        <v/>
      </c>
      <c r="C25" s="13">
        <f>IFERROR(AVERAGE('Revenue Growth YoY'!C22:C25),"")</f>
        <v>-0.12050435324547407</v>
      </c>
      <c r="D25" s="13">
        <f>IFERROR(AVERAGE('Revenue Growth YoY'!D22:D25),"")</f>
        <v>4.6464984955761466</v>
      </c>
      <c r="E25" s="13">
        <f>IFERROR(AVERAGE('Revenue Growth YoY'!E22:E25),"")</f>
        <v>2.4264832614380976</v>
      </c>
      <c r="F25" s="13" t="str">
        <f>IFERROR(AVERAGE('Revenue Growth YoY'!F22:F25),"")</f>
        <v/>
      </c>
      <c r="G25" s="13" t="str">
        <f>IFERROR(AVERAGE('Revenue Growth YoY'!G22:G25),"")</f>
        <v/>
      </c>
      <c r="H25" s="13" t="str">
        <f>IFERROR(AVERAGE('Revenue Growth YoY'!H22:H25),"")</f>
        <v/>
      </c>
      <c r="I25" s="13" t="str">
        <f>IFERROR(AVERAGE('Revenue Growth YoY'!I22:I25),"")</f>
        <v/>
      </c>
      <c r="J25" s="13" t="str">
        <f>IFERROR(AVERAGE('Revenue Growth YoY'!J22:J25),"")</f>
        <v/>
      </c>
      <c r="K25" s="13" t="str">
        <f>IFERROR(AVERAGE('Revenue Growth YoY'!K22:K25),"")</f>
        <v/>
      </c>
      <c r="L25" s="13" t="str">
        <f>IFERROR(AVERAGE('Revenue Growth YoY'!L22:L25),"")</f>
        <v/>
      </c>
      <c r="M25" s="13" t="str">
        <f>IFERROR(AVERAGE('Revenue Growth YoY'!M22:M25),"")</f>
        <v/>
      </c>
      <c r="N25" s="13" t="str">
        <f>IFERROR(AVERAGE('Revenue Growth YoY'!N22:N25),"")</f>
        <v/>
      </c>
      <c r="O25" s="13">
        <f>IFERROR(AVERAGE('Revenue Growth YoY'!O22:O25),"")</f>
        <v>2.1286526752257653</v>
      </c>
      <c r="P25" s="13" t="str">
        <f>IFERROR(AVERAGE('Revenue Growth YoY'!P22:P25),"")</f>
        <v/>
      </c>
      <c r="Q25" s="13" t="str">
        <f>IFERROR(AVERAGE('Revenue Growth YoY'!Q22:Q25),"")</f>
        <v/>
      </c>
      <c r="R25" s="13">
        <f>IFERROR(AVERAGE('Revenue Growth YoY'!R22:R25),"")</f>
        <v>1.7496058753834851</v>
      </c>
      <c r="S25" s="13" t="str">
        <f>IFERROR(AVERAGE('Revenue Growth YoY'!S22:S25),"")</f>
        <v/>
      </c>
      <c r="T25" s="13" t="str">
        <f>IFERROR(AVERAGE('Revenue Growth YoY'!T22:T25),"")</f>
        <v/>
      </c>
      <c r="U25" s="13">
        <f>IFERROR(AVERAGE('Revenue Growth YoY'!U22:U25),"")</f>
        <v>3.0437296961039557</v>
      </c>
      <c r="V25" s="13">
        <f>IFERROR(AVERAGE('Revenue Growth YoY'!V22:V25),"")</f>
        <v>0.56625317901074368</v>
      </c>
      <c r="W25" s="13">
        <f>IFERROR(AVERAGE('Revenue Growth YoY'!W22:W25),"")</f>
        <v>4.8171114789993086E-2</v>
      </c>
      <c r="X25" s="13" t="str">
        <f>IFERROR(AVERAGE('Revenue Growth YoY'!X22:X25),"")</f>
        <v/>
      </c>
      <c r="Y25" s="13" t="str">
        <f>IFERROR(AVERAGE('Revenue Growth YoY'!Y22:Y25),"")</f>
        <v/>
      </c>
      <c r="Z25" s="13" t="str">
        <f>IFERROR(AVERAGE('Revenue Growth YoY'!Z22:Z25),"")</f>
        <v/>
      </c>
      <c r="AA25" s="13" t="str">
        <f>IFERROR(AVERAGE('Revenue Growth YoY'!AA22:AA25),"")</f>
        <v/>
      </c>
      <c r="AB25" s="13" t="str">
        <f>IFERROR(AVERAGE('Revenue Growth YoY'!AB22:AB25),"")</f>
        <v/>
      </c>
      <c r="AC25" s="11"/>
    </row>
    <row r="26" spans="1:29" ht="14">
      <c r="A26" s="14" t="s">
        <v>51</v>
      </c>
      <c r="B26" s="13" t="str">
        <f>IFERROR(AVERAGE('Revenue Growth YoY'!B23:B26),"")</f>
        <v/>
      </c>
      <c r="C26" s="13">
        <f>IFERROR(AVERAGE('Revenue Growth YoY'!C23:C26),"")</f>
        <v>-0.14350037934615911</v>
      </c>
      <c r="D26" s="13">
        <f>IFERROR(AVERAGE('Revenue Growth YoY'!D23:D26),"")</f>
        <v>5.7459049590495903</v>
      </c>
      <c r="E26" s="13">
        <f>IFERROR(AVERAGE('Revenue Growth YoY'!E23:E26),"")</f>
        <v>1.2977041776439595</v>
      </c>
      <c r="F26" s="13" t="str">
        <f>IFERROR(AVERAGE('Revenue Growth YoY'!F23:F26),"")</f>
        <v/>
      </c>
      <c r="G26" s="13" t="str">
        <f>IFERROR(AVERAGE('Revenue Growth YoY'!G23:G26),"")</f>
        <v/>
      </c>
      <c r="H26" s="13" t="str">
        <f>IFERROR(AVERAGE('Revenue Growth YoY'!H23:H26),"")</f>
        <v/>
      </c>
      <c r="I26" s="13" t="str">
        <f>IFERROR(AVERAGE('Revenue Growth YoY'!I23:I26),"")</f>
        <v/>
      </c>
      <c r="J26" s="13" t="str">
        <f>IFERROR(AVERAGE('Revenue Growth YoY'!J23:J26),"")</f>
        <v/>
      </c>
      <c r="K26" s="13" t="str">
        <f>IFERROR(AVERAGE('Revenue Growth YoY'!K23:K26),"")</f>
        <v/>
      </c>
      <c r="L26" s="13" t="str">
        <f>IFERROR(AVERAGE('Revenue Growth YoY'!L23:L26),"")</f>
        <v/>
      </c>
      <c r="M26" s="13" t="str">
        <f>IFERROR(AVERAGE('Revenue Growth YoY'!M23:M26),"")</f>
        <v/>
      </c>
      <c r="N26" s="13" t="str">
        <f>IFERROR(AVERAGE('Revenue Growth YoY'!N23:N26),"")</f>
        <v/>
      </c>
      <c r="O26" s="13">
        <f>IFERROR(AVERAGE('Revenue Growth YoY'!O23:O26),"")</f>
        <v>1.7811085092415251</v>
      </c>
      <c r="P26" s="13" t="str">
        <f>IFERROR(AVERAGE('Revenue Growth YoY'!P23:P26),"")</f>
        <v/>
      </c>
      <c r="Q26" s="13" t="str">
        <f>IFERROR(AVERAGE('Revenue Growth YoY'!Q23:Q26),"")</f>
        <v/>
      </c>
      <c r="R26" s="13">
        <f>IFERROR(AVERAGE('Revenue Growth YoY'!R23:R26),"")</f>
        <v>1.0246534836444279</v>
      </c>
      <c r="S26" s="13" t="str">
        <f>IFERROR(AVERAGE('Revenue Growth YoY'!S23:S26),"")</f>
        <v/>
      </c>
      <c r="T26" s="13" t="str">
        <f>IFERROR(AVERAGE('Revenue Growth YoY'!T23:T26),"")</f>
        <v/>
      </c>
      <c r="U26" s="13">
        <f>IFERROR(AVERAGE('Revenue Growth YoY'!U23:U26),"")</f>
        <v>3.0437296961039557</v>
      </c>
      <c r="V26" s="13" t="str">
        <f>IFERROR(AVERAGE('Revenue Growth YoY'!V23:V26),"")</f>
        <v/>
      </c>
      <c r="W26" s="13">
        <f>IFERROR(AVERAGE('Revenue Growth YoY'!W23:W26),"")</f>
        <v>-0.23492058307495955</v>
      </c>
      <c r="X26" s="13" t="str">
        <f>IFERROR(AVERAGE('Revenue Growth YoY'!X23:X26),"")</f>
        <v/>
      </c>
      <c r="Y26" s="13" t="str">
        <f>IFERROR(AVERAGE('Revenue Growth YoY'!Y23:Y26),"")</f>
        <v/>
      </c>
      <c r="Z26" s="13" t="str">
        <f>IFERROR(AVERAGE('Revenue Growth YoY'!Z23:Z26),"")</f>
        <v/>
      </c>
      <c r="AA26" s="13" t="str">
        <f>IFERROR(AVERAGE('Revenue Growth YoY'!AA23:AA26),"")</f>
        <v/>
      </c>
      <c r="AB26" s="13" t="str">
        <f>IFERROR(AVERAGE('Revenue Growth YoY'!AB23:AB26),"")</f>
        <v/>
      </c>
      <c r="AC26" s="11"/>
    </row>
    <row r="27" spans="1:29" ht="14">
      <c r="A27" s="14" t="s">
        <v>52</v>
      </c>
      <c r="B27" s="13" t="str">
        <f>IFERROR(AVERAGE('Revenue Growth YoY'!B24:B27),"")</f>
        <v/>
      </c>
      <c r="C27" s="13">
        <f>IFERROR(AVERAGE('Revenue Growth YoY'!C24:C27),"")</f>
        <v>-0.14248582739198551</v>
      </c>
      <c r="D27" s="13">
        <f>IFERROR(AVERAGE('Revenue Growth YoY'!D24:D27),"")</f>
        <v>4.4496381817890693</v>
      </c>
      <c r="E27" s="13">
        <f>IFERROR(AVERAGE('Revenue Growth YoY'!E24:E27),"")</f>
        <v>1.1642076991625356</v>
      </c>
      <c r="F27" s="13" t="str">
        <f>IFERROR(AVERAGE('Revenue Growth YoY'!F24:F27),"")</f>
        <v/>
      </c>
      <c r="G27" s="13" t="str">
        <f>IFERROR(AVERAGE('Revenue Growth YoY'!G24:G27),"")</f>
        <v/>
      </c>
      <c r="H27" s="13" t="str">
        <f>IFERROR(AVERAGE('Revenue Growth YoY'!H24:H27),"")</f>
        <v/>
      </c>
      <c r="I27" s="13" t="str">
        <f>IFERROR(AVERAGE('Revenue Growth YoY'!I24:I27),"")</f>
        <v/>
      </c>
      <c r="J27" s="13" t="str">
        <f>IFERROR(AVERAGE('Revenue Growth YoY'!J24:J27),"")</f>
        <v/>
      </c>
      <c r="K27" s="13" t="str">
        <f>IFERROR(AVERAGE('Revenue Growth YoY'!K24:K27),"")</f>
        <v/>
      </c>
      <c r="L27" s="13" t="str">
        <f>IFERROR(AVERAGE('Revenue Growth YoY'!L24:L27),"")</f>
        <v/>
      </c>
      <c r="M27" s="13" t="str">
        <f>IFERROR(AVERAGE('Revenue Growth YoY'!M24:M27),"")</f>
        <v/>
      </c>
      <c r="N27" s="13" t="str">
        <f>IFERROR(AVERAGE('Revenue Growth YoY'!N24:N27),"")</f>
        <v/>
      </c>
      <c r="O27" s="13">
        <f>IFERROR(AVERAGE('Revenue Growth YoY'!O24:O27),"")</f>
        <v>1.259792260265165</v>
      </c>
      <c r="P27" s="13" t="str">
        <f>IFERROR(AVERAGE('Revenue Growth YoY'!P24:P27),"")</f>
        <v/>
      </c>
      <c r="Q27" s="13" t="str">
        <f>IFERROR(AVERAGE('Revenue Growth YoY'!Q24:Q27),"")</f>
        <v/>
      </c>
      <c r="R27" s="13">
        <f>IFERROR(AVERAGE('Revenue Growth YoY'!R24:R27),"")</f>
        <v>2.1375364277925613</v>
      </c>
      <c r="S27" s="13" t="str">
        <f>IFERROR(AVERAGE('Revenue Growth YoY'!S24:S27),"")</f>
        <v/>
      </c>
      <c r="T27" s="13" t="str">
        <f>IFERROR(AVERAGE('Revenue Growth YoY'!T24:T27),"")</f>
        <v/>
      </c>
      <c r="U27" s="13">
        <f>IFERROR(AVERAGE('Revenue Growth YoY'!U24:U27),"")</f>
        <v>2.3772790679870317</v>
      </c>
      <c r="V27" s="13" t="str">
        <f>IFERROR(AVERAGE('Revenue Growth YoY'!V24:V27),"")</f>
        <v/>
      </c>
      <c r="W27" s="13">
        <f>IFERROR(AVERAGE('Revenue Growth YoY'!W24:W27),"")</f>
        <v>-0.51801228093991214</v>
      </c>
      <c r="X27" s="13" t="str">
        <f>IFERROR(AVERAGE('Revenue Growth YoY'!X24:X27),"")</f>
        <v/>
      </c>
      <c r="Y27" s="13" t="str">
        <f>IFERROR(AVERAGE('Revenue Growth YoY'!Y24:Y27),"")</f>
        <v/>
      </c>
      <c r="Z27" s="13" t="str">
        <f>IFERROR(AVERAGE('Revenue Growth YoY'!Z24:Z27),"")</f>
        <v/>
      </c>
      <c r="AA27" s="13" t="str">
        <f>IFERROR(AVERAGE('Revenue Growth YoY'!AA24:AA27),"")</f>
        <v/>
      </c>
      <c r="AB27" s="13" t="str">
        <f>IFERROR(AVERAGE('Revenue Growth YoY'!AB24:AB27),"")</f>
        <v/>
      </c>
      <c r="AC27" s="11"/>
    </row>
    <row r="28" spans="1:29" ht="14">
      <c r="A28" s="14" t="s">
        <v>53</v>
      </c>
      <c r="B28" s="13" t="str">
        <f>IFERROR(AVERAGE('Revenue Growth YoY'!B25:B28),"")</f>
        <v/>
      </c>
      <c r="C28" s="13">
        <f>IFERROR(AVERAGE('Revenue Growth YoY'!C25:C28),"")</f>
        <v>-0.14147127543781191</v>
      </c>
      <c r="D28" s="13">
        <f>IFERROR(AVERAGE('Revenue Growth YoY'!D25:D28),"")</f>
        <v>3.1533714045285475</v>
      </c>
      <c r="E28" s="13">
        <f>IFERROR(AVERAGE('Revenue Growth YoY'!E25:E28),"")</f>
        <v>1.0307112206811118</v>
      </c>
      <c r="F28" s="13" t="str">
        <f>IFERROR(AVERAGE('Revenue Growth YoY'!F25:F28),"")</f>
        <v/>
      </c>
      <c r="G28" s="13" t="str">
        <f>IFERROR(AVERAGE('Revenue Growth YoY'!G25:G28),"")</f>
        <v/>
      </c>
      <c r="H28" s="13" t="str">
        <f>IFERROR(AVERAGE('Revenue Growth YoY'!H25:H28),"")</f>
        <v/>
      </c>
      <c r="I28" s="13" t="str">
        <f>IFERROR(AVERAGE('Revenue Growth YoY'!I25:I28),"")</f>
        <v/>
      </c>
      <c r="J28" s="13" t="str">
        <f>IFERROR(AVERAGE('Revenue Growth YoY'!J25:J28),"")</f>
        <v/>
      </c>
      <c r="K28" s="13" t="str">
        <f>IFERROR(AVERAGE('Revenue Growth YoY'!K25:K28),"")</f>
        <v/>
      </c>
      <c r="L28" s="13" t="str">
        <f>IFERROR(AVERAGE('Revenue Growth YoY'!L25:L28),"")</f>
        <v/>
      </c>
      <c r="M28" s="13" t="str">
        <f>IFERROR(AVERAGE('Revenue Growth YoY'!M25:M28),"")</f>
        <v/>
      </c>
      <c r="N28" s="13" t="str">
        <f>IFERROR(AVERAGE('Revenue Growth YoY'!N25:N28),"")</f>
        <v/>
      </c>
      <c r="O28" s="13">
        <f>IFERROR(AVERAGE('Revenue Growth YoY'!O25:O28),"")</f>
        <v>0.73847601128880536</v>
      </c>
      <c r="P28" s="13" t="str">
        <f>IFERROR(AVERAGE('Revenue Growth YoY'!P25:P28),"")</f>
        <v/>
      </c>
      <c r="Q28" s="13" t="str">
        <f>IFERROR(AVERAGE('Revenue Growth YoY'!Q25:Q28),"")</f>
        <v/>
      </c>
      <c r="R28" s="13">
        <f>IFERROR(AVERAGE('Revenue Growth YoY'!R25:R28),"")</f>
        <v>3.2504193719406942</v>
      </c>
      <c r="S28" s="13" t="str">
        <f>IFERROR(AVERAGE('Revenue Growth YoY'!S25:S28),"")</f>
        <v/>
      </c>
      <c r="T28" s="13" t="str">
        <f>IFERROR(AVERAGE('Revenue Growth YoY'!T25:T28),"")</f>
        <v/>
      </c>
      <c r="U28" s="13">
        <f>IFERROR(AVERAGE('Revenue Growth YoY'!U25:U28),"")</f>
        <v>1.7108284398701077</v>
      </c>
      <c r="V28" s="13" t="str">
        <f>IFERROR(AVERAGE('Revenue Growth YoY'!V25:V28),"")</f>
        <v/>
      </c>
      <c r="W28" s="13">
        <f>IFERROR(AVERAGE('Revenue Growth YoY'!W25:W28),"")</f>
        <v>-0.80110397880486484</v>
      </c>
      <c r="X28" s="13" t="str">
        <f>IFERROR(AVERAGE('Revenue Growth YoY'!X25:X28),"")</f>
        <v/>
      </c>
      <c r="Y28" s="13" t="str">
        <f>IFERROR(AVERAGE('Revenue Growth YoY'!Y25:Y28),"")</f>
        <v/>
      </c>
      <c r="Z28" s="13" t="str">
        <f>IFERROR(AVERAGE('Revenue Growth YoY'!Z25:Z28),"")</f>
        <v/>
      </c>
      <c r="AA28" s="13" t="str">
        <f>IFERROR(AVERAGE('Revenue Growth YoY'!AA25:AA28),"")</f>
        <v/>
      </c>
      <c r="AB28" s="13" t="str">
        <f>IFERROR(AVERAGE('Revenue Growth YoY'!AB25:AB28),"")</f>
        <v/>
      </c>
      <c r="AC28" s="11"/>
    </row>
    <row r="29" spans="1:29" ht="14">
      <c r="A29" s="14" t="s">
        <v>54</v>
      </c>
      <c r="B29" s="13" t="str">
        <f>IFERROR(AVERAGE('Revenue Growth YoY'!B26:B29),"")</f>
        <v/>
      </c>
      <c r="C29" s="13">
        <f>IFERROR(AVERAGE('Revenue Growth YoY'!C26:C29),"")</f>
        <v>-0.1404567234836383</v>
      </c>
      <c r="D29" s="13">
        <f>IFERROR(AVERAGE('Revenue Growth YoY'!D26:D29),"")</f>
        <v>1.8571046272680261</v>
      </c>
      <c r="E29" s="13">
        <f>IFERROR(AVERAGE('Revenue Growth YoY'!E26:E29),"")</f>
        <v>0.89721474219968789</v>
      </c>
      <c r="F29" s="13" t="str">
        <f>IFERROR(AVERAGE('Revenue Growth YoY'!F26:F29),"")</f>
        <v/>
      </c>
      <c r="G29" s="13" t="str">
        <f>IFERROR(AVERAGE('Revenue Growth YoY'!G26:G29),"")</f>
        <v/>
      </c>
      <c r="H29" s="13" t="str">
        <f>IFERROR(AVERAGE('Revenue Growth YoY'!H26:H29),"")</f>
        <v/>
      </c>
      <c r="I29" s="13" t="str">
        <f>IFERROR(AVERAGE('Revenue Growth YoY'!I26:I29),"")</f>
        <v/>
      </c>
      <c r="J29" s="13" t="str">
        <f>IFERROR(AVERAGE('Revenue Growth YoY'!J26:J29),"")</f>
        <v/>
      </c>
      <c r="K29" s="13" t="str">
        <f>IFERROR(AVERAGE('Revenue Growth YoY'!K26:K29),"")</f>
        <v/>
      </c>
      <c r="L29" s="13" t="str">
        <f>IFERROR(AVERAGE('Revenue Growth YoY'!L26:L29),"")</f>
        <v/>
      </c>
      <c r="M29" s="13" t="str">
        <f>IFERROR(AVERAGE('Revenue Growth YoY'!M26:M29),"")</f>
        <v/>
      </c>
      <c r="N29" s="13" t="str">
        <f>IFERROR(AVERAGE('Revenue Growth YoY'!N26:N29),"")</f>
        <v/>
      </c>
      <c r="O29" s="13">
        <f>IFERROR(AVERAGE('Revenue Growth YoY'!O26:O29),"")</f>
        <v>0.57198471409430962</v>
      </c>
      <c r="P29" s="13" t="str">
        <f>IFERROR(AVERAGE('Revenue Growth YoY'!P26:P29),"")</f>
        <v/>
      </c>
      <c r="Q29" s="13" t="str">
        <f>IFERROR(AVERAGE('Revenue Growth YoY'!Q26:Q29),"")</f>
        <v/>
      </c>
      <c r="R29" s="13">
        <f>IFERROR(AVERAGE('Revenue Growth YoY'!R26:R29),"")</f>
        <v>4.3633023160888271</v>
      </c>
      <c r="S29" s="13" t="str">
        <f>IFERROR(AVERAGE('Revenue Growth YoY'!S26:S29),"")</f>
        <v/>
      </c>
      <c r="T29" s="13" t="str">
        <f>IFERROR(AVERAGE('Revenue Growth YoY'!T26:T29),"")</f>
        <v/>
      </c>
      <c r="U29" s="13">
        <f>IFERROR(AVERAGE('Revenue Growth YoY'!U26:U29),"")</f>
        <v>1.0443778117531841</v>
      </c>
      <c r="V29" s="13" t="str">
        <f>IFERROR(AVERAGE('Revenue Growth YoY'!V26:V29),"")</f>
        <v/>
      </c>
      <c r="W29" s="13">
        <f>IFERROR(AVERAGE('Revenue Growth YoY'!W26:W29),"")</f>
        <v>-0.52112060496878854</v>
      </c>
      <c r="X29" s="13" t="str">
        <f>IFERROR(AVERAGE('Revenue Growth YoY'!X26:X29),"")</f>
        <v/>
      </c>
      <c r="Y29" s="13" t="str">
        <f>IFERROR(AVERAGE('Revenue Growth YoY'!Y26:Y29),"")</f>
        <v/>
      </c>
      <c r="Z29" s="13" t="str">
        <f>IFERROR(AVERAGE('Revenue Growth YoY'!Z26:Z29),"")</f>
        <v/>
      </c>
      <c r="AA29" s="13" t="str">
        <f>IFERROR(AVERAGE('Revenue Growth YoY'!AA26:AA29),"")</f>
        <v/>
      </c>
      <c r="AB29" s="13" t="str">
        <f>IFERROR(AVERAGE('Revenue Growth YoY'!AB26:AB29),"")</f>
        <v/>
      </c>
      <c r="AC29" s="11"/>
    </row>
    <row r="30" spans="1:29" ht="14">
      <c r="A30" s="14" t="s">
        <v>55</v>
      </c>
      <c r="B30" s="13" t="str">
        <f>IFERROR(AVERAGE('Revenue Growth YoY'!B27:B30),"")</f>
        <v/>
      </c>
      <c r="C30" s="13">
        <f>IFERROR(AVERAGE('Revenue Growth YoY'!C27:C30),"")</f>
        <v>-0.1394421715294647</v>
      </c>
      <c r="D30" s="13">
        <f>IFERROR(AVERAGE('Revenue Growth YoY'!D27:D30),"")</f>
        <v>0.56083785000750463</v>
      </c>
      <c r="E30" s="13">
        <f>IFERROR(AVERAGE('Revenue Growth YoY'!E27:E30),"")</f>
        <v>0.76371826371826379</v>
      </c>
      <c r="F30" s="13" t="str">
        <f>IFERROR(AVERAGE('Revenue Growth YoY'!F27:F30),"")</f>
        <v/>
      </c>
      <c r="G30" s="13" t="str">
        <f>IFERROR(AVERAGE('Revenue Growth YoY'!G27:G30),"")</f>
        <v/>
      </c>
      <c r="H30" s="13" t="str">
        <f>IFERROR(AVERAGE('Revenue Growth YoY'!H27:H30),"")</f>
        <v/>
      </c>
      <c r="I30" s="13" t="str">
        <f>IFERROR(AVERAGE('Revenue Growth YoY'!I27:I30),"")</f>
        <v/>
      </c>
      <c r="J30" s="13" t="str">
        <f>IFERROR(AVERAGE('Revenue Growth YoY'!J27:J30),"")</f>
        <v/>
      </c>
      <c r="K30" s="13" t="str">
        <f>IFERROR(AVERAGE('Revenue Growth YoY'!K27:K30),"")</f>
        <v/>
      </c>
      <c r="L30" s="13" t="str">
        <f>IFERROR(AVERAGE('Revenue Growth YoY'!L27:L30),"")</f>
        <v/>
      </c>
      <c r="M30" s="13" t="str">
        <f>IFERROR(AVERAGE('Revenue Growth YoY'!M27:M30),"")</f>
        <v/>
      </c>
      <c r="N30" s="13" t="str">
        <f>IFERROR(AVERAGE('Revenue Growth YoY'!N27:N30),"")</f>
        <v/>
      </c>
      <c r="O30" s="13">
        <f>IFERROR(AVERAGE('Revenue Growth YoY'!O27:O30),"")</f>
        <v>0.40549341689981389</v>
      </c>
      <c r="P30" s="13" t="str">
        <f>IFERROR(AVERAGE('Revenue Growth YoY'!P27:P30),"")</f>
        <v/>
      </c>
      <c r="Q30" s="13" t="str">
        <f>IFERROR(AVERAGE('Revenue Growth YoY'!Q27:Q30),"")</f>
        <v/>
      </c>
      <c r="R30" s="13">
        <f>IFERROR(AVERAGE('Revenue Growth YoY'!R27:R30),"")</f>
        <v>5.4761852602369609</v>
      </c>
      <c r="S30" s="13" t="str">
        <f>IFERROR(AVERAGE('Revenue Growth YoY'!S27:S30),"")</f>
        <v/>
      </c>
      <c r="T30" s="13" t="str">
        <f>IFERROR(AVERAGE('Revenue Growth YoY'!T27:T30),"")</f>
        <v/>
      </c>
      <c r="U30" s="13">
        <f>IFERROR(AVERAGE('Revenue Growth YoY'!U27:U30),"")</f>
        <v>0.3779271836362601</v>
      </c>
      <c r="V30" s="13" t="str">
        <f>IFERROR(AVERAGE('Revenue Growth YoY'!V27:V30),"")</f>
        <v/>
      </c>
      <c r="W30" s="13">
        <f>IFERROR(AVERAGE('Revenue Growth YoY'!W27:W30),"")</f>
        <v>-0.24113723113271235</v>
      </c>
      <c r="X30" s="13" t="str">
        <f>IFERROR(AVERAGE('Revenue Growth YoY'!X27:X30),"")</f>
        <v/>
      </c>
      <c r="Y30" s="13" t="str">
        <f>IFERROR(AVERAGE('Revenue Growth YoY'!Y27:Y30),"")</f>
        <v/>
      </c>
      <c r="Z30" s="13" t="str">
        <f>IFERROR(AVERAGE('Revenue Growth YoY'!Z27:Z30),"")</f>
        <v/>
      </c>
      <c r="AA30" s="13" t="str">
        <f>IFERROR(AVERAGE('Revenue Growth YoY'!AA27:AA30),"")</f>
        <v/>
      </c>
      <c r="AB30" s="13" t="str">
        <f>IFERROR(AVERAGE('Revenue Growth YoY'!AB27:AB30),"")</f>
        <v/>
      </c>
      <c r="AC30" s="11"/>
    </row>
    <row r="31" spans="1:29" ht="14">
      <c r="A31" s="14" t="s">
        <v>56</v>
      </c>
      <c r="B31" s="13" t="str">
        <f>IFERROR(AVERAGE('Revenue Growth YoY'!B28:B31),"")</f>
        <v/>
      </c>
      <c r="C31" s="13">
        <f>IFERROR(AVERAGE('Revenue Growth YoY'!C28:C31),"")</f>
        <v>-8.9902547387206044E-2</v>
      </c>
      <c r="D31" s="13">
        <f>IFERROR(AVERAGE('Revenue Growth YoY'!D28:D31),"")</f>
        <v>0.36754722247235444</v>
      </c>
      <c r="E31" s="13">
        <f>IFERROR(AVERAGE('Revenue Growth YoY'!E28:E31),"")</f>
        <v>0.79728370591500375</v>
      </c>
      <c r="F31" s="13" t="str">
        <f>IFERROR(AVERAGE('Revenue Growth YoY'!F28:F31),"")</f>
        <v/>
      </c>
      <c r="G31" s="13" t="str">
        <f>IFERROR(AVERAGE('Revenue Growth YoY'!G28:G31),"")</f>
        <v/>
      </c>
      <c r="H31" s="13" t="str">
        <f>IFERROR(AVERAGE('Revenue Growth YoY'!H28:H31),"")</f>
        <v/>
      </c>
      <c r="I31" s="13" t="str">
        <f>IFERROR(AVERAGE('Revenue Growth YoY'!I28:I31),"")</f>
        <v/>
      </c>
      <c r="J31" s="13" t="str">
        <f>IFERROR(AVERAGE('Revenue Growth YoY'!J28:J31),"")</f>
        <v/>
      </c>
      <c r="K31" s="13" t="str">
        <f>IFERROR(AVERAGE('Revenue Growth YoY'!K28:K31),"")</f>
        <v/>
      </c>
      <c r="L31" s="13" t="str">
        <f>IFERROR(AVERAGE('Revenue Growth YoY'!L28:L31),"")</f>
        <v/>
      </c>
      <c r="M31" s="13" t="str">
        <f>IFERROR(AVERAGE('Revenue Growth YoY'!M28:M31),"")</f>
        <v/>
      </c>
      <c r="N31" s="13" t="str">
        <f>IFERROR(AVERAGE('Revenue Growth YoY'!N28:N31),"")</f>
        <v/>
      </c>
      <c r="O31" s="13">
        <f>IFERROR(AVERAGE('Revenue Growth YoY'!O28:O31),"")</f>
        <v>0.23900211970531815</v>
      </c>
      <c r="P31" s="13" t="str">
        <f>IFERROR(AVERAGE('Revenue Growth YoY'!P28:P31),"")</f>
        <v/>
      </c>
      <c r="Q31" s="13" t="str">
        <f>IFERROR(AVERAGE('Revenue Growth YoY'!Q28:Q31),"")</f>
        <v/>
      </c>
      <c r="R31" s="13">
        <f>IFERROR(AVERAGE('Revenue Growth YoY'!R28:R31),"")</f>
        <v>5.4761852602369609</v>
      </c>
      <c r="S31" s="13" t="str">
        <f>IFERROR(AVERAGE('Revenue Growth YoY'!S28:S31),"")</f>
        <v/>
      </c>
      <c r="T31" s="13" t="str">
        <f>IFERROR(AVERAGE('Revenue Growth YoY'!T28:T31),"")</f>
        <v/>
      </c>
      <c r="U31" s="13">
        <f>IFERROR(AVERAGE('Revenue Growth YoY'!U28:U31),"")</f>
        <v>0.28567826897099263</v>
      </c>
      <c r="V31" s="13" t="str">
        <f>IFERROR(AVERAGE('Revenue Growth YoY'!V28:V31),"")</f>
        <v/>
      </c>
      <c r="W31" s="13">
        <f>IFERROR(AVERAGE('Revenue Growth YoY'!W28:W31),"")</f>
        <v>3.8846142703363895E-2</v>
      </c>
      <c r="X31" s="13" t="str">
        <f>IFERROR(AVERAGE('Revenue Growth YoY'!X28:X31),"")</f>
        <v/>
      </c>
      <c r="Y31" s="13" t="str">
        <f>IFERROR(AVERAGE('Revenue Growth YoY'!Y28:Y31),"")</f>
        <v/>
      </c>
      <c r="Z31" s="13" t="str">
        <f>IFERROR(AVERAGE('Revenue Growth YoY'!Z28:Z31),"")</f>
        <v/>
      </c>
      <c r="AA31" s="13" t="str">
        <f>IFERROR(AVERAGE('Revenue Growth YoY'!AA28:AA31),"")</f>
        <v/>
      </c>
      <c r="AB31" s="13" t="str">
        <f>IFERROR(AVERAGE('Revenue Growth YoY'!AB28:AB31),"")</f>
        <v/>
      </c>
      <c r="AC31" s="11"/>
    </row>
    <row r="32" spans="1:29" ht="14">
      <c r="A32" s="14" t="s">
        <v>57</v>
      </c>
      <c r="B32" s="13" t="str">
        <f>IFERROR(AVERAGE('Revenue Growth YoY'!B29:B32),"")</f>
        <v/>
      </c>
      <c r="C32" s="13">
        <f>IFERROR(AVERAGE('Revenue Growth YoY'!C29:C32),"")</f>
        <v>-4.0362923244947391E-2</v>
      </c>
      <c r="D32" s="13">
        <f>IFERROR(AVERAGE('Revenue Growth YoY'!D29:D32),"")</f>
        <v>0.17425659493720425</v>
      </c>
      <c r="E32" s="13">
        <f>IFERROR(AVERAGE('Revenue Growth YoY'!E29:E32),"")</f>
        <v>0.83084914811174393</v>
      </c>
      <c r="F32" s="13" t="str">
        <f>IFERROR(AVERAGE('Revenue Growth YoY'!F29:F32),"")</f>
        <v/>
      </c>
      <c r="G32" s="13" t="str">
        <f>IFERROR(AVERAGE('Revenue Growth YoY'!G29:G32),"")</f>
        <v/>
      </c>
      <c r="H32" s="13" t="str">
        <f>IFERROR(AVERAGE('Revenue Growth YoY'!H29:H32),"")</f>
        <v/>
      </c>
      <c r="I32" s="13" t="str">
        <f>IFERROR(AVERAGE('Revenue Growth YoY'!I29:I32),"")</f>
        <v/>
      </c>
      <c r="J32" s="13" t="str">
        <f>IFERROR(AVERAGE('Revenue Growth YoY'!J29:J32),"")</f>
        <v/>
      </c>
      <c r="K32" s="13" t="str">
        <f>IFERROR(AVERAGE('Revenue Growth YoY'!K29:K32),"")</f>
        <v/>
      </c>
      <c r="L32" s="13" t="str">
        <f>IFERROR(AVERAGE('Revenue Growth YoY'!L29:L32),"")</f>
        <v/>
      </c>
      <c r="M32" s="13" t="str">
        <f>IFERROR(AVERAGE('Revenue Growth YoY'!M29:M32),"")</f>
        <v/>
      </c>
      <c r="N32" s="13" t="str">
        <f>IFERROR(AVERAGE('Revenue Growth YoY'!N29:N32),"")</f>
        <v/>
      </c>
      <c r="O32" s="13">
        <f>IFERROR(AVERAGE('Revenue Growth YoY'!O29:O32),"")</f>
        <v>7.2510822510822415E-2</v>
      </c>
      <c r="P32" s="13" t="str">
        <f>IFERROR(AVERAGE('Revenue Growth YoY'!P29:P32),"")</f>
        <v/>
      </c>
      <c r="Q32" s="13" t="str">
        <f>IFERROR(AVERAGE('Revenue Growth YoY'!Q29:Q32),"")</f>
        <v/>
      </c>
      <c r="R32" s="13">
        <f>IFERROR(AVERAGE('Revenue Growth YoY'!R29:R32),"")</f>
        <v>5.4761852602369609</v>
      </c>
      <c r="S32" s="13" t="str">
        <f>IFERROR(AVERAGE('Revenue Growth YoY'!S29:S32),"")</f>
        <v/>
      </c>
      <c r="T32" s="13" t="str">
        <f>IFERROR(AVERAGE('Revenue Growth YoY'!T29:T32),"")</f>
        <v/>
      </c>
      <c r="U32" s="13">
        <f>IFERROR(AVERAGE('Revenue Growth YoY'!U29:U32),"")</f>
        <v>0.19342935430572517</v>
      </c>
      <c r="V32" s="13" t="str">
        <f>IFERROR(AVERAGE('Revenue Growth YoY'!V29:V32),"")</f>
        <v/>
      </c>
      <c r="W32" s="13">
        <f>IFERROR(AVERAGE('Revenue Growth YoY'!W29:W32),"")</f>
        <v>0.31882951653944014</v>
      </c>
      <c r="X32" s="13" t="str">
        <f>IFERROR(AVERAGE('Revenue Growth YoY'!X29:X32),"")</f>
        <v/>
      </c>
      <c r="Y32" s="13" t="str">
        <f>IFERROR(AVERAGE('Revenue Growth YoY'!Y29:Y32),"")</f>
        <v/>
      </c>
      <c r="Z32" s="13" t="str">
        <f>IFERROR(AVERAGE('Revenue Growth YoY'!Z29:Z32),"")</f>
        <v/>
      </c>
      <c r="AA32" s="13" t="str">
        <f>IFERROR(AVERAGE('Revenue Growth YoY'!AA29:AA32),"")</f>
        <v/>
      </c>
      <c r="AB32" s="13" t="str">
        <f>IFERROR(AVERAGE('Revenue Growth YoY'!AB29:AB32),"")</f>
        <v/>
      </c>
      <c r="AC32" s="11"/>
    </row>
    <row r="33" spans="1:29" ht="14">
      <c r="A33" s="14" t="s">
        <v>58</v>
      </c>
      <c r="B33" s="13" t="str">
        <f>IFERROR(AVERAGE('Revenue Growth YoY'!B30:B33),"")</f>
        <v/>
      </c>
      <c r="C33" s="13">
        <f>IFERROR(AVERAGE('Revenue Growth YoY'!C30:C33),"")</f>
        <v>9.1767008973112629E-3</v>
      </c>
      <c r="D33" s="13">
        <f>IFERROR(AVERAGE('Revenue Growth YoY'!D30:D33),"")</f>
        <v>-1.9034032597945949E-2</v>
      </c>
      <c r="E33" s="13">
        <f>IFERROR(AVERAGE('Revenue Growth YoY'!E30:E33),"")</f>
        <v>0.86441459030848389</v>
      </c>
      <c r="F33" s="13" t="str">
        <f>IFERROR(AVERAGE('Revenue Growth YoY'!F30:F33),"")</f>
        <v/>
      </c>
      <c r="G33" s="13" t="str">
        <f>IFERROR(AVERAGE('Revenue Growth YoY'!G30:G33),"")</f>
        <v/>
      </c>
      <c r="H33" s="13" t="str">
        <f>IFERROR(AVERAGE('Revenue Growth YoY'!H30:H33),"")</f>
        <v/>
      </c>
      <c r="I33" s="13" t="str">
        <f>IFERROR(AVERAGE('Revenue Growth YoY'!I30:I33),"")</f>
        <v/>
      </c>
      <c r="J33" s="13" t="str">
        <f>IFERROR(AVERAGE('Revenue Growth YoY'!J30:J33),"")</f>
        <v/>
      </c>
      <c r="K33" s="13" t="str">
        <f>IFERROR(AVERAGE('Revenue Growth YoY'!K30:K33),"")</f>
        <v/>
      </c>
      <c r="L33" s="13" t="str">
        <f>IFERROR(AVERAGE('Revenue Growth YoY'!L30:L33),"")</f>
        <v/>
      </c>
      <c r="M33" s="13" t="str">
        <f>IFERROR(AVERAGE('Revenue Growth YoY'!M30:M33),"")</f>
        <v/>
      </c>
      <c r="N33" s="13" t="str">
        <f>IFERROR(AVERAGE('Revenue Growth YoY'!N30:N33),"")</f>
        <v/>
      </c>
      <c r="O33" s="13">
        <f>IFERROR(AVERAGE('Revenue Growth YoY'!O30:O33),"")</f>
        <v>0.8109421481646506</v>
      </c>
      <c r="P33" s="13" t="str">
        <f>IFERROR(AVERAGE('Revenue Growth YoY'!P30:P33),"")</f>
        <v/>
      </c>
      <c r="Q33" s="13" t="str">
        <f>IFERROR(AVERAGE('Revenue Growth YoY'!Q30:Q33),"")</f>
        <v/>
      </c>
      <c r="R33" s="13">
        <f>IFERROR(AVERAGE('Revenue Growth YoY'!R30:R33),"")</f>
        <v>5.4761852602369609</v>
      </c>
      <c r="S33" s="13" t="str">
        <f>IFERROR(AVERAGE('Revenue Growth YoY'!S30:S33),"")</f>
        <v/>
      </c>
      <c r="T33" s="13" t="str">
        <f>IFERROR(AVERAGE('Revenue Growth YoY'!T30:T33),"")</f>
        <v/>
      </c>
      <c r="U33" s="13">
        <f>IFERROR(AVERAGE('Revenue Growth YoY'!U30:U33),"")</f>
        <v>0.1011804396404577</v>
      </c>
      <c r="V33" s="13" t="str">
        <f>IFERROR(AVERAGE('Revenue Growth YoY'!V30:V33),"")</f>
        <v/>
      </c>
      <c r="W33" s="13">
        <f>IFERROR(AVERAGE('Revenue Growth YoY'!W30:W33),"")</f>
        <v>0.30066528911976548</v>
      </c>
      <c r="X33" s="13" t="str">
        <f>IFERROR(AVERAGE('Revenue Growth YoY'!X30:X33),"")</f>
        <v/>
      </c>
      <c r="Y33" s="13" t="str">
        <f>IFERROR(AVERAGE('Revenue Growth YoY'!Y30:Y33),"")</f>
        <v/>
      </c>
      <c r="Z33" s="13" t="str">
        <f>IFERROR(AVERAGE('Revenue Growth YoY'!Z30:Z33),"")</f>
        <v/>
      </c>
      <c r="AA33" s="13" t="str">
        <f>IFERROR(AVERAGE('Revenue Growth YoY'!AA30:AA33),"")</f>
        <v/>
      </c>
      <c r="AB33" s="13" t="str">
        <f>IFERROR(AVERAGE('Revenue Growth YoY'!AB30:AB33),"")</f>
        <v/>
      </c>
      <c r="AC33" s="11"/>
    </row>
    <row r="34" spans="1:29" ht="14">
      <c r="A34" s="14" t="s">
        <v>59</v>
      </c>
      <c r="B34" s="13" t="str">
        <f>IFERROR(AVERAGE('Revenue Growth YoY'!B31:B34),"")</f>
        <v/>
      </c>
      <c r="C34" s="13">
        <f>IFERROR(AVERAGE('Revenue Growth YoY'!C31:C34),"")</f>
        <v>5.8716325039569917E-2</v>
      </c>
      <c r="D34" s="13">
        <f>IFERROR(AVERAGE('Revenue Growth YoY'!D31:D34),"")</f>
        <v>-0.21232466013309614</v>
      </c>
      <c r="E34" s="13">
        <f>IFERROR(AVERAGE('Revenue Growth YoY'!E31:E34),"")</f>
        <v>0.89798003250522407</v>
      </c>
      <c r="F34" s="13" t="str">
        <f>IFERROR(AVERAGE('Revenue Growth YoY'!F31:F34),"")</f>
        <v/>
      </c>
      <c r="G34" s="13" t="str">
        <f>IFERROR(AVERAGE('Revenue Growth YoY'!G31:G34),"")</f>
        <v/>
      </c>
      <c r="H34" s="13" t="str">
        <f>IFERROR(AVERAGE('Revenue Growth YoY'!H31:H34),"")</f>
        <v/>
      </c>
      <c r="I34" s="13" t="str">
        <f>IFERROR(AVERAGE('Revenue Growth YoY'!I31:I34),"")</f>
        <v/>
      </c>
      <c r="J34" s="13" t="str">
        <f>IFERROR(AVERAGE('Revenue Growth YoY'!J31:J34),"")</f>
        <v/>
      </c>
      <c r="K34" s="13" t="str">
        <f>IFERROR(AVERAGE('Revenue Growth YoY'!K31:K34),"")</f>
        <v/>
      </c>
      <c r="L34" s="13" t="str">
        <f>IFERROR(AVERAGE('Revenue Growth YoY'!L31:L34),"")</f>
        <v/>
      </c>
      <c r="M34" s="13" t="str">
        <f>IFERROR(AVERAGE('Revenue Growth YoY'!M31:M34),"")</f>
        <v/>
      </c>
      <c r="N34" s="13" t="str">
        <f>IFERROR(AVERAGE('Revenue Growth YoY'!N31:N34),"")</f>
        <v/>
      </c>
      <c r="O34" s="13">
        <f>IFERROR(AVERAGE('Revenue Growth YoY'!O31:O34),"")</f>
        <v>1.5493734738184788</v>
      </c>
      <c r="P34" s="13" t="str">
        <f>IFERROR(AVERAGE('Revenue Growth YoY'!P31:P34),"")</f>
        <v/>
      </c>
      <c r="Q34" s="13" t="str">
        <f>IFERROR(AVERAGE('Revenue Growth YoY'!Q31:Q34),"")</f>
        <v/>
      </c>
      <c r="R34" s="13" t="str">
        <f>IFERROR(AVERAGE('Revenue Growth YoY'!R31:R34),"")</f>
        <v/>
      </c>
      <c r="S34" s="13" t="str">
        <f>IFERROR(AVERAGE('Revenue Growth YoY'!S31:S34),"")</f>
        <v/>
      </c>
      <c r="T34" s="13" t="str">
        <f>IFERROR(AVERAGE('Revenue Growth YoY'!T31:T34),"")</f>
        <v/>
      </c>
      <c r="U34" s="13">
        <f>IFERROR(AVERAGE('Revenue Growth YoY'!U31:U34),"")</f>
        <v>8.9315249751902304E-3</v>
      </c>
      <c r="V34" s="13" t="str">
        <f>IFERROR(AVERAGE('Revenue Growth YoY'!V31:V34),"")</f>
        <v/>
      </c>
      <c r="W34" s="13">
        <f>IFERROR(AVERAGE('Revenue Growth YoY'!W31:W34),"")</f>
        <v>0.28250106170009082</v>
      </c>
      <c r="X34" s="13" t="str">
        <f>IFERROR(AVERAGE('Revenue Growth YoY'!X31:X34),"")</f>
        <v/>
      </c>
      <c r="Y34" s="13" t="str">
        <f>IFERROR(AVERAGE('Revenue Growth YoY'!Y31:Y34),"")</f>
        <v/>
      </c>
      <c r="Z34" s="13" t="str">
        <f>IFERROR(AVERAGE('Revenue Growth YoY'!Z31:Z34),"")</f>
        <v/>
      </c>
      <c r="AA34" s="13" t="str">
        <f>IFERROR(AVERAGE('Revenue Growth YoY'!AA31:AA34),"")</f>
        <v/>
      </c>
      <c r="AB34" s="13" t="str">
        <f>IFERROR(AVERAGE('Revenue Growth YoY'!AB31:AB34),"")</f>
        <v/>
      </c>
      <c r="AC34" s="11"/>
    </row>
    <row r="35" spans="1:29" ht="14">
      <c r="A35" s="14" t="s">
        <v>60</v>
      </c>
      <c r="B35" s="13" t="str">
        <f>IFERROR(AVERAGE('Revenue Growth YoY'!B32:B35),"")</f>
        <v/>
      </c>
      <c r="C35" s="13">
        <f>IFERROR(AVERAGE('Revenue Growth YoY'!C32:C35),"")</f>
        <v>5.7239747793361162E-2</v>
      </c>
      <c r="D35" s="13">
        <f>IFERROR(AVERAGE('Revenue Growth YoY'!D32:D35),"")</f>
        <v>-0.12174484479187531</v>
      </c>
      <c r="E35" s="13">
        <f>IFERROR(AVERAGE('Revenue Growth YoY'!E32:E35),"")</f>
        <v>0.83590887386390822</v>
      </c>
      <c r="F35" s="13" t="str">
        <f>IFERROR(AVERAGE('Revenue Growth YoY'!F32:F35),"")</f>
        <v/>
      </c>
      <c r="G35" s="13" t="str">
        <f>IFERROR(AVERAGE('Revenue Growth YoY'!G32:G35),"")</f>
        <v/>
      </c>
      <c r="H35" s="13" t="str">
        <f>IFERROR(AVERAGE('Revenue Growth YoY'!H32:H35),"")</f>
        <v/>
      </c>
      <c r="I35" s="13" t="str">
        <f>IFERROR(AVERAGE('Revenue Growth YoY'!I32:I35),"")</f>
        <v/>
      </c>
      <c r="J35" s="13" t="str">
        <f>IFERROR(AVERAGE('Revenue Growth YoY'!J32:J35),"")</f>
        <v/>
      </c>
      <c r="K35" s="13" t="str">
        <f>IFERROR(AVERAGE('Revenue Growth YoY'!K32:K35),"")</f>
        <v/>
      </c>
      <c r="L35" s="13" t="str">
        <f>IFERROR(AVERAGE('Revenue Growth YoY'!L32:L35),"")</f>
        <v/>
      </c>
      <c r="M35" s="13" t="str">
        <f>IFERROR(AVERAGE('Revenue Growth YoY'!M32:M35),"")</f>
        <v/>
      </c>
      <c r="N35" s="13" t="str">
        <f>IFERROR(AVERAGE('Revenue Growth YoY'!N32:N35),"")</f>
        <v/>
      </c>
      <c r="O35" s="13">
        <f>IFERROR(AVERAGE('Revenue Growth YoY'!O32:O35),"")</f>
        <v>2.287804799472307</v>
      </c>
      <c r="P35" s="13" t="str">
        <f>IFERROR(AVERAGE('Revenue Growth YoY'!P32:P35),"")</f>
        <v/>
      </c>
      <c r="Q35" s="13" t="str">
        <f>IFERROR(AVERAGE('Revenue Growth YoY'!Q32:Q35),"")</f>
        <v/>
      </c>
      <c r="R35" s="13" t="str">
        <f>IFERROR(AVERAGE('Revenue Growth YoY'!R32:R35),"")</f>
        <v/>
      </c>
      <c r="S35" s="13" t="str">
        <f>IFERROR(AVERAGE('Revenue Growth YoY'!S32:S35),"")</f>
        <v/>
      </c>
      <c r="T35" s="13" t="str">
        <f>IFERROR(AVERAGE('Revenue Growth YoY'!T32:T35),"")</f>
        <v/>
      </c>
      <c r="U35" s="13">
        <f>IFERROR(AVERAGE('Revenue Growth YoY'!U32:U35),"")</f>
        <v>8.9315249751902304E-3</v>
      </c>
      <c r="V35" s="13" t="str">
        <f>IFERROR(AVERAGE('Revenue Growth YoY'!V32:V35),"")</f>
        <v/>
      </c>
      <c r="W35" s="13">
        <f>IFERROR(AVERAGE('Revenue Growth YoY'!W32:W35),"")</f>
        <v>0.26433683428041616</v>
      </c>
      <c r="X35" s="13" t="str">
        <f>IFERROR(AVERAGE('Revenue Growth YoY'!X32:X35),"")</f>
        <v/>
      </c>
      <c r="Y35" s="13" t="str">
        <f>IFERROR(AVERAGE('Revenue Growth YoY'!Y32:Y35),"")</f>
        <v/>
      </c>
      <c r="Z35" s="13" t="str">
        <f>IFERROR(AVERAGE('Revenue Growth YoY'!Z32:Z35),"")</f>
        <v/>
      </c>
      <c r="AA35" s="13" t="str">
        <f>IFERROR(AVERAGE('Revenue Growth YoY'!AA32:AA35),"")</f>
        <v/>
      </c>
      <c r="AB35" s="13" t="str">
        <f>IFERROR(AVERAGE('Revenue Growth YoY'!AB32:AB35),"")</f>
        <v/>
      </c>
      <c r="AC35" s="11"/>
    </row>
    <row r="36" spans="1:29" ht="14">
      <c r="A36" s="14" t="s">
        <v>61</v>
      </c>
      <c r="B36" s="13" t="str">
        <f>IFERROR(AVERAGE('Revenue Growth YoY'!B33:B36),"")</f>
        <v/>
      </c>
      <c r="C36" s="13">
        <f>IFERROR(AVERAGE('Revenue Growth YoY'!C33:C36),"")</f>
        <v>5.5763170547152408E-2</v>
      </c>
      <c r="D36" s="13">
        <f>IFERROR(AVERAGE('Revenue Growth YoY'!D33:D36),"")</f>
        <v>-3.1165029450654469E-2</v>
      </c>
      <c r="E36" s="13">
        <f>IFERROR(AVERAGE('Revenue Growth YoY'!E33:E36),"")</f>
        <v>0.77383771522259226</v>
      </c>
      <c r="F36" s="13" t="str">
        <f>IFERROR(AVERAGE('Revenue Growth YoY'!F33:F36),"")</f>
        <v/>
      </c>
      <c r="G36" s="13" t="str">
        <f>IFERROR(AVERAGE('Revenue Growth YoY'!G33:G36),"")</f>
        <v/>
      </c>
      <c r="H36" s="13" t="str">
        <f>IFERROR(AVERAGE('Revenue Growth YoY'!H33:H36),"")</f>
        <v/>
      </c>
      <c r="I36" s="13" t="str">
        <f>IFERROR(AVERAGE('Revenue Growth YoY'!I33:I36),"")</f>
        <v/>
      </c>
      <c r="J36" s="13" t="str">
        <f>IFERROR(AVERAGE('Revenue Growth YoY'!J33:J36),"")</f>
        <v/>
      </c>
      <c r="K36" s="13" t="str">
        <f>IFERROR(AVERAGE('Revenue Growth YoY'!K33:K36),"")</f>
        <v/>
      </c>
      <c r="L36" s="13" t="str">
        <f>IFERROR(AVERAGE('Revenue Growth YoY'!L33:L36),"")</f>
        <v/>
      </c>
      <c r="M36" s="13" t="str">
        <f>IFERROR(AVERAGE('Revenue Growth YoY'!M33:M36),"")</f>
        <v/>
      </c>
      <c r="N36" s="13" t="str">
        <f>IFERROR(AVERAGE('Revenue Growth YoY'!N33:N36),"")</f>
        <v/>
      </c>
      <c r="O36" s="13">
        <f>IFERROR(AVERAGE('Revenue Growth YoY'!O33:O36),"")</f>
        <v>3.0262361251261352</v>
      </c>
      <c r="P36" s="13" t="str">
        <f>IFERROR(AVERAGE('Revenue Growth YoY'!P33:P36),"")</f>
        <v/>
      </c>
      <c r="Q36" s="13" t="str">
        <f>IFERROR(AVERAGE('Revenue Growth YoY'!Q33:Q36),"")</f>
        <v/>
      </c>
      <c r="R36" s="13" t="str">
        <f>IFERROR(AVERAGE('Revenue Growth YoY'!R33:R36),"")</f>
        <v/>
      </c>
      <c r="S36" s="13" t="str">
        <f>IFERROR(AVERAGE('Revenue Growth YoY'!S33:S36),"")</f>
        <v/>
      </c>
      <c r="T36" s="13" t="str">
        <f>IFERROR(AVERAGE('Revenue Growth YoY'!T33:T36),"")</f>
        <v/>
      </c>
      <c r="U36" s="13">
        <f>IFERROR(AVERAGE('Revenue Growth YoY'!U33:U36),"")</f>
        <v>8.9315249751902304E-3</v>
      </c>
      <c r="V36" s="13" t="str">
        <f>IFERROR(AVERAGE('Revenue Growth YoY'!V33:V36),"")</f>
        <v/>
      </c>
      <c r="W36" s="13">
        <f>IFERROR(AVERAGE('Revenue Growth YoY'!W33:W36),"")</f>
        <v>0.24617260686074149</v>
      </c>
      <c r="X36" s="13" t="str">
        <f>IFERROR(AVERAGE('Revenue Growth YoY'!X33:X36),"")</f>
        <v/>
      </c>
      <c r="Y36" s="13" t="str">
        <f>IFERROR(AVERAGE('Revenue Growth YoY'!Y33:Y36),"")</f>
        <v/>
      </c>
      <c r="Z36" s="13" t="str">
        <f>IFERROR(AVERAGE('Revenue Growth YoY'!Z33:Z36),"")</f>
        <v/>
      </c>
      <c r="AA36" s="13" t="str">
        <f>IFERROR(AVERAGE('Revenue Growth YoY'!AA33:AA36),"")</f>
        <v/>
      </c>
      <c r="AB36" s="13" t="str">
        <f>IFERROR(AVERAGE('Revenue Growth YoY'!AB33:AB36),"")</f>
        <v/>
      </c>
      <c r="AC36" s="11"/>
    </row>
    <row r="37" spans="1:29" ht="14">
      <c r="A37" s="14" t="s">
        <v>62</v>
      </c>
      <c r="B37" s="13" t="str">
        <f>IFERROR(AVERAGE('Revenue Growth YoY'!B34:B37),"")</f>
        <v/>
      </c>
      <c r="C37" s="13">
        <f>IFERROR(AVERAGE('Revenue Growth YoY'!C34:C37),"")</f>
        <v>5.4286593300943653E-2</v>
      </c>
      <c r="D37" s="13">
        <f>IFERROR(AVERAGE('Revenue Growth YoY'!D34:D37),"")</f>
        <v>5.9414785890566368E-2</v>
      </c>
      <c r="E37" s="13">
        <f>IFERROR(AVERAGE('Revenue Growth YoY'!E34:E37),"")</f>
        <v>0.7117665565812763</v>
      </c>
      <c r="F37" s="13" t="str">
        <f>IFERROR(AVERAGE('Revenue Growth YoY'!F34:F37),"")</f>
        <v/>
      </c>
      <c r="G37" s="13" t="str">
        <f>IFERROR(AVERAGE('Revenue Growth YoY'!G34:G37),"")</f>
        <v/>
      </c>
      <c r="H37" s="13" t="str">
        <f>IFERROR(AVERAGE('Revenue Growth YoY'!H34:H37),"")</f>
        <v/>
      </c>
      <c r="I37" s="13" t="str">
        <f>IFERROR(AVERAGE('Revenue Growth YoY'!I34:I37),"")</f>
        <v/>
      </c>
      <c r="J37" s="13" t="str">
        <f>IFERROR(AVERAGE('Revenue Growth YoY'!J34:J37),"")</f>
        <v/>
      </c>
      <c r="K37" s="13" t="str">
        <f>IFERROR(AVERAGE('Revenue Growth YoY'!K34:K37),"")</f>
        <v/>
      </c>
      <c r="L37" s="13" t="str">
        <f>IFERROR(AVERAGE('Revenue Growth YoY'!L34:L37),"")</f>
        <v/>
      </c>
      <c r="M37" s="13" t="str">
        <f>IFERROR(AVERAGE('Revenue Growth YoY'!M34:M37),"")</f>
        <v/>
      </c>
      <c r="N37" s="13" t="str">
        <f>IFERROR(AVERAGE('Revenue Growth YoY'!N34:N37),"")</f>
        <v/>
      </c>
      <c r="O37" s="13">
        <f>IFERROR(AVERAGE('Revenue Growth YoY'!O34:O37),"")</f>
        <v>2.5569577955989873</v>
      </c>
      <c r="P37" s="13" t="str">
        <f>IFERROR(AVERAGE('Revenue Growth YoY'!P34:P37),"")</f>
        <v/>
      </c>
      <c r="Q37" s="13" t="str">
        <f>IFERROR(AVERAGE('Revenue Growth YoY'!Q34:Q37),"")</f>
        <v/>
      </c>
      <c r="R37" s="13" t="str">
        <f>IFERROR(AVERAGE('Revenue Growth YoY'!R34:R37),"")</f>
        <v/>
      </c>
      <c r="S37" s="13" t="str">
        <f>IFERROR(AVERAGE('Revenue Growth YoY'!S34:S37),"")</f>
        <v/>
      </c>
      <c r="T37" s="13" t="str">
        <f>IFERROR(AVERAGE('Revenue Growth YoY'!T34:T37),"")</f>
        <v/>
      </c>
      <c r="U37" s="13" t="str">
        <f>IFERROR(AVERAGE('Revenue Growth YoY'!U34:U37),"")</f>
        <v/>
      </c>
      <c r="V37" s="13" t="str">
        <f>IFERROR(AVERAGE('Revenue Growth YoY'!V34:V37),"")</f>
        <v/>
      </c>
      <c r="W37" s="13">
        <f>IFERROR(AVERAGE('Revenue Growth YoY'!W34:W37),"")</f>
        <v>0.20692949061998145</v>
      </c>
      <c r="X37" s="13" t="str">
        <f>IFERROR(AVERAGE('Revenue Growth YoY'!X34:X37),"")</f>
        <v/>
      </c>
      <c r="Y37" s="13" t="str">
        <f>IFERROR(AVERAGE('Revenue Growth YoY'!Y34:Y37),"")</f>
        <v/>
      </c>
      <c r="Z37" s="13" t="str">
        <f>IFERROR(AVERAGE('Revenue Growth YoY'!Z34:Z37),"")</f>
        <v/>
      </c>
      <c r="AA37" s="13" t="str">
        <f>IFERROR(AVERAGE('Revenue Growth YoY'!AA34:AA37),"")</f>
        <v/>
      </c>
      <c r="AB37" s="13" t="str">
        <f>IFERROR(AVERAGE('Revenue Growth YoY'!AB34:AB37),"")</f>
        <v/>
      </c>
      <c r="AC37" s="11"/>
    </row>
    <row r="38" spans="1:29" ht="14">
      <c r="A38" s="14" t="s">
        <v>63</v>
      </c>
      <c r="B38" s="13" t="str">
        <f>IFERROR(AVERAGE('Revenue Growth YoY'!B35:B38),"")</f>
        <v/>
      </c>
      <c r="C38" s="13">
        <f>IFERROR(AVERAGE('Revenue Growth YoY'!C35:C38),"")</f>
        <v>5.2810016054734898E-2</v>
      </c>
      <c r="D38" s="13">
        <f>IFERROR(AVERAGE('Revenue Growth YoY'!D35:D38),"")</f>
        <v>0.14999460123178721</v>
      </c>
      <c r="E38" s="13">
        <f>IFERROR(AVERAGE('Revenue Growth YoY'!E35:E38),"")</f>
        <v>0.64969539793996045</v>
      </c>
      <c r="F38" s="13" t="str">
        <f>IFERROR(AVERAGE('Revenue Growth YoY'!F35:F38),"")</f>
        <v/>
      </c>
      <c r="G38" s="13" t="str">
        <f>IFERROR(AVERAGE('Revenue Growth YoY'!G35:G38),"")</f>
        <v/>
      </c>
      <c r="H38" s="13" t="str">
        <f>IFERROR(AVERAGE('Revenue Growth YoY'!H35:H38),"")</f>
        <v/>
      </c>
      <c r="I38" s="13" t="str">
        <f>IFERROR(AVERAGE('Revenue Growth YoY'!I35:I38),"")</f>
        <v/>
      </c>
      <c r="J38" s="13" t="str">
        <f>IFERROR(AVERAGE('Revenue Growth YoY'!J35:J38),"")</f>
        <v/>
      </c>
      <c r="K38" s="13" t="str">
        <f>IFERROR(AVERAGE('Revenue Growth YoY'!K35:K38),"")</f>
        <v/>
      </c>
      <c r="L38" s="13" t="str">
        <f>IFERROR(AVERAGE('Revenue Growth YoY'!L35:L38),"")</f>
        <v/>
      </c>
      <c r="M38" s="13" t="str">
        <f>IFERROR(AVERAGE('Revenue Growth YoY'!M35:M38),"")</f>
        <v/>
      </c>
      <c r="N38" s="13" t="str">
        <f>IFERROR(AVERAGE('Revenue Growth YoY'!N35:N38),"")</f>
        <v/>
      </c>
      <c r="O38" s="13">
        <f>IFERROR(AVERAGE('Revenue Growth YoY'!O35:O38),"")</f>
        <v>2.0876794660718394</v>
      </c>
      <c r="P38" s="13" t="str">
        <f>IFERROR(AVERAGE('Revenue Growth YoY'!P35:P38),"")</f>
        <v/>
      </c>
      <c r="Q38" s="13" t="str">
        <f>IFERROR(AVERAGE('Revenue Growth YoY'!Q35:Q38),"")</f>
        <v/>
      </c>
      <c r="R38" s="13" t="str">
        <f>IFERROR(AVERAGE('Revenue Growth YoY'!R35:R38),"")</f>
        <v/>
      </c>
      <c r="S38" s="13" t="str">
        <f>IFERROR(AVERAGE('Revenue Growth YoY'!S35:S38),"")</f>
        <v/>
      </c>
      <c r="T38" s="13" t="str">
        <f>IFERROR(AVERAGE('Revenue Growth YoY'!T35:T38),"")</f>
        <v/>
      </c>
      <c r="U38" s="13" t="str">
        <f>IFERROR(AVERAGE('Revenue Growth YoY'!U35:U38),"")</f>
        <v/>
      </c>
      <c r="V38" s="13" t="str">
        <f>IFERROR(AVERAGE('Revenue Growth YoY'!V35:V38),"")</f>
        <v/>
      </c>
      <c r="W38" s="13">
        <f>IFERROR(AVERAGE('Revenue Growth YoY'!W35:W38),"")</f>
        <v>0.1676863743792214</v>
      </c>
      <c r="X38" s="13" t="str">
        <f>IFERROR(AVERAGE('Revenue Growth YoY'!X35:X38),"")</f>
        <v/>
      </c>
      <c r="Y38" s="13" t="str">
        <f>IFERROR(AVERAGE('Revenue Growth YoY'!Y35:Y38),"")</f>
        <v/>
      </c>
      <c r="Z38" s="13" t="str">
        <f>IFERROR(AVERAGE('Revenue Growth YoY'!Z35:Z38),"")</f>
        <v/>
      </c>
      <c r="AA38" s="13" t="str">
        <f>IFERROR(AVERAGE('Revenue Growth YoY'!AA35:AA38),"")</f>
        <v/>
      </c>
      <c r="AB38" s="13" t="str">
        <f>IFERROR(AVERAGE('Revenue Growth YoY'!AB35:AB38),"")</f>
        <v/>
      </c>
      <c r="AC38" s="11"/>
    </row>
    <row r="39" spans="1:29" ht="14">
      <c r="A39" s="14" t="s">
        <v>64</v>
      </c>
      <c r="B39" s="13" t="str">
        <f>IFERROR(AVERAGE('Revenue Growth YoY'!B36:B39),"")</f>
        <v/>
      </c>
      <c r="C39" s="13">
        <f>IFERROR(AVERAGE('Revenue Growth YoY'!C36:C39),"")</f>
        <v>8.1274092142021415E-2</v>
      </c>
      <c r="D39" s="13">
        <f>IFERROR(AVERAGE('Revenue Growth YoY'!D36:D39),"")</f>
        <v>0.12643007549831825</v>
      </c>
      <c r="E39" s="13">
        <f>IFERROR(AVERAGE('Revenue Growth YoY'!E36:E39),"")</f>
        <v>0.61291297338230022</v>
      </c>
      <c r="F39" s="13" t="str">
        <f>IFERROR(AVERAGE('Revenue Growth YoY'!F36:F39),"")</f>
        <v/>
      </c>
      <c r="G39" s="13" t="str">
        <f>IFERROR(AVERAGE('Revenue Growth YoY'!G36:G39),"")</f>
        <v/>
      </c>
      <c r="H39" s="13" t="str">
        <f>IFERROR(AVERAGE('Revenue Growth YoY'!H36:H39),"")</f>
        <v/>
      </c>
      <c r="I39" s="13" t="str">
        <f>IFERROR(AVERAGE('Revenue Growth YoY'!I36:I39),"")</f>
        <v/>
      </c>
      <c r="J39" s="13" t="str">
        <f>IFERROR(AVERAGE('Revenue Growth YoY'!J36:J39),"")</f>
        <v/>
      </c>
      <c r="K39" s="13" t="str">
        <f>IFERROR(AVERAGE('Revenue Growth YoY'!K36:K39),"")</f>
        <v/>
      </c>
      <c r="L39" s="13" t="str">
        <f>IFERROR(AVERAGE('Revenue Growth YoY'!L36:L39),"")</f>
        <v/>
      </c>
      <c r="M39" s="13" t="str">
        <f>IFERROR(AVERAGE('Revenue Growth YoY'!M36:M39),"")</f>
        <v/>
      </c>
      <c r="N39" s="13" t="str">
        <f>IFERROR(AVERAGE('Revenue Growth YoY'!N36:N39),"")</f>
        <v/>
      </c>
      <c r="O39" s="13">
        <f>IFERROR(AVERAGE('Revenue Growth YoY'!O36:O39),"")</f>
        <v>1.6184011365446915</v>
      </c>
      <c r="P39" s="13" t="str">
        <f>IFERROR(AVERAGE('Revenue Growth YoY'!P36:P39),"")</f>
        <v/>
      </c>
      <c r="Q39" s="13" t="str">
        <f>IFERROR(AVERAGE('Revenue Growth YoY'!Q36:Q39),"")</f>
        <v/>
      </c>
      <c r="R39" s="13" t="str">
        <f>IFERROR(AVERAGE('Revenue Growth YoY'!R36:R39),"")</f>
        <v/>
      </c>
      <c r="S39" s="13" t="str">
        <f>IFERROR(AVERAGE('Revenue Growth YoY'!S36:S39),"")</f>
        <v/>
      </c>
      <c r="T39" s="13" t="str">
        <f>IFERROR(AVERAGE('Revenue Growth YoY'!T36:T39),"")</f>
        <v/>
      </c>
      <c r="U39" s="13" t="str">
        <f>IFERROR(AVERAGE('Revenue Growth YoY'!U36:U39),"")</f>
        <v/>
      </c>
      <c r="V39" s="13" t="str">
        <f>IFERROR(AVERAGE('Revenue Growth YoY'!V36:V39),"")</f>
        <v/>
      </c>
      <c r="W39" s="13">
        <f>IFERROR(AVERAGE('Revenue Growth YoY'!W36:W39),"")</f>
        <v>0.12844325813846136</v>
      </c>
      <c r="X39" s="13" t="str">
        <f>IFERROR(AVERAGE('Revenue Growth YoY'!X36:X39),"")</f>
        <v/>
      </c>
      <c r="Y39" s="13" t="str">
        <f>IFERROR(AVERAGE('Revenue Growth YoY'!Y36:Y39),"")</f>
        <v/>
      </c>
      <c r="Z39" s="13" t="str">
        <f>IFERROR(AVERAGE('Revenue Growth YoY'!Z36:Z39),"")</f>
        <v/>
      </c>
      <c r="AA39" s="13" t="str">
        <f>IFERROR(AVERAGE('Revenue Growth YoY'!AA36:AA39),"")</f>
        <v/>
      </c>
      <c r="AB39" s="13" t="str">
        <f>IFERROR(AVERAGE('Revenue Growth YoY'!AB36:AB39),"")</f>
        <v/>
      </c>
      <c r="AC39" s="11"/>
    </row>
    <row r="40" spans="1:29" ht="14">
      <c r="A40" s="14" t="s">
        <v>65</v>
      </c>
      <c r="B40" s="13" t="str">
        <f>IFERROR(AVERAGE('Revenue Growth YoY'!B37:B40),"")</f>
        <v/>
      </c>
      <c r="C40" s="13">
        <f>IFERROR(AVERAGE('Revenue Growth YoY'!C37:C40),"")</f>
        <v>0.10973816822930793</v>
      </c>
      <c r="D40" s="13">
        <f>IFERROR(AVERAGE('Revenue Growth YoY'!D37:D40),"")</f>
        <v>0.1028655497648493</v>
      </c>
      <c r="E40" s="13">
        <f>IFERROR(AVERAGE('Revenue Growth YoY'!E37:E40),"")</f>
        <v>0.57613054882463999</v>
      </c>
      <c r="F40" s="13" t="str">
        <f>IFERROR(AVERAGE('Revenue Growth YoY'!F37:F40),"")</f>
        <v/>
      </c>
      <c r="G40" s="13" t="str">
        <f>IFERROR(AVERAGE('Revenue Growth YoY'!G37:G40),"")</f>
        <v/>
      </c>
      <c r="H40" s="13" t="str">
        <f>IFERROR(AVERAGE('Revenue Growth YoY'!H37:H40),"")</f>
        <v/>
      </c>
      <c r="I40" s="13" t="str">
        <f>IFERROR(AVERAGE('Revenue Growth YoY'!I37:I40),"")</f>
        <v/>
      </c>
      <c r="J40" s="13" t="str">
        <f>IFERROR(AVERAGE('Revenue Growth YoY'!J37:J40),"")</f>
        <v/>
      </c>
      <c r="K40" s="13" t="str">
        <f>IFERROR(AVERAGE('Revenue Growth YoY'!K37:K40),"")</f>
        <v/>
      </c>
      <c r="L40" s="13" t="str">
        <f>IFERROR(AVERAGE('Revenue Growth YoY'!L37:L40),"")</f>
        <v/>
      </c>
      <c r="M40" s="13" t="str">
        <f>IFERROR(AVERAGE('Revenue Growth YoY'!M37:M40),"")</f>
        <v/>
      </c>
      <c r="N40" s="13" t="str">
        <f>IFERROR(AVERAGE('Revenue Growth YoY'!N37:N40),"")</f>
        <v/>
      </c>
      <c r="O40" s="13">
        <f>IFERROR(AVERAGE('Revenue Growth YoY'!O37:O40),"")</f>
        <v>1.1491228070175437</v>
      </c>
      <c r="P40" s="13" t="str">
        <f>IFERROR(AVERAGE('Revenue Growth YoY'!P37:P40),"")</f>
        <v/>
      </c>
      <c r="Q40" s="13" t="str">
        <f>IFERROR(AVERAGE('Revenue Growth YoY'!Q37:Q40),"")</f>
        <v/>
      </c>
      <c r="R40" s="13" t="str">
        <f>IFERROR(AVERAGE('Revenue Growth YoY'!R37:R40),"")</f>
        <v/>
      </c>
      <c r="S40" s="13" t="str">
        <f>IFERROR(AVERAGE('Revenue Growth YoY'!S37:S40),"")</f>
        <v/>
      </c>
      <c r="T40" s="13" t="str">
        <f>IFERROR(AVERAGE('Revenue Growth YoY'!T37:T40),"")</f>
        <v/>
      </c>
      <c r="U40" s="13" t="str">
        <f>IFERROR(AVERAGE('Revenue Growth YoY'!U37:U40),"")</f>
        <v/>
      </c>
      <c r="V40" s="13" t="str">
        <f>IFERROR(AVERAGE('Revenue Growth YoY'!V37:V40),"")</f>
        <v/>
      </c>
      <c r="W40" s="13">
        <f>IFERROR(AVERAGE('Revenue Growth YoY'!W37:W40),"")</f>
        <v>8.9200141897701313E-2</v>
      </c>
      <c r="X40" s="13" t="str">
        <f>IFERROR(AVERAGE('Revenue Growth YoY'!X37:X40),"")</f>
        <v/>
      </c>
      <c r="Y40" s="13" t="str">
        <f>IFERROR(AVERAGE('Revenue Growth YoY'!Y37:Y40),"")</f>
        <v/>
      </c>
      <c r="Z40" s="13" t="str">
        <f>IFERROR(AVERAGE('Revenue Growth YoY'!Z37:Z40),"")</f>
        <v/>
      </c>
      <c r="AA40" s="13" t="str">
        <f>IFERROR(AVERAGE('Revenue Growth YoY'!AA37:AA40),"")</f>
        <v/>
      </c>
      <c r="AB40" s="13" t="str">
        <f>IFERROR(AVERAGE('Revenue Growth YoY'!AB37:AB40),"")</f>
        <v/>
      </c>
      <c r="AC40" s="11"/>
    </row>
    <row r="41" spans="1:29" ht="14">
      <c r="A41" s="14" t="s">
        <v>66</v>
      </c>
      <c r="B41" s="13" t="str">
        <f>IFERROR(AVERAGE('Revenue Growth YoY'!B38:B41),"")</f>
        <v/>
      </c>
      <c r="C41" s="13">
        <f>IFERROR(AVERAGE('Revenue Growth YoY'!C38:C41),"")</f>
        <v>0.13820224431659445</v>
      </c>
      <c r="D41" s="13">
        <f>IFERROR(AVERAGE('Revenue Growth YoY'!D38:D41),"")</f>
        <v>7.9301024031380341E-2</v>
      </c>
      <c r="E41" s="13">
        <f>IFERROR(AVERAGE('Revenue Growth YoY'!E38:E41),"")</f>
        <v>0.53934812426697976</v>
      </c>
      <c r="F41" s="13" t="str">
        <f>IFERROR(AVERAGE('Revenue Growth YoY'!F38:F41),"")</f>
        <v/>
      </c>
      <c r="G41" s="13" t="str">
        <f>IFERROR(AVERAGE('Revenue Growth YoY'!G38:G41),"")</f>
        <v/>
      </c>
      <c r="H41" s="13" t="str">
        <f>IFERROR(AVERAGE('Revenue Growth YoY'!H38:H41),"")</f>
        <v/>
      </c>
      <c r="I41" s="13" t="str">
        <f>IFERROR(AVERAGE('Revenue Growth YoY'!I38:I41),"")</f>
        <v/>
      </c>
      <c r="J41" s="13" t="str">
        <f>IFERROR(AVERAGE('Revenue Growth YoY'!J38:J41),"")</f>
        <v/>
      </c>
      <c r="K41" s="13" t="str">
        <f>IFERROR(AVERAGE('Revenue Growth YoY'!K38:K41),"")</f>
        <v/>
      </c>
      <c r="L41" s="13" t="str">
        <f>IFERROR(AVERAGE('Revenue Growth YoY'!L38:L41),"")</f>
        <v/>
      </c>
      <c r="M41" s="13" t="str">
        <f>IFERROR(AVERAGE('Revenue Growth YoY'!M38:M41),"")</f>
        <v/>
      </c>
      <c r="N41" s="13" t="str">
        <f>IFERROR(AVERAGE('Revenue Growth YoY'!N38:N41),"")</f>
        <v/>
      </c>
      <c r="O41" s="13">
        <f>IFERROR(AVERAGE('Revenue Growth YoY'!O38:O41),"")</f>
        <v>1.0019878778579099</v>
      </c>
      <c r="P41" s="13" t="str">
        <f>IFERROR(AVERAGE('Revenue Growth YoY'!P38:P41),"")</f>
        <v/>
      </c>
      <c r="Q41" s="13" t="str">
        <f>IFERROR(AVERAGE('Revenue Growth YoY'!Q38:Q41),"")</f>
        <v/>
      </c>
      <c r="R41" s="13" t="str">
        <f>IFERROR(AVERAGE('Revenue Growth YoY'!R38:R41),"")</f>
        <v/>
      </c>
      <c r="S41" s="13" t="str">
        <f>IFERROR(AVERAGE('Revenue Growth YoY'!S38:S41),"")</f>
        <v/>
      </c>
      <c r="T41" s="13" t="str">
        <f>IFERROR(AVERAGE('Revenue Growth YoY'!T38:T41),"")</f>
        <v/>
      </c>
      <c r="U41" s="13" t="str">
        <f>IFERROR(AVERAGE('Revenue Growth YoY'!U38:U41),"")</f>
        <v/>
      </c>
      <c r="V41" s="13" t="str">
        <f>IFERROR(AVERAGE('Revenue Growth YoY'!V38:V41),"")</f>
        <v/>
      </c>
      <c r="W41" s="13">
        <f>IFERROR(AVERAGE('Revenue Growth YoY'!W38:W41),"")</f>
        <v>0.1424414321019169</v>
      </c>
      <c r="X41" s="13" t="str">
        <f>IFERROR(AVERAGE('Revenue Growth YoY'!X38:X41),"")</f>
        <v/>
      </c>
      <c r="Y41" s="13" t="str">
        <f>IFERROR(AVERAGE('Revenue Growth YoY'!Y38:Y41),"")</f>
        <v/>
      </c>
      <c r="Z41" s="13" t="str">
        <f>IFERROR(AVERAGE('Revenue Growth YoY'!Z38:Z41),"")</f>
        <v/>
      </c>
      <c r="AA41" s="13" t="str">
        <f>IFERROR(AVERAGE('Revenue Growth YoY'!AA38:AA41),"")</f>
        <v/>
      </c>
      <c r="AB41" s="13" t="str">
        <f>IFERROR(AVERAGE('Revenue Growth YoY'!AB38:AB41),"")</f>
        <v/>
      </c>
      <c r="AC41" s="11"/>
    </row>
    <row r="42" spans="1:29" ht="14">
      <c r="A42" s="14" t="s">
        <v>67</v>
      </c>
      <c r="B42" s="13" t="str">
        <f>IFERROR(AVERAGE('Revenue Growth YoY'!B39:B42),"")</f>
        <v/>
      </c>
      <c r="C42" s="13">
        <f>IFERROR(AVERAGE('Revenue Growth YoY'!C39:C42),"")</f>
        <v>0.16666632040388096</v>
      </c>
      <c r="D42" s="13">
        <f>IFERROR(AVERAGE('Revenue Growth YoY'!D39:D42),"")</f>
        <v>5.5736498297911385E-2</v>
      </c>
      <c r="E42" s="13">
        <f>IFERROR(AVERAGE('Revenue Growth YoY'!E39:E42),"")</f>
        <v>0.50256569970931952</v>
      </c>
      <c r="F42" s="13" t="str">
        <f>IFERROR(AVERAGE('Revenue Growth YoY'!F39:F42),"")</f>
        <v/>
      </c>
      <c r="G42" s="13" t="str">
        <f>IFERROR(AVERAGE('Revenue Growth YoY'!G39:G42),"")</f>
        <v/>
      </c>
      <c r="H42" s="13" t="str">
        <f>IFERROR(AVERAGE('Revenue Growth YoY'!H39:H42),"")</f>
        <v/>
      </c>
      <c r="I42" s="13" t="str">
        <f>IFERROR(AVERAGE('Revenue Growth YoY'!I39:I42),"")</f>
        <v/>
      </c>
      <c r="J42" s="13" t="str">
        <f>IFERROR(AVERAGE('Revenue Growth YoY'!J39:J42),"")</f>
        <v/>
      </c>
      <c r="K42" s="13" t="str">
        <f>IFERROR(AVERAGE('Revenue Growth YoY'!K39:K42),"")</f>
        <v/>
      </c>
      <c r="L42" s="13" t="str">
        <f>IFERROR(AVERAGE('Revenue Growth YoY'!L39:L42),"")</f>
        <v/>
      </c>
      <c r="M42" s="13" t="str">
        <f>IFERROR(AVERAGE('Revenue Growth YoY'!M39:M42),"")</f>
        <v/>
      </c>
      <c r="N42" s="13" t="str">
        <f>IFERROR(AVERAGE('Revenue Growth YoY'!N39:N42),"")</f>
        <v/>
      </c>
      <c r="O42" s="13">
        <f>IFERROR(AVERAGE('Revenue Growth YoY'!O39:O42),"")</f>
        <v>0.8548529486982761</v>
      </c>
      <c r="P42" s="13" t="str">
        <f>IFERROR(AVERAGE('Revenue Growth YoY'!P39:P42),"")</f>
        <v/>
      </c>
      <c r="Q42" s="13" t="str">
        <f>IFERROR(AVERAGE('Revenue Growth YoY'!Q39:Q42),"")</f>
        <v/>
      </c>
      <c r="R42" s="13" t="str">
        <f>IFERROR(AVERAGE('Revenue Growth YoY'!R39:R42),"")</f>
        <v/>
      </c>
      <c r="S42" s="13" t="str">
        <f>IFERROR(AVERAGE('Revenue Growth YoY'!S39:S42),"")</f>
        <v/>
      </c>
      <c r="T42" s="13" t="str">
        <f>IFERROR(AVERAGE('Revenue Growth YoY'!T39:T42),"")</f>
        <v/>
      </c>
      <c r="U42" s="13" t="str">
        <f>IFERROR(AVERAGE('Revenue Growth YoY'!U39:U42),"")</f>
        <v/>
      </c>
      <c r="V42" s="13" t="str">
        <f>IFERROR(AVERAGE('Revenue Growth YoY'!V39:V42),"")</f>
        <v/>
      </c>
      <c r="W42" s="13">
        <f>IFERROR(AVERAGE('Revenue Growth YoY'!W39:W42),"")</f>
        <v>0.19568272230613248</v>
      </c>
      <c r="X42" s="13" t="str">
        <f>IFERROR(AVERAGE('Revenue Growth YoY'!X39:X42),"")</f>
        <v/>
      </c>
      <c r="Y42" s="13" t="str">
        <f>IFERROR(AVERAGE('Revenue Growth YoY'!Y39:Y42),"")</f>
        <v/>
      </c>
      <c r="Z42" s="13" t="str">
        <f>IFERROR(AVERAGE('Revenue Growth YoY'!Z39:Z42),"")</f>
        <v/>
      </c>
      <c r="AA42" s="13" t="str">
        <f>IFERROR(AVERAGE('Revenue Growth YoY'!AA39:AA42),"")</f>
        <v/>
      </c>
      <c r="AB42" s="13" t="str">
        <f>IFERROR(AVERAGE('Revenue Growth YoY'!AB39:AB42),"")</f>
        <v/>
      </c>
      <c r="AC42" s="11"/>
    </row>
    <row r="43" spans="1:29" ht="14">
      <c r="A43" s="14" t="s">
        <v>68</v>
      </c>
      <c r="B43" s="13" t="str">
        <f>IFERROR(AVERAGE('Revenue Growth YoY'!B40:B43),"")</f>
        <v/>
      </c>
      <c r="C43" s="13">
        <f>IFERROR(AVERAGE('Revenue Growth YoY'!C40:C43),"")</f>
        <v>0.1887307605210029</v>
      </c>
      <c r="D43" s="13">
        <f>IFERROR(AVERAGE('Revenue Growth YoY'!D40:D43),"")</f>
        <v>8.95933860018443E-2</v>
      </c>
      <c r="E43" s="13">
        <f>IFERROR(AVERAGE('Revenue Growth YoY'!E40:E43),"")</f>
        <v>0.54391830330688729</v>
      </c>
      <c r="F43" s="13" t="str">
        <f>IFERROR(AVERAGE('Revenue Growth YoY'!F40:F43),"")</f>
        <v/>
      </c>
      <c r="G43" s="13" t="str">
        <f>IFERROR(AVERAGE('Revenue Growth YoY'!G40:G43),"")</f>
        <v/>
      </c>
      <c r="H43" s="13" t="str">
        <f>IFERROR(AVERAGE('Revenue Growth YoY'!H40:H43),"")</f>
        <v/>
      </c>
      <c r="I43" s="13" t="str">
        <f>IFERROR(AVERAGE('Revenue Growth YoY'!I40:I43),"")</f>
        <v/>
      </c>
      <c r="J43" s="13" t="str">
        <f>IFERROR(AVERAGE('Revenue Growth YoY'!J40:J43),"")</f>
        <v/>
      </c>
      <c r="K43" s="13" t="str">
        <f>IFERROR(AVERAGE('Revenue Growth YoY'!K40:K43),"")</f>
        <v/>
      </c>
      <c r="L43" s="13" t="str">
        <f>IFERROR(AVERAGE('Revenue Growth YoY'!L40:L43),"")</f>
        <v/>
      </c>
      <c r="M43" s="13" t="str">
        <f>IFERROR(AVERAGE('Revenue Growth YoY'!M40:M43),"")</f>
        <v/>
      </c>
      <c r="N43" s="13" t="str">
        <f>IFERROR(AVERAGE('Revenue Growth YoY'!N40:N43),"")</f>
        <v/>
      </c>
      <c r="O43" s="13">
        <f>IFERROR(AVERAGE('Revenue Growth YoY'!O40:O43),"")</f>
        <v>0.70771801953864255</v>
      </c>
      <c r="P43" s="13" t="str">
        <f>IFERROR(AVERAGE('Revenue Growth YoY'!P40:P43),"")</f>
        <v/>
      </c>
      <c r="Q43" s="13" t="str">
        <f>IFERROR(AVERAGE('Revenue Growth YoY'!Q40:Q43),"")</f>
        <v/>
      </c>
      <c r="R43" s="13" t="str">
        <f>IFERROR(AVERAGE('Revenue Growth YoY'!R40:R43),"")</f>
        <v/>
      </c>
      <c r="S43" s="13" t="str">
        <f>IFERROR(AVERAGE('Revenue Growth YoY'!S40:S43),"")</f>
        <v/>
      </c>
      <c r="T43" s="13" t="str">
        <f>IFERROR(AVERAGE('Revenue Growth YoY'!T40:T43),"")</f>
        <v/>
      </c>
      <c r="U43" s="13" t="str">
        <f>IFERROR(AVERAGE('Revenue Growth YoY'!U40:U43),"")</f>
        <v/>
      </c>
      <c r="V43" s="13" t="str">
        <f>IFERROR(AVERAGE('Revenue Growth YoY'!V40:V43),"")</f>
        <v/>
      </c>
      <c r="W43" s="13">
        <f>IFERROR(AVERAGE('Revenue Growth YoY'!W40:W43),"")</f>
        <v>0.24892401251034807</v>
      </c>
      <c r="X43" s="13" t="str">
        <f>IFERROR(AVERAGE('Revenue Growth YoY'!X40:X43),"")</f>
        <v/>
      </c>
      <c r="Y43" s="13" t="str">
        <f>IFERROR(AVERAGE('Revenue Growth YoY'!Y40:Y43),"")</f>
        <v/>
      </c>
      <c r="Z43" s="13" t="str">
        <f>IFERROR(AVERAGE('Revenue Growth YoY'!Z40:Z43),"")</f>
        <v/>
      </c>
      <c r="AA43" s="13" t="str">
        <f>IFERROR(AVERAGE('Revenue Growth YoY'!AA40:AA43),"")</f>
        <v/>
      </c>
      <c r="AB43" s="13" t="str">
        <f>IFERROR(AVERAGE('Revenue Growth YoY'!AB40:AB43),"")</f>
        <v/>
      </c>
      <c r="AC43" s="11"/>
    </row>
    <row r="44" spans="1:29" ht="14">
      <c r="A44" s="14" t="s">
        <v>69</v>
      </c>
      <c r="B44" s="13" t="str">
        <f>IFERROR(AVERAGE('Revenue Growth YoY'!B41:B44),"")</f>
        <v/>
      </c>
      <c r="C44" s="13">
        <f>IFERROR(AVERAGE('Revenue Growth YoY'!C41:C44),"")</f>
        <v>0.21079520063812485</v>
      </c>
      <c r="D44" s="13">
        <f>IFERROR(AVERAGE('Revenue Growth YoY'!D41:D44),"")</f>
        <v>0.12345027370577721</v>
      </c>
      <c r="E44" s="13">
        <f>IFERROR(AVERAGE('Revenue Growth YoY'!E41:E44),"")</f>
        <v>0.58527090690445494</v>
      </c>
      <c r="F44" s="13" t="str">
        <f>IFERROR(AVERAGE('Revenue Growth YoY'!F41:F44),"")</f>
        <v/>
      </c>
      <c r="G44" s="13" t="str">
        <f>IFERROR(AVERAGE('Revenue Growth YoY'!G41:G44),"")</f>
        <v/>
      </c>
      <c r="H44" s="13" t="str">
        <f>IFERROR(AVERAGE('Revenue Growth YoY'!H41:H44),"")</f>
        <v/>
      </c>
      <c r="I44" s="13" t="str">
        <f>IFERROR(AVERAGE('Revenue Growth YoY'!I41:I44),"")</f>
        <v/>
      </c>
      <c r="J44" s="13" t="str">
        <f>IFERROR(AVERAGE('Revenue Growth YoY'!J41:J44),"")</f>
        <v/>
      </c>
      <c r="K44" s="13" t="str">
        <f>IFERROR(AVERAGE('Revenue Growth YoY'!K41:K44),"")</f>
        <v/>
      </c>
      <c r="L44" s="13" t="str">
        <f>IFERROR(AVERAGE('Revenue Growth YoY'!L41:L44),"")</f>
        <v/>
      </c>
      <c r="M44" s="13" t="str">
        <f>IFERROR(AVERAGE('Revenue Growth YoY'!M41:M44),"")</f>
        <v/>
      </c>
      <c r="N44" s="13" t="str">
        <f>IFERROR(AVERAGE('Revenue Growth YoY'!N41:N44),"")</f>
        <v/>
      </c>
      <c r="O44" s="13">
        <f>IFERROR(AVERAGE('Revenue Growth YoY'!O41:O44),"")</f>
        <v>0.56058309037900877</v>
      </c>
      <c r="P44" s="13" t="str">
        <f>IFERROR(AVERAGE('Revenue Growth YoY'!P41:P44),"")</f>
        <v/>
      </c>
      <c r="Q44" s="13" t="str">
        <f>IFERROR(AVERAGE('Revenue Growth YoY'!Q41:Q44),"")</f>
        <v/>
      </c>
      <c r="R44" s="13" t="str">
        <f>IFERROR(AVERAGE('Revenue Growth YoY'!R41:R44),"")</f>
        <v/>
      </c>
      <c r="S44" s="13" t="str">
        <f>IFERROR(AVERAGE('Revenue Growth YoY'!S41:S44),"")</f>
        <v/>
      </c>
      <c r="T44" s="13" t="str">
        <f>IFERROR(AVERAGE('Revenue Growth YoY'!T41:T44),"")</f>
        <v/>
      </c>
      <c r="U44" s="13" t="str">
        <f>IFERROR(AVERAGE('Revenue Growth YoY'!U41:U44),"")</f>
        <v/>
      </c>
      <c r="V44" s="13" t="str">
        <f>IFERROR(AVERAGE('Revenue Growth YoY'!V41:V44),"")</f>
        <v/>
      </c>
      <c r="W44" s="13">
        <f>IFERROR(AVERAGE('Revenue Growth YoY'!W41:W44),"")</f>
        <v>0.30216530271456365</v>
      </c>
      <c r="X44" s="13" t="str">
        <f>IFERROR(AVERAGE('Revenue Growth YoY'!X41:X44),"")</f>
        <v/>
      </c>
      <c r="Y44" s="13" t="str">
        <f>IFERROR(AVERAGE('Revenue Growth YoY'!Y41:Y44),"")</f>
        <v/>
      </c>
      <c r="Z44" s="13" t="str">
        <f>IFERROR(AVERAGE('Revenue Growth YoY'!Z41:Z44),"")</f>
        <v/>
      </c>
      <c r="AA44" s="13" t="str">
        <f>IFERROR(AVERAGE('Revenue Growth YoY'!AA41:AA44),"")</f>
        <v/>
      </c>
      <c r="AB44" s="13" t="str">
        <f>IFERROR(AVERAGE('Revenue Growth YoY'!AB41:AB44),"")</f>
        <v/>
      </c>
      <c r="AC44" s="11"/>
    </row>
    <row r="45" spans="1:29" ht="14">
      <c r="A45" s="14" t="s">
        <v>70</v>
      </c>
      <c r="B45" s="13" t="str">
        <f>IFERROR(AVERAGE('Revenue Growth YoY'!B42:B45),"")</f>
        <v/>
      </c>
      <c r="C45" s="13">
        <f>IFERROR(AVERAGE('Revenue Growth YoY'!C42:C45),"")</f>
        <v>0.23285964075524679</v>
      </c>
      <c r="D45" s="13">
        <f>IFERROR(AVERAGE('Revenue Growth YoY'!D42:D45),"")</f>
        <v>0.15730716140971013</v>
      </c>
      <c r="E45" s="13">
        <f>IFERROR(AVERAGE('Revenue Growth YoY'!E42:E45),"")</f>
        <v>0.62662351050202258</v>
      </c>
      <c r="F45" s="13" t="str">
        <f>IFERROR(AVERAGE('Revenue Growth YoY'!F42:F45),"")</f>
        <v/>
      </c>
      <c r="G45" s="13" t="str">
        <f>IFERROR(AVERAGE('Revenue Growth YoY'!G42:G45),"")</f>
        <v/>
      </c>
      <c r="H45" s="13" t="str">
        <f>IFERROR(AVERAGE('Revenue Growth YoY'!H42:H45),"")</f>
        <v/>
      </c>
      <c r="I45" s="13" t="str">
        <f>IFERROR(AVERAGE('Revenue Growth YoY'!I42:I45),"")</f>
        <v/>
      </c>
      <c r="J45" s="13" t="str">
        <f>IFERROR(AVERAGE('Revenue Growth YoY'!J42:J45),"")</f>
        <v/>
      </c>
      <c r="K45" s="13" t="str">
        <f>IFERROR(AVERAGE('Revenue Growth YoY'!K42:K45),"")</f>
        <v/>
      </c>
      <c r="L45" s="13" t="str">
        <f>IFERROR(AVERAGE('Revenue Growth YoY'!L42:L45),"")</f>
        <v/>
      </c>
      <c r="M45" s="13" t="str">
        <f>IFERROR(AVERAGE('Revenue Growth YoY'!M42:M45),"")</f>
        <v/>
      </c>
      <c r="N45" s="13" t="str">
        <f>IFERROR(AVERAGE('Revenue Growth YoY'!N42:N45),"")</f>
        <v/>
      </c>
      <c r="O45" s="13">
        <f>IFERROR(AVERAGE('Revenue Growth YoY'!O42:O45),"")</f>
        <v>0.59346825486391586</v>
      </c>
      <c r="P45" s="13" t="str">
        <f>IFERROR(AVERAGE('Revenue Growth YoY'!P42:P45),"")</f>
        <v/>
      </c>
      <c r="Q45" s="13" t="str">
        <f>IFERROR(AVERAGE('Revenue Growth YoY'!Q42:Q45),"")</f>
        <v/>
      </c>
      <c r="R45" s="13" t="str">
        <f>IFERROR(AVERAGE('Revenue Growth YoY'!R42:R45),"")</f>
        <v/>
      </c>
      <c r="S45" s="13" t="str">
        <f>IFERROR(AVERAGE('Revenue Growth YoY'!S42:S45),"")</f>
        <v/>
      </c>
      <c r="T45" s="13" t="str">
        <f>IFERROR(AVERAGE('Revenue Growth YoY'!T42:T45),"")</f>
        <v/>
      </c>
      <c r="U45" s="13" t="str">
        <f>IFERROR(AVERAGE('Revenue Growth YoY'!U42:U45),"")</f>
        <v/>
      </c>
      <c r="V45" s="13" t="str">
        <f>IFERROR(AVERAGE('Revenue Growth YoY'!V42:V45),"")</f>
        <v/>
      </c>
      <c r="W45" s="13">
        <f>IFERROR(AVERAGE('Revenue Growth YoY'!W42:W45),"")</f>
        <v>0.34417242642239654</v>
      </c>
      <c r="X45" s="13" t="str">
        <f>IFERROR(AVERAGE('Revenue Growth YoY'!X42:X45),"")</f>
        <v/>
      </c>
      <c r="Y45" s="13" t="str">
        <f>IFERROR(AVERAGE('Revenue Growth YoY'!Y42:Y45),"")</f>
        <v/>
      </c>
      <c r="Z45" s="13" t="str">
        <f>IFERROR(AVERAGE('Revenue Growth YoY'!Z42:Z45),"")</f>
        <v/>
      </c>
      <c r="AA45" s="13" t="str">
        <f>IFERROR(AVERAGE('Revenue Growth YoY'!AA42:AA45),"")</f>
        <v/>
      </c>
      <c r="AB45" s="13" t="str">
        <f>IFERROR(AVERAGE('Revenue Growth YoY'!AB42:AB45),"")</f>
        <v/>
      </c>
      <c r="AC45" s="11"/>
    </row>
    <row r="46" spans="1:29" ht="14">
      <c r="A46" s="14" t="s">
        <v>71</v>
      </c>
      <c r="B46" s="13" t="str">
        <f>IFERROR(AVERAGE('Revenue Growth YoY'!B43:B46),"")</f>
        <v/>
      </c>
      <c r="C46" s="13">
        <f>IFERROR(AVERAGE('Revenue Growth YoY'!C43:C46),"")</f>
        <v>0.25492408087236873</v>
      </c>
      <c r="D46" s="13">
        <f>IFERROR(AVERAGE('Revenue Growth YoY'!D43:D46),"")</f>
        <v>0.19116404911364304</v>
      </c>
      <c r="E46" s="13">
        <f>IFERROR(AVERAGE('Revenue Growth YoY'!E43:E46),"")</f>
        <v>0.66797611409959035</v>
      </c>
      <c r="F46" s="13" t="str">
        <f>IFERROR(AVERAGE('Revenue Growth YoY'!F43:F46),"")</f>
        <v/>
      </c>
      <c r="G46" s="13" t="str">
        <f>IFERROR(AVERAGE('Revenue Growth YoY'!G43:G46),"")</f>
        <v/>
      </c>
      <c r="H46" s="13" t="str">
        <f>IFERROR(AVERAGE('Revenue Growth YoY'!H43:H46),"")</f>
        <v/>
      </c>
      <c r="I46" s="13" t="str">
        <f>IFERROR(AVERAGE('Revenue Growth YoY'!I43:I46),"")</f>
        <v/>
      </c>
      <c r="J46" s="13" t="str">
        <f>IFERROR(AVERAGE('Revenue Growth YoY'!J43:J46),"")</f>
        <v/>
      </c>
      <c r="K46" s="13" t="str">
        <f>IFERROR(AVERAGE('Revenue Growth YoY'!K43:K46),"")</f>
        <v/>
      </c>
      <c r="L46" s="13" t="str">
        <f>IFERROR(AVERAGE('Revenue Growth YoY'!L43:L46),"")</f>
        <v/>
      </c>
      <c r="M46" s="13" t="str">
        <f>IFERROR(AVERAGE('Revenue Growth YoY'!M43:M46),"")</f>
        <v/>
      </c>
      <c r="N46" s="13" t="str">
        <f>IFERROR(AVERAGE('Revenue Growth YoY'!N43:N46),"")</f>
        <v/>
      </c>
      <c r="O46" s="13">
        <f>IFERROR(AVERAGE('Revenue Growth YoY'!O43:O46),"")</f>
        <v>0.62635341934882283</v>
      </c>
      <c r="P46" s="13" t="str">
        <f>IFERROR(AVERAGE('Revenue Growth YoY'!P43:P46),"")</f>
        <v/>
      </c>
      <c r="Q46" s="13" t="str">
        <f>IFERROR(AVERAGE('Revenue Growth YoY'!Q43:Q46),"")</f>
        <v/>
      </c>
      <c r="R46" s="13" t="str">
        <f>IFERROR(AVERAGE('Revenue Growth YoY'!R43:R46),"")</f>
        <v/>
      </c>
      <c r="S46" s="13" t="str">
        <f>IFERROR(AVERAGE('Revenue Growth YoY'!S43:S46),"")</f>
        <v/>
      </c>
      <c r="T46" s="13" t="str">
        <f>IFERROR(AVERAGE('Revenue Growth YoY'!T43:T46),"")</f>
        <v/>
      </c>
      <c r="U46" s="13" t="str">
        <f>IFERROR(AVERAGE('Revenue Growth YoY'!U43:U46),"")</f>
        <v/>
      </c>
      <c r="V46" s="13" t="str">
        <f>IFERROR(AVERAGE('Revenue Growth YoY'!V43:V46),"")</f>
        <v/>
      </c>
      <c r="W46" s="13">
        <f>IFERROR(AVERAGE('Revenue Growth YoY'!W43:W46),"")</f>
        <v>0.38617955013022942</v>
      </c>
      <c r="X46" s="13" t="str">
        <f>IFERROR(AVERAGE('Revenue Growth YoY'!X43:X46),"")</f>
        <v/>
      </c>
      <c r="Y46" s="13" t="str">
        <f>IFERROR(AVERAGE('Revenue Growth YoY'!Y43:Y46),"")</f>
        <v/>
      </c>
      <c r="Z46" s="13" t="str">
        <f>IFERROR(AVERAGE('Revenue Growth YoY'!Z43:Z46),"")</f>
        <v/>
      </c>
      <c r="AA46" s="13" t="str">
        <f>IFERROR(AVERAGE('Revenue Growth YoY'!AA43:AA46),"")</f>
        <v/>
      </c>
      <c r="AB46" s="13" t="str">
        <f>IFERROR(AVERAGE('Revenue Growth YoY'!AB43:AB46),"")</f>
        <v/>
      </c>
      <c r="AC46" s="11"/>
    </row>
    <row r="47" spans="1:29" ht="14">
      <c r="A47" s="14" t="s">
        <v>72</v>
      </c>
      <c r="B47" s="13" t="str">
        <f>IFERROR(AVERAGE('Revenue Growth YoY'!B44:B47),"")</f>
        <v/>
      </c>
      <c r="C47" s="13">
        <f>IFERROR(AVERAGE('Revenue Growth YoY'!C44:C47),"")</f>
        <v>0.27551865386391267</v>
      </c>
      <c r="D47" s="13">
        <f>IFERROR(AVERAGE('Revenue Growth YoY'!D44:D47),"")</f>
        <v>0.16885588475061392</v>
      </c>
      <c r="E47" s="13">
        <f>IFERROR(AVERAGE('Revenue Growth YoY'!E44:E47),"")</f>
        <v>0.58365956544048436</v>
      </c>
      <c r="F47" s="13" t="str">
        <f>IFERROR(AVERAGE('Revenue Growth YoY'!F44:F47),"")</f>
        <v/>
      </c>
      <c r="G47" s="13" t="str">
        <f>IFERROR(AVERAGE('Revenue Growth YoY'!G44:G47),"")</f>
        <v/>
      </c>
      <c r="H47" s="13" t="str">
        <f>IFERROR(AVERAGE('Revenue Growth YoY'!H44:H47),"")</f>
        <v/>
      </c>
      <c r="I47" s="13" t="str">
        <f>IFERROR(AVERAGE('Revenue Growth YoY'!I44:I47),"")</f>
        <v/>
      </c>
      <c r="J47" s="13" t="str">
        <f>IFERROR(AVERAGE('Revenue Growth YoY'!J44:J47),"")</f>
        <v/>
      </c>
      <c r="K47" s="13" t="str">
        <f>IFERROR(AVERAGE('Revenue Growth YoY'!K44:K47),"")</f>
        <v/>
      </c>
      <c r="L47" s="13" t="str">
        <f>IFERROR(AVERAGE('Revenue Growth YoY'!L44:L47),"")</f>
        <v/>
      </c>
      <c r="M47" s="13" t="str">
        <f>IFERROR(AVERAGE('Revenue Growth YoY'!M44:M47),"")</f>
        <v/>
      </c>
      <c r="N47" s="13" t="str">
        <f>IFERROR(AVERAGE('Revenue Growth YoY'!N44:N47),"")</f>
        <v/>
      </c>
      <c r="O47" s="13">
        <f>IFERROR(AVERAGE('Revenue Growth YoY'!O44:O47),"")</f>
        <v>0.6592385838337298</v>
      </c>
      <c r="P47" s="13" t="str">
        <f>IFERROR(AVERAGE('Revenue Growth YoY'!P44:P47),"")</f>
        <v/>
      </c>
      <c r="Q47" s="13" t="str">
        <f>IFERROR(AVERAGE('Revenue Growth YoY'!Q44:Q47),"")</f>
        <v/>
      </c>
      <c r="R47" s="13" t="str">
        <f>IFERROR(AVERAGE('Revenue Growth YoY'!R44:R47),"")</f>
        <v/>
      </c>
      <c r="S47" s="13" t="str">
        <f>IFERROR(AVERAGE('Revenue Growth YoY'!S44:S47),"")</f>
        <v/>
      </c>
      <c r="T47" s="13" t="str">
        <f>IFERROR(AVERAGE('Revenue Growth YoY'!T44:T47),"")</f>
        <v/>
      </c>
      <c r="U47" s="13" t="str">
        <f>IFERROR(AVERAGE('Revenue Growth YoY'!U44:U47),"")</f>
        <v/>
      </c>
      <c r="V47" s="13" t="str">
        <f>IFERROR(AVERAGE('Revenue Growth YoY'!V44:V47),"")</f>
        <v/>
      </c>
      <c r="W47" s="13">
        <f>IFERROR(AVERAGE('Revenue Growth YoY'!W44:W47),"")</f>
        <v>0.4281866738380623</v>
      </c>
      <c r="X47" s="13" t="str">
        <f>IFERROR(AVERAGE('Revenue Growth YoY'!X44:X47),"")</f>
        <v/>
      </c>
      <c r="Y47" s="13" t="str">
        <f>IFERROR(AVERAGE('Revenue Growth YoY'!Y44:Y47),"")</f>
        <v/>
      </c>
      <c r="Z47" s="13" t="str">
        <f>IFERROR(AVERAGE('Revenue Growth YoY'!Z44:Z47),"")</f>
        <v/>
      </c>
      <c r="AA47" s="13" t="str">
        <f>IFERROR(AVERAGE('Revenue Growth YoY'!AA44:AA47),"")</f>
        <v/>
      </c>
      <c r="AB47" s="13" t="str">
        <f>IFERROR(AVERAGE('Revenue Growth YoY'!AB44:AB47),"")</f>
        <v/>
      </c>
      <c r="AC47" s="11"/>
    </row>
    <row r="48" spans="1:29" ht="14">
      <c r="A48" s="14" t="s">
        <v>73</v>
      </c>
      <c r="B48" s="13" t="str">
        <f>IFERROR(AVERAGE('Revenue Growth YoY'!B45:B48),"")</f>
        <v/>
      </c>
      <c r="C48" s="13">
        <f>IFERROR(AVERAGE('Revenue Growth YoY'!C45:C48),"")</f>
        <v>0.2961132268554566</v>
      </c>
      <c r="D48" s="13">
        <f>IFERROR(AVERAGE('Revenue Growth YoY'!D45:D48),"")</f>
        <v>0.14654772038758479</v>
      </c>
      <c r="E48" s="13">
        <f>IFERROR(AVERAGE('Revenue Growth YoY'!E45:E48),"")</f>
        <v>0.49934301678137849</v>
      </c>
      <c r="F48" s="13" t="str">
        <f>IFERROR(AVERAGE('Revenue Growth YoY'!F45:F48),"")</f>
        <v/>
      </c>
      <c r="G48" s="13" t="str">
        <f>IFERROR(AVERAGE('Revenue Growth YoY'!G45:G48),"")</f>
        <v/>
      </c>
      <c r="H48" s="13" t="str">
        <f>IFERROR(AVERAGE('Revenue Growth YoY'!H45:H48),"")</f>
        <v/>
      </c>
      <c r="I48" s="13" t="str">
        <f>IFERROR(AVERAGE('Revenue Growth YoY'!I45:I48),"")</f>
        <v/>
      </c>
      <c r="J48" s="13" t="str">
        <f>IFERROR(AVERAGE('Revenue Growth YoY'!J45:J48),"")</f>
        <v/>
      </c>
      <c r="K48" s="13" t="str">
        <f>IFERROR(AVERAGE('Revenue Growth YoY'!K45:K48),"")</f>
        <v/>
      </c>
      <c r="L48" s="13" t="str">
        <f>IFERROR(AVERAGE('Revenue Growth YoY'!L45:L48),"")</f>
        <v/>
      </c>
      <c r="M48" s="13" t="str">
        <f>IFERROR(AVERAGE('Revenue Growth YoY'!M45:M48),"")</f>
        <v/>
      </c>
      <c r="N48" s="13" t="str">
        <f>IFERROR(AVERAGE('Revenue Growth YoY'!N45:N48),"")</f>
        <v/>
      </c>
      <c r="O48" s="13">
        <f>IFERROR(AVERAGE('Revenue Growth YoY'!O45:O48),"")</f>
        <v>0.69212374831863688</v>
      </c>
      <c r="P48" s="13" t="str">
        <f>IFERROR(AVERAGE('Revenue Growth YoY'!P45:P48),"")</f>
        <v/>
      </c>
      <c r="Q48" s="13" t="str">
        <f>IFERROR(AVERAGE('Revenue Growth YoY'!Q45:Q48),"")</f>
        <v/>
      </c>
      <c r="R48" s="13" t="str">
        <f>IFERROR(AVERAGE('Revenue Growth YoY'!R45:R48),"")</f>
        <v/>
      </c>
      <c r="S48" s="13" t="str">
        <f>IFERROR(AVERAGE('Revenue Growth YoY'!S45:S48),"")</f>
        <v/>
      </c>
      <c r="T48" s="13" t="str">
        <f>IFERROR(AVERAGE('Revenue Growth YoY'!T45:T48),"")</f>
        <v/>
      </c>
      <c r="U48" s="13">
        <f>IFERROR(AVERAGE('Revenue Growth YoY'!U45:U48),"")</f>
        <v>1.2805587892898762E-2</v>
      </c>
      <c r="V48" s="13" t="str">
        <f>IFERROR(AVERAGE('Revenue Growth YoY'!V45:V48),"")</f>
        <v/>
      </c>
      <c r="W48" s="13">
        <f>IFERROR(AVERAGE('Revenue Growth YoY'!W45:W48),"")</f>
        <v>0.47019379754589519</v>
      </c>
      <c r="X48" s="13" t="str">
        <f>IFERROR(AVERAGE('Revenue Growth YoY'!X45:X48),"")</f>
        <v/>
      </c>
      <c r="Y48" s="13" t="str">
        <f>IFERROR(AVERAGE('Revenue Growth YoY'!Y45:Y48),"")</f>
        <v/>
      </c>
      <c r="Z48" s="13" t="str">
        <f>IFERROR(AVERAGE('Revenue Growth YoY'!Z45:Z48),"")</f>
        <v/>
      </c>
      <c r="AA48" s="13" t="str">
        <f>IFERROR(AVERAGE('Revenue Growth YoY'!AA45:AA48),"")</f>
        <v/>
      </c>
      <c r="AB48" s="13" t="str">
        <f>IFERROR(AVERAGE('Revenue Growth YoY'!AB45:AB48),"")</f>
        <v/>
      </c>
      <c r="AC48" s="11"/>
    </row>
    <row r="49" spans="1:29" ht="14">
      <c r="A49" s="14" t="s">
        <v>74</v>
      </c>
      <c r="B49" s="13" t="str">
        <f>IFERROR(AVERAGE('Revenue Growth YoY'!B46:B49),"")</f>
        <v/>
      </c>
      <c r="C49" s="13">
        <f>IFERROR(AVERAGE('Revenue Growth YoY'!C46:C49),"")</f>
        <v>0.31670779984700054</v>
      </c>
      <c r="D49" s="13">
        <f>IFERROR(AVERAGE('Revenue Growth YoY'!D46:D49),"")</f>
        <v>0.12423955602455566</v>
      </c>
      <c r="E49" s="13">
        <f>IFERROR(AVERAGE('Revenue Growth YoY'!E46:E49),"")</f>
        <v>0.41502646812227256</v>
      </c>
      <c r="F49" s="13" t="str">
        <f>IFERROR(AVERAGE('Revenue Growth YoY'!F46:F49),"")</f>
        <v/>
      </c>
      <c r="G49" s="13" t="str">
        <f>IFERROR(AVERAGE('Revenue Growth YoY'!G46:G49),"")</f>
        <v/>
      </c>
      <c r="H49" s="13" t="str">
        <f>IFERROR(AVERAGE('Revenue Growth YoY'!H46:H49),"")</f>
        <v/>
      </c>
      <c r="I49" s="13" t="str">
        <f>IFERROR(AVERAGE('Revenue Growth YoY'!I46:I49),"")</f>
        <v/>
      </c>
      <c r="J49" s="13" t="str">
        <f>IFERROR(AVERAGE('Revenue Growth YoY'!J46:J49),"")</f>
        <v/>
      </c>
      <c r="K49" s="13" t="str">
        <f>IFERROR(AVERAGE('Revenue Growth YoY'!K46:K49),"")</f>
        <v/>
      </c>
      <c r="L49" s="13" t="str">
        <f>IFERROR(AVERAGE('Revenue Growth YoY'!L46:L49),"")</f>
        <v/>
      </c>
      <c r="M49" s="13" t="str">
        <f>IFERROR(AVERAGE('Revenue Growth YoY'!M46:M49),"")</f>
        <v/>
      </c>
      <c r="N49" s="13" t="str">
        <f>IFERROR(AVERAGE('Revenue Growth YoY'!N46:N49),"")</f>
        <v/>
      </c>
      <c r="O49" s="13">
        <f>IFERROR(AVERAGE('Revenue Growth YoY'!O46:O49),"")</f>
        <v>0.52299009087155146</v>
      </c>
      <c r="P49" s="13" t="str">
        <f>IFERROR(AVERAGE('Revenue Growth YoY'!P46:P49),"")</f>
        <v/>
      </c>
      <c r="Q49" s="13" t="str">
        <f>IFERROR(AVERAGE('Revenue Growth YoY'!Q46:Q49),"")</f>
        <v/>
      </c>
      <c r="R49" s="13" t="str">
        <f>IFERROR(AVERAGE('Revenue Growth YoY'!R46:R49),"")</f>
        <v/>
      </c>
      <c r="S49" s="13" t="str">
        <f>IFERROR(AVERAGE('Revenue Growth YoY'!S46:S49),"")</f>
        <v/>
      </c>
      <c r="T49" s="13" t="str">
        <f>IFERROR(AVERAGE('Revenue Growth YoY'!T46:T49),"")</f>
        <v/>
      </c>
      <c r="U49" s="13">
        <f>IFERROR(AVERAGE('Revenue Growth YoY'!U46:U49),"")</f>
        <v>1.2805587892898762E-2</v>
      </c>
      <c r="V49" s="13" t="str">
        <f>IFERROR(AVERAGE('Revenue Growth YoY'!V46:V49),"")</f>
        <v/>
      </c>
      <c r="W49" s="13">
        <f>IFERROR(AVERAGE('Revenue Growth YoY'!W46:W49),"")</f>
        <v>0.34734535587269522</v>
      </c>
      <c r="X49" s="13" t="str">
        <f>IFERROR(AVERAGE('Revenue Growth YoY'!X46:X49),"")</f>
        <v/>
      </c>
      <c r="Y49" s="13" t="str">
        <f>IFERROR(AVERAGE('Revenue Growth YoY'!Y46:Y49),"")</f>
        <v/>
      </c>
      <c r="Z49" s="13" t="str">
        <f>IFERROR(AVERAGE('Revenue Growth YoY'!Z46:Z49),"")</f>
        <v/>
      </c>
      <c r="AA49" s="13" t="str">
        <f>IFERROR(AVERAGE('Revenue Growth YoY'!AA46:AA49),"")</f>
        <v/>
      </c>
      <c r="AB49" s="13" t="str">
        <f>IFERROR(AVERAGE('Revenue Growth YoY'!AB46:AB49),"")</f>
        <v/>
      </c>
      <c r="AC49" s="11"/>
    </row>
    <row r="50" spans="1:29" ht="14">
      <c r="A50" s="14" t="s">
        <v>75</v>
      </c>
      <c r="B50" s="13" t="str">
        <f>IFERROR(AVERAGE('Revenue Growth YoY'!B47:B50),"")</f>
        <v/>
      </c>
      <c r="C50" s="13">
        <f>IFERROR(AVERAGE('Revenue Growth YoY'!C47:C50),"")</f>
        <v>0.33730237283854447</v>
      </c>
      <c r="D50" s="13">
        <f>IFERROR(AVERAGE('Revenue Growth YoY'!D47:D50),"")</f>
        <v>0.10193139166152654</v>
      </c>
      <c r="E50" s="13">
        <f>IFERROR(AVERAGE('Revenue Growth YoY'!E47:E50),"")</f>
        <v>0.33070991946316664</v>
      </c>
      <c r="F50" s="13" t="str">
        <f>IFERROR(AVERAGE('Revenue Growth YoY'!F47:F50),"")</f>
        <v/>
      </c>
      <c r="G50" s="13" t="str">
        <f>IFERROR(AVERAGE('Revenue Growth YoY'!G47:G50),"")</f>
        <v/>
      </c>
      <c r="H50" s="13" t="str">
        <f>IFERROR(AVERAGE('Revenue Growth YoY'!H47:H50),"")</f>
        <v/>
      </c>
      <c r="I50" s="13" t="str">
        <f>IFERROR(AVERAGE('Revenue Growth YoY'!I47:I50),"")</f>
        <v/>
      </c>
      <c r="J50" s="13" t="str">
        <f>IFERROR(AVERAGE('Revenue Growth YoY'!J47:J50),"")</f>
        <v/>
      </c>
      <c r="K50" s="13" t="str">
        <f>IFERROR(AVERAGE('Revenue Growth YoY'!K47:K50),"")</f>
        <v/>
      </c>
      <c r="L50" s="13" t="str">
        <f>IFERROR(AVERAGE('Revenue Growth YoY'!L47:L50),"")</f>
        <v/>
      </c>
      <c r="M50" s="13" t="str">
        <f>IFERROR(AVERAGE('Revenue Growth YoY'!M47:M50),"")</f>
        <v/>
      </c>
      <c r="N50" s="13" t="str">
        <f>IFERROR(AVERAGE('Revenue Growth YoY'!N47:N50),"")</f>
        <v/>
      </c>
      <c r="O50" s="13">
        <f>IFERROR(AVERAGE('Revenue Growth YoY'!O47:O50),"")</f>
        <v>0.35385643342446593</v>
      </c>
      <c r="P50" s="13" t="str">
        <f>IFERROR(AVERAGE('Revenue Growth YoY'!P47:P50),"")</f>
        <v/>
      </c>
      <c r="Q50" s="13" t="str">
        <f>IFERROR(AVERAGE('Revenue Growth YoY'!Q47:Q50),"")</f>
        <v/>
      </c>
      <c r="R50" s="13" t="str">
        <f>IFERROR(AVERAGE('Revenue Growth YoY'!R47:R50),"")</f>
        <v/>
      </c>
      <c r="S50" s="13" t="str">
        <f>IFERROR(AVERAGE('Revenue Growth YoY'!S47:S50),"")</f>
        <v/>
      </c>
      <c r="T50" s="13" t="str">
        <f>IFERROR(AVERAGE('Revenue Growth YoY'!T47:T50),"")</f>
        <v/>
      </c>
      <c r="U50" s="13">
        <f>IFERROR(AVERAGE('Revenue Growth YoY'!U47:U50),"")</f>
        <v>1.2805587892898762E-2</v>
      </c>
      <c r="V50" s="13" t="str">
        <f>IFERROR(AVERAGE('Revenue Growth YoY'!V47:V50),"")</f>
        <v/>
      </c>
      <c r="W50" s="13">
        <f>IFERROR(AVERAGE('Revenue Growth YoY'!W47:W50),"")</f>
        <v>0.22449691419949525</v>
      </c>
      <c r="X50" s="13" t="str">
        <f>IFERROR(AVERAGE('Revenue Growth YoY'!X47:X50),"")</f>
        <v/>
      </c>
      <c r="Y50" s="13" t="str">
        <f>IFERROR(AVERAGE('Revenue Growth YoY'!Y47:Y50),"")</f>
        <v/>
      </c>
      <c r="Z50" s="13" t="str">
        <f>IFERROR(AVERAGE('Revenue Growth YoY'!Z47:Z50),"")</f>
        <v/>
      </c>
      <c r="AA50" s="13" t="str">
        <f>IFERROR(AVERAGE('Revenue Growth YoY'!AA47:AA50),"")</f>
        <v/>
      </c>
      <c r="AB50" s="13" t="str">
        <f>IFERROR(AVERAGE('Revenue Growth YoY'!AB47:AB50),"")</f>
        <v/>
      </c>
      <c r="AC50" s="11"/>
    </row>
    <row r="51" spans="1:29" ht="14">
      <c r="A51" s="14" t="s">
        <v>76</v>
      </c>
      <c r="B51" s="13" t="str">
        <f>IFERROR(AVERAGE('Revenue Growth YoY'!B48:B51),"")</f>
        <v/>
      </c>
      <c r="C51" s="13">
        <f>IFERROR(AVERAGE('Revenue Growth YoY'!C48:C51),"")</f>
        <v>0.3131163908143566</v>
      </c>
      <c r="D51" s="13">
        <f>IFERROR(AVERAGE('Revenue Growth YoY'!D48:D51),"")</f>
        <v>5.9938402320145079E-2</v>
      </c>
      <c r="E51" s="13">
        <f>IFERROR(AVERAGE('Revenue Growth YoY'!E48:E51),"")</f>
        <v>0.33160330913552455</v>
      </c>
      <c r="F51" s="13" t="str">
        <f>IFERROR(AVERAGE('Revenue Growth YoY'!F48:F51),"")</f>
        <v/>
      </c>
      <c r="G51" s="13" t="str">
        <f>IFERROR(AVERAGE('Revenue Growth YoY'!G48:G51),"")</f>
        <v/>
      </c>
      <c r="H51" s="13" t="str">
        <f>IFERROR(AVERAGE('Revenue Growth YoY'!H48:H51),"")</f>
        <v/>
      </c>
      <c r="I51" s="13" t="str">
        <f>IFERROR(AVERAGE('Revenue Growth YoY'!I48:I51),"")</f>
        <v/>
      </c>
      <c r="J51" s="13" t="str">
        <f>IFERROR(AVERAGE('Revenue Growth YoY'!J48:J51),"")</f>
        <v/>
      </c>
      <c r="K51" s="13" t="str">
        <f>IFERROR(AVERAGE('Revenue Growth YoY'!K48:K51),"")</f>
        <v/>
      </c>
      <c r="L51" s="13" t="str">
        <f>IFERROR(AVERAGE('Revenue Growth YoY'!L48:L51),"")</f>
        <v/>
      </c>
      <c r="M51" s="13" t="str">
        <f>IFERROR(AVERAGE('Revenue Growth YoY'!M48:M51),"")</f>
        <v/>
      </c>
      <c r="N51" s="13" t="str">
        <f>IFERROR(AVERAGE('Revenue Growth YoY'!N48:N51),"")</f>
        <v/>
      </c>
      <c r="O51" s="13">
        <f>IFERROR(AVERAGE('Revenue Growth YoY'!O48:O51),"")</f>
        <v>0.18472277597738046</v>
      </c>
      <c r="P51" s="13" t="str">
        <f>IFERROR(AVERAGE('Revenue Growth YoY'!P48:P51),"")</f>
        <v/>
      </c>
      <c r="Q51" s="13" t="str">
        <f>IFERROR(AVERAGE('Revenue Growth YoY'!Q48:Q51),"")</f>
        <v/>
      </c>
      <c r="R51" s="13" t="str">
        <f>IFERROR(AVERAGE('Revenue Growth YoY'!R48:R51),"")</f>
        <v/>
      </c>
      <c r="S51" s="13" t="str">
        <f>IFERROR(AVERAGE('Revenue Growth YoY'!S48:S51),"")</f>
        <v/>
      </c>
      <c r="T51" s="13" t="str">
        <f>IFERROR(AVERAGE('Revenue Growth YoY'!T48:T51),"")</f>
        <v/>
      </c>
      <c r="U51" s="13">
        <f>IFERROR(AVERAGE('Revenue Growth YoY'!U48:U51),"")</f>
        <v>-2.8326843563084542E-2</v>
      </c>
      <c r="V51" s="13" t="str">
        <f>IFERROR(AVERAGE('Revenue Growth YoY'!V48:V51),"")</f>
        <v/>
      </c>
      <c r="W51" s="13">
        <f>IFERROR(AVERAGE('Revenue Growth YoY'!W48:W51),"")</f>
        <v>0.10164847252629527</v>
      </c>
      <c r="X51" s="13" t="str">
        <f>IFERROR(AVERAGE('Revenue Growth YoY'!X48:X51),"")</f>
        <v/>
      </c>
      <c r="Y51" s="13" t="str">
        <f>IFERROR(AVERAGE('Revenue Growth YoY'!Y48:Y51),"")</f>
        <v/>
      </c>
      <c r="Z51" s="13" t="str">
        <f>IFERROR(AVERAGE('Revenue Growth YoY'!Z48:Z51),"")</f>
        <v/>
      </c>
      <c r="AA51" s="13" t="str">
        <f>IFERROR(AVERAGE('Revenue Growth YoY'!AA48:AA51),"")</f>
        <v/>
      </c>
      <c r="AB51" s="13" t="str">
        <f>IFERROR(AVERAGE('Revenue Growth YoY'!AB48:AB51),"")</f>
        <v/>
      </c>
      <c r="AC51" s="11"/>
    </row>
    <row r="52" spans="1:29" ht="14">
      <c r="A52" s="14" t="s">
        <v>77</v>
      </c>
      <c r="B52" s="13" t="str">
        <f>IFERROR(AVERAGE('Revenue Growth YoY'!B49:B52),"")</f>
        <v/>
      </c>
      <c r="C52" s="13">
        <f>IFERROR(AVERAGE('Revenue Growth YoY'!C49:C52),"")</f>
        <v>0.28893040879016874</v>
      </c>
      <c r="D52" s="13">
        <f>IFERROR(AVERAGE('Revenue Growth YoY'!D49:D52),"")</f>
        <v>1.794541297876362E-2</v>
      </c>
      <c r="E52" s="13">
        <f>IFERROR(AVERAGE('Revenue Growth YoY'!E49:E52),"")</f>
        <v>0.33249669880788246</v>
      </c>
      <c r="F52" s="13" t="str">
        <f>IFERROR(AVERAGE('Revenue Growth YoY'!F49:F52),"")</f>
        <v/>
      </c>
      <c r="G52" s="13" t="str">
        <f>IFERROR(AVERAGE('Revenue Growth YoY'!G49:G52),"")</f>
        <v/>
      </c>
      <c r="H52" s="13" t="str">
        <f>IFERROR(AVERAGE('Revenue Growth YoY'!H49:H52),"")</f>
        <v/>
      </c>
      <c r="I52" s="13" t="str">
        <f>IFERROR(AVERAGE('Revenue Growth YoY'!I49:I52),"")</f>
        <v/>
      </c>
      <c r="J52" s="13"/>
      <c r="K52" s="13" t="str">
        <f>IFERROR(AVERAGE('Revenue Growth YoY'!K49:K52),"")</f>
        <v/>
      </c>
      <c r="L52" s="13" t="str">
        <f>IFERROR(AVERAGE('Revenue Growth YoY'!L49:L52),"")</f>
        <v/>
      </c>
      <c r="M52" s="13" t="str">
        <f>IFERROR(AVERAGE('Revenue Growth YoY'!M49:M52),"")</f>
        <v/>
      </c>
      <c r="N52" s="13" t="str">
        <f>IFERROR(AVERAGE('Revenue Growth YoY'!N49:N52),"")</f>
        <v/>
      </c>
      <c r="O52" s="13">
        <f>IFERROR(AVERAGE('Revenue Growth YoY'!O49:O52),"")</f>
        <v>1.5589118530294988E-2</v>
      </c>
      <c r="P52" s="13" t="str">
        <f>IFERROR(AVERAGE('Revenue Growth YoY'!P49:P52),"")</f>
        <v/>
      </c>
      <c r="Q52" s="13" t="str">
        <f>IFERROR(AVERAGE('Revenue Growth YoY'!Q49:Q52),"")</f>
        <v/>
      </c>
      <c r="R52" s="13" t="str">
        <f>IFERROR(AVERAGE('Revenue Growth YoY'!R49:R52),"")</f>
        <v/>
      </c>
      <c r="S52" s="13" t="str">
        <f>IFERROR(AVERAGE('Revenue Growth YoY'!S49:S52),"")</f>
        <v/>
      </c>
      <c r="T52" s="13" t="str">
        <f>IFERROR(AVERAGE('Revenue Growth YoY'!T49:T52),"")</f>
        <v/>
      </c>
      <c r="U52" s="13">
        <f>IFERROR(AVERAGE('Revenue Growth YoY'!U49:U52),"")</f>
        <v>-6.9459275019067845E-2</v>
      </c>
      <c r="V52" s="13" t="str">
        <f>IFERROR(AVERAGE('Revenue Growth YoY'!V49:V52),"")</f>
        <v/>
      </c>
      <c r="W52" s="13">
        <f>IFERROR(AVERAGE('Revenue Growth YoY'!W49:W52),"")</f>
        <v>-2.1199969146904696E-2</v>
      </c>
      <c r="X52" s="13" t="str">
        <f>IFERROR(AVERAGE('Revenue Growth YoY'!X49:X52),"")</f>
        <v/>
      </c>
      <c r="Y52" s="13" t="str">
        <f>IFERROR(AVERAGE('Revenue Growth YoY'!Y49:Y52),"")</f>
        <v/>
      </c>
      <c r="Z52" s="13" t="str">
        <f>IFERROR(AVERAGE('Revenue Growth YoY'!Z49:Z52),"")</f>
        <v/>
      </c>
      <c r="AA52" s="13" t="str">
        <f>IFERROR(AVERAGE('Revenue Growth YoY'!AA49:AA52),"")</f>
        <v/>
      </c>
      <c r="AB52" s="13" t="str">
        <f>IFERROR(AVERAGE('Revenue Growth YoY'!AB49:AB52),"")</f>
        <v/>
      </c>
      <c r="AC52" s="11"/>
    </row>
    <row r="53" spans="1:29" ht="14">
      <c r="A53" s="14" t="s">
        <v>78</v>
      </c>
      <c r="B53" s="13" t="str">
        <f>IFERROR(AVERAGE('Revenue Growth YoY'!B50:B53),"")</f>
        <v/>
      </c>
      <c r="C53" s="13">
        <f>IFERROR(AVERAGE('Revenue Growth YoY'!C50:C53),"")</f>
        <v>0.26474442676598087</v>
      </c>
      <c r="D53" s="13">
        <f>IFERROR(AVERAGE('Revenue Growth YoY'!D50:D53),"")</f>
        <v>-2.404757636261784E-2</v>
      </c>
      <c r="E53" s="13">
        <f>IFERROR(AVERAGE('Revenue Growth YoY'!E50:E53),"")</f>
        <v>0.33339008848024038</v>
      </c>
      <c r="F53" s="13" t="str">
        <f>IFERROR(AVERAGE('Revenue Growth YoY'!F50:F53),"")</f>
        <v/>
      </c>
      <c r="G53" s="13" t="str">
        <f>IFERROR(AVERAGE('Revenue Growth YoY'!G50:G53),"")</f>
        <v/>
      </c>
      <c r="H53" s="13" t="str">
        <f>IFERROR(AVERAGE('Revenue Growth YoY'!H50:H53),"")</f>
        <v/>
      </c>
      <c r="I53" s="13" t="str">
        <f>IFERROR(AVERAGE('Revenue Growth YoY'!I50:I53),"")</f>
        <v/>
      </c>
      <c r="J53" s="13"/>
      <c r="K53" s="13" t="str">
        <f>IFERROR(AVERAGE('Revenue Growth YoY'!K50:K53),"")</f>
        <v/>
      </c>
      <c r="L53" s="13" t="str">
        <f>IFERROR(AVERAGE('Revenue Growth YoY'!L50:L53),"")</f>
        <v/>
      </c>
      <c r="M53" s="13" t="str">
        <f>IFERROR(AVERAGE('Revenue Growth YoY'!M50:M53),"")</f>
        <v/>
      </c>
      <c r="N53" s="13" t="str">
        <f>IFERROR(AVERAGE('Revenue Growth YoY'!N50:N53),"")</f>
        <v/>
      </c>
      <c r="O53" s="13">
        <f>IFERROR(AVERAGE('Revenue Growth YoY'!O50:O53),"")</f>
        <v>0.10579106923211268</v>
      </c>
      <c r="P53" s="13" t="str">
        <f>IFERROR(AVERAGE('Revenue Growth YoY'!P50:P53),"")</f>
        <v/>
      </c>
      <c r="Q53" s="13" t="str">
        <f>IFERROR(AVERAGE('Revenue Growth YoY'!Q50:Q53),"")</f>
        <v/>
      </c>
      <c r="R53" s="13" t="str">
        <f>IFERROR(AVERAGE('Revenue Growth YoY'!R50:R53),"")</f>
        <v/>
      </c>
      <c r="S53" s="13" t="str">
        <f>IFERROR(AVERAGE('Revenue Growth YoY'!S50:S53),"")</f>
        <v/>
      </c>
      <c r="T53" s="13" t="str">
        <f>IFERROR(AVERAGE('Revenue Growth YoY'!T50:T53),"")</f>
        <v/>
      </c>
      <c r="U53" s="13">
        <f>IFERROR(AVERAGE('Revenue Growth YoY'!U50:U53),"")</f>
        <v>-0.11059170647505115</v>
      </c>
      <c r="V53" s="13" t="str">
        <f>IFERROR(AVERAGE('Revenue Growth YoY'!V50:V53),"")</f>
        <v/>
      </c>
      <c r="W53" s="13">
        <f>IFERROR(AVERAGE('Revenue Growth YoY'!W50:W53),"")</f>
        <v>1.0872914781509202E-2</v>
      </c>
      <c r="X53" s="13" t="str">
        <f>IFERROR(AVERAGE('Revenue Growth YoY'!X50:X53),"")</f>
        <v/>
      </c>
      <c r="Y53" s="13" t="str">
        <f>IFERROR(AVERAGE('Revenue Growth YoY'!Y50:Y53),"")</f>
        <v/>
      </c>
      <c r="Z53" s="13" t="str">
        <f>IFERROR(AVERAGE('Revenue Growth YoY'!Z50:Z53),"")</f>
        <v/>
      </c>
      <c r="AA53" s="13" t="str">
        <f>IFERROR(AVERAGE('Revenue Growth YoY'!AA50:AA53),"")</f>
        <v/>
      </c>
      <c r="AB53" s="13" t="str">
        <f>IFERROR(AVERAGE('Revenue Growth YoY'!AB50:AB53),"")</f>
        <v/>
      </c>
      <c r="AC53" s="11"/>
    </row>
    <row r="54" spans="1:29" ht="14">
      <c r="A54" s="14" t="s">
        <v>79</v>
      </c>
      <c r="B54" s="13" t="str">
        <f>IFERROR(AVERAGE('Revenue Growth YoY'!B51:B54),"")</f>
        <v/>
      </c>
      <c r="C54" s="13">
        <f>IFERROR(AVERAGE('Revenue Growth YoY'!C51:C54),"")</f>
        <v>0.240558444741793</v>
      </c>
      <c r="D54" s="13">
        <f>IFERROR(AVERAGE('Revenue Growth YoY'!D51:D54),"")</f>
        <v>-6.6040565703999299E-2</v>
      </c>
      <c r="E54" s="13">
        <f>IFERROR(AVERAGE('Revenue Growth YoY'!E51:E54),"")</f>
        <v>0.33428347815259829</v>
      </c>
      <c r="F54" s="13" t="str">
        <f>IFERROR(AVERAGE('Revenue Growth YoY'!F51:F54),"")</f>
        <v/>
      </c>
      <c r="G54" s="13" t="str">
        <f>IFERROR(AVERAGE('Revenue Growth YoY'!G51:G54),"")</f>
        <v/>
      </c>
      <c r="H54" s="13" t="str">
        <f>IFERROR(AVERAGE('Revenue Growth YoY'!H51:H54),"")</f>
        <v/>
      </c>
      <c r="I54" s="13" t="str">
        <f>IFERROR(AVERAGE('Revenue Growth YoY'!I51:I54),"")</f>
        <v/>
      </c>
      <c r="J54" s="13"/>
      <c r="K54" s="13" t="str">
        <f>IFERROR(AVERAGE('Revenue Growth YoY'!K51:K54),"")</f>
        <v/>
      </c>
      <c r="L54" s="13" t="str">
        <f>IFERROR(AVERAGE('Revenue Growth YoY'!L51:L54),"")</f>
        <v/>
      </c>
      <c r="M54" s="13" t="str">
        <f>IFERROR(AVERAGE('Revenue Growth YoY'!M51:M54),"")</f>
        <v/>
      </c>
      <c r="N54" s="13" t="str">
        <f>IFERROR(AVERAGE('Revenue Growth YoY'!N51:N54),"")</f>
        <v/>
      </c>
      <c r="O54" s="13">
        <f>IFERROR(AVERAGE('Revenue Growth YoY'!O51:O54),"")</f>
        <v>0.19599301993393037</v>
      </c>
      <c r="P54" s="13" t="str">
        <f>IFERROR(AVERAGE('Revenue Growth YoY'!P51:P54),"")</f>
        <v/>
      </c>
      <c r="Q54" s="13" t="str">
        <f>IFERROR(AVERAGE('Revenue Growth YoY'!Q51:Q54),"")</f>
        <v/>
      </c>
      <c r="R54" s="13" t="str">
        <f>IFERROR(AVERAGE('Revenue Growth YoY'!R51:R54),"")</f>
        <v/>
      </c>
      <c r="S54" s="13" t="str">
        <f>IFERROR(AVERAGE('Revenue Growth YoY'!S51:S54),"")</f>
        <v/>
      </c>
      <c r="T54" s="13" t="str">
        <f>IFERROR(AVERAGE('Revenue Growth YoY'!T51:T54),"")</f>
        <v/>
      </c>
      <c r="U54" s="13">
        <f>IFERROR(AVERAGE('Revenue Growth YoY'!U51:U54),"")</f>
        <v>-0.15172413793103445</v>
      </c>
      <c r="V54" s="13" t="str">
        <f>IFERROR(AVERAGE('Revenue Growth YoY'!V51:V54),"")</f>
        <v/>
      </c>
      <c r="W54" s="13">
        <f>IFERROR(AVERAGE('Revenue Growth YoY'!W51:W54),"")</f>
        <v>4.29457987099231E-2</v>
      </c>
      <c r="X54" s="13" t="str">
        <f>IFERROR(AVERAGE('Revenue Growth YoY'!X51:X54),"")</f>
        <v/>
      </c>
      <c r="Y54" s="13" t="str">
        <f>IFERROR(AVERAGE('Revenue Growth YoY'!Y51:Y54),"")</f>
        <v/>
      </c>
      <c r="Z54" s="13" t="str">
        <f>IFERROR(AVERAGE('Revenue Growth YoY'!Z51:Z54),"")</f>
        <v/>
      </c>
      <c r="AA54" s="13" t="str">
        <f>IFERROR(AVERAGE('Revenue Growth YoY'!AA51:AA54),"")</f>
        <v/>
      </c>
      <c r="AB54" s="13" t="str">
        <f>IFERROR(AVERAGE('Revenue Growth YoY'!AB51:AB54),"")</f>
        <v/>
      </c>
      <c r="AC54" s="11"/>
    </row>
    <row r="55" spans="1:29" ht="14">
      <c r="A55" s="14" t="s">
        <v>80</v>
      </c>
      <c r="B55" s="13" t="str">
        <f>IFERROR(AVERAGE('Revenue Growth YoY'!B52:B55),"")</f>
        <v/>
      </c>
      <c r="C55" s="13">
        <f>IFERROR(AVERAGE('Revenue Growth YoY'!C52:C55),"")</f>
        <v>0.26025472953155998</v>
      </c>
      <c r="D55" s="13">
        <f>IFERROR(AVERAGE('Revenue Growth YoY'!D52:D55),"")</f>
        <v>-2.3045863837818092E-2</v>
      </c>
      <c r="E55" s="13">
        <f>IFERROR(AVERAGE('Revenue Growth YoY'!E52:E55),"")</f>
        <v>0.37564970264179742</v>
      </c>
      <c r="F55" s="13"/>
      <c r="G55" s="13" t="str">
        <f>IFERROR(AVERAGE('Revenue Growth YoY'!G52:G55),"")</f>
        <v/>
      </c>
      <c r="H55" s="13" t="str">
        <f>IFERROR(AVERAGE('Revenue Growth YoY'!H52:H55),"")</f>
        <v/>
      </c>
      <c r="I55" s="13" t="str">
        <f>IFERROR(AVERAGE('Revenue Growth YoY'!I52:I55),"")</f>
        <v/>
      </c>
      <c r="J55" s="13">
        <f>IFERROR(AVERAGE('Revenue Growth YoY'!J52:J55),"")</f>
        <v>0.21892869646399804</v>
      </c>
      <c r="K55" s="13" t="str">
        <f>IFERROR(AVERAGE('Revenue Growth YoY'!K52:K55),"")</f>
        <v/>
      </c>
      <c r="L55" s="13">
        <f>IFERROR(AVERAGE('Revenue Growth YoY'!L52:L55),"")</f>
        <v>0.39889710727898642</v>
      </c>
      <c r="M55" s="13" t="str">
        <f>IFERROR(AVERAGE('Revenue Growth YoY'!M52:M55),"")</f>
        <v/>
      </c>
      <c r="N55" s="13" t="str">
        <f>IFERROR(AVERAGE('Revenue Growth YoY'!N52:N55),"")</f>
        <v/>
      </c>
      <c r="O55" s="13">
        <f>IFERROR(AVERAGE('Revenue Growth YoY'!O52:O55),"")</f>
        <v>0.28619497063574806</v>
      </c>
      <c r="P55" s="13" t="str">
        <f>IFERROR(AVERAGE('Revenue Growth YoY'!P52:P55),"")</f>
        <v/>
      </c>
      <c r="Q55" s="13" t="str">
        <f>IFERROR(AVERAGE('Revenue Growth YoY'!Q52:Q55),"")</f>
        <v/>
      </c>
      <c r="R55" s="13" t="str">
        <f>IFERROR(AVERAGE('Revenue Growth YoY'!R52:R55),"")</f>
        <v/>
      </c>
      <c r="S55" s="13" t="str">
        <f>IFERROR(AVERAGE('Revenue Growth YoY'!S52:S55),"")</f>
        <v/>
      </c>
      <c r="T55" s="13" t="str">
        <f>IFERROR(AVERAGE('Revenue Growth YoY'!T52:T55),"")</f>
        <v/>
      </c>
      <c r="U55" s="13">
        <f>IFERROR(AVERAGE('Revenue Growth YoY'!U52:U55),"")</f>
        <v>-0.10719181618540322</v>
      </c>
      <c r="V55" s="13" t="str">
        <f>IFERROR(AVERAGE('Revenue Growth YoY'!V52:V55),"")</f>
        <v/>
      </c>
      <c r="W55" s="13">
        <f>IFERROR(AVERAGE('Revenue Growth YoY'!W52:W55),"")</f>
        <v>7.5018682638336998E-2</v>
      </c>
      <c r="X55" s="13" t="str">
        <f>IFERROR(AVERAGE('Revenue Growth YoY'!X52:X55),"")</f>
        <v/>
      </c>
      <c r="Y55" s="13" t="str">
        <f>IFERROR(AVERAGE('Revenue Growth YoY'!Y52:Y55),"")</f>
        <v/>
      </c>
      <c r="Z55" s="13" t="str">
        <f>IFERROR(AVERAGE('Revenue Growth YoY'!Z52:Z55),"")</f>
        <v/>
      </c>
      <c r="AA55" s="13" t="str">
        <f>IFERROR(AVERAGE('Revenue Growth YoY'!AA52:AA55),"")</f>
        <v/>
      </c>
      <c r="AB55" s="13" t="str">
        <f>IFERROR(AVERAGE('Revenue Growth YoY'!AB52:AB55),"")</f>
        <v/>
      </c>
      <c r="AC55" s="11"/>
    </row>
    <row r="56" spans="1:29" ht="14">
      <c r="A56" s="14" t="s">
        <v>81</v>
      </c>
      <c r="B56" s="13" t="str">
        <f>IFERROR(AVERAGE('Revenue Growth YoY'!B53:B56),"")</f>
        <v/>
      </c>
      <c r="C56" s="13">
        <f>IFERROR(AVERAGE('Revenue Growth YoY'!C53:C56),"")</f>
        <v>0.27995101432132696</v>
      </c>
      <c r="D56" s="13">
        <f>IFERROR(AVERAGE('Revenue Growth YoY'!D53:D56),"")</f>
        <v>1.9948838028363114E-2</v>
      </c>
      <c r="E56" s="13">
        <f>IFERROR(AVERAGE('Revenue Growth YoY'!E53:E56),"")</f>
        <v>0.41701592713099656</v>
      </c>
      <c r="F56" s="13"/>
      <c r="G56" s="13" t="str">
        <f>IFERROR(AVERAGE('Revenue Growth YoY'!G53:G56),"")</f>
        <v/>
      </c>
      <c r="H56" s="13" t="str">
        <f>IFERROR(AVERAGE('Revenue Growth YoY'!H53:H56),"")</f>
        <v/>
      </c>
      <c r="I56" s="13" t="str">
        <f>IFERROR(AVERAGE('Revenue Growth YoY'!I53:I56),"")</f>
        <v/>
      </c>
      <c r="J56" s="13">
        <f>IFERROR(AVERAGE('Revenue Growth YoY'!J53:J56),"")</f>
        <v>0.28734455968643796</v>
      </c>
      <c r="K56" s="13" t="str">
        <f>IFERROR(AVERAGE('Revenue Growth YoY'!K53:K56),"")</f>
        <v/>
      </c>
      <c r="L56" s="13">
        <f>IFERROR(AVERAGE('Revenue Growth YoY'!L53:L56),"")</f>
        <v>0.39889710727898642</v>
      </c>
      <c r="M56" s="13" t="str">
        <f>IFERROR(AVERAGE('Revenue Growth YoY'!M53:M56),"")</f>
        <v/>
      </c>
      <c r="N56" s="13" t="str">
        <f>IFERROR(AVERAGE('Revenue Growth YoY'!N53:N56),"")</f>
        <v/>
      </c>
      <c r="O56" s="13">
        <f>IFERROR(AVERAGE('Revenue Growth YoY'!O53:O56),"")</f>
        <v>0.37639692133756575</v>
      </c>
      <c r="P56" s="13" t="str">
        <f>IFERROR(AVERAGE('Revenue Growth YoY'!P53:P56),"")</f>
        <v/>
      </c>
      <c r="Q56" s="13" t="str">
        <f>IFERROR(AVERAGE('Revenue Growth YoY'!Q53:Q56),"")</f>
        <v/>
      </c>
      <c r="R56" s="13" t="str">
        <f>IFERROR(AVERAGE('Revenue Growth YoY'!R53:R56),"")</f>
        <v/>
      </c>
      <c r="S56" s="13" t="str">
        <f>IFERROR(AVERAGE('Revenue Growth YoY'!S53:S56),"")</f>
        <v/>
      </c>
      <c r="T56" s="13" t="str">
        <f>IFERROR(AVERAGE('Revenue Growth YoY'!T53:T56),"")</f>
        <v/>
      </c>
      <c r="U56" s="13">
        <f>IFERROR(AVERAGE('Revenue Growth YoY'!U53:U56),"")</f>
        <v>-6.2659494439771979E-2</v>
      </c>
      <c r="V56" s="13" t="str">
        <f>IFERROR(AVERAGE('Revenue Growth YoY'!V53:V56),"")</f>
        <v/>
      </c>
      <c r="W56" s="13">
        <f>IFERROR(AVERAGE('Revenue Growth YoY'!W53:W56),"")</f>
        <v>0.1070915665667509</v>
      </c>
      <c r="X56" s="13" t="str">
        <f>IFERROR(AVERAGE('Revenue Growth YoY'!X53:X56),"")</f>
        <v/>
      </c>
      <c r="Y56" s="13" t="str">
        <f>IFERROR(AVERAGE('Revenue Growth YoY'!Y53:Y56),"")</f>
        <v/>
      </c>
      <c r="Z56" s="13" t="str">
        <f>IFERROR(AVERAGE('Revenue Growth YoY'!Z53:Z56),"")</f>
        <v/>
      </c>
      <c r="AA56" s="13" t="str">
        <f>IFERROR(AVERAGE('Revenue Growth YoY'!AA53:AA56),"")</f>
        <v/>
      </c>
      <c r="AB56" s="13" t="str">
        <f>IFERROR(AVERAGE('Revenue Growth YoY'!AB53:AB56),"")</f>
        <v/>
      </c>
      <c r="AC56" s="11"/>
    </row>
    <row r="57" spans="1:29" ht="14">
      <c r="A57" s="14" t="s">
        <v>82</v>
      </c>
      <c r="B57" s="13" t="str">
        <f>IFERROR(AVERAGE('Revenue Growth YoY'!B54:B57),"")</f>
        <v/>
      </c>
      <c r="C57" s="13">
        <f>IFERROR(AVERAGE('Revenue Growth YoY'!C54:C57),"")</f>
        <v>0.29964729911109395</v>
      </c>
      <c r="D57" s="13">
        <f>IFERROR(AVERAGE('Revenue Growth YoY'!D54:D57),"")</f>
        <v>6.294353989454432E-2</v>
      </c>
      <c r="E57" s="13">
        <f>IFERROR(AVERAGE('Revenue Growth YoY'!E54:E57),"")</f>
        <v>0.45838215162019569</v>
      </c>
      <c r="F57" s="13"/>
      <c r="G57" s="13" t="str">
        <f>IFERROR(AVERAGE('Revenue Growth YoY'!G54:G57),"")</f>
        <v/>
      </c>
      <c r="H57" s="13" t="str">
        <f>IFERROR(AVERAGE('Revenue Growth YoY'!H54:H57),"")</f>
        <v/>
      </c>
      <c r="I57" s="13" t="str">
        <f>IFERROR(AVERAGE('Revenue Growth YoY'!I54:I57),"")</f>
        <v/>
      </c>
      <c r="J57" s="13">
        <f>IFERROR(AVERAGE('Revenue Growth YoY'!J54:J57),"")</f>
        <v>0.35576042290887788</v>
      </c>
      <c r="K57" s="13" t="str">
        <f>IFERROR(AVERAGE('Revenue Growth YoY'!K54:K57),"")</f>
        <v/>
      </c>
      <c r="L57" s="13">
        <f>IFERROR(AVERAGE('Revenue Growth YoY'!L54:L57),"")</f>
        <v>0.39889710727898642</v>
      </c>
      <c r="M57" s="13" t="str">
        <f>IFERROR(AVERAGE('Revenue Growth YoY'!M54:M57),"")</f>
        <v/>
      </c>
      <c r="N57" s="13" t="str">
        <f>IFERROR(AVERAGE('Revenue Growth YoY'!N54:N57),"")</f>
        <v/>
      </c>
      <c r="O57" s="13">
        <f>IFERROR(AVERAGE('Revenue Growth YoY'!O54:O57),"")</f>
        <v>0.4016623641779129</v>
      </c>
      <c r="P57" s="13" t="str">
        <f>IFERROR(AVERAGE('Revenue Growth YoY'!P54:P57),"")</f>
        <v/>
      </c>
      <c r="Q57" s="13" t="str">
        <f>IFERROR(AVERAGE('Revenue Growth YoY'!Q54:Q57),"")</f>
        <v/>
      </c>
      <c r="R57" s="13" t="str">
        <f>IFERROR(AVERAGE('Revenue Growth YoY'!R54:R57),"")</f>
        <v/>
      </c>
      <c r="S57" s="13" t="str">
        <f>IFERROR(AVERAGE('Revenue Growth YoY'!S54:S57),"")</f>
        <v/>
      </c>
      <c r="T57" s="13" t="str">
        <f>IFERROR(AVERAGE('Revenue Growth YoY'!T54:T57),"")</f>
        <v/>
      </c>
      <c r="U57" s="13">
        <f>IFERROR(AVERAGE('Revenue Growth YoY'!U54:U57),"")</f>
        <v>-1.8127172694140742E-2</v>
      </c>
      <c r="V57" s="13" t="str">
        <f>IFERROR(AVERAGE('Revenue Growth YoY'!V54:V57),"")</f>
        <v/>
      </c>
      <c r="W57" s="13">
        <f>IFERROR(AVERAGE('Revenue Growth YoY'!W54:W57),"")</f>
        <v>0.15490705852826164</v>
      </c>
      <c r="X57" s="13" t="str">
        <f>IFERROR(AVERAGE('Revenue Growth YoY'!X54:X57),"")</f>
        <v/>
      </c>
      <c r="Y57" s="13" t="str">
        <f>IFERROR(AVERAGE('Revenue Growth YoY'!Y54:Y57),"")</f>
        <v/>
      </c>
      <c r="Z57" s="13" t="str">
        <f>IFERROR(AVERAGE('Revenue Growth YoY'!Z54:Z57),"")</f>
        <v/>
      </c>
      <c r="AA57" s="13" t="str">
        <f>IFERROR(AVERAGE('Revenue Growth YoY'!AA54:AA57),"")</f>
        <v/>
      </c>
      <c r="AB57" s="13" t="str">
        <f>IFERROR(AVERAGE('Revenue Growth YoY'!AB54:AB57),"")</f>
        <v/>
      </c>
      <c r="AC57" s="11"/>
    </row>
    <row r="58" spans="1:29" ht="14">
      <c r="A58" s="14" t="s">
        <v>83</v>
      </c>
      <c r="B58" s="13" t="str">
        <f>IFERROR(AVERAGE('Revenue Growth YoY'!B55:B58),"")</f>
        <v/>
      </c>
      <c r="C58" s="13">
        <f>IFERROR(AVERAGE('Revenue Growth YoY'!C55:C58),"")</f>
        <v>0.31934358390086093</v>
      </c>
      <c r="D58" s="13">
        <f>IFERROR(AVERAGE('Revenue Growth YoY'!D55:D58),"")</f>
        <v>0.10593824176072553</v>
      </c>
      <c r="E58" s="13">
        <f>IFERROR(AVERAGE('Revenue Growth YoY'!E55:E58),"")</f>
        <v>0.49974837610939482</v>
      </c>
      <c r="F58" s="13"/>
      <c r="G58" s="13" t="str">
        <f>IFERROR(AVERAGE('Revenue Growth YoY'!G55:G58),"")</f>
        <v/>
      </c>
      <c r="H58" s="13" t="str">
        <f>IFERROR(AVERAGE('Revenue Growth YoY'!H55:H58),"")</f>
        <v/>
      </c>
      <c r="I58" s="13" t="str">
        <f>IFERROR(AVERAGE('Revenue Growth YoY'!I55:I58),"")</f>
        <v/>
      </c>
      <c r="J58" s="13">
        <f>IFERROR(AVERAGE('Revenue Growth YoY'!J55:J58),"")</f>
        <v>0.4241762861313178</v>
      </c>
      <c r="K58" s="13" t="str">
        <f>IFERROR(AVERAGE('Revenue Growth YoY'!K55:K58),"")</f>
        <v/>
      </c>
      <c r="L58" s="13">
        <f>IFERROR(AVERAGE('Revenue Growth YoY'!L55:L58),"")</f>
        <v>0.39889710727898642</v>
      </c>
      <c r="M58" s="13" t="str">
        <f>IFERROR(AVERAGE('Revenue Growth YoY'!M55:M58),"")</f>
        <v/>
      </c>
      <c r="N58" s="13" t="str">
        <f>IFERROR(AVERAGE('Revenue Growth YoY'!N55:N58),"")</f>
        <v/>
      </c>
      <c r="O58" s="13">
        <f>IFERROR(AVERAGE('Revenue Growth YoY'!O55:O58),"")</f>
        <v>0.42692780701826005</v>
      </c>
      <c r="P58" s="13" t="str">
        <f>IFERROR(AVERAGE('Revenue Growth YoY'!P55:P58),"")</f>
        <v/>
      </c>
      <c r="Q58" s="13" t="str">
        <f>IFERROR(AVERAGE('Revenue Growth YoY'!Q55:Q58),"")</f>
        <v/>
      </c>
      <c r="R58" s="13" t="str">
        <f>IFERROR(AVERAGE('Revenue Growth YoY'!R55:R58),"")</f>
        <v/>
      </c>
      <c r="S58" s="13" t="str">
        <f>IFERROR(AVERAGE('Revenue Growth YoY'!S55:S58),"")</f>
        <v/>
      </c>
      <c r="T58" s="13" t="str">
        <f>IFERROR(AVERAGE('Revenue Growth YoY'!T55:T58),"")</f>
        <v/>
      </c>
      <c r="U58" s="13">
        <f>IFERROR(AVERAGE('Revenue Growth YoY'!U55:U58),"")</f>
        <v>2.6405149051490495E-2</v>
      </c>
      <c r="V58" s="13" t="str">
        <f>IFERROR(AVERAGE('Revenue Growth YoY'!V55:V58),"")</f>
        <v/>
      </c>
      <c r="W58" s="13">
        <f>IFERROR(AVERAGE('Revenue Growth YoY'!W55:W58),"")</f>
        <v>0.20272255048977239</v>
      </c>
      <c r="X58" s="13" t="str">
        <f>IFERROR(AVERAGE('Revenue Growth YoY'!X55:X58),"")</f>
        <v/>
      </c>
      <c r="Y58" s="13" t="str">
        <f>IFERROR(AVERAGE('Revenue Growth YoY'!Y55:Y58),"")</f>
        <v/>
      </c>
      <c r="Z58" s="13" t="str">
        <f>IFERROR(AVERAGE('Revenue Growth YoY'!Z55:Z58),"")</f>
        <v/>
      </c>
      <c r="AA58" s="13" t="str">
        <f>IFERROR(AVERAGE('Revenue Growth YoY'!AA55:AA58),"")</f>
        <v/>
      </c>
      <c r="AB58" s="13" t="str">
        <f>IFERROR(AVERAGE('Revenue Growth YoY'!AB55:AB58),"")</f>
        <v/>
      </c>
      <c r="AC58" s="11"/>
    </row>
    <row r="59" spans="1:29" ht="14">
      <c r="A59" s="14" t="s">
        <v>84</v>
      </c>
      <c r="B59" s="13" t="str">
        <f>IFERROR(AVERAGE('Revenue Growth YoY'!B56:B59),"")</f>
        <v/>
      </c>
      <c r="C59" s="13">
        <f>IFERROR(AVERAGE('Revenue Growth YoY'!C56:C59),"")</f>
        <v>0.34248533229394879</v>
      </c>
      <c r="D59" s="13">
        <f>IFERROR(AVERAGE('Revenue Growth YoY'!D56:D59),"")</f>
        <v>0.1136834610080158</v>
      </c>
      <c r="E59" s="13">
        <f>IFERROR(AVERAGE('Revenue Growth YoY'!E56:E59),"")</f>
        <v>0.443610573639176</v>
      </c>
      <c r="F59" s="13">
        <f>IFERROR(AVERAGE('Revenue Growth YoY'!F56:F59),"")</f>
        <v>0.36097227408181598</v>
      </c>
      <c r="G59" s="13" t="str">
        <f>IFERROR(AVERAGE('Revenue Growth YoY'!G56:G59),"")</f>
        <v/>
      </c>
      <c r="H59" s="13" t="str">
        <f>IFERROR(AVERAGE('Revenue Growth YoY'!H56:H59),"")</f>
        <v/>
      </c>
      <c r="I59" s="13" t="str">
        <f>IFERROR(AVERAGE('Revenue Growth YoY'!I56:I59),"")</f>
        <v/>
      </c>
      <c r="J59" s="13">
        <f>IFERROR(AVERAGE('Revenue Growth YoY'!J56:J59),"")</f>
        <v>0.49259214935375772</v>
      </c>
      <c r="K59" s="13" t="str">
        <f>IFERROR(AVERAGE('Revenue Growth YoY'!K56:K59),"")</f>
        <v/>
      </c>
      <c r="L59" s="13">
        <f>IFERROR(AVERAGE('Revenue Growth YoY'!L56:L59),"")</f>
        <v>0.32455751541893413</v>
      </c>
      <c r="M59" s="13" t="str">
        <f>IFERROR(AVERAGE('Revenue Growth YoY'!M56:M59),"")</f>
        <v/>
      </c>
      <c r="N59" s="13" t="str">
        <f>IFERROR(AVERAGE('Revenue Growth YoY'!N56:N59),"")</f>
        <v/>
      </c>
      <c r="O59" s="13">
        <f>IFERROR(AVERAGE('Revenue Growth YoY'!O56:O59),"")</f>
        <v>0.4521932498586072</v>
      </c>
      <c r="P59" s="13" t="str">
        <f>IFERROR(AVERAGE('Revenue Growth YoY'!P56:P59),"")</f>
        <v/>
      </c>
      <c r="Q59" s="13" t="str">
        <f>IFERROR(AVERAGE('Revenue Growth YoY'!Q56:Q59),"")</f>
        <v/>
      </c>
      <c r="R59" s="13" t="str">
        <f>IFERROR(AVERAGE('Revenue Growth YoY'!R56:R59),"")</f>
        <v/>
      </c>
      <c r="S59" s="13" t="str">
        <f>IFERROR(AVERAGE('Revenue Growth YoY'!S56:S59),"")</f>
        <v/>
      </c>
      <c r="T59" s="13" t="str">
        <f>IFERROR(AVERAGE('Revenue Growth YoY'!T56:T59),"")</f>
        <v/>
      </c>
      <c r="U59" s="13">
        <f>IFERROR(AVERAGE('Revenue Growth YoY'!U56:U59),"")</f>
        <v>2.3213821299474191E-2</v>
      </c>
      <c r="V59" s="13" t="str">
        <f>IFERROR(AVERAGE('Revenue Growth YoY'!V56:V59),"")</f>
        <v/>
      </c>
      <c r="W59" s="13">
        <f>IFERROR(AVERAGE('Revenue Growth YoY'!W56:W59),"")</f>
        <v>0.25053804245128314</v>
      </c>
      <c r="X59" s="13" t="str">
        <f>IFERROR(AVERAGE('Revenue Growth YoY'!X56:X59),"")</f>
        <v/>
      </c>
      <c r="Y59" s="13" t="str">
        <f>IFERROR(AVERAGE('Revenue Growth YoY'!Y56:Y59),"")</f>
        <v/>
      </c>
      <c r="Z59" s="13" t="str">
        <f>IFERROR(AVERAGE('Revenue Growth YoY'!Z56:Z59),"")</f>
        <v/>
      </c>
      <c r="AA59" s="13" t="str">
        <f>IFERROR(AVERAGE('Revenue Growth YoY'!AA56:AA59),"")</f>
        <v/>
      </c>
      <c r="AB59" s="13" t="str">
        <f>IFERROR(AVERAGE('Revenue Growth YoY'!AB56:AB59),"")</f>
        <v/>
      </c>
      <c r="AC59" s="11"/>
    </row>
    <row r="60" spans="1:29" ht="14">
      <c r="A60" s="14" t="s">
        <v>85</v>
      </c>
      <c r="B60" s="13" t="str">
        <f>IFERROR(AVERAGE('Revenue Growth YoY'!B57:B60),"")</f>
        <v/>
      </c>
      <c r="C60" s="13">
        <f>IFERROR(AVERAGE('Revenue Growth YoY'!C57:C60),"")</f>
        <v>0.36562708068703664</v>
      </c>
      <c r="D60" s="13">
        <f>IFERROR(AVERAGE('Revenue Growth YoY'!D57:D60),"")</f>
        <v>0.12142868025530607</v>
      </c>
      <c r="E60" s="13">
        <f>IFERROR(AVERAGE('Revenue Growth YoY'!E57:E60),"")</f>
        <v>0.38747277116895718</v>
      </c>
      <c r="F60" s="13">
        <f>IFERROR(AVERAGE('Revenue Growth YoY'!F57:F60),"")</f>
        <v>0.34548859526535902</v>
      </c>
      <c r="G60" s="13" t="str">
        <f>IFERROR(AVERAGE('Revenue Growth YoY'!G57:G60),"")</f>
        <v/>
      </c>
      <c r="H60" s="13" t="str">
        <f>IFERROR(AVERAGE('Revenue Growth YoY'!H57:H60),"")</f>
        <v/>
      </c>
      <c r="I60" s="13" t="str">
        <f>IFERROR(AVERAGE('Revenue Growth YoY'!I57:I60),"")</f>
        <v/>
      </c>
      <c r="J60" s="13">
        <f>IFERROR(AVERAGE('Revenue Growth YoY'!J57:J60),"")</f>
        <v>0.51352169317647001</v>
      </c>
      <c r="K60" s="13" t="str">
        <f>IFERROR(AVERAGE('Revenue Growth YoY'!K57:K60),"")</f>
        <v/>
      </c>
      <c r="L60" s="13">
        <f>IFERROR(AVERAGE('Revenue Growth YoY'!L57:L60),"")</f>
        <v>0.25021792355888184</v>
      </c>
      <c r="M60" s="13" t="str">
        <f>IFERROR(AVERAGE('Revenue Growth YoY'!M57:M60),"")</f>
        <v/>
      </c>
      <c r="N60" s="13" t="str">
        <f>IFERROR(AVERAGE('Revenue Growth YoY'!N57:N60),"")</f>
        <v/>
      </c>
      <c r="O60" s="13">
        <f>IFERROR(AVERAGE('Revenue Growth YoY'!O57:O60),"")</f>
        <v>0.47745869269895436</v>
      </c>
      <c r="P60" s="13" t="str">
        <f>IFERROR(AVERAGE('Revenue Growth YoY'!P57:P60),"")</f>
        <v/>
      </c>
      <c r="Q60" s="13" t="str">
        <f>IFERROR(AVERAGE('Revenue Growth YoY'!Q57:Q60),"")</f>
        <v/>
      </c>
      <c r="R60" s="13" t="str">
        <f>IFERROR(AVERAGE('Revenue Growth YoY'!R57:R60),"")</f>
        <v/>
      </c>
      <c r="S60" s="13" t="str">
        <f>IFERROR(AVERAGE('Revenue Growth YoY'!S57:S60),"")</f>
        <v/>
      </c>
      <c r="T60" s="13" t="str">
        <f>IFERROR(AVERAGE('Revenue Growth YoY'!T57:T60),"")</f>
        <v/>
      </c>
      <c r="U60" s="13">
        <f>IFERROR(AVERAGE('Revenue Growth YoY'!U57:U60),"")</f>
        <v>2.0022493547457887E-2</v>
      </c>
      <c r="V60" s="13" t="str">
        <f>IFERROR(AVERAGE('Revenue Growth YoY'!V57:V60),"")</f>
        <v/>
      </c>
      <c r="W60" s="13">
        <f>IFERROR(AVERAGE('Revenue Growth YoY'!W57:W60),"")</f>
        <v>0.29835353441279389</v>
      </c>
      <c r="X60" s="13" t="str">
        <f>IFERROR(AVERAGE('Revenue Growth YoY'!X57:X60),"")</f>
        <v/>
      </c>
      <c r="Y60" s="13" t="str">
        <f>IFERROR(AVERAGE('Revenue Growth YoY'!Y57:Y60),"")</f>
        <v/>
      </c>
      <c r="Z60" s="13" t="str">
        <f>IFERROR(AVERAGE('Revenue Growth YoY'!Z57:Z60),"")</f>
        <v/>
      </c>
      <c r="AA60" s="13" t="str">
        <f>IFERROR(AVERAGE('Revenue Growth YoY'!AA57:AA60),"")</f>
        <v/>
      </c>
      <c r="AB60" s="13" t="str">
        <f>IFERROR(AVERAGE('Revenue Growth YoY'!AB57:AB60),"")</f>
        <v/>
      </c>
      <c r="AC60" s="11"/>
    </row>
    <row r="61" spans="1:29" ht="14">
      <c r="A61" s="14" t="s">
        <v>86</v>
      </c>
      <c r="B61" s="13" t="str">
        <f>IFERROR(AVERAGE('Revenue Growth YoY'!B58:B61),"")</f>
        <v/>
      </c>
      <c r="C61" s="13">
        <f>IFERROR(AVERAGE('Revenue Growth YoY'!C58:C61),"")</f>
        <v>0.3887688290801245</v>
      </c>
      <c r="D61" s="13">
        <f>IFERROR(AVERAGE('Revenue Growth YoY'!D58:D61),"")</f>
        <v>0.12917389950259633</v>
      </c>
      <c r="E61" s="13">
        <f>IFERROR(AVERAGE('Revenue Growth YoY'!E58:E61),"")</f>
        <v>0.33133496869873835</v>
      </c>
      <c r="F61" s="13">
        <f>IFERROR(AVERAGE('Revenue Growth YoY'!F58:F61),"")</f>
        <v>0.33000491644890206</v>
      </c>
      <c r="G61" s="13" t="str">
        <f>IFERROR(AVERAGE('Revenue Growth YoY'!G58:G61),"")</f>
        <v/>
      </c>
      <c r="H61" s="13" t="str">
        <f>IFERROR(AVERAGE('Revenue Growth YoY'!H58:H61),"")</f>
        <v/>
      </c>
      <c r="I61" s="13" t="str">
        <f>IFERROR(AVERAGE('Revenue Growth YoY'!I58:I61),"")</f>
        <v/>
      </c>
      <c r="J61" s="13">
        <f>IFERROR(AVERAGE('Revenue Growth YoY'!J58:J61),"")</f>
        <v>0.53445123699918229</v>
      </c>
      <c r="K61" s="13" t="str">
        <f>IFERROR(AVERAGE('Revenue Growth YoY'!K58:K61),"")</f>
        <v/>
      </c>
      <c r="L61" s="13">
        <f>IFERROR(AVERAGE('Revenue Growth YoY'!L58:L61),"")</f>
        <v>0.17587833169882955</v>
      </c>
      <c r="M61" s="13" t="str">
        <f>IFERROR(AVERAGE('Revenue Growth YoY'!M58:M61),"")</f>
        <v/>
      </c>
      <c r="N61" s="13" t="str">
        <f>IFERROR(AVERAGE('Revenue Growth YoY'!N58:N61),"")</f>
        <v/>
      </c>
      <c r="O61" s="13">
        <f>IFERROR(AVERAGE('Revenue Growth YoY'!O58:O61),"")</f>
        <v>0.42226457077940116</v>
      </c>
      <c r="P61" s="13" t="str">
        <f>IFERROR(AVERAGE('Revenue Growth YoY'!P58:P61),"")</f>
        <v/>
      </c>
      <c r="Q61" s="13" t="str">
        <f>IFERROR(AVERAGE('Revenue Growth YoY'!Q58:Q61),"")</f>
        <v/>
      </c>
      <c r="R61" s="13" t="str">
        <f>IFERROR(AVERAGE('Revenue Growth YoY'!R58:R61),"")</f>
        <v/>
      </c>
      <c r="S61" s="13" t="str">
        <f>IFERROR(AVERAGE('Revenue Growth YoY'!S58:S61),"")</f>
        <v/>
      </c>
      <c r="T61" s="13" t="str">
        <f>IFERROR(AVERAGE('Revenue Growth YoY'!T58:T61),"")</f>
        <v/>
      </c>
      <c r="U61" s="13">
        <f>IFERROR(AVERAGE('Revenue Growth YoY'!U58:U61),"")</f>
        <v>1.6831165795441583E-2</v>
      </c>
      <c r="V61" s="13" t="str">
        <f>IFERROR(AVERAGE('Revenue Growth YoY'!V58:V61),"")</f>
        <v/>
      </c>
      <c r="W61" s="13">
        <f>IFERROR(AVERAGE('Revenue Growth YoY'!W58:W61),"")</f>
        <v>0.23268040516846311</v>
      </c>
      <c r="X61" s="13" t="str">
        <f>IFERROR(AVERAGE('Revenue Growth YoY'!X58:X61),"")</f>
        <v/>
      </c>
      <c r="Y61" s="13" t="str">
        <f>IFERROR(AVERAGE('Revenue Growth YoY'!Y58:Y61),"")</f>
        <v/>
      </c>
      <c r="Z61" s="13" t="str">
        <f>IFERROR(AVERAGE('Revenue Growth YoY'!Z58:Z61),"")</f>
        <v/>
      </c>
      <c r="AA61" s="13" t="str">
        <f>IFERROR(AVERAGE('Revenue Growth YoY'!AA58:AA61),"")</f>
        <v/>
      </c>
      <c r="AB61" s="13" t="str">
        <f>IFERROR(AVERAGE('Revenue Growth YoY'!AB58:AB61),"")</f>
        <v/>
      </c>
      <c r="AC61" s="11"/>
    </row>
    <row r="62" spans="1:29" ht="14">
      <c r="A62" s="14" t="s">
        <v>87</v>
      </c>
      <c r="B62" s="13" t="str">
        <f>IFERROR(AVERAGE('Revenue Growth YoY'!B59:B62),"")</f>
        <v/>
      </c>
      <c r="C62" s="13">
        <f>IFERROR(AVERAGE('Revenue Growth YoY'!C59:C62),"")</f>
        <v>0.41191057747321236</v>
      </c>
      <c r="D62" s="13">
        <f>IFERROR(AVERAGE('Revenue Growth YoY'!D59:D62),"")</f>
        <v>0.1369191187498866</v>
      </c>
      <c r="E62" s="13">
        <f>IFERROR(AVERAGE('Revenue Growth YoY'!E59:E62),"")</f>
        <v>0.27519716622851953</v>
      </c>
      <c r="F62" s="13">
        <f>IFERROR(AVERAGE('Revenue Growth YoY'!F59:F62),"")</f>
        <v>0.31452123763244511</v>
      </c>
      <c r="G62" s="13" t="str">
        <f>IFERROR(AVERAGE('Revenue Growth YoY'!G59:G62),"")</f>
        <v/>
      </c>
      <c r="H62" s="13" t="str">
        <f>IFERROR(AVERAGE('Revenue Growth YoY'!H59:H62),"")</f>
        <v/>
      </c>
      <c r="I62" s="13" t="str">
        <f>IFERROR(AVERAGE('Revenue Growth YoY'!I59:I62),"")</f>
        <v/>
      </c>
      <c r="J62" s="13">
        <f>IFERROR(AVERAGE('Revenue Growth YoY'!J59:J62),"")</f>
        <v>0.55538078082189457</v>
      </c>
      <c r="K62" s="13" t="str">
        <f>IFERROR(AVERAGE('Revenue Growth YoY'!K59:K62),"")</f>
        <v/>
      </c>
      <c r="L62" s="13">
        <f>IFERROR(AVERAGE('Revenue Growth YoY'!L59:L62),"")</f>
        <v>0.10153873983877726</v>
      </c>
      <c r="M62" s="13" t="str">
        <f>IFERROR(AVERAGE('Revenue Growth YoY'!M59:M62),"")</f>
        <v/>
      </c>
      <c r="N62" s="13" t="str">
        <f>IFERROR(AVERAGE('Revenue Growth YoY'!N59:N62),"")</f>
        <v/>
      </c>
      <c r="O62" s="13">
        <f>IFERROR(AVERAGE('Revenue Growth YoY'!O59:O62),"")</f>
        <v>0.36707044885984796</v>
      </c>
      <c r="P62" s="13" t="str">
        <f>IFERROR(AVERAGE('Revenue Growth YoY'!P59:P62),"")</f>
        <v/>
      </c>
      <c r="Q62" s="13" t="str">
        <f>IFERROR(AVERAGE('Revenue Growth YoY'!Q59:Q62),"")</f>
        <v/>
      </c>
      <c r="R62" s="13" t="str">
        <f>IFERROR(AVERAGE('Revenue Growth YoY'!R59:R62),"")</f>
        <v/>
      </c>
      <c r="S62" s="13" t="str">
        <f>IFERROR(AVERAGE('Revenue Growth YoY'!S59:S62),"")</f>
        <v/>
      </c>
      <c r="T62" s="13" t="str">
        <f>IFERROR(AVERAGE('Revenue Growth YoY'!T59:T62),"")</f>
        <v/>
      </c>
      <c r="U62" s="13">
        <f>IFERROR(AVERAGE('Revenue Growth YoY'!U59:U62),"")</f>
        <v>1.3639838043425279E-2</v>
      </c>
      <c r="V62" s="13" t="str">
        <f>IFERROR(AVERAGE('Revenue Growth YoY'!V59:V62),"")</f>
        <v/>
      </c>
      <c r="W62" s="13">
        <f>IFERROR(AVERAGE('Revenue Growth YoY'!W59:W62),"")</f>
        <v>0.16700727592413234</v>
      </c>
      <c r="X62" s="13" t="str">
        <f>IFERROR(AVERAGE('Revenue Growth YoY'!X59:X62),"")</f>
        <v/>
      </c>
      <c r="Y62" s="13" t="str">
        <f>IFERROR(AVERAGE('Revenue Growth YoY'!Y59:Y62),"")</f>
        <v/>
      </c>
      <c r="Z62" s="13" t="str">
        <f>IFERROR(AVERAGE('Revenue Growth YoY'!Z59:Z62),"")</f>
        <v/>
      </c>
      <c r="AA62" s="13" t="str">
        <f>IFERROR(AVERAGE('Revenue Growth YoY'!AA59:AA62),"")</f>
        <v/>
      </c>
      <c r="AB62" s="13" t="str">
        <f>IFERROR(AVERAGE('Revenue Growth YoY'!AB59:AB62),"")</f>
        <v/>
      </c>
      <c r="AC62" s="11"/>
    </row>
    <row r="63" spans="1:29" ht="14">
      <c r="A63" s="14" t="s">
        <v>88</v>
      </c>
      <c r="B63" s="13" t="str">
        <f>IFERROR(AVERAGE('Revenue Growth YoY'!B60:B63),"")</f>
        <v/>
      </c>
      <c r="C63" s="13">
        <f>IFERROR(AVERAGE('Revenue Growth YoY'!C60:C63),"")</f>
        <v>0.36089729630547129</v>
      </c>
      <c r="D63" s="13">
        <f>IFERROR(AVERAGE('Revenue Growth YoY'!D60:D63),"")</f>
        <v>0.14482738509244852</v>
      </c>
      <c r="E63" s="13">
        <f>IFERROR(AVERAGE('Revenue Growth YoY'!E60:E63),"")</f>
        <v>0.25348939844108154</v>
      </c>
      <c r="F63" s="13">
        <f>IFERROR(AVERAGE('Revenue Growth YoY'!F60:F63),"")</f>
        <v>0.28531186461524022</v>
      </c>
      <c r="G63" s="13" t="str">
        <f>IFERROR(AVERAGE('Revenue Growth YoY'!G60:G63),"")</f>
        <v/>
      </c>
      <c r="H63" s="13" t="str">
        <f>IFERROR(AVERAGE('Revenue Growth YoY'!H60:H63),"")</f>
        <v/>
      </c>
      <c r="I63" s="13" t="str">
        <f>IFERROR(AVERAGE('Revenue Growth YoY'!I60:I63),"")</f>
        <v/>
      </c>
      <c r="J63" s="13">
        <f>IFERROR(AVERAGE('Revenue Growth YoY'!J60:J63),"")</f>
        <v>0.57631032464460685</v>
      </c>
      <c r="K63" s="13" t="str">
        <f>IFERROR(AVERAGE('Revenue Growth YoY'!K60:K63),"")</f>
        <v/>
      </c>
      <c r="L63" s="13">
        <f>IFERROR(AVERAGE('Revenue Growth YoY'!L60:L63),"")</f>
        <v>0.11237493140582011</v>
      </c>
      <c r="M63" s="13" t="str">
        <f>IFERROR(AVERAGE('Revenue Growth YoY'!M60:M63),"")</f>
        <v/>
      </c>
      <c r="N63" s="13" t="str">
        <f>IFERROR(AVERAGE('Revenue Growth YoY'!N60:N63),"")</f>
        <v/>
      </c>
      <c r="O63" s="13">
        <f>IFERROR(AVERAGE('Revenue Growth YoY'!O60:O63),"")</f>
        <v>0.31187632694029477</v>
      </c>
      <c r="P63" s="13" t="str">
        <f>IFERROR(AVERAGE('Revenue Growth YoY'!P60:P63),"")</f>
        <v/>
      </c>
      <c r="Q63" s="13" t="str">
        <f>IFERROR(AVERAGE('Revenue Growth YoY'!Q60:Q63),"")</f>
        <v/>
      </c>
      <c r="R63" s="13" t="str">
        <f>IFERROR(AVERAGE('Revenue Growth YoY'!R60:R63),"")</f>
        <v/>
      </c>
      <c r="S63" s="13" t="str">
        <f>IFERROR(AVERAGE('Revenue Growth YoY'!S60:S63),"")</f>
        <v/>
      </c>
      <c r="T63" s="13" t="str">
        <f>IFERROR(AVERAGE('Revenue Growth YoY'!T60:T63),"")</f>
        <v/>
      </c>
      <c r="U63" s="13">
        <f>IFERROR(AVERAGE('Revenue Growth YoY'!U60:U63),"")</f>
        <v>1.3803963049883572E-2</v>
      </c>
      <c r="V63" s="13" t="str">
        <f>IFERROR(AVERAGE('Revenue Growth YoY'!V60:V63),"")</f>
        <v/>
      </c>
      <c r="W63" s="13">
        <f>IFERROR(AVERAGE('Revenue Growth YoY'!W60:W63),"")</f>
        <v>0.10133414667980156</v>
      </c>
      <c r="X63" s="13" t="str">
        <f>IFERROR(AVERAGE('Revenue Growth YoY'!X60:X63),"")</f>
        <v/>
      </c>
      <c r="Y63" s="13" t="str">
        <f>IFERROR(AVERAGE('Revenue Growth YoY'!Y60:Y63),"")</f>
        <v/>
      </c>
      <c r="Z63" s="13" t="str">
        <f>IFERROR(AVERAGE('Revenue Growth YoY'!Z60:Z63),"")</f>
        <v/>
      </c>
      <c r="AA63" s="13" t="str">
        <f>IFERROR(AVERAGE('Revenue Growth YoY'!AA60:AA63),"")</f>
        <v/>
      </c>
      <c r="AB63" s="13" t="str">
        <f>IFERROR(AVERAGE('Revenue Growth YoY'!AB60:AB63),"")</f>
        <v/>
      </c>
      <c r="AC63" s="11"/>
    </row>
    <row r="64" spans="1:29" ht="14">
      <c r="A64" s="14" t="s">
        <v>89</v>
      </c>
      <c r="B64" s="13" t="str">
        <f>IFERROR(AVERAGE('Revenue Growth YoY'!B61:B64),"")</f>
        <v/>
      </c>
      <c r="C64" s="13">
        <f>IFERROR(AVERAGE('Revenue Growth YoY'!C61:C64),"")</f>
        <v>0.30988401513773023</v>
      </c>
      <c r="D64" s="13">
        <f>IFERROR(AVERAGE('Revenue Growth YoY'!D61:D64),"")</f>
        <v>0.15273565143501044</v>
      </c>
      <c r="E64" s="13">
        <f>IFERROR(AVERAGE('Revenue Growth YoY'!E61:E64),"")</f>
        <v>0.23178163065364354</v>
      </c>
      <c r="F64" s="13">
        <f>IFERROR(AVERAGE('Revenue Growth YoY'!F61:F64),"")</f>
        <v>0.25610249159803533</v>
      </c>
      <c r="G64" s="13" t="str">
        <f>IFERROR(AVERAGE('Revenue Growth YoY'!G61:G64),"")</f>
        <v/>
      </c>
      <c r="H64" s="13"/>
      <c r="I64" s="13" t="str">
        <f>IFERROR(AVERAGE('Revenue Growth YoY'!I61:I64),"")</f>
        <v/>
      </c>
      <c r="J64" s="13">
        <f>IFERROR(AVERAGE('Revenue Growth YoY'!J61:J64),"")</f>
        <v>0.47320828252485414</v>
      </c>
      <c r="K64" s="13" t="str">
        <f>IFERROR(AVERAGE('Revenue Growth YoY'!K61:K64),"")</f>
        <v/>
      </c>
      <c r="L64" s="13">
        <f>IFERROR(AVERAGE('Revenue Growth YoY'!L61:L64),"")</f>
        <v>0.12321112297286296</v>
      </c>
      <c r="M64" s="13" t="str">
        <f>IFERROR(AVERAGE('Revenue Growth YoY'!M61:M64),"")</f>
        <v/>
      </c>
      <c r="N64" s="13" t="str">
        <f>IFERROR(AVERAGE('Revenue Growth YoY'!N61:N64),"")</f>
        <v/>
      </c>
      <c r="O64" s="13">
        <f>IFERROR(AVERAGE('Revenue Growth YoY'!O61:O64),"")</f>
        <v>0.25668220502074157</v>
      </c>
      <c r="P64" s="13" t="str">
        <f>IFERROR(AVERAGE('Revenue Growth YoY'!P61:P64),"")</f>
        <v/>
      </c>
      <c r="Q64" s="13" t="str">
        <f>IFERROR(AVERAGE('Revenue Growth YoY'!Q61:Q64),"")</f>
        <v/>
      </c>
      <c r="R64" s="13" t="str">
        <f>IFERROR(AVERAGE('Revenue Growth YoY'!R61:R64),"")</f>
        <v/>
      </c>
      <c r="S64" s="13" t="str">
        <f>IFERROR(AVERAGE('Revenue Growth YoY'!S61:S64),"")</f>
        <v/>
      </c>
      <c r="T64" s="13" t="str">
        <f>IFERROR(AVERAGE('Revenue Growth YoY'!T61:T64),"")</f>
        <v/>
      </c>
      <c r="U64" s="13">
        <f>IFERROR(AVERAGE('Revenue Growth YoY'!U61:U64),"")</f>
        <v>1.3968088056341865E-2</v>
      </c>
      <c r="V64" s="13" t="str">
        <f>IFERROR(AVERAGE('Revenue Growth YoY'!V61:V64),"")</f>
        <v/>
      </c>
      <c r="W64" s="13">
        <f>IFERROR(AVERAGE('Revenue Growth YoY'!W61:W64),"")</f>
        <v>3.5661017435470788E-2</v>
      </c>
      <c r="X64" s="13" t="str">
        <f>IFERROR(AVERAGE('Revenue Growth YoY'!X61:X64),"")</f>
        <v/>
      </c>
      <c r="Y64" s="13" t="str">
        <f>IFERROR(AVERAGE('Revenue Growth YoY'!Y61:Y64),"")</f>
        <v/>
      </c>
      <c r="Z64" s="13" t="str">
        <f>IFERROR(AVERAGE('Revenue Growth YoY'!Z61:Z64),"")</f>
        <v/>
      </c>
      <c r="AA64" s="13" t="str">
        <f>IFERROR(AVERAGE('Revenue Growth YoY'!AA61:AA64),"")</f>
        <v/>
      </c>
      <c r="AB64" s="13" t="str">
        <f>IFERROR(AVERAGE('Revenue Growth YoY'!AB61:AB64),"")</f>
        <v/>
      </c>
      <c r="AC64" s="11"/>
    </row>
    <row r="65" spans="1:29" ht="14">
      <c r="A65" s="14" t="s">
        <v>90</v>
      </c>
      <c r="B65" s="13" t="str">
        <f>IFERROR(AVERAGE('Revenue Growth YoY'!B62:B65),"")</f>
        <v/>
      </c>
      <c r="C65" s="13">
        <f>IFERROR(AVERAGE('Revenue Growth YoY'!C62:C65),"")</f>
        <v>0.25887073396998916</v>
      </c>
      <c r="D65" s="13">
        <f>IFERROR(AVERAGE('Revenue Growth YoY'!D62:D65),"")</f>
        <v>0.16064391777757236</v>
      </c>
      <c r="E65" s="13">
        <f>IFERROR(AVERAGE('Revenue Growth YoY'!E62:E65),"")</f>
        <v>0.21007386286620555</v>
      </c>
      <c r="F65" s="13">
        <f>IFERROR(AVERAGE('Revenue Growth YoY'!F62:F65),"")</f>
        <v>0.22689311858083044</v>
      </c>
      <c r="G65" s="13" t="str">
        <f>IFERROR(AVERAGE('Revenue Growth YoY'!G62:G65),"")</f>
        <v/>
      </c>
      <c r="H65" s="13"/>
      <c r="I65" s="13" t="str">
        <f>IFERROR(AVERAGE('Revenue Growth YoY'!I62:I65),"")</f>
        <v/>
      </c>
      <c r="J65" s="13">
        <f>IFERROR(AVERAGE('Revenue Growth YoY'!J62:J65),"")</f>
        <v>0.37010624040510143</v>
      </c>
      <c r="K65" s="13" t="str">
        <f>IFERROR(AVERAGE('Revenue Growth YoY'!K62:K65),"")</f>
        <v/>
      </c>
      <c r="L65" s="13">
        <f>IFERROR(AVERAGE('Revenue Growth YoY'!L62:L65),"")</f>
        <v>0.13404731453990582</v>
      </c>
      <c r="M65" s="13" t="str">
        <f>IFERROR(AVERAGE('Revenue Growth YoY'!M62:M65),"")</f>
        <v/>
      </c>
      <c r="N65" s="13" t="str">
        <f>IFERROR(AVERAGE('Revenue Growth YoY'!N62:N65),"")</f>
        <v/>
      </c>
      <c r="O65" s="13">
        <f>IFERROR(AVERAGE('Revenue Growth YoY'!O62:O65),"")</f>
        <v>0.23650944175262439</v>
      </c>
      <c r="P65" s="13" t="str">
        <f>IFERROR(AVERAGE('Revenue Growth YoY'!P62:P65),"")</f>
        <v/>
      </c>
      <c r="Q65" s="13" t="str">
        <f>IFERROR(AVERAGE('Revenue Growth YoY'!Q62:Q65),"")</f>
        <v/>
      </c>
      <c r="R65" s="13" t="str">
        <f>IFERROR(AVERAGE('Revenue Growth YoY'!R62:R65),"")</f>
        <v/>
      </c>
      <c r="S65" s="13" t="str">
        <f>IFERROR(AVERAGE('Revenue Growth YoY'!S62:S65),"")</f>
        <v/>
      </c>
      <c r="T65" s="13" t="str">
        <f>IFERROR(AVERAGE('Revenue Growth YoY'!T62:T65),"")</f>
        <v/>
      </c>
      <c r="U65" s="13">
        <f>IFERROR(AVERAGE('Revenue Growth YoY'!U62:U65),"")</f>
        <v>1.4132213062800159E-2</v>
      </c>
      <c r="V65" s="13" t="str">
        <f>IFERROR(AVERAGE('Revenue Growth YoY'!V62:V65),"")</f>
        <v/>
      </c>
      <c r="W65" s="13">
        <f>IFERROR(AVERAGE('Revenue Growth YoY'!W62:W65),"")</f>
        <v>-2.8013744043758892E-4</v>
      </c>
      <c r="X65" s="13" t="str">
        <f>IFERROR(AVERAGE('Revenue Growth YoY'!X62:X65),"")</f>
        <v/>
      </c>
      <c r="Y65" s="13" t="str">
        <f>IFERROR(AVERAGE('Revenue Growth YoY'!Y62:Y65),"")</f>
        <v/>
      </c>
      <c r="Z65" s="13" t="str">
        <f>IFERROR(AVERAGE('Revenue Growth YoY'!Z62:Z65),"")</f>
        <v/>
      </c>
      <c r="AA65" s="13" t="str">
        <f>IFERROR(AVERAGE('Revenue Growth YoY'!AA62:AA65),"")</f>
        <v/>
      </c>
      <c r="AB65" s="13" t="str">
        <f>IFERROR(AVERAGE('Revenue Growth YoY'!AB62:AB65),"")</f>
        <v/>
      </c>
      <c r="AC65" s="11"/>
    </row>
    <row r="66" spans="1:29" ht="14">
      <c r="A66" s="14" t="s">
        <v>91</v>
      </c>
      <c r="B66" s="13" t="str">
        <f>IFERROR(AVERAGE('Revenue Growth YoY'!B63:B66),"")</f>
        <v/>
      </c>
      <c r="C66" s="13">
        <f>IFERROR(AVERAGE('Revenue Growth YoY'!C63:C66),"")</f>
        <v>0.2078574528022481</v>
      </c>
      <c r="D66" s="13">
        <f>IFERROR(AVERAGE('Revenue Growth YoY'!D63:D66),"")</f>
        <v>0.16855218412013429</v>
      </c>
      <c r="E66" s="13">
        <f>IFERROR(AVERAGE('Revenue Growth YoY'!E63:E66),"")</f>
        <v>0.18836609507876756</v>
      </c>
      <c r="F66" s="13">
        <f>IFERROR(AVERAGE('Revenue Growth YoY'!F63:F66),"")</f>
        <v>0.19768374556362556</v>
      </c>
      <c r="G66" s="13" t="str">
        <f>IFERROR(AVERAGE('Revenue Growth YoY'!G63:G66),"")</f>
        <v/>
      </c>
      <c r="H66" s="13"/>
      <c r="I66" s="13" t="str">
        <f>IFERROR(AVERAGE('Revenue Growth YoY'!I63:I66),"")</f>
        <v/>
      </c>
      <c r="J66" s="13">
        <f>IFERROR(AVERAGE('Revenue Growth YoY'!J63:J66),"")</f>
        <v>0.26700419828534872</v>
      </c>
      <c r="K66" s="13" t="str">
        <f>IFERROR(AVERAGE('Revenue Growth YoY'!K63:K66),"")</f>
        <v/>
      </c>
      <c r="L66" s="13">
        <f>IFERROR(AVERAGE('Revenue Growth YoY'!L63:L66),"")</f>
        <v>0.14488350610694867</v>
      </c>
      <c r="M66" s="13" t="str">
        <f>IFERROR(AVERAGE('Revenue Growth YoY'!M63:M66),"")</f>
        <v/>
      </c>
      <c r="N66" s="13" t="str">
        <f>IFERROR(AVERAGE('Revenue Growth YoY'!N63:N66),"")</f>
        <v/>
      </c>
      <c r="O66" s="13">
        <f>IFERROR(AVERAGE('Revenue Growth YoY'!O63:O66),"")</f>
        <v>0.21633667848450722</v>
      </c>
      <c r="P66" s="13" t="str">
        <f>IFERROR(AVERAGE('Revenue Growth YoY'!P63:P66),"")</f>
        <v/>
      </c>
      <c r="Q66" s="13" t="str">
        <f>IFERROR(AVERAGE('Revenue Growth YoY'!Q63:Q66),"")</f>
        <v/>
      </c>
      <c r="R66" s="13" t="str">
        <f>IFERROR(AVERAGE('Revenue Growth YoY'!R63:R66),"")</f>
        <v/>
      </c>
      <c r="S66" s="13" t="str">
        <f>IFERROR(AVERAGE('Revenue Growth YoY'!S63:S66),"")</f>
        <v/>
      </c>
      <c r="T66" s="13" t="str">
        <f>IFERROR(AVERAGE('Revenue Growth YoY'!T63:T66),"")</f>
        <v/>
      </c>
      <c r="U66" s="13">
        <f>IFERROR(AVERAGE('Revenue Growth YoY'!U63:U66),"")</f>
        <v>1.4296338069258452E-2</v>
      </c>
      <c r="V66" s="13" t="str">
        <f>IFERROR(AVERAGE('Revenue Growth YoY'!V63:V66),"")</f>
        <v/>
      </c>
      <c r="W66" s="13">
        <f>IFERROR(AVERAGE('Revenue Growth YoY'!W63:W66),"")</f>
        <v>-3.6221292316345965E-2</v>
      </c>
      <c r="X66" s="13" t="str">
        <f>IFERROR(AVERAGE('Revenue Growth YoY'!X63:X66),"")</f>
        <v/>
      </c>
      <c r="Y66" s="13" t="str">
        <f>IFERROR(AVERAGE('Revenue Growth YoY'!Y63:Y66),"")</f>
        <v/>
      </c>
      <c r="Z66" s="13" t="str">
        <f>IFERROR(AVERAGE('Revenue Growth YoY'!Z63:Z66),"")</f>
        <v/>
      </c>
      <c r="AA66" s="13" t="str">
        <f>IFERROR(AVERAGE('Revenue Growth YoY'!AA63:AA66),"")</f>
        <v/>
      </c>
      <c r="AB66" s="13" t="str">
        <f>IFERROR(AVERAGE('Revenue Growth YoY'!AB63:AB66),"")</f>
        <v/>
      </c>
      <c r="AC66" s="11"/>
    </row>
    <row r="67" spans="1:29" ht="14">
      <c r="A67" s="14" t="s">
        <v>92</v>
      </c>
      <c r="B67" s="13" t="str">
        <f>IFERROR(AVERAGE('Revenue Growth YoY'!B64:B67),"")</f>
        <v/>
      </c>
      <c r="C67" s="13">
        <f>IFERROR(AVERAGE('Revenue Growth YoY'!C64:C67),"")</f>
        <v>0.22871017835893853</v>
      </c>
      <c r="D67" s="13">
        <f>IFERROR(AVERAGE('Revenue Growth YoY'!D64:D67),"")</f>
        <v>0.17237246376280335</v>
      </c>
      <c r="E67" s="13">
        <f>IFERROR(AVERAGE('Revenue Growth YoY'!E64:E67),"")</f>
        <v>0.22468611380891435</v>
      </c>
      <c r="F67" s="13">
        <f>IFERROR(AVERAGE('Revenue Growth YoY'!F64:F67),"")</f>
        <v>0.20789583669565492</v>
      </c>
      <c r="G67" s="13" t="str">
        <f>IFERROR(AVERAGE('Revenue Growth YoY'!G64:G67),"")</f>
        <v/>
      </c>
      <c r="H67" s="13">
        <f>IFERROR(AVERAGE('Revenue Growth YoY'!H64:H67),"")</f>
        <v>8.552301284816255E-2</v>
      </c>
      <c r="I67" s="13" t="str">
        <f>IFERROR(AVERAGE('Revenue Growth YoY'!I64:I67),"")</f>
        <v/>
      </c>
      <c r="J67" s="13">
        <f>IFERROR(AVERAGE('Revenue Growth YoY'!J64:J67),"")</f>
        <v>0.163902156165596</v>
      </c>
      <c r="K67" s="13" t="str">
        <f>IFERROR(AVERAGE('Revenue Growth YoY'!K64:K67),"")</f>
        <v/>
      </c>
      <c r="L67" s="13">
        <f>IFERROR(AVERAGE('Revenue Growth YoY'!L64:L67),"")</f>
        <v>0.14506465206420915</v>
      </c>
      <c r="M67" s="13" t="str">
        <f>IFERROR(AVERAGE('Revenue Growth YoY'!M64:M67),"")</f>
        <v/>
      </c>
      <c r="N67" s="13" t="str">
        <f>IFERROR(AVERAGE('Revenue Growth YoY'!N64:N67),"")</f>
        <v/>
      </c>
      <c r="O67" s="13">
        <f>IFERROR(AVERAGE('Revenue Growth YoY'!O64:O67),"")</f>
        <v>0.19616391521639004</v>
      </c>
      <c r="P67" s="13" t="str">
        <f>IFERROR(AVERAGE('Revenue Growth YoY'!P64:P67),"")</f>
        <v/>
      </c>
      <c r="Q67" s="13" t="str">
        <f>IFERROR(AVERAGE('Revenue Growth YoY'!Q64:Q67),"")</f>
        <v/>
      </c>
      <c r="R67" s="13"/>
      <c r="S67" s="13" t="str">
        <f>IFERROR(AVERAGE('Revenue Growth YoY'!S64:S67),"")</f>
        <v/>
      </c>
      <c r="T67" s="13" t="str">
        <f>IFERROR(AVERAGE('Revenue Growth YoY'!T64:T67),"")</f>
        <v/>
      </c>
      <c r="U67" s="13">
        <f>IFERROR(AVERAGE('Revenue Growth YoY'!U64:U67),"")</f>
        <v>3.2617268421049506E-2</v>
      </c>
      <c r="V67" s="13" t="str">
        <f>IFERROR(AVERAGE('Revenue Growth YoY'!V64:V67),"")</f>
        <v/>
      </c>
      <c r="W67" s="13">
        <f>IFERROR(AVERAGE('Revenue Growth YoY'!W64:W67),"")</f>
        <v>-7.2162447192254342E-2</v>
      </c>
      <c r="X67" s="13" t="str">
        <f>IFERROR(AVERAGE('Revenue Growth YoY'!X64:X67),"")</f>
        <v/>
      </c>
      <c r="Y67" s="13" t="str">
        <f>IFERROR(AVERAGE('Revenue Growth YoY'!Y64:Y67),"")</f>
        <v/>
      </c>
      <c r="Z67" s="13" t="str">
        <f>IFERROR(AVERAGE('Revenue Growth YoY'!Z64:Z67),"")</f>
        <v/>
      </c>
      <c r="AA67" s="13" t="str">
        <f>IFERROR(AVERAGE('Revenue Growth YoY'!AA64:AA67),"")</f>
        <v/>
      </c>
      <c r="AB67" s="13" t="str">
        <f>IFERROR(AVERAGE('Revenue Growth YoY'!AB64:AB67),"")</f>
        <v/>
      </c>
      <c r="AC67" s="11"/>
    </row>
    <row r="68" spans="1:29" ht="14">
      <c r="A68" s="14" t="s">
        <v>93</v>
      </c>
      <c r="B68" s="13" t="str">
        <f>IFERROR(AVERAGE('Revenue Growth YoY'!B65:B68),"")</f>
        <v/>
      </c>
      <c r="C68" s="13">
        <f>IFERROR(AVERAGE('Revenue Growth YoY'!C65:C68),"")</f>
        <v>0.24956290391562896</v>
      </c>
      <c r="D68" s="13">
        <f>IFERROR(AVERAGE('Revenue Growth YoY'!D65:D68),"")</f>
        <v>0.17619274340547242</v>
      </c>
      <c r="E68" s="13">
        <f>IFERROR(AVERAGE('Revenue Growth YoY'!E65:E68),"")</f>
        <v>0.26100613253906113</v>
      </c>
      <c r="F68" s="13">
        <f>IFERROR(AVERAGE('Revenue Growth YoY'!F65:F68),"")</f>
        <v>0.21810792782768429</v>
      </c>
      <c r="G68" s="13" t="str">
        <f>IFERROR(AVERAGE('Revenue Growth YoY'!G65:G68),"")</f>
        <v/>
      </c>
      <c r="H68" s="13">
        <f>IFERROR(AVERAGE('Revenue Growth YoY'!H65:H68),"")</f>
        <v>8.2988452942020507E-2</v>
      </c>
      <c r="I68" s="13" t="str">
        <f>IFERROR(AVERAGE('Revenue Growth YoY'!I65:I68),"")</f>
        <v/>
      </c>
      <c r="J68" s="13">
        <f>IFERROR(AVERAGE('Revenue Growth YoY'!J65:J68),"")</f>
        <v>0.15321325914288403</v>
      </c>
      <c r="K68" s="13" t="str">
        <f>IFERROR(AVERAGE('Revenue Growth YoY'!K65:K68),"")</f>
        <v/>
      </c>
      <c r="L68" s="13">
        <f>IFERROR(AVERAGE('Revenue Growth YoY'!L65:L68),"")</f>
        <v>0.14524579802146964</v>
      </c>
      <c r="M68" s="13" t="str">
        <f>IFERROR(AVERAGE('Revenue Growth YoY'!M65:M68),"")</f>
        <v/>
      </c>
      <c r="N68" s="13" t="str">
        <f>IFERROR(AVERAGE('Revenue Growth YoY'!N65:N68),"")</f>
        <v/>
      </c>
      <c r="O68" s="13">
        <f>IFERROR(AVERAGE('Revenue Growth YoY'!O65:O68),"")</f>
        <v>0.17599115194827286</v>
      </c>
      <c r="P68" s="13" t="str">
        <f>IFERROR(AVERAGE('Revenue Growth YoY'!P65:P68),"")</f>
        <v/>
      </c>
      <c r="Q68" s="13" t="str">
        <f>IFERROR(AVERAGE('Revenue Growth YoY'!Q65:Q68),"")</f>
        <v/>
      </c>
      <c r="R68" s="13"/>
      <c r="S68" s="13" t="str">
        <f>IFERROR(AVERAGE('Revenue Growth YoY'!S65:S68),"")</f>
        <v/>
      </c>
      <c r="T68" s="13" t="str">
        <f>IFERROR(AVERAGE('Revenue Growth YoY'!T65:T68),"")</f>
        <v/>
      </c>
      <c r="U68" s="13">
        <f>IFERROR(AVERAGE('Revenue Growth YoY'!U65:U68),"")</f>
        <v>5.0938198772840559E-2</v>
      </c>
      <c r="V68" s="13" t="str">
        <f>IFERROR(AVERAGE('Revenue Growth YoY'!V65:V68),"")</f>
        <v/>
      </c>
      <c r="W68" s="13">
        <f>IFERROR(AVERAGE('Revenue Growth YoY'!W65:W68),"")</f>
        <v>-0.10810360206816272</v>
      </c>
      <c r="X68" s="13" t="str">
        <f>IFERROR(AVERAGE('Revenue Growth YoY'!X65:X68),"")</f>
        <v/>
      </c>
      <c r="Y68" s="13" t="str">
        <f>IFERROR(AVERAGE('Revenue Growth YoY'!Y65:Y68),"")</f>
        <v/>
      </c>
      <c r="Z68" s="13" t="str">
        <f>IFERROR(AVERAGE('Revenue Growth YoY'!Z65:Z68),"")</f>
        <v/>
      </c>
      <c r="AA68" s="13" t="str">
        <f>IFERROR(AVERAGE('Revenue Growth YoY'!AA65:AA68),"")</f>
        <v/>
      </c>
      <c r="AB68" s="13" t="str">
        <f>IFERROR(AVERAGE('Revenue Growth YoY'!AB65:AB68),"")</f>
        <v/>
      </c>
      <c r="AC68" s="11"/>
    </row>
    <row r="69" spans="1:29" ht="14">
      <c r="A69" s="14" t="s">
        <v>94</v>
      </c>
      <c r="B69" s="13" t="str">
        <f>IFERROR(AVERAGE('Revenue Growth YoY'!B66:B69),"")</f>
        <v/>
      </c>
      <c r="C69" s="13">
        <f>IFERROR(AVERAGE('Revenue Growth YoY'!C66:C69),"")</f>
        <v>0.2704156294723194</v>
      </c>
      <c r="D69" s="13">
        <f>IFERROR(AVERAGE('Revenue Growth YoY'!D66:D69),"")</f>
        <v>0.18001302304814149</v>
      </c>
      <c r="E69" s="13">
        <f>IFERROR(AVERAGE('Revenue Growth YoY'!E66:E69),"")</f>
        <v>0.29732615126920792</v>
      </c>
      <c r="F69" s="13">
        <f>IFERROR(AVERAGE('Revenue Growth YoY'!F66:F69),"")</f>
        <v>0.22832001895971366</v>
      </c>
      <c r="G69" s="13" t="str">
        <f>IFERROR(AVERAGE('Revenue Growth YoY'!G66:G69),"")</f>
        <v/>
      </c>
      <c r="H69" s="13">
        <f>IFERROR(AVERAGE('Revenue Growth YoY'!H66:H69),"")</f>
        <v>8.0453893035878465E-2</v>
      </c>
      <c r="I69" s="13" t="str">
        <f>IFERROR(AVERAGE('Revenue Growth YoY'!I66:I69),"")</f>
        <v/>
      </c>
      <c r="J69" s="13">
        <f>IFERROR(AVERAGE('Revenue Growth YoY'!J66:J69),"")</f>
        <v>0.14252436212017205</v>
      </c>
      <c r="K69" s="13" t="str">
        <f>IFERROR(AVERAGE('Revenue Growth YoY'!K66:K69),"")</f>
        <v/>
      </c>
      <c r="L69" s="13">
        <f>IFERROR(AVERAGE('Revenue Growth YoY'!L66:L69),"")</f>
        <v>0.14542694397873013</v>
      </c>
      <c r="M69" s="13" t="str">
        <f>IFERROR(AVERAGE('Revenue Growth YoY'!M66:M69),"")</f>
        <v/>
      </c>
      <c r="N69" s="13" t="str">
        <f>IFERROR(AVERAGE('Revenue Growth YoY'!N66:N69),"")</f>
        <v/>
      </c>
      <c r="O69" s="13">
        <f>IFERROR(AVERAGE('Revenue Growth YoY'!O66:O69),"")</f>
        <v>0.21812043122785491</v>
      </c>
      <c r="P69" s="13" t="str">
        <f>IFERROR(AVERAGE('Revenue Growth YoY'!P66:P69),"")</f>
        <v/>
      </c>
      <c r="Q69" s="13" t="str">
        <f>IFERROR(AVERAGE('Revenue Growth YoY'!Q66:Q69),"")</f>
        <v/>
      </c>
      <c r="R69" s="13"/>
      <c r="S69" s="13" t="str">
        <f>IFERROR(AVERAGE('Revenue Growth YoY'!S66:S69),"")</f>
        <v/>
      </c>
      <c r="T69" s="13" t="str">
        <f>IFERROR(AVERAGE('Revenue Growth YoY'!T66:T69),"")</f>
        <v/>
      </c>
      <c r="U69" s="13">
        <f>IFERROR(AVERAGE('Revenue Growth YoY'!U66:U69),"")</f>
        <v>6.9259129124631613E-2</v>
      </c>
      <c r="V69" s="13" t="str">
        <f>IFERROR(AVERAGE('Revenue Growth YoY'!V66:V69),"")</f>
        <v/>
      </c>
      <c r="W69" s="13">
        <f>IFERROR(AVERAGE('Revenue Growth YoY'!W66:W69),"")</f>
        <v>-4.2647481892812755E-2</v>
      </c>
      <c r="X69" s="13" t="str">
        <f>IFERROR(AVERAGE('Revenue Growth YoY'!X66:X69),"")</f>
        <v/>
      </c>
      <c r="Y69" s="13" t="str">
        <f>IFERROR(AVERAGE('Revenue Growth YoY'!Y66:Y69),"")</f>
        <v/>
      </c>
      <c r="Z69" s="13" t="str">
        <f>IFERROR(AVERAGE('Revenue Growth YoY'!Z66:Z69),"")</f>
        <v/>
      </c>
      <c r="AA69" s="13" t="str">
        <f>IFERROR(AVERAGE('Revenue Growth YoY'!AA66:AA69),"")</f>
        <v/>
      </c>
      <c r="AB69" s="13" t="str">
        <f>IFERROR(AVERAGE('Revenue Growth YoY'!AB66:AB69),"")</f>
        <v/>
      </c>
      <c r="AC69" s="11"/>
    </row>
    <row r="70" spans="1:29" ht="14">
      <c r="A70" s="14" t="s">
        <v>95</v>
      </c>
      <c r="B70" s="13" t="str">
        <f>IFERROR(AVERAGE('Revenue Growth YoY'!B67:B70),"")</f>
        <v/>
      </c>
      <c r="C70" s="13">
        <f>IFERROR(AVERAGE('Revenue Growth YoY'!C67:C70),"")</f>
        <v>0.29126835502900983</v>
      </c>
      <c r="D70" s="13">
        <f>IFERROR(AVERAGE('Revenue Growth YoY'!D67:D70),"")</f>
        <v>0.18383330269081055</v>
      </c>
      <c r="E70" s="13">
        <f>IFERROR(AVERAGE('Revenue Growth YoY'!E67:E70),"")</f>
        <v>0.3336461699993547</v>
      </c>
      <c r="F70" s="13">
        <f>IFERROR(AVERAGE('Revenue Growth YoY'!F67:F70),"")</f>
        <v>0.23853211009174302</v>
      </c>
      <c r="G70" s="13" t="str">
        <f>IFERROR(AVERAGE('Revenue Growth YoY'!G67:G70),"")</f>
        <v/>
      </c>
      <c r="H70" s="13">
        <f>IFERROR(AVERAGE('Revenue Growth YoY'!H67:H70),"")</f>
        <v>7.7919333129736423E-2</v>
      </c>
      <c r="I70" s="13" t="str">
        <f>IFERROR(AVERAGE('Revenue Growth YoY'!I67:I70),"")</f>
        <v/>
      </c>
      <c r="J70" s="13">
        <f>IFERROR(AVERAGE('Revenue Growth YoY'!J67:J70),"")</f>
        <v>0.13183546509746008</v>
      </c>
      <c r="K70" s="13" t="str">
        <f>IFERROR(AVERAGE('Revenue Growth YoY'!K67:K70),"")</f>
        <v/>
      </c>
      <c r="L70" s="13">
        <f>IFERROR(AVERAGE('Revenue Growth YoY'!L67:L70),"")</f>
        <v>0.14560808993599061</v>
      </c>
      <c r="M70" s="13" t="str">
        <f>IFERROR(AVERAGE('Revenue Growth YoY'!M67:M70),"")</f>
        <v/>
      </c>
      <c r="N70" s="13" t="str">
        <f>IFERROR(AVERAGE('Revenue Growth YoY'!N67:N70),"")</f>
        <v/>
      </c>
      <c r="O70" s="13">
        <f>IFERROR(AVERAGE('Revenue Growth YoY'!O67:O70),"")</f>
        <v>0.26024971050743695</v>
      </c>
      <c r="P70" s="13" t="str">
        <f>IFERROR(AVERAGE('Revenue Growth YoY'!P67:P70),"")</f>
        <v/>
      </c>
      <c r="Q70" s="13" t="str">
        <f>IFERROR(AVERAGE('Revenue Growth YoY'!Q67:Q70),"")</f>
        <v/>
      </c>
      <c r="R70" s="13"/>
      <c r="S70" s="13" t="str">
        <f>IFERROR(AVERAGE('Revenue Growth YoY'!S67:S70),"")</f>
        <v/>
      </c>
      <c r="T70" s="13" t="str">
        <f>IFERROR(AVERAGE('Revenue Growth YoY'!T67:T70),"")</f>
        <v/>
      </c>
      <c r="U70" s="13">
        <f>IFERROR(AVERAGE('Revenue Growth YoY'!U67:U70),"")</f>
        <v>8.7580059476422667E-2</v>
      </c>
      <c r="V70" s="13" t="str">
        <f>IFERROR(AVERAGE('Revenue Growth YoY'!V67:V70),"")</f>
        <v/>
      </c>
      <c r="W70" s="13">
        <f>IFERROR(AVERAGE('Revenue Growth YoY'!W67:W70),"")</f>
        <v>2.2808638282537208E-2</v>
      </c>
      <c r="X70" s="13" t="str">
        <f>IFERROR(AVERAGE('Revenue Growth YoY'!X67:X70),"")</f>
        <v/>
      </c>
      <c r="Y70" s="13" t="str">
        <f>IFERROR(AVERAGE('Revenue Growth YoY'!Y67:Y70),"")</f>
        <v/>
      </c>
      <c r="Z70" s="13" t="str">
        <f>IFERROR(AVERAGE('Revenue Growth YoY'!Z67:Z70),"")</f>
        <v/>
      </c>
      <c r="AA70" s="13" t="str">
        <f>IFERROR(AVERAGE('Revenue Growth YoY'!AA67:AA70),"")</f>
        <v/>
      </c>
      <c r="AB70" s="13" t="str">
        <f>IFERROR(AVERAGE('Revenue Growth YoY'!AB67:AB70),"")</f>
        <v/>
      </c>
      <c r="AC70" s="11"/>
    </row>
    <row r="71" spans="1:29" ht="14">
      <c r="A71" s="14" t="s">
        <v>96</v>
      </c>
      <c r="B71" s="13" t="str">
        <f>IFERROR(AVERAGE('Revenue Growth YoY'!B68:B71),"")</f>
        <v/>
      </c>
      <c r="C71" s="13">
        <f>IFERROR(AVERAGE('Revenue Growth YoY'!C68:C71),"")</f>
        <v>0.27912367672993488</v>
      </c>
      <c r="D71" s="13">
        <f>IFERROR(AVERAGE('Revenue Growth YoY'!D68:D71),"")</f>
        <v>0.18986471389887671</v>
      </c>
      <c r="E71" s="13">
        <f>IFERROR(AVERAGE('Revenue Growth YoY'!E68:E71),"")</f>
        <v>0.33028715340511233</v>
      </c>
      <c r="F71" s="13">
        <f>IFERROR(AVERAGE('Revenue Growth YoY'!F68:F71),"")</f>
        <v>0.25852871219843687</v>
      </c>
      <c r="G71" s="13" t="str">
        <f>IFERROR(AVERAGE('Revenue Growth YoY'!G68:G71),"")</f>
        <v/>
      </c>
      <c r="H71" s="13">
        <f>IFERROR(AVERAGE('Revenue Growth YoY'!H68:H71),"")</f>
        <v>7.5384773223594381E-2</v>
      </c>
      <c r="I71" s="13" t="str">
        <f>IFERROR(AVERAGE('Revenue Growth YoY'!I68:I71),"")</f>
        <v/>
      </c>
      <c r="J71" s="13">
        <f>IFERROR(AVERAGE('Revenue Growth YoY'!J68:J71),"")</f>
        <v>0.12114656807474811</v>
      </c>
      <c r="K71" s="13" t="str">
        <f>IFERROR(AVERAGE('Revenue Growth YoY'!K68:K71),"")</f>
        <v/>
      </c>
      <c r="L71" s="13">
        <f>IFERROR(AVERAGE('Revenue Growth YoY'!L68:L71),"")</f>
        <v>0.16446229912737198</v>
      </c>
      <c r="M71" s="13" t="str">
        <f>IFERROR(AVERAGE('Revenue Growth YoY'!M68:M71),"")</f>
        <v/>
      </c>
      <c r="N71" s="13" t="str">
        <f>IFERROR(AVERAGE('Revenue Growth YoY'!N68:N71),"")</f>
        <v/>
      </c>
      <c r="O71" s="13">
        <f>IFERROR(AVERAGE('Revenue Growth YoY'!O68:O71),"")</f>
        <v>0.30237898978701899</v>
      </c>
      <c r="P71" s="13" t="str">
        <f>IFERROR(AVERAGE('Revenue Growth YoY'!P68:P71),"")</f>
        <v/>
      </c>
      <c r="Q71" s="13" t="str">
        <f>IFERROR(AVERAGE('Revenue Growth YoY'!Q68:Q71),"")</f>
        <v/>
      </c>
      <c r="R71" s="13">
        <f>IFERROR(AVERAGE('Revenue Growth YoY'!R68:R71),"")</f>
        <v>0.54985697754464091</v>
      </c>
      <c r="S71" s="13" t="str">
        <f>IFERROR(AVERAGE('Revenue Growth YoY'!S68:S71),"")</f>
        <v/>
      </c>
      <c r="T71" s="13" t="str">
        <f>IFERROR(AVERAGE('Revenue Growth YoY'!T68:T71),"")</f>
        <v/>
      </c>
      <c r="U71" s="13">
        <f>IFERROR(AVERAGE('Revenue Growth YoY'!U68:U71),"")</f>
        <v>9.0774684195370381E-2</v>
      </c>
      <c r="V71" s="13" t="str">
        <f>IFERROR(AVERAGE('Revenue Growth YoY'!V68:V71),"")</f>
        <v/>
      </c>
      <c r="W71" s="13">
        <f>IFERROR(AVERAGE('Revenue Growth YoY'!W68:W71),"")</f>
        <v>8.8264758457887171E-2</v>
      </c>
      <c r="X71" s="13">
        <f>IFERROR(AVERAGE('Revenue Growth YoY'!X68:X71),"")</f>
        <v>0.29609210856693524</v>
      </c>
      <c r="Y71" s="13" t="str">
        <f>IFERROR(AVERAGE('Revenue Growth YoY'!Y68:Y71),"")</f>
        <v/>
      </c>
      <c r="Z71" s="13" t="str">
        <f>IFERROR(AVERAGE('Revenue Growth YoY'!Z68:Z71),"")</f>
        <v/>
      </c>
      <c r="AA71" s="13" t="str">
        <f>IFERROR(AVERAGE('Revenue Growth YoY'!AA68:AA71),"")</f>
        <v/>
      </c>
      <c r="AB71" s="13" t="str">
        <f>IFERROR(AVERAGE('Revenue Growth YoY'!AB68:AB71),"")</f>
        <v/>
      </c>
      <c r="AC71" s="11"/>
    </row>
    <row r="72" spans="1:29" ht="14">
      <c r="A72" s="14" t="s">
        <v>97</v>
      </c>
      <c r="B72" s="13" t="str">
        <f>IFERROR(AVERAGE('Revenue Growth YoY'!B69:B72),"")</f>
        <v/>
      </c>
      <c r="C72" s="13">
        <f>IFERROR(AVERAGE('Revenue Growth YoY'!C69:C72),"")</f>
        <v>0.26697899843085993</v>
      </c>
      <c r="D72" s="13">
        <f>IFERROR(AVERAGE('Revenue Growth YoY'!D69:D72),"")</f>
        <v>0.19589612510694288</v>
      </c>
      <c r="E72" s="13">
        <f>IFERROR(AVERAGE('Revenue Growth YoY'!E69:E72),"")</f>
        <v>0.32692813681086996</v>
      </c>
      <c r="F72" s="13">
        <f>IFERROR(AVERAGE('Revenue Growth YoY'!F69:F72),"")</f>
        <v>0.27852531430513072</v>
      </c>
      <c r="G72" s="13" t="str">
        <f>IFERROR(AVERAGE('Revenue Growth YoY'!G69:G72),"")</f>
        <v/>
      </c>
      <c r="H72" s="13">
        <f>IFERROR(AVERAGE('Revenue Growth YoY'!H69:H72),"")</f>
        <v>-0.13478645180771209</v>
      </c>
      <c r="I72" s="13" t="str">
        <f>IFERROR(AVERAGE('Revenue Growth YoY'!I69:I72),"")</f>
        <v/>
      </c>
      <c r="J72" s="13">
        <f>IFERROR(AVERAGE('Revenue Growth YoY'!J69:J72),"")</f>
        <v>0.13371044234377893</v>
      </c>
      <c r="K72" s="13" t="str">
        <f>IFERROR(AVERAGE('Revenue Growth YoY'!K69:K72),"")</f>
        <v/>
      </c>
      <c r="L72" s="13">
        <f>IFERROR(AVERAGE('Revenue Growth YoY'!L69:L72),"")</f>
        <v>0.18331650831875335</v>
      </c>
      <c r="M72" s="13" t="str">
        <f>IFERROR(AVERAGE('Revenue Growth YoY'!M69:M72),"")</f>
        <v/>
      </c>
      <c r="N72" s="13" t="str">
        <f>IFERROR(AVERAGE('Revenue Growth YoY'!N69:N72),"")</f>
        <v/>
      </c>
      <c r="O72" s="13">
        <f>IFERROR(AVERAGE('Revenue Growth YoY'!O69:O72),"")</f>
        <v>0.34450826906660104</v>
      </c>
      <c r="P72" s="13" t="str">
        <f>IFERROR(AVERAGE('Revenue Growth YoY'!P69:P72),"")</f>
        <v/>
      </c>
      <c r="Q72" s="13" t="str">
        <f>IFERROR(AVERAGE('Revenue Growth YoY'!Q69:Q72),"")</f>
        <v/>
      </c>
      <c r="R72" s="13">
        <f>IFERROR(AVERAGE('Revenue Growth YoY'!R69:R72),"")</f>
        <v>0.38339466148747958</v>
      </c>
      <c r="S72" s="13" t="str">
        <f>IFERROR(AVERAGE('Revenue Growth YoY'!S69:S72),"")</f>
        <v/>
      </c>
      <c r="T72" s="13" t="str">
        <f>IFERROR(AVERAGE('Revenue Growth YoY'!T69:T72),"")</f>
        <v/>
      </c>
      <c r="U72" s="13">
        <f>IFERROR(AVERAGE('Revenue Growth YoY'!U69:U72),"")</f>
        <v>9.3969308914318095E-2</v>
      </c>
      <c r="V72" s="13" t="str">
        <f>IFERROR(AVERAGE('Revenue Growth YoY'!V69:V72),"")</f>
        <v/>
      </c>
      <c r="W72" s="13">
        <f>IFERROR(AVERAGE('Revenue Growth YoY'!W69:W72),"")</f>
        <v>0.15372087863323713</v>
      </c>
      <c r="X72" s="13">
        <f>IFERROR(AVERAGE('Revenue Growth YoY'!X69:X72),"")</f>
        <v>0.29609210856693524</v>
      </c>
      <c r="Y72" s="13" t="str">
        <f>IFERROR(AVERAGE('Revenue Growth YoY'!Y69:Y72),"")</f>
        <v/>
      </c>
      <c r="Z72" s="13" t="str">
        <f>IFERROR(AVERAGE('Revenue Growth YoY'!Z69:Z72),"")</f>
        <v/>
      </c>
      <c r="AA72" s="13" t="str">
        <f>IFERROR(AVERAGE('Revenue Growth YoY'!AA69:AA72),"")</f>
        <v/>
      </c>
      <c r="AB72" s="13" t="str">
        <f>IFERROR(AVERAGE('Revenue Growth YoY'!AB69:AB72),"")</f>
        <v/>
      </c>
      <c r="AC72" s="11"/>
    </row>
    <row r="73" spans="1:29" ht="14">
      <c r="A73" s="14" t="s">
        <v>98</v>
      </c>
      <c r="B73" s="13" t="str">
        <f>IFERROR(AVERAGE('Revenue Growth YoY'!B70:B73),"")</f>
        <v/>
      </c>
      <c r="C73" s="13">
        <f>IFERROR(AVERAGE('Revenue Growth YoY'!C70:C73),"")</f>
        <v>0.25483432013178497</v>
      </c>
      <c r="D73" s="13">
        <f>IFERROR(AVERAGE('Revenue Growth YoY'!D70:D73),"")</f>
        <v>0.20192753631500904</v>
      </c>
      <c r="E73" s="13">
        <f>IFERROR(AVERAGE('Revenue Growth YoY'!E70:E73),"")</f>
        <v>0.32356912021662759</v>
      </c>
      <c r="F73" s="13">
        <f>IFERROR(AVERAGE('Revenue Growth YoY'!F70:F73),"")</f>
        <v>0.29852191641182457</v>
      </c>
      <c r="G73" s="13" t="str">
        <f>IFERROR(AVERAGE('Revenue Growth YoY'!G70:G73),"")</f>
        <v/>
      </c>
      <c r="H73" s="13">
        <f>IFERROR(AVERAGE('Revenue Growth YoY'!H70:H73),"")</f>
        <v>-0.34495767683901857</v>
      </c>
      <c r="I73" s="13" t="str">
        <f>IFERROR(AVERAGE('Revenue Growth YoY'!I70:I73),"")</f>
        <v/>
      </c>
      <c r="J73" s="13">
        <f>IFERROR(AVERAGE('Revenue Growth YoY'!J70:J73),"")</f>
        <v>0.14627431661280976</v>
      </c>
      <c r="K73" s="13" t="str">
        <f>IFERROR(AVERAGE('Revenue Growth YoY'!K70:K73),"")</f>
        <v/>
      </c>
      <c r="L73" s="13">
        <f>IFERROR(AVERAGE('Revenue Growth YoY'!L70:L73),"")</f>
        <v>0.20217071751013471</v>
      </c>
      <c r="M73" s="13" t="str">
        <f>IFERROR(AVERAGE('Revenue Growth YoY'!M70:M73),"")</f>
        <v/>
      </c>
      <c r="N73" s="13" t="str">
        <f>IFERROR(AVERAGE('Revenue Growth YoY'!N70:N73),"")</f>
        <v/>
      </c>
      <c r="O73" s="13">
        <f>IFERROR(AVERAGE('Revenue Growth YoY'!O70:O73),"")</f>
        <v>0.25455814399940624</v>
      </c>
      <c r="P73" s="13" t="str">
        <f>IFERROR(AVERAGE('Revenue Growth YoY'!P70:P73),"")</f>
        <v/>
      </c>
      <c r="Q73" s="13" t="str">
        <f>IFERROR(AVERAGE('Revenue Growth YoY'!Q70:Q73),"")</f>
        <v/>
      </c>
      <c r="R73" s="13">
        <f>IFERROR(AVERAGE('Revenue Growth YoY'!R70:R73),"")</f>
        <v>0.2169323454303182</v>
      </c>
      <c r="S73" s="13" t="str">
        <f>IFERROR(AVERAGE('Revenue Growth YoY'!S70:S73),"")</f>
        <v/>
      </c>
      <c r="T73" s="13" t="str">
        <f>IFERROR(AVERAGE('Revenue Growth YoY'!T70:T73),"")</f>
        <v/>
      </c>
      <c r="U73" s="13">
        <f>IFERROR(AVERAGE('Revenue Growth YoY'!U70:U73),"")</f>
        <v>9.7163933633265809E-2</v>
      </c>
      <c r="V73" s="13" t="str">
        <f>IFERROR(AVERAGE('Revenue Growth YoY'!V70:V73),"")</f>
        <v/>
      </c>
      <c r="W73" s="13">
        <f>IFERROR(AVERAGE('Revenue Growth YoY'!W70:W73),"")</f>
        <v>8.3477538520758288E-2</v>
      </c>
      <c r="X73" s="13">
        <f>IFERROR(AVERAGE('Revenue Growth YoY'!X70:X73),"")</f>
        <v>0.29609210856693524</v>
      </c>
      <c r="Y73" s="13" t="str">
        <f>IFERROR(AVERAGE('Revenue Growth YoY'!Y70:Y73),"")</f>
        <v/>
      </c>
      <c r="Z73" s="13" t="str">
        <f>IFERROR(AVERAGE('Revenue Growth YoY'!Z70:Z73),"")</f>
        <v/>
      </c>
      <c r="AA73" s="13" t="str">
        <f>IFERROR(AVERAGE('Revenue Growth YoY'!AA70:AA73),"")</f>
        <v/>
      </c>
      <c r="AB73" s="13" t="str">
        <f>IFERROR(AVERAGE('Revenue Growth YoY'!AB70:AB73),"")</f>
        <v/>
      </c>
      <c r="AC73" s="11"/>
    </row>
    <row r="74" spans="1:29" ht="14">
      <c r="A74" s="14" t="s">
        <v>99</v>
      </c>
      <c r="B74" s="13" t="str">
        <f>IFERROR(AVERAGE('Revenue Growth YoY'!B71:B74),"")</f>
        <v/>
      </c>
      <c r="C74" s="13">
        <f>IFERROR(AVERAGE('Revenue Growth YoY'!C71:C74),"")</f>
        <v>0.24268964183271002</v>
      </c>
      <c r="D74" s="13">
        <f>IFERROR(AVERAGE('Revenue Growth YoY'!D71:D74),"")</f>
        <v>0.2079589475230752</v>
      </c>
      <c r="E74" s="13">
        <f>IFERROR(AVERAGE('Revenue Growth YoY'!E71:E74),"")</f>
        <v>0.32021010362238522</v>
      </c>
      <c r="F74" s="13">
        <f>IFERROR(AVERAGE('Revenue Growth YoY'!F71:F74),"")</f>
        <v>0.31851851851851842</v>
      </c>
      <c r="G74" s="13" t="str">
        <f>IFERROR(AVERAGE('Revenue Growth YoY'!G71:G74),"")</f>
        <v/>
      </c>
      <c r="H74" s="13">
        <f>IFERROR(AVERAGE('Revenue Growth YoY'!H71:H74),"")</f>
        <v>-0.55512890187032504</v>
      </c>
      <c r="I74" s="13" t="str">
        <f>IFERROR(AVERAGE('Revenue Growth YoY'!I71:I74),"")</f>
        <v/>
      </c>
      <c r="J74" s="13">
        <f>IFERROR(AVERAGE('Revenue Growth YoY'!J71:J74),"")</f>
        <v>0.15883819088184059</v>
      </c>
      <c r="K74" s="13" t="str">
        <f>IFERROR(AVERAGE('Revenue Growth YoY'!K71:K74),"")</f>
        <v/>
      </c>
      <c r="L74" s="13">
        <f>IFERROR(AVERAGE('Revenue Growth YoY'!L71:L74),"")</f>
        <v>0.22102492670151608</v>
      </c>
      <c r="M74" s="13" t="str">
        <f>IFERROR(AVERAGE('Revenue Growth YoY'!M71:M74),"")</f>
        <v/>
      </c>
      <c r="N74" s="13" t="str">
        <f>IFERROR(AVERAGE('Revenue Growth YoY'!N71:N74),"")</f>
        <v/>
      </c>
      <c r="O74" s="13">
        <f>IFERROR(AVERAGE('Revenue Growth YoY'!O71:O74),"")</f>
        <v>0.16460801893221144</v>
      </c>
      <c r="P74" s="13" t="str">
        <f>IFERROR(AVERAGE('Revenue Growth YoY'!P71:P74),"")</f>
        <v/>
      </c>
      <c r="Q74" s="13" t="str">
        <f>IFERROR(AVERAGE('Revenue Growth YoY'!Q71:Q74),"")</f>
        <v/>
      </c>
      <c r="R74" s="13">
        <f>IFERROR(AVERAGE('Revenue Growth YoY'!R71:R74),"")</f>
        <v>5.0470029373156811E-2</v>
      </c>
      <c r="S74" s="13" t="str">
        <f>IFERROR(AVERAGE('Revenue Growth YoY'!S71:S74),"")</f>
        <v/>
      </c>
      <c r="T74" s="13" t="str">
        <f>IFERROR(AVERAGE('Revenue Growth YoY'!T71:T74),"")</f>
        <v/>
      </c>
      <c r="U74" s="13">
        <f>IFERROR(AVERAGE('Revenue Growth YoY'!U71:U74),"")</f>
        <v>0.10035855835221352</v>
      </c>
      <c r="V74" s="13" t="str">
        <f>IFERROR(AVERAGE('Revenue Growth YoY'!V71:V74),"")</f>
        <v/>
      </c>
      <c r="W74" s="13">
        <f>IFERROR(AVERAGE('Revenue Growth YoY'!W71:W74),"")</f>
        <v>1.3234198408279441E-2</v>
      </c>
      <c r="X74" s="13">
        <f>IFERROR(AVERAGE('Revenue Growth YoY'!X71:X74),"")</f>
        <v>0.29609210856693524</v>
      </c>
      <c r="Y74" s="13" t="str">
        <f>IFERROR(AVERAGE('Revenue Growth YoY'!Y71:Y74),"")</f>
        <v/>
      </c>
      <c r="Z74" s="13" t="str">
        <f>IFERROR(AVERAGE('Revenue Growth YoY'!Z71:Z74),"")</f>
        <v/>
      </c>
      <c r="AA74" s="13" t="str">
        <f>IFERROR(AVERAGE('Revenue Growth YoY'!AA71:AA74),"")</f>
        <v/>
      </c>
      <c r="AB74" s="13" t="str">
        <f>IFERROR(AVERAGE('Revenue Growth YoY'!AB71:AB74),"")</f>
        <v/>
      </c>
      <c r="AC74" s="11"/>
    </row>
    <row r="75" spans="1:29" ht="14">
      <c r="A75" s="14" t="s">
        <v>100</v>
      </c>
      <c r="B75" s="13" t="str">
        <f>IFERROR(AVERAGE('Revenue Growth YoY'!B72:B75),"")</f>
        <v/>
      </c>
      <c r="C75" s="13">
        <f>IFERROR(AVERAGE('Revenue Growth YoY'!C72:C75),"")</f>
        <v>0.20517580417702141</v>
      </c>
      <c r="D75" s="13">
        <f>IFERROR(AVERAGE('Revenue Growth YoY'!D72:D75),"")</f>
        <v>0.19539119230791324</v>
      </c>
      <c r="E75" s="13">
        <f>IFERROR(AVERAGE('Revenue Growth YoY'!E72:E75),"")</f>
        <v>0.33969987607779145</v>
      </c>
      <c r="F75" s="13">
        <f>IFERROR(AVERAGE('Revenue Growth YoY'!F72:F75),"")</f>
        <v>0.28824683431424997</v>
      </c>
      <c r="G75" s="13"/>
      <c r="H75" s="13">
        <f>IFERROR(AVERAGE('Revenue Growth YoY'!H72:H75),"")</f>
        <v>-0.76530012690163152</v>
      </c>
      <c r="I75" s="13" t="str">
        <f>IFERROR(AVERAGE('Revenue Growth YoY'!I72:I75),"")</f>
        <v/>
      </c>
      <c r="J75" s="13">
        <f>IFERROR(AVERAGE('Revenue Growth YoY'!J72:J75),"")</f>
        <v>0.17140206515087142</v>
      </c>
      <c r="K75" s="13" t="str">
        <f>IFERROR(AVERAGE('Revenue Growth YoY'!K72:K75),"")</f>
        <v/>
      </c>
      <c r="L75" s="13">
        <f>IFERROR(AVERAGE('Revenue Growth YoY'!L72:L75),"")</f>
        <v>0.20432266995013787</v>
      </c>
      <c r="M75" s="13" t="str">
        <f>IFERROR(AVERAGE('Revenue Growth YoY'!M72:M75),"")</f>
        <v/>
      </c>
      <c r="N75" s="13" t="str">
        <f>IFERROR(AVERAGE('Revenue Growth YoY'!N72:N75),"")</f>
        <v/>
      </c>
      <c r="O75" s="13">
        <f>IFERROR(AVERAGE('Revenue Growth YoY'!O72:O75),"")</f>
        <v>7.4657893865016645E-2</v>
      </c>
      <c r="P75" s="13" t="str">
        <f>IFERROR(AVERAGE('Revenue Growth YoY'!P72:P75),"")</f>
        <v/>
      </c>
      <c r="Q75" s="13" t="str">
        <f>IFERROR(AVERAGE('Revenue Growth YoY'!Q72:Q75),"")</f>
        <v/>
      </c>
      <c r="R75" s="13">
        <f>IFERROR(AVERAGE('Revenue Growth YoY'!R72:R75),"")</f>
        <v>0.16866834881166937</v>
      </c>
      <c r="S75" s="13" t="str">
        <f>IFERROR(AVERAGE('Revenue Growth YoY'!S72:S75),"")</f>
        <v/>
      </c>
      <c r="T75" s="13" t="str">
        <f>IFERROR(AVERAGE('Revenue Growth YoY'!T72:T75),"")</f>
        <v/>
      </c>
      <c r="U75" s="13">
        <f>IFERROR(AVERAGE('Revenue Growth YoY'!U72:U75),"")</f>
        <v>0.10035855835221352</v>
      </c>
      <c r="V75" s="13" t="str">
        <f>IFERROR(AVERAGE('Revenue Growth YoY'!V72:V75),"")</f>
        <v/>
      </c>
      <c r="W75" s="13">
        <f>IFERROR(AVERAGE('Revenue Growth YoY'!W72:W75),"")</f>
        <v>-5.7009141704199406E-2</v>
      </c>
      <c r="X75" s="13">
        <f>IFERROR(AVERAGE('Revenue Growth YoY'!X72:X75),"")</f>
        <v>0.26676633491265783</v>
      </c>
      <c r="Y75" s="13" t="str">
        <f>IFERROR(AVERAGE('Revenue Growth YoY'!Y72:Y75),"")</f>
        <v/>
      </c>
      <c r="Z75" s="13" t="str">
        <f>IFERROR(AVERAGE('Revenue Growth YoY'!Z72:Z75),"")</f>
        <v/>
      </c>
      <c r="AA75" s="13" t="str">
        <f>IFERROR(AVERAGE('Revenue Growth YoY'!AA72:AA75),"")</f>
        <v/>
      </c>
      <c r="AB75" s="13" t="str">
        <f>IFERROR(AVERAGE('Revenue Growth YoY'!AB72:AB75),"")</f>
        <v/>
      </c>
      <c r="AC75" s="11"/>
    </row>
    <row r="76" spans="1:29" ht="14">
      <c r="A76" s="14" t="s">
        <v>101</v>
      </c>
      <c r="B76" s="13" t="str">
        <f>IFERROR(AVERAGE('Revenue Growth YoY'!B73:B76),"")</f>
        <v/>
      </c>
      <c r="C76" s="13">
        <f>IFERROR(AVERAGE('Revenue Growth YoY'!C73:C76),"")</f>
        <v>0.16766196652133281</v>
      </c>
      <c r="D76" s="13">
        <f>IFERROR(AVERAGE('Revenue Growth YoY'!D73:D76),"")</f>
        <v>0.18282343709275128</v>
      </c>
      <c r="E76" s="13">
        <f>IFERROR(AVERAGE('Revenue Growth YoY'!E73:E76),"")</f>
        <v>0.35918964853319768</v>
      </c>
      <c r="F76" s="13">
        <f>IFERROR(AVERAGE('Revenue Growth YoY'!F73:F76),"")</f>
        <v>0.25797515010998151</v>
      </c>
      <c r="G76" s="13"/>
      <c r="H76" s="13">
        <f>IFERROR(AVERAGE('Revenue Growth YoY'!H73:H76),"")</f>
        <v>2.677820353010274E-2</v>
      </c>
      <c r="I76" s="13" t="str">
        <f>IFERROR(AVERAGE('Revenue Growth YoY'!I73:I76),"")</f>
        <v/>
      </c>
      <c r="J76" s="13">
        <f>IFERROR(AVERAGE('Revenue Growth YoY'!J73:J76),"")</f>
        <v>0.15896018071181339</v>
      </c>
      <c r="K76" s="13" t="str">
        <f>IFERROR(AVERAGE('Revenue Growth YoY'!K73:K76),"")</f>
        <v/>
      </c>
      <c r="L76" s="13">
        <f>IFERROR(AVERAGE('Revenue Growth YoY'!L73:L76),"")</f>
        <v>0.18762041319875966</v>
      </c>
      <c r="M76" s="13" t="str">
        <f>IFERROR(AVERAGE('Revenue Growth YoY'!M73:M76),"")</f>
        <v/>
      </c>
      <c r="N76" s="13" t="str">
        <f>IFERROR(AVERAGE('Revenue Growth YoY'!N73:N76),"")</f>
        <v/>
      </c>
      <c r="O76" s="13">
        <f>IFERROR(AVERAGE('Revenue Growth YoY'!O73:O76),"")</f>
        <v>-1.5292231202178153E-2</v>
      </c>
      <c r="P76" s="13" t="str">
        <f>IFERROR(AVERAGE('Revenue Growth YoY'!P73:P76),"")</f>
        <v/>
      </c>
      <c r="Q76" s="13" t="str">
        <f>IFERROR(AVERAGE('Revenue Growth YoY'!Q73:Q76),"")</f>
        <v/>
      </c>
      <c r="R76" s="13">
        <f>IFERROR(AVERAGE('Revenue Growth YoY'!R73:R76),"")</f>
        <v>0.28686666825018192</v>
      </c>
      <c r="S76" s="13" t="str">
        <f>IFERROR(AVERAGE('Revenue Growth YoY'!S73:S76),"")</f>
        <v/>
      </c>
      <c r="T76" s="13" t="str">
        <f>IFERROR(AVERAGE('Revenue Growth YoY'!T73:T76),"")</f>
        <v/>
      </c>
      <c r="U76" s="13">
        <f>IFERROR(AVERAGE('Revenue Growth YoY'!U73:U76),"")</f>
        <v>0.10035855835221352</v>
      </c>
      <c r="V76" s="13" t="str">
        <f>IFERROR(AVERAGE('Revenue Growth YoY'!V73:V76),"")</f>
        <v/>
      </c>
      <c r="W76" s="13">
        <f>IFERROR(AVERAGE('Revenue Growth YoY'!W73:W76),"")</f>
        <v>-0.12725248181667825</v>
      </c>
      <c r="X76" s="13">
        <f>IFERROR(AVERAGE('Revenue Growth YoY'!X73:X76),"")</f>
        <v>0.23744056125838042</v>
      </c>
      <c r="Y76" s="13" t="str">
        <f>IFERROR(AVERAGE('Revenue Growth YoY'!Y73:Y76),"")</f>
        <v/>
      </c>
      <c r="Z76" s="13" t="str">
        <f>IFERROR(AVERAGE('Revenue Growth YoY'!Z73:Z76),"")</f>
        <v/>
      </c>
      <c r="AA76" s="13" t="str">
        <f>IFERROR(AVERAGE('Revenue Growth YoY'!AA73:AA76),"")</f>
        <v/>
      </c>
      <c r="AB76" s="13" t="str">
        <f>IFERROR(AVERAGE('Revenue Growth YoY'!AB73:AB76),"")</f>
        <v/>
      </c>
      <c r="AC76" s="11"/>
    </row>
    <row r="77" spans="1:29" ht="14">
      <c r="A77" s="14" t="s">
        <v>102</v>
      </c>
      <c r="B77" s="13" t="str">
        <f>IFERROR(AVERAGE('Revenue Growth YoY'!B74:B77),"")</f>
        <v/>
      </c>
      <c r="C77" s="13">
        <f>IFERROR(AVERAGE('Revenue Growth YoY'!C74:C77),"")</f>
        <v>0.1301481288656442</v>
      </c>
      <c r="D77" s="13">
        <f>IFERROR(AVERAGE('Revenue Growth YoY'!D74:D77),"")</f>
        <v>0.17025568187758933</v>
      </c>
      <c r="E77" s="13">
        <f>IFERROR(AVERAGE('Revenue Growth YoY'!E74:E77),"")</f>
        <v>0.37867942098860391</v>
      </c>
      <c r="F77" s="13">
        <f>IFERROR(AVERAGE('Revenue Growth YoY'!F74:F77),"")</f>
        <v>0.22770346590571305</v>
      </c>
      <c r="G77" s="13"/>
      <c r="H77" s="13">
        <f>IFERROR(AVERAGE('Revenue Growth YoY'!H74:H77),"")</f>
        <v>0.81885653396183711</v>
      </c>
      <c r="I77" s="13" t="str">
        <f>IFERROR(AVERAGE('Revenue Growth YoY'!I74:I77),"")</f>
        <v/>
      </c>
      <c r="J77" s="13">
        <f>IFERROR(AVERAGE('Revenue Growth YoY'!J74:J77),"")</f>
        <v>0.14651829627275537</v>
      </c>
      <c r="K77" s="13" t="str">
        <f>IFERROR(AVERAGE('Revenue Growth YoY'!K74:K77),"")</f>
        <v/>
      </c>
      <c r="L77" s="13">
        <f>IFERROR(AVERAGE('Revenue Growth YoY'!L74:L77),"")</f>
        <v>0.17091815644738145</v>
      </c>
      <c r="M77" s="13" t="str">
        <f>IFERROR(AVERAGE('Revenue Growth YoY'!M74:M77),"")</f>
        <v/>
      </c>
      <c r="N77" s="13" t="str">
        <f>IFERROR(AVERAGE('Revenue Growth YoY'!N74:N77),"")</f>
        <v/>
      </c>
      <c r="O77" s="13">
        <f>IFERROR(AVERAGE('Revenue Growth YoY'!O74:O77),"")</f>
        <v>5.1898293976128607E-2</v>
      </c>
      <c r="P77" s="13" t="str">
        <f>IFERROR(AVERAGE('Revenue Growth YoY'!P74:P77),"")</f>
        <v/>
      </c>
      <c r="Q77" s="13" t="str">
        <f>IFERROR(AVERAGE('Revenue Growth YoY'!Q74:Q77),"")</f>
        <v/>
      </c>
      <c r="R77" s="13">
        <f>IFERROR(AVERAGE('Revenue Growth YoY'!R74:R77),"")</f>
        <v>0.40506498768869448</v>
      </c>
      <c r="S77" s="13" t="str">
        <f>IFERROR(AVERAGE('Revenue Growth YoY'!S74:S77),"")</f>
        <v/>
      </c>
      <c r="T77" s="13" t="str">
        <f>IFERROR(AVERAGE('Revenue Growth YoY'!T74:T77),"")</f>
        <v/>
      </c>
      <c r="U77" s="13">
        <f>IFERROR(AVERAGE('Revenue Growth YoY'!U74:U77),"")</f>
        <v>0.10035855835221352</v>
      </c>
      <c r="V77" s="13" t="str">
        <f>IFERROR(AVERAGE('Revenue Growth YoY'!V74:V77),"")</f>
        <v/>
      </c>
      <c r="W77" s="13">
        <f>IFERROR(AVERAGE('Revenue Growth YoY'!W74:W77),"")</f>
        <v>-7.5766610692078351E-2</v>
      </c>
      <c r="X77" s="13">
        <f>IFERROR(AVERAGE('Revenue Growth YoY'!X74:X77),"")</f>
        <v>0.20811478760410301</v>
      </c>
      <c r="Y77" s="13" t="str">
        <f>IFERROR(AVERAGE('Revenue Growth YoY'!Y74:Y77),"")</f>
        <v/>
      </c>
      <c r="Z77" s="13" t="str">
        <f>IFERROR(AVERAGE('Revenue Growth YoY'!Z74:Z77),"")</f>
        <v/>
      </c>
      <c r="AA77" s="13" t="str">
        <f>IFERROR(AVERAGE('Revenue Growth YoY'!AA74:AA77),"")</f>
        <v/>
      </c>
      <c r="AB77" s="13" t="str">
        <f>IFERROR(AVERAGE('Revenue Growth YoY'!AB74:AB77),"")</f>
        <v/>
      </c>
      <c r="AC77" s="11"/>
    </row>
    <row r="78" spans="1:29" ht="14">
      <c r="A78" s="14" t="s">
        <v>103</v>
      </c>
      <c r="B78" s="13" t="str">
        <f>IFERROR(AVERAGE('Revenue Growth YoY'!B75:B78),"")</f>
        <v/>
      </c>
      <c r="C78" s="13">
        <f>IFERROR(AVERAGE('Revenue Growth YoY'!C75:C78),"")</f>
        <v>9.2634291209955588E-2</v>
      </c>
      <c r="D78" s="13">
        <f>IFERROR(AVERAGE('Revenue Growth YoY'!D75:D78),"")</f>
        <v>0.15768792666242737</v>
      </c>
      <c r="E78" s="13">
        <f>IFERROR(AVERAGE('Revenue Growth YoY'!E75:E78),"")</f>
        <v>0.39816919344401014</v>
      </c>
      <c r="F78" s="13">
        <f>IFERROR(AVERAGE('Revenue Growth YoY'!F75:F78),"")</f>
        <v>0.1974317817014446</v>
      </c>
      <c r="G78" s="13">
        <f>IFERROR(AVERAGE('Revenue Growth YoY'!G75:G78),"")</f>
        <v>0.42938278836936838</v>
      </c>
      <c r="H78" s="13">
        <f>IFERROR(AVERAGE('Revenue Growth YoY'!H75:H78),"")</f>
        <v>1.6109348643935715</v>
      </c>
      <c r="I78" s="13" t="str">
        <f>IFERROR(AVERAGE('Revenue Growth YoY'!I75:I78),"")</f>
        <v/>
      </c>
      <c r="J78" s="13">
        <f>IFERROR(AVERAGE('Revenue Growth YoY'!J75:J78),"")</f>
        <v>0.13407641183369734</v>
      </c>
      <c r="K78" s="13" t="str">
        <f>IFERROR(AVERAGE('Revenue Growth YoY'!K75:K78),"")</f>
        <v/>
      </c>
      <c r="L78" s="13">
        <f>IFERROR(AVERAGE('Revenue Growth YoY'!L75:L78),"")</f>
        <v>0.15421589969600324</v>
      </c>
      <c r="M78" s="13" t="str">
        <f>IFERROR(AVERAGE('Revenue Growth YoY'!M75:M78),"")</f>
        <v/>
      </c>
      <c r="N78" s="13" t="str">
        <f>IFERROR(AVERAGE('Revenue Growth YoY'!N75:N78),"")</f>
        <v/>
      </c>
      <c r="O78" s="13">
        <f>IFERROR(AVERAGE('Revenue Growth YoY'!O75:O78),"")</f>
        <v>0.11908881915443537</v>
      </c>
      <c r="P78" s="13" t="str">
        <f>IFERROR(AVERAGE('Revenue Growth YoY'!P75:P78),"")</f>
        <v/>
      </c>
      <c r="Q78" s="13" t="str">
        <f>IFERROR(AVERAGE('Revenue Growth YoY'!Q75:Q78),"")</f>
        <v/>
      </c>
      <c r="R78" s="13">
        <f>IFERROR(AVERAGE('Revenue Growth YoY'!R75:R78),"")</f>
        <v>0.52326330712720703</v>
      </c>
      <c r="S78" s="13" t="str">
        <f>IFERROR(AVERAGE('Revenue Growth YoY'!S75:S78),"")</f>
        <v/>
      </c>
      <c r="T78" s="13" t="str">
        <f>IFERROR(AVERAGE('Revenue Growth YoY'!T75:T78),"")</f>
        <v/>
      </c>
      <c r="U78" s="13" t="str">
        <f>IFERROR(AVERAGE('Revenue Growth YoY'!U75:U78),"")</f>
        <v/>
      </c>
      <c r="V78" s="13" t="str">
        <f>IFERROR(AVERAGE('Revenue Growth YoY'!V75:V78),"")</f>
        <v/>
      </c>
      <c r="W78" s="13">
        <f>IFERROR(AVERAGE('Revenue Growth YoY'!W75:W78),"")</f>
        <v>-2.4280739567478449E-2</v>
      </c>
      <c r="X78" s="13">
        <f>IFERROR(AVERAGE('Revenue Growth YoY'!X75:X78),"")</f>
        <v>0.1787890139498256</v>
      </c>
      <c r="Y78" s="13" t="str">
        <f>IFERROR(AVERAGE('Revenue Growth YoY'!Y75:Y78),"")</f>
        <v/>
      </c>
      <c r="Z78" s="13" t="str">
        <f>IFERROR(AVERAGE('Revenue Growth YoY'!Z75:Z78),"")</f>
        <v/>
      </c>
      <c r="AA78" s="13" t="str">
        <f>IFERROR(AVERAGE('Revenue Growth YoY'!AA75:AA78),"")</f>
        <v/>
      </c>
      <c r="AB78" s="13" t="str">
        <f>IFERROR(AVERAGE('Revenue Growth YoY'!AB75:AB78),"")</f>
        <v/>
      </c>
      <c r="AC78" s="11"/>
    </row>
    <row r="79" spans="1:29" ht="14">
      <c r="A79" s="14" t="s">
        <v>104</v>
      </c>
      <c r="B79" s="13"/>
      <c r="C79" s="13">
        <f ca="1">IFERROR(AVERAGE('Revenue Growth YoY'!C76:C79),"")</f>
        <v>5.234681850767281E-2</v>
      </c>
      <c r="D79" s="13">
        <f ca="1">IFERROR(AVERAGE('Revenue Growth YoY'!D76:D79),"")</f>
        <v>0.15362408970127628</v>
      </c>
      <c r="E79" s="13">
        <f ca="1">IFERROR(AVERAGE('Revenue Growth YoY'!E76:E79),"")</f>
        <v>0.45488300083826272</v>
      </c>
      <c r="F79" s="13">
        <f ca="1">IFERROR(AVERAGE('Revenue Growth YoY'!F76:F79),"")</f>
        <v>0.13399876925195475</v>
      </c>
      <c r="G79" s="13">
        <f ca="1">IFERROR(AVERAGE('Revenue Growth YoY'!G76:G79),"")</f>
        <v>0.36897143972594482</v>
      </c>
      <c r="H79" s="13">
        <f>IFERROR(AVERAGE('Revenue Growth YoY'!H76:H79),"")</f>
        <v>2.4030131948253057</v>
      </c>
      <c r="I79" s="13">
        <f ca="1">IFERROR(AVERAGE('Revenue Growth YoY'!I76:I79),"")</f>
        <v>-9.8908968464185176E-2</v>
      </c>
      <c r="J79" s="13">
        <f ca="1">IFERROR(AVERAGE('Revenue Growth YoY'!J76:J79),"")</f>
        <v>0.13405653627938713</v>
      </c>
      <c r="K79" s="13" t="str">
        <f>IFERROR(AVERAGE('Revenue Growth YoY'!K76:K79),"")</f>
        <v/>
      </c>
      <c r="L79" s="13">
        <f ca="1">IFERROR(AVERAGE('Revenue Growth YoY'!L76:L79),"")</f>
        <v>-0.13407400548674489</v>
      </c>
      <c r="M79" s="13" t="str">
        <f>IFERROR(AVERAGE('Revenue Growth YoY'!M76:M79),"")</f>
        <v/>
      </c>
      <c r="N79" s="13" t="str">
        <f ca="1">IFERROR(AVERAGE('Revenue Growth YoY'!N76:N79),"")</f>
        <v/>
      </c>
      <c r="O79" s="13">
        <f>IFERROR(AVERAGE('Revenue Growth YoY'!O76:O79),"")</f>
        <v>0.18627934433274213</v>
      </c>
      <c r="P79" s="13" t="str">
        <f>IFERROR(AVERAGE('Revenue Growth YoY'!P76:P79),"")</f>
        <v/>
      </c>
      <c r="Q79" s="13" t="str">
        <f>IFERROR(AVERAGE('Revenue Growth YoY'!Q76:Q79),"")</f>
        <v/>
      </c>
      <c r="R79" s="13">
        <f>IFERROR(AVERAGE('Revenue Growth YoY'!R76:R79),"")</f>
        <v>0.39598360677411071</v>
      </c>
      <c r="S79" s="13" t="str">
        <f>IFERROR(AVERAGE('Revenue Growth YoY'!S76:S79),"")</f>
        <v/>
      </c>
      <c r="T79" s="13" t="str">
        <f>IFERROR(AVERAGE('Revenue Growth YoY'!T76:T79),"")</f>
        <v/>
      </c>
      <c r="U79" s="13" t="str">
        <f>IFERROR(AVERAGE('Revenue Growth YoY'!U76:U79),"")</f>
        <v/>
      </c>
      <c r="V79" s="13" t="str">
        <f>IFERROR(AVERAGE('Revenue Growth YoY'!V76:V79),"")</f>
        <v/>
      </c>
      <c r="W79" s="13">
        <f>IFERROR(AVERAGE('Revenue Growth YoY'!W76:W79),"")</f>
        <v>2.7205131557121454E-2</v>
      </c>
      <c r="X79" s="13">
        <f>IFERROR(AVERAGE('Revenue Growth YoY'!X76:X79),"")</f>
        <v>0.18297968440984375</v>
      </c>
      <c r="Y79" s="13">
        <f>IFERROR(AVERAGE('Revenue Growth YoY'!Y76:Y79),"")</f>
        <v>0.41707447621960547</v>
      </c>
      <c r="Z79" s="13">
        <f>IFERROR(AVERAGE('Revenue Growth YoY'!Z76:Z79),"")</f>
        <v>2.7870464173881011</v>
      </c>
      <c r="AA79" s="13" t="str">
        <f>IFERROR(AVERAGE('Revenue Growth YoY'!AA76:AA79),"")</f>
        <v/>
      </c>
      <c r="AB79" s="13" t="str">
        <f>IFERROR(AVERAGE('Revenue Growth YoY'!AB76:AB79),"")</f>
        <v/>
      </c>
      <c r="AC79" s="11"/>
    </row>
    <row r="80" spans="1:29" ht="14">
      <c r="A80" s="14" t="s">
        <v>105</v>
      </c>
      <c r="B80" s="13"/>
      <c r="C80" s="13">
        <f ca="1">IFERROR(AVERAGE('Revenue Growth YoY'!C77:C80),"")</f>
        <v>5.6291845265764362E-2</v>
      </c>
      <c r="D80" s="13">
        <f ca="1">IFERROR(AVERAGE('Revenue Growth YoY'!D77:D80),"")</f>
        <v>0.19332316148681694</v>
      </c>
      <c r="E80" s="13">
        <f ca="1">IFERROR(AVERAGE('Revenue Growth YoY'!E77:E80),"")</f>
        <v>0.51278817511156305</v>
      </c>
      <c r="F80" s="13">
        <f ca="1">IFERROR(AVERAGE('Revenue Growth YoY'!F77:F80),"")</f>
        <v>9.6705166990132485E-2</v>
      </c>
      <c r="G80" s="13">
        <f ca="1">IFERROR(AVERAGE('Revenue Growth YoY'!G77:G80),"")</f>
        <v>0.34507146642504827</v>
      </c>
      <c r="H80" s="13">
        <f>IFERROR(AVERAGE('Revenue Growth YoY'!H77:H80),"")</f>
        <v>1.798832336090463</v>
      </c>
      <c r="I80" s="13">
        <f ca="1">IFERROR(AVERAGE('Revenue Growth YoY'!I77:I80),"")</f>
        <v>-7.9938630958168055E-2</v>
      </c>
      <c r="J80" s="13">
        <f ca="1">IFERROR(AVERAGE('Revenue Growth YoY'!J77:J80),"")</f>
        <v>0.21262591480252174</v>
      </c>
      <c r="K80" s="13" t="str">
        <f>IFERROR(AVERAGE('Revenue Growth YoY'!K77:K80),"")</f>
        <v/>
      </c>
      <c r="L80" s="13">
        <f ca="1">IFERROR(AVERAGE('Revenue Growth YoY'!L77:L80),"")</f>
        <v>-0.42232124564989171</v>
      </c>
      <c r="M80" s="13" t="str">
        <f>IFERROR(AVERAGE('Revenue Growth YoY'!M77:M80),"")</f>
        <v/>
      </c>
      <c r="N80" s="13" t="str">
        <f ca="1">IFERROR(AVERAGE('Revenue Growth YoY'!N77:N80),"")</f>
        <v/>
      </c>
      <c r="O80" s="13">
        <f>IFERROR(AVERAGE('Revenue Growth YoY'!O77:O80),"")</f>
        <v>0.25346986951104888</v>
      </c>
      <c r="P80" s="13" t="str">
        <f>IFERROR(AVERAGE('Revenue Growth YoY'!P77:P80),"")</f>
        <v/>
      </c>
      <c r="Q80" s="13" t="str">
        <f>IFERROR(AVERAGE('Revenue Growth YoY'!Q77:Q80),"")</f>
        <v/>
      </c>
      <c r="R80" s="13">
        <f>IFERROR(AVERAGE('Revenue Growth YoY'!R77:R80),"")</f>
        <v>0.26870390642101438</v>
      </c>
      <c r="S80" s="13" t="str">
        <f>IFERROR(AVERAGE('Revenue Growth YoY'!S77:S80),"")</f>
        <v/>
      </c>
      <c r="T80" s="13" t="str">
        <f>IFERROR(AVERAGE('Revenue Growth YoY'!T77:T80),"")</f>
        <v/>
      </c>
      <c r="U80" s="13" t="str">
        <f>IFERROR(AVERAGE('Revenue Growth YoY'!U77:U80),"")</f>
        <v/>
      </c>
      <c r="V80" s="13" t="str">
        <f>IFERROR(AVERAGE('Revenue Growth YoY'!V77:V80),"")</f>
        <v/>
      </c>
      <c r="W80" s="13">
        <f>IFERROR(AVERAGE('Revenue Growth YoY'!W77:W80),"")</f>
        <v>7.8691002681721356E-2</v>
      </c>
      <c r="X80" s="13">
        <f>IFERROR(AVERAGE('Revenue Growth YoY'!X77:X80),"")</f>
        <v>0.18717035486986189</v>
      </c>
      <c r="Y80" s="13">
        <f>IFERROR(AVERAGE('Revenue Growth YoY'!Y77:Y80),"")</f>
        <v>0.41707447621960547</v>
      </c>
      <c r="Z80" s="13">
        <f>IFERROR(AVERAGE('Revenue Growth YoY'!Z77:Z80),"")</f>
        <v>2.7870464173881011</v>
      </c>
      <c r="AA80" s="13" t="str">
        <f>IFERROR(AVERAGE('Revenue Growth YoY'!AA77:AA80),"")</f>
        <v/>
      </c>
      <c r="AB80" s="13" t="str">
        <f>IFERROR(AVERAGE('Revenue Growth YoY'!AB77:AB80),"")</f>
        <v/>
      </c>
      <c r="AC80" s="11"/>
    </row>
    <row r="81" spans="1:29" ht="14">
      <c r="A81" s="14" t="s">
        <v>106</v>
      </c>
      <c r="B81" s="13"/>
      <c r="C81" s="13">
        <f ca="1">IFERROR(AVERAGE('Revenue Growth YoY'!C78:C81),"")</f>
        <v>0.18328561439524044</v>
      </c>
      <c r="D81" s="13">
        <f ca="1">IFERROR(AVERAGE('Revenue Growth YoY'!D78:D81),"")</f>
        <v>0.29072332870892031</v>
      </c>
      <c r="E81" s="13">
        <f ca="1">IFERROR(AVERAGE('Revenue Growth YoY'!E78:E81),"")</f>
        <v>0.66957680034581979</v>
      </c>
      <c r="F81" s="13">
        <f ca="1">IFERROR(AVERAGE('Revenue Growth YoY'!F78:F81),"")</f>
        <v>7.9518803334208354E-2</v>
      </c>
      <c r="G81" s="13">
        <f ca="1">IFERROR(AVERAGE('Revenue Growth YoY'!G78:G81),"")</f>
        <v>0.44784361165944947</v>
      </c>
      <c r="H81" s="13">
        <f>IFERROR(AVERAGE('Revenue Growth YoY'!H78:H81),"")</f>
        <v>1.1946514773556203</v>
      </c>
      <c r="I81" s="13">
        <f ca="1">IFERROR(AVERAGE('Revenue Growth YoY'!I78:I81),"")</f>
        <v>-5.1483124699142326E-2</v>
      </c>
      <c r="J81" s="13">
        <f ca="1">IFERROR(AVERAGE('Revenue Growth YoY'!J78:J81),"")</f>
        <v>0.1784583975064151</v>
      </c>
      <c r="K81" s="13" t="str">
        <f>IFERROR(AVERAGE('Revenue Growth YoY'!K78:K81),"")</f>
        <v/>
      </c>
      <c r="L81" s="13">
        <f ca="1">IFERROR(AVERAGE('Revenue Growth YoY'!L78:L81),"")</f>
        <v>-0.71061683008421483</v>
      </c>
      <c r="M81" s="13" t="str">
        <f>IFERROR(AVERAGE('Revenue Growth YoY'!M78:M81),"")</f>
        <v/>
      </c>
      <c r="N81" s="13" t="str">
        <f ca="1">IFERROR(AVERAGE('Revenue Growth YoY'!N78:N81),"")</f>
        <v/>
      </c>
      <c r="O81" s="13">
        <f>IFERROR(AVERAGE('Revenue Growth YoY'!O78:O81),"")</f>
        <v>0.28665412627121772</v>
      </c>
      <c r="P81" s="13" t="str">
        <f>IFERROR(AVERAGE('Revenue Growth YoY'!P78:P81),"")</f>
        <v/>
      </c>
      <c r="Q81" s="13" t="str">
        <f>IFERROR(AVERAGE('Revenue Growth YoY'!Q78:Q81),"")</f>
        <v/>
      </c>
      <c r="R81" s="13">
        <f>IFERROR(AVERAGE('Revenue Growth YoY'!R78:R81),"")</f>
        <v>0.14142420606791806</v>
      </c>
      <c r="S81" s="13" t="str">
        <f>IFERROR(AVERAGE('Revenue Growth YoY'!S78:S81),"")</f>
        <v/>
      </c>
      <c r="T81" s="13" t="str">
        <f>IFERROR(AVERAGE('Revenue Growth YoY'!T78:T81),"")</f>
        <v/>
      </c>
      <c r="U81" s="13" t="str">
        <f>IFERROR(AVERAGE('Revenue Growth YoY'!U78:U81),"")</f>
        <v/>
      </c>
      <c r="V81" s="13" t="str">
        <f>IFERROR(AVERAGE('Revenue Growth YoY'!V78:V81),"")</f>
        <v/>
      </c>
      <c r="W81" s="13">
        <f>IFERROR(AVERAGE('Revenue Growth YoY'!W78:W81),"")</f>
        <v>6.9065129181766827E-2</v>
      </c>
      <c r="X81" s="13">
        <f>IFERROR(AVERAGE('Revenue Growth YoY'!X78:X81),"")</f>
        <v>0.19136102532988003</v>
      </c>
      <c r="Y81" s="13">
        <f>IFERROR(AVERAGE('Revenue Growth YoY'!Y78:Y81),"")</f>
        <v>0.41707447621960547</v>
      </c>
      <c r="Z81" s="13">
        <f>IFERROR(AVERAGE('Revenue Growth YoY'!Z78:Z81),"")</f>
        <v>2.7870464173881011</v>
      </c>
      <c r="AA81" s="13" t="str">
        <f>IFERROR(AVERAGE('Revenue Growth YoY'!AA78:AA81),"")</f>
        <v/>
      </c>
      <c r="AB81" s="13" t="str">
        <f>IFERROR(AVERAGE('Revenue Growth YoY'!AB78:AB81),"")</f>
        <v/>
      </c>
      <c r="AC81" s="11"/>
    </row>
    <row r="82" spans="1:29" ht="14">
      <c r="A82" s="14" t="s">
        <v>107</v>
      </c>
      <c r="B82" s="13">
        <f>IFERROR(AVERAGE('Revenue Growth YoY'!B79:B82),"")</f>
        <v>0.80141691175910545</v>
      </c>
      <c r="C82" s="13">
        <f ca="1">IFERROR(AVERAGE('Revenue Growth YoY'!C79:C82),"")</f>
        <v>0.16468073946765099</v>
      </c>
      <c r="D82" s="13">
        <f ca="1">IFERROR(AVERAGE('Revenue Growth YoY'!D79:D82),"")</f>
        <v>0.31498548405299093</v>
      </c>
      <c r="E82" s="13">
        <f ca="1">IFERROR(AVERAGE('Revenue Growth YoY'!E79:E82),"")</f>
        <v>0.76441434786959772</v>
      </c>
      <c r="F82" s="13">
        <f ca="1">IFERROR(AVERAGE('Revenue Growth YoY'!F79:F82),"")</f>
        <v>-8.0428954423592269E-3</v>
      </c>
      <c r="G82" s="13">
        <f ca="1">IFERROR(AVERAGE('Revenue Growth YoY'!G79:G82),"")</f>
        <v>0.40531538563277381</v>
      </c>
      <c r="H82" s="13">
        <f>IFERROR(AVERAGE('Revenue Growth YoY'!H79:H82),"")</f>
        <v>0.59047061862077721</v>
      </c>
      <c r="I82" s="13">
        <f ca="1">IFERROR(AVERAGE('Revenue Growth YoY'!I79:I82),"")</f>
        <v>-2.5398910628368715E-2</v>
      </c>
      <c r="J82" s="13">
        <f ca="1">IFERROR(AVERAGE('Revenue Growth YoY'!J79:J82),"")</f>
        <v>0.26296129686214131</v>
      </c>
      <c r="K82" s="13" t="str">
        <f>IFERROR(AVERAGE('Revenue Growth YoY'!K79:K82),"")</f>
        <v/>
      </c>
      <c r="L82" s="13">
        <f ca="1">IFERROR(AVERAGE('Revenue Growth YoY'!L79:L82),"")</f>
        <v>-0.99894142879764236</v>
      </c>
      <c r="M82" s="13" t="str">
        <f>IFERROR(AVERAGE('Revenue Growth YoY'!M79:M82),"")</f>
        <v/>
      </c>
      <c r="N82" s="13" t="str">
        <f ca="1">IFERROR(AVERAGE('Revenue Growth YoY'!N79:N82),"")</f>
        <v/>
      </c>
      <c r="O82" s="13">
        <f>IFERROR(AVERAGE('Revenue Growth YoY'!O79:O82),"")</f>
        <v>0.31983838303138656</v>
      </c>
      <c r="P82" s="13" t="str">
        <f>IFERROR(AVERAGE('Revenue Growth YoY'!P79:P82),"")</f>
        <v/>
      </c>
      <c r="Q82" s="13" t="str">
        <f>IFERROR(AVERAGE('Revenue Growth YoY'!Q79:Q82),"")</f>
        <v/>
      </c>
      <c r="R82" s="13">
        <f>IFERROR(AVERAGE('Revenue Growth YoY'!R79:R82),"")</f>
        <v>1.4144505714821731E-2</v>
      </c>
      <c r="S82" s="13" t="str">
        <f>IFERROR(AVERAGE('Revenue Growth YoY'!S79:S82),"")</f>
        <v/>
      </c>
      <c r="T82" s="13" t="str">
        <f>IFERROR(AVERAGE('Revenue Growth YoY'!T79:T82),"")</f>
        <v/>
      </c>
      <c r="U82" s="13" t="str">
        <f>IFERROR(AVERAGE('Revenue Growth YoY'!U79:U82),"")</f>
        <v/>
      </c>
      <c r="V82" s="13" t="str">
        <f>IFERROR(AVERAGE('Revenue Growth YoY'!V79:V82),"")</f>
        <v/>
      </c>
      <c r="W82" s="13">
        <f>IFERROR(AVERAGE('Revenue Growth YoY'!W79:W82),"")</f>
        <v>5.9439255681812297E-2</v>
      </c>
      <c r="X82" s="13">
        <f>IFERROR(AVERAGE('Revenue Growth YoY'!X79:X82),"")</f>
        <v>0.19555169578989817</v>
      </c>
      <c r="Y82" s="13">
        <f>IFERROR(AVERAGE('Revenue Growth YoY'!Y79:Y82),"")</f>
        <v>0.41707447621960547</v>
      </c>
      <c r="Z82" s="13">
        <f>IFERROR(AVERAGE('Revenue Growth YoY'!Z79:Z82),"")</f>
        <v>2.7870464173881011</v>
      </c>
      <c r="AA82" s="13" t="str">
        <f>IFERROR(AVERAGE('Revenue Growth YoY'!AA79:AA82),"")</f>
        <v/>
      </c>
      <c r="AB82" s="13" t="str">
        <f>IFERROR(AVERAGE('Revenue Growth YoY'!AB79:AB82),"")</f>
        <v/>
      </c>
      <c r="AC82" s="11"/>
    </row>
    <row r="83" spans="1:29" ht="14">
      <c r="A83" s="14" t="s">
        <v>108</v>
      </c>
      <c r="B83" s="13">
        <f>IFERROR(AVERAGE('Revenue Growth YoY'!B80:B83),"")</f>
        <v>0.73789497058840525</v>
      </c>
      <c r="C83" s="13">
        <f ca="1">IFERROR(AVERAGE('Revenue Growth YoY'!C80:C83),"")</f>
        <v>0.2133976281942605</v>
      </c>
      <c r="D83" s="13">
        <f ca="1">IFERROR(AVERAGE('Revenue Growth YoY'!D80:D83),"")</f>
        <v>0.31704855783593011</v>
      </c>
      <c r="E83" s="13">
        <f ca="1">IFERROR(AVERAGE('Revenue Growth YoY'!E80:E83),"")</f>
        <v>0.68477114534014905</v>
      </c>
      <c r="F83" s="13">
        <f ca="1">IFERROR(AVERAGE('Revenue Growth YoY'!F80:F83),"")</f>
        <v>2.0236717036314938E-2</v>
      </c>
      <c r="G83" s="13">
        <f ca="1">IFERROR(AVERAGE('Revenue Growth YoY'!G80:G83),"")</f>
        <v>0.52814891673216136</v>
      </c>
      <c r="H83" s="13">
        <f>IFERROR(AVERAGE('Revenue Growth YoY'!H80:H83),"")</f>
        <v>-1.3710240114065519E-2</v>
      </c>
      <c r="I83" s="13">
        <f ca="1">IFERROR(AVERAGE('Revenue Growth YoY'!I80:I83),"")</f>
        <v>7.8273068329782813E-2</v>
      </c>
      <c r="J83" s="13">
        <f ca="1">IFERROR(AVERAGE('Revenue Growth YoY'!J80:J83),"")</f>
        <v>0.31113349703782456</v>
      </c>
      <c r="K83" s="13" t="str">
        <f>IFERROR(AVERAGE('Revenue Growth YoY'!K80:K83),"")</f>
        <v/>
      </c>
      <c r="L83" s="13">
        <f ca="1">IFERROR(AVERAGE('Revenue Growth YoY'!L80:L83),"")</f>
        <v>-0.78114087209400607</v>
      </c>
      <c r="M83" s="13" t="str">
        <f>IFERROR(AVERAGE('Revenue Growth YoY'!M80:M83),"")</f>
        <v/>
      </c>
      <c r="N83" s="13">
        <f ca="1">IFERROR(AVERAGE('Revenue Growth YoY'!N80:N83),"")</f>
        <v>0.25996204933586342</v>
      </c>
      <c r="O83" s="13">
        <f>IFERROR(AVERAGE('Revenue Growth YoY'!O80:O83),"")</f>
        <v>0.3530226397915554</v>
      </c>
      <c r="P83" s="13" t="str">
        <f>IFERROR(AVERAGE('Revenue Growth YoY'!P80:P83),"")</f>
        <v/>
      </c>
      <c r="Q83" s="13" t="str">
        <f>IFERROR(AVERAGE('Revenue Growth YoY'!Q80:Q83),"")</f>
        <v/>
      </c>
      <c r="R83" s="13">
        <f>IFERROR(AVERAGE('Revenue Growth YoY'!R80:R83),"")</f>
        <v>4.2105720425545057E-2</v>
      </c>
      <c r="S83" s="13" t="str">
        <f>IFERROR(AVERAGE('Revenue Growth YoY'!S80:S83),"")</f>
        <v/>
      </c>
      <c r="T83" s="13" t="str">
        <f>IFERROR(AVERAGE('Revenue Growth YoY'!T80:T83),"")</f>
        <v/>
      </c>
      <c r="U83" s="13" t="str">
        <f>IFERROR(AVERAGE('Revenue Growth YoY'!U80:U83),"")</f>
        <v/>
      </c>
      <c r="V83" s="13" t="str">
        <f>IFERROR(AVERAGE('Revenue Growth YoY'!V80:V83),"")</f>
        <v/>
      </c>
      <c r="W83" s="13">
        <f>IFERROR(AVERAGE('Revenue Growth YoY'!W80:W83),"")</f>
        <v>4.9813382181857768E-2</v>
      </c>
      <c r="X83" s="13">
        <f>IFERROR(AVERAGE('Revenue Growth YoY'!X80:X83),"")</f>
        <v>0.26810878461657811</v>
      </c>
      <c r="Y83" s="13">
        <f>IFERROR(AVERAGE('Revenue Growth YoY'!Y80:Y83),"")</f>
        <v>0.3969215997790303</v>
      </c>
      <c r="Z83" s="13">
        <f>IFERROR(AVERAGE('Revenue Growth YoY'!Z80:Z83),"")</f>
        <v>2.4947604603881537</v>
      </c>
      <c r="AA83" s="13" t="str">
        <f>IFERROR(AVERAGE('Revenue Growth YoY'!AA80:AA83),"")</f>
        <v/>
      </c>
      <c r="AB83" s="13">
        <f>IFERROR(AVERAGE('Revenue Growth YoY'!AB80:AB83),"")</f>
        <v>0.58776696457118272</v>
      </c>
      <c r="AC83" s="11"/>
    </row>
    <row r="84" spans="1:29" ht="14">
      <c r="A84" s="14" t="s">
        <v>109</v>
      </c>
      <c r="B84" s="13">
        <f>IFERROR(AVERAGE('Revenue Growth YoY'!B81:B84),"")</f>
        <v>0.67437302941770505</v>
      </c>
      <c r="C84" s="13">
        <f ca="1">IFERROR(AVERAGE('Revenue Growth YoY'!C81:C84),"")</f>
        <v>0.23212305836763936</v>
      </c>
      <c r="D84" s="13">
        <f ca="1">IFERROR(AVERAGE('Revenue Growth YoY'!D81:D84),"")</f>
        <v>0.28232641148860776</v>
      </c>
      <c r="E84" s="13">
        <f ca="1">IFERROR(AVERAGE('Revenue Growth YoY'!E81:E84),"")</f>
        <v>0.62564238615613876</v>
      </c>
      <c r="F84" s="13">
        <f ca="1">IFERROR(AVERAGE('Revenue Growth YoY'!F81:F84),"")</f>
        <v>2.9272118118300355E-2</v>
      </c>
      <c r="G84" s="13">
        <f ca="1">IFERROR(AVERAGE('Revenue Growth YoY'!G81:G84),"")</f>
        <v>0.61137358400216835</v>
      </c>
      <c r="H84" s="13">
        <f ca="1">IFERROR(AVERAGE('Revenue Growth YoY'!H81:H84),"")</f>
        <v>2.4346826724528065E-2</v>
      </c>
      <c r="I84" s="13">
        <f ca="1">IFERROR(AVERAGE('Revenue Growth YoY'!I81:I84),"")</f>
        <v>0.15513887906655793</v>
      </c>
      <c r="J84" s="13">
        <f ca="1">IFERROR(AVERAGE('Revenue Growth YoY'!J81:J84),"")</f>
        <v>0.34896540402140208</v>
      </c>
      <c r="K84" s="13" t="str">
        <f>IFERROR(AVERAGE('Revenue Growth YoY'!K81:K84),"")</f>
        <v/>
      </c>
      <c r="L84" s="13">
        <f ca="1">IFERROR(AVERAGE('Revenue Growth YoY'!L81:L84),"")</f>
        <v>-0.55071066830676696</v>
      </c>
      <c r="M84" s="13" t="str">
        <f>IFERROR(AVERAGE('Revenue Growth YoY'!M81:M84),"")</f>
        <v/>
      </c>
      <c r="N84" s="13">
        <f ca="1">IFERROR(AVERAGE('Revenue Growth YoY'!N81:N84),"")</f>
        <v>0.3053960089658232</v>
      </c>
      <c r="O84" s="13">
        <f>IFERROR(AVERAGE('Revenue Growth YoY'!O81:O84),"")</f>
        <v>0.38620689655172424</v>
      </c>
      <c r="P84" s="13" t="str">
        <f>IFERROR(AVERAGE('Revenue Growth YoY'!P81:P84),"")</f>
        <v/>
      </c>
      <c r="Q84" s="13" t="str">
        <f>IFERROR(AVERAGE('Revenue Growth YoY'!Q81:Q84),"")</f>
        <v/>
      </c>
      <c r="R84" s="13">
        <f>IFERROR(AVERAGE('Revenue Growth YoY'!R81:R84),"")</f>
        <v>7.0066935136268382E-2</v>
      </c>
      <c r="S84" s="13"/>
      <c r="T84" s="13" t="str">
        <f>IFERROR(AVERAGE('Revenue Growth YoY'!T81:T84),"")</f>
        <v/>
      </c>
      <c r="U84" s="13" t="str">
        <f>IFERROR(AVERAGE('Revenue Growth YoY'!U81:U84),"")</f>
        <v/>
      </c>
      <c r="V84" s="13" t="str">
        <f>IFERROR(AVERAGE('Revenue Growth YoY'!V81:V84),"")</f>
        <v/>
      </c>
      <c r="W84" s="13">
        <f>IFERROR(AVERAGE('Revenue Growth YoY'!W81:W84),"")</f>
        <v>4.0187508681903239E-2</v>
      </c>
      <c r="X84" s="13">
        <f>IFERROR(AVERAGE('Revenue Growth YoY'!X81:X84),"")</f>
        <v>0.34066587344325805</v>
      </c>
      <c r="Y84" s="13">
        <f>IFERROR(AVERAGE('Revenue Growth YoY'!Y81:Y84),"")</f>
        <v>0.37676872333845512</v>
      </c>
      <c r="Z84" s="13">
        <f>IFERROR(AVERAGE('Revenue Growth YoY'!Z81:Z84),"")</f>
        <v>2.2024745033882063</v>
      </c>
      <c r="AA84" s="13" t="str">
        <f>IFERROR(AVERAGE('Revenue Growth YoY'!AA81:AA84),"")</f>
        <v/>
      </c>
      <c r="AB84" s="13">
        <f>IFERROR(AVERAGE('Revenue Growth YoY'!AB81:AB84),"")</f>
        <v>0.58776696457118272</v>
      </c>
      <c r="AC84" s="11"/>
    </row>
    <row r="85" spans="1:29" ht="14">
      <c r="A85" s="14" t="s">
        <v>110</v>
      </c>
      <c r="B85" s="13">
        <f>IFERROR(AVERAGE('Revenue Growth YoY'!B82:B85),"")</f>
        <v>0.61085108824700485</v>
      </c>
      <c r="C85" s="13">
        <f ca="1">IFERROR(AVERAGE('Revenue Growth YoY'!C82:C85),"")</f>
        <v>0.13229779581795564</v>
      </c>
      <c r="D85" s="13">
        <f ca="1">IFERROR(AVERAGE('Revenue Growth YoY'!D82:D85),"")</f>
        <v>0.18279600998563217</v>
      </c>
      <c r="E85" s="13">
        <f ca="1">IFERROR(AVERAGE('Revenue Growth YoY'!E82:E85),"")</f>
        <v>0.4710761684432323</v>
      </c>
      <c r="F85" s="13">
        <f ca="1">IFERROR(AVERAGE('Revenue Growth YoY'!F82:F85),"")</f>
        <v>7.7893724533763808E-3</v>
      </c>
      <c r="G85" s="13">
        <f ca="1">IFERROR(AVERAGE('Revenue Growth YoY'!G82:G85),"")</f>
        <v>0.44261201697906882</v>
      </c>
      <c r="H85" s="13">
        <f ca="1">IFERROR(AVERAGE('Revenue Growth YoY'!H82:H85),"")</f>
        <v>5.0984879174010067E-2</v>
      </c>
      <c r="I85" s="13">
        <f ca="1">IFERROR(AVERAGE('Revenue Growth YoY'!I82:I85),"")</f>
        <v>0.21384794484767966</v>
      </c>
      <c r="J85" s="13">
        <f ca="1">IFERROR(AVERAGE('Revenue Growth YoY'!J82:J85),"")</f>
        <v>0.56331766296282471</v>
      </c>
      <c r="K85" s="13" t="str">
        <f>IFERROR(AVERAGE('Revenue Growth YoY'!K82:K85),"")</f>
        <v/>
      </c>
      <c r="L85" s="13">
        <f ca="1">IFERROR(AVERAGE('Revenue Growth YoY'!L82:L85),"")</f>
        <v>-0.31741292097954121</v>
      </c>
      <c r="M85" s="13" t="str">
        <f>IFERROR(AVERAGE('Revenue Growth YoY'!M82:M85),"")</f>
        <v/>
      </c>
      <c r="N85" s="13">
        <f ca="1">IFERROR(AVERAGE('Revenue Growth YoY'!N82:N85),"")</f>
        <v>0.29100992672313625</v>
      </c>
      <c r="O85" s="13">
        <f>IFERROR(AVERAGE('Revenue Growth YoY'!O82:O85),"")</f>
        <v>0.92451657966326017</v>
      </c>
      <c r="P85" s="13" t="str">
        <f>IFERROR(AVERAGE('Revenue Growth YoY'!P82:P85),"")</f>
        <v/>
      </c>
      <c r="Q85" s="13" t="str">
        <f>IFERROR(AVERAGE('Revenue Growth YoY'!Q82:Q85),"")</f>
        <v/>
      </c>
      <c r="R85" s="13">
        <f>IFERROR(AVERAGE('Revenue Growth YoY'!R82:R85),"")</f>
        <v>9.8028149846991708E-2</v>
      </c>
      <c r="S85" s="13"/>
      <c r="T85" s="13" t="str">
        <f>IFERROR(AVERAGE('Revenue Growth YoY'!T82:T85),"")</f>
        <v/>
      </c>
      <c r="U85" s="13" t="str">
        <f>IFERROR(AVERAGE('Revenue Growth YoY'!U82:U85),"")</f>
        <v/>
      </c>
      <c r="V85" s="13" t="str">
        <f>IFERROR(AVERAGE('Revenue Growth YoY'!V82:V85),"")</f>
        <v/>
      </c>
      <c r="W85" s="13">
        <f>IFERROR(AVERAGE('Revenue Growth YoY'!W82:W85),"")</f>
        <v>4.5553755220484882E-2</v>
      </c>
      <c r="X85" s="13">
        <f>IFERROR(AVERAGE('Revenue Growth YoY'!X82:X85),"")</f>
        <v>0.41322296226993799</v>
      </c>
      <c r="Y85" s="13">
        <f>IFERROR(AVERAGE('Revenue Growth YoY'!Y82:Y85),"")</f>
        <v>0.35661584689787995</v>
      </c>
      <c r="Z85" s="13">
        <f>IFERROR(AVERAGE('Revenue Growth YoY'!Z82:Z85),"")</f>
        <v>1.9101885463882589</v>
      </c>
      <c r="AA85" s="13" t="str">
        <f>IFERROR(AVERAGE('Revenue Growth YoY'!AA82:AA85),"")</f>
        <v/>
      </c>
      <c r="AB85" s="13">
        <f>IFERROR(AVERAGE('Revenue Growth YoY'!AB82:AB85),"")</f>
        <v>0.58776696457118272</v>
      </c>
      <c r="AC85" s="11"/>
    </row>
    <row r="86" spans="1:29" ht="14">
      <c r="A86" s="14" t="s">
        <v>111</v>
      </c>
      <c r="B86" s="13">
        <f>IFERROR(AVERAGE('Revenue Growth YoY'!B83:B86),"")</f>
        <v>0.54732914707630465</v>
      </c>
      <c r="C86" s="13">
        <f ca="1">IFERROR(AVERAGE('Revenue Growth YoY'!C83:C86),"")</f>
        <v>0.17618958346264735</v>
      </c>
      <c r="D86" s="13">
        <f ca="1">IFERROR(AVERAGE('Revenue Growth YoY'!D83:D86),"")</f>
        <v>0.14610661736200342</v>
      </c>
      <c r="E86" s="13">
        <f ca="1">IFERROR(AVERAGE('Revenue Growth YoY'!E83:E86),"")</f>
        <v>0.35779551826890754</v>
      </c>
      <c r="F86" s="13">
        <f ca="1">IFERROR(AVERAGE('Revenue Growth YoY'!F83:F86),"")</f>
        <v>4.994882200711448E-2</v>
      </c>
      <c r="G86" s="13">
        <f ca="1">IFERROR(AVERAGE('Revenue Growth YoY'!G83:G86),"")</f>
        <v>0.39634927964121303</v>
      </c>
      <c r="H86" s="13">
        <f ca="1">IFERROR(AVERAGE('Revenue Growth YoY'!H83:H86),"")</f>
        <v>4.5269057521009293E-2</v>
      </c>
      <c r="I86" s="13">
        <f ca="1">IFERROR(AVERAGE('Revenue Growth YoY'!I83:I86),"")</f>
        <v>0.27498361105079072</v>
      </c>
      <c r="J86" s="13">
        <f ca="1">IFERROR(AVERAGE('Revenue Growth YoY'!J83:J86),"")</f>
        <v>0.54896913988851992</v>
      </c>
      <c r="K86" s="13" t="str">
        <f>IFERROR(AVERAGE('Revenue Growth YoY'!K83:K86),"")</f>
        <v/>
      </c>
      <c r="L86" s="13">
        <f ca="1">IFERROR(AVERAGE('Revenue Growth YoY'!L83:L86),"")</f>
        <v>-6.742542586298389E-3</v>
      </c>
      <c r="M86" s="13" t="str">
        <f>IFERROR(AVERAGE('Revenue Growth YoY'!M83:M86),"")</f>
        <v/>
      </c>
      <c r="N86" s="13">
        <f ca="1">IFERROR(AVERAGE('Revenue Growth YoY'!N83:N86),"")</f>
        <v>0.32385355209831324</v>
      </c>
      <c r="O86" s="13">
        <f>IFERROR(AVERAGE('Revenue Growth YoY'!O83:O86),"")</f>
        <v>1.4628262627747959</v>
      </c>
      <c r="P86" s="13" t="str">
        <f>IFERROR(AVERAGE('Revenue Growth YoY'!P83:P86),"")</f>
        <v/>
      </c>
      <c r="Q86" s="13" t="str">
        <f>IFERROR(AVERAGE('Revenue Growth YoY'!Q83:Q86),"")</f>
        <v/>
      </c>
      <c r="R86" s="13">
        <f>IFERROR(AVERAGE('Revenue Growth YoY'!R83:R86),"")</f>
        <v>0.12598936455771503</v>
      </c>
      <c r="S86" s="13"/>
      <c r="T86" s="13" t="str">
        <f>IFERROR(AVERAGE('Revenue Growth YoY'!T83:T86),"")</f>
        <v/>
      </c>
      <c r="U86" s="13" t="str">
        <f>IFERROR(AVERAGE('Revenue Growth YoY'!U83:U86),"")</f>
        <v/>
      </c>
      <c r="V86" s="13" t="str">
        <f>IFERROR(AVERAGE('Revenue Growth YoY'!V83:V86),"")</f>
        <v/>
      </c>
      <c r="W86" s="13">
        <f>IFERROR(AVERAGE('Revenue Growth YoY'!W83:W86),"")</f>
        <v>5.0920001759066524E-2</v>
      </c>
      <c r="X86" s="13">
        <f>IFERROR(AVERAGE('Revenue Growth YoY'!X83:X86),"")</f>
        <v>0.48578005109661793</v>
      </c>
      <c r="Y86" s="13">
        <f>IFERROR(AVERAGE('Revenue Growth YoY'!Y83:Y86),"")</f>
        <v>0.33646297045730478</v>
      </c>
      <c r="Z86" s="13">
        <f>IFERROR(AVERAGE('Revenue Growth YoY'!Z83:Z86),"")</f>
        <v>1.617902589388311</v>
      </c>
      <c r="AA86" s="13" t="str">
        <f>IFERROR(AVERAGE('Revenue Growth YoY'!AA83:AA86),"")</f>
        <v/>
      </c>
      <c r="AB86" s="13">
        <f>IFERROR(AVERAGE('Revenue Growth YoY'!AB83:AB86),"")</f>
        <v>0.58776696457118272</v>
      </c>
      <c r="AC86" s="11"/>
    </row>
    <row r="87" spans="1:29" ht="14">
      <c r="A87" s="14" t="s">
        <v>112</v>
      </c>
      <c r="B87" s="13">
        <f>IFERROR(AVERAGE('Revenue Growth YoY'!B84:B87),"")</f>
        <v>0.5168964252871775</v>
      </c>
      <c r="C87" s="13">
        <f ca="1">IFERROR(AVERAGE('Revenue Growth YoY'!C84:C87),"")</f>
        <v>0.19717621631951909</v>
      </c>
      <c r="D87" s="13">
        <f ca="1">IFERROR(AVERAGE('Revenue Growth YoY'!D84:D87),"")</f>
        <v>0.1451175596786286</v>
      </c>
      <c r="E87" s="13">
        <f ca="1">IFERROR(AVERAGE('Revenue Growth YoY'!E84:E87),"")</f>
        <v>0.33393233445948717</v>
      </c>
      <c r="F87" s="13">
        <f ca="1">IFERROR(AVERAGE('Revenue Growth YoY'!F84:F87),"")</f>
        <v>3.9776534617085135E-2</v>
      </c>
      <c r="G87" s="13">
        <f ca="1">IFERROR(AVERAGE('Revenue Growth YoY'!G84:G87),"")</f>
        <v>0.21884724576850578</v>
      </c>
      <c r="H87" s="13">
        <f ca="1">IFERROR(AVERAGE('Revenue Growth YoY'!H84:H87),"")</f>
        <v>9.5168065207570401E-2</v>
      </c>
      <c r="I87" s="13">
        <f ca="1">IFERROR(AVERAGE('Revenue Growth YoY'!I84:I87),"")</f>
        <v>0.24322725171570553</v>
      </c>
      <c r="J87" s="13">
        <f ca="1">IFERROR(AVERAGE('Revenue Growth YoY'!J84:J87),"")</f>
        <v>0.53663841414775781</v>
      </c>
      <c r="K87" s="13" t="str">
        <f>IFERROR(AVERAGE('Revenue Growth YoY'!K84:K87),"")</f>
        <v/>
      </c>
      <c r="L87" s="13">
        <f ca="1">IFERROR(AVERAGE('Revenue Growth YoY'!L84:L87),"")</f>
        <v>3.327515821746016E-2</v>
      </c>
      <c r="M87" s="13" t="str">
        <f>IFERROR(AVERAGE('Revenue Growth YoY'!M84:M87),"")</f>
        <v/>
      </c>
      <c r="N87" s="13">
        <f ca="1">IFERROR(AVERAGE('Revenue Growth YoY'!N84:N87),"")</f>
        <v>0.38743984699326306</v>
      </c>
      <c r="O87" s="13">
        <f>IFERROR(AVERAGE('Revenue Growth YoY'!O84:O87),"")</f>
        <v>2.0011359458863316</v>
      </c>
      <c r="P87" s="13" t="str">
        <f>IFERROR(AVERAGE('Revenue Growth YoY'!P84:P87),"")</f>
        <v/>
      </c>
      <c r="Q87" s="13" t="str">
        <f>IFERROR(AVERAGE('Revenue Growth YoY'!Q84:Q87),"")</f>
        <v/>
      </c>
      <c r="R87" s="13">
        <f>IFERROR(AVERAGE('Revenue Growth YoY'!R84:R87),"")</f>
        <v>0.1127530610614414</v>
      </c>
      <c r="S87" s="13"/>
      <c r="T87" s="13" t="str">
        <f>IFERROR(AVERAGE('Revenue Growth YoY'!T84:T87),"")</f>
        <v/>
      </c>
      <c r="U87" s="13" t="str">
        <f>IFERROR(AVERAGE('Revenue Growth YoY'!U84:U87),"")</f>
        <v/>
      </c>
      <c r="V87" s="13" t="str">
        <f>IFERROR(AVERAGE('Revenue Growth YoY'!V84:V87),"")</f>
        <v/>
      </c>
      <c r="W87" s="13">
        <f>IFERROR(AVERAGE('Revenue Growth YoY'!W84:W87),"")</f>
        <v>5.6286248297648167E-2</v>
      </c>
      <c r="X87" s="13">
        <f>IFERROR(AVERAGE('Revenue Growth YoY'!X84:X87),"")</f>
        <v>0.40108333123196199</v>
      </c>
      <c r="Y87" s="13">
        <f>IFERROR(AVERAGE('Revenue Growth YoY'!Y84:Y87),"")</f>
        <v>0.33520111188690621</v>
      </c>
      <c r="Z87" s="13">
        <f>IFERROR(AVERAGE('Revenue Growth YoY'!Z84:Z87),"")</f>
        <v>1.3222340439246953</v>
      </c>
      <c r="AA87" s="13">
        <f>IFERROR(AVERAGE('Revenue Growth YoY'!AA84:AA87),"")</f>
        <v>-3.3881456322743642E-2</v>
      </c>
      <c r="AB87" s="13">
        <f>IFERROR(AVERAGE('Revenue Growth YoY'!AB84:AB87),"")</f>
        <v>0.63248278954585535</v>
      </c>
      <c r="AC87" s="11"/>
    </row>
    <row r="88" spans="1:29" ht="14">
      <c r="A88" s="14" t="s">
        <v>113</v>
      </c>
      <c r="B88" s="13">
        <f>IFERROR(AVERAGE('Revenue Growth YoY'!B85:B88),"")</f>
        <v>0.48646370349805035</v>
      </c>
      <c r="C88" s="13">
        <f ca="1">IFERROR(AVERAGE('Revenue Growth YoY'!C85:C88),"")</f>
        <v>0.19371191714435915</v>
      </c>
      <c r="D88" s="13">
        <f ca="1">IFERROR(AVERAGE('Revenue Growth YoY'!D85:D88),"")</f>
        <v>0.12914092635670599</v>
      </c>
      <c r="E88" s="13">
        <f ca="1">IFERROR(AVERAGE('Revenue Growth YoY'!E85:E88),"")</f>
        <v>0.27732400925683376</v>
      </c>
      <c r="F88" s="13">
        <f ca="1">IFERROR(AVERAGE('Revenue Growth YoY'!F85:F88),"")</f>
        <v>2.398339414514572E-2</v>
      </c>
      <c r="G88" s="13">
        <f ca="1">IFERROR(AVERAGE('Revenue Growth YoY'!G85:G88),"")</f>
        <v>-8.9836920155986211E-4</v>
      </c>
      <c r="H88" s="13">
        <f ca="1">IFERROR(AVERAGE('Revenue Growth YoY'!H85:H88),"")</f>
        <v>6.0538558397493197E-2</v>
      </c>
      <c r="I88" s="13">
        <f ca="1">IFERROR(AVERAGE('Revenue Growth YoY'!I85:I88),"")</f>
        <v>0.19144120062188025</v>
      </c>
      <c r="J88" s="13">
        <f ca="1">IFERROR(AVERAGE('Revenue Growth YoY'!J85:J88),"")</f>
        <v>0.31869559805451775</v>
      </c>
      <c r="K88" s="13" t="str">
        <f>IFERROR(AVERAGE('Revenue Growth YoY'!K85:K88),"")</f>
        <v/>
      </c>
      <c r="L88" s="13">
        <f ca="1">IFERROR(AVERAGE('Revenue Growth YoY'!L85:L88),"")</f>
        <v>3.3972140245872251E-2</v>
      </c>
      <c r="M88" s="13" t="str">
        <f>IFERROR(AVERAGE('Revenue Growth YoY'!M85:M88),"")</f>
        <v/>
      </c>
      <c r="N88" s="13">
        <f ca="1">IFERROR(AVERAGE('Revenue Growth YoY'!N85:N88),"")</f>
        <v>0.41049289951386231</v>
      </c>
      <c r="O88" s="13">
        <f>IFERROR(AVERAGE('Revenue Growth YoY'!O85:O88),"")</f>
        <v>2.5394456289978677</v>
      </c>
      <c r="P88" s="13" t="str">
        <f>IFERROR(AVERAGE('Revenue Growth YoY'!P85:P88),"")</f>
        <v/>
      </c>
      <c r="Q88" s="13" t="str">
        <f>IFERROR(AVERAGE('Revenue Growth YoY'!Q85:Q88),"")</f>
        <v/>
      </c>
      <c r="R88" s="13">
        <f>IFERROR(AVERAGE('Revenue Growth YoY'!R85:R88),"")</f>
        <v>9.9516757565167757E-2</v>
      </c>
      <c r="S88" s="13">
        <f>IFERROR(AVERAGE('Revenue Growth YoY'!S85:S88),"")</f>
        <v>0.6564014705493233</v>
      </c>
      <c r="T88" s="13" t="str">
        <f>IFERROR(AVERAGE('Revenue Growth YoY'!T85:T88),"")</f>
        <v/>
      </c>
      <c r="U88" s="13" t="str">
        <f>IFERROR(AVERAGE('Revenue Growth YoY'!U85:U88),"")</f>
        <v/>
      </c>
      <c r="V88" s="13" t="str">
        <f>IFERROR(AVERAGE('Revenue Growth YoY'!V85:V88),"")</f>
        <v/>
      </c>
      <c r="W88" s="13">
        <f>IFERROR(AVERAGE('Revenue Growth YoY'!W85:W88),"")</f>
        <v>6.165249483622981E-2</v>
      </c>
      <c r="X88" s="13">
        <f>IFERROR(AVERAGE('Revenue Growth YoY'!X85:X88),"")</f>
        <v>0.31638661136730606</v>
      </c>
      <c r="Y88" s="13">
        <f>IFERROR(AVERAGE('Revenue Growth YoY'!Y85:Y88),"")</f>
        <v>0.33393925331650764</v>
      </c>
      <c r="Z88" s="13">
        <f>IFERROR(AVERAGE('Revenue Growth YoY'!Z85:Z88),"")</f>
        <v>1.0265654984610799</v>
      </c>
      <c r="AA88" s="13">
        <f>IFERROR(AVERAGE('Revenue Growth YoY'!AA85:AA88),"")</f>
        <v>-3.3881456322743642E-2</v>
      </c>
      <c r="AB88" s="13">
        <f>IFERROR(AVERAGE('Revenue Growth YoY'!AB85:AB88),"")</f>
        <v>0.67719861452052799</v>
      </c>
      <c r="AC88" s="11"/>
    </row>
    <row r="89" spans="1:29" ht="14">
      <c r="A89" s="14" t="s">
        <v>114</v>
      </c>
      <c r="B89" s="13">
        <f>IFERROR(AVERAGE('Revenue Growth YoY'!B86:B89),"")</f>
        <v>0.4560309817089232</v>
      </c>
      <c r="C89" s="13">
        <f ca="1">IFERROR(AVERAGE('Revenue Growth YoY'!C86:C89),"")</f>
        <v>0.16678686106864621</v>
      </c>
      <c r="D89" s="13">
        <f ca="1">IFERROR(AVERAGE('Revenue Growth YoY'!D86:D89),"")</f>
        <v>0.11797864626799293</v>
      </c>
      <c r="E89" s="13">
        <f ca="1">IFERROR(AVERAGE('Revenue Growth YoY'!E86:E89),"")</f>
        <v>0.21151248063200589</v>
      </c>
      <c r="F89" s="13">
        <f ca="1">IFERROR(AVERAGE('Revenue Growth YoY'!F86:F89),"")</f>
        <v>2.4114603598719253E-2</v>
      </c>
      <c r="G89" s="13">
        <f ca="1">IFERROR(AVERAGE('Revenue Growth YoY'!G86:G89),"")</f>
        <v>-7.1943555781518453E-2</v>
      </c>
      <c r="H89" s="13">
        <f ca="1">IFERROR(AVERAGE('Revenue Growth YoY'!H86:H89),"")</f>
        <v>4.4487508700985751E-2</v>
      </c>
      <c r="I89" s="13">
        <f ca="1">IFERROR(AVERAGE('Revenue Growth YoY'!I86:I89),"")</f>
        <v>0.11193887420741744</v>
      </c>
      <c r="J89" s="13">
        <f ca="1">IFERROR(AVERAGE('Revenue Growth YoY'!J86:J89),"")</f>
        <v>2.7489866222358411E-2</v>
      </c>
      <c r="K89" s="13" t="str">
        <f>IFERROR(AVERAGE('Revenue Growth YoY'!K86:K89),"")</f>
        <v/>
      </c>
      <c r="L89" s="13">
        <f ca="1">IFERROR(AVERAGE('Revenue Growth YoY'!L86:L89),"")</f>
        <v>5.170833952412271E-2</v>
      </c>
      <c r="M89" s="13" t="str">
        <f>IFERROR(AVERAGE('Revenue Growth YoY'!M86:M89),"")</f>
        <v/>
      </c>
      <c r="N89" s="13">
        <f ca="1">IFERROR(AVERAGE('Revenue Growth YoY'!N86:N89),"")</f>
        <v>0.48774663223850917</v>
      </c>
      <c r="O89" s="13">
        <f ca="1">IFERROR(AVERAGE('Revenue Growth YoY'!O86:O89),"")</f>
        <v>1.7561142356091535</v>
      </c>
      <c r="P89" s="13" t="str">
        <f>IFERROR(AVERAGE('Revenue Growth YoY'!P86:P89),"")</f>
        <v/>
      </c>
      <c r="Q89" s="13" t="str">
        <f>IFERROR(AVERAGE('Revenue Growth YoY'!Q86:Q89),"")</f>
        <v/>
      </c>
      <c r="R89" s="13">
        <f>IFERROR(AVERAGE('Revenue Growth YoY'!R86:R89),"")</f>
        <v>8.6280454068894119E-2</v>
      </c>
      <c r="S89" s="13">
        <f>IFERROR(AVERAGE('Revenue Growth YoY'!S86:S89),"")</f>
        <v>0.34867305779068103</v>
      </c>
      <c r="T89" s="13" t="str">
        <f>IFERROR(AVERAGE('Revenue Growth YoY'!T86:T89),"")</f>
        <v/>
      </c>
      <c r="U89" s="13" t="str">
        <f>IFERROR(AVERAGE('Revenue Growth YoY'!U86:U89),"")</f>
        <v/>
      </c>
      <c r="V89" s="13" t="str">
        <f>IFERROR(AVERAGE('Revenue Growth YoY'!V86:V89),"")</f>
        <v/>
      </c>
      <c r="W89" s="13">
        <f>IFERROR(AVERAGE('Revenue Growth YoY'!W86:W89),"")</f>
        <v>4.2462016755097393E-2</v>
      </c>
      <c r="X89" s="13">
        <f>IFERROR(AVERAGE('Revenue Growth YoY'!X86:X89),"")</f>
        <v>0.23168989150265012</v>
      </c>
      <c r="Y89" s="13">
        <f>IFERROR(AVERAGE('Revenue Growth YoY'!Y86:Y89),"")</f>
        <v>0.33267739474610908</v>
      </c>
      <c r="Z89" s="13">
        <f>IFERROR(AVERAGE('Revenue Growth YoY'!Z86:Z89),"")</f>
        <v>0.73089695299746438</v>
      </c>
      <c r="AA89" s="13">
        <f>IFERROR(AVERAGE('Revenue Growth YoY'!AA86:AA89),"")</f>
        <v>-3.3881456322743642E-2</v>
      </c>
      <c r="AB89" s="13">
        <f>IFERROR(AVERAGE('Revenue Growth YoY'!AB86:AB89),"")</f>
        <v>0.72191443949520062</v>
      </c>
      <c r="AC89" s="11"/>
    </row>
    <row r="90" spans="1:29" ht="14">
      <c r="A90" s="14" t="s">
        <v>115</v>
      </c>
      <c r="B90" s="13">
        <f>IFERROR(AVERAGE('Revenue Growth YoY'!B87:B90),"")</f>
        <v>0.42559825991979605</v>
      </c>
      <c r="C90" s="13">
        <f ca="1">IFERROR(AVERAGE('Revenue Growth YoY'!C87:C90),"")</f>
        <v>0.15490933844595123</v>
      </c>
      <c r="D90" s="13">
        <f ca="1">IFERROR(AVERAGE('Revenue Growth YoY'!D87:D90),"")</f>
        <v>0.11685712309798563</v>
      </c>
      <c r="E90" s="13">
        <f ca="1">IFERROR(AVERAGE('Revenue Growth YoY'!E87:E90),"")</f>
        <v>0.15951247520495093</v>
      </c>
      <c r="F90" s="13">
        <f ca="1">IFERROR(AVERAGE('Revenue Growth YoY'!F87:F90),"")</f>
        <v>3.9629312380611237E-2</v>
      </c>
      <c r="G90" s="13">
        <f ca="1">IFERROR(AVERAGE('Revenue Growth YoY'!G87:G90),"")</f>
        <v>-0.11083093797277854</v>
      </c>
      <c r="H90" s="13">
        <f ca="1">IFERROR(AVERAGE('Revenue Growth YoY'!H87:H90),"")</f>
        <v>5.3850381163890071E-2</v>
      </c>
      <c r="I90" s="13">
        <f ca="1">IFERROR(AVERAGE('Revenue Growth YoY'!I87:I90),"")</f>
        <v>1.7632966253439186E-2</v>
      </c>
      <c r="J90" s="13">
        <f ca="1">IFERROR(AVERAGE('Revenue Growth YoY'!J87:J90),"")</f>
        <v>-0.14215771550304285</v>
      </c>
      <c r="K90" s="13" t="str">
        <f>IFERROR(AVERAGE('Revenue Growth YoY'!K87:K90),"")</f>
        <v/>
      </c>
      <c r="L90" s="13">
        <f ca="1">IFERROR(AVERAGE('Revenue Growth YoY'!L87:L90),"")</f>
        <v>-6.7349536438592039E-2</v>
      </c>
      <c r="M90" s="13" t="str">
        <f>IFERROR(AVERAGE('Revenue Growth YoY'!M87:M90),"")</f>
        <v/>
      </c>
      <c r="N90" s="13">
        <f ca="1">IFERROR(AVERAGE('Revenue Growth YoY'!N87:N90),"")</f>
        <v>0.60426821249010887</v>
      </c>
      <c r="O90" s="13">
        <f ca="1">IFERROR(AVERAGE('Revenue Growth YoY'!O87:O90),"")</f>
        <v>0.97278284222043931</v>
      </c>
      <c r="P90" s="13" t="str">
        <f>IFERROR(AVERAGE('Revenue Growth YoY'!P87:P90),"")</f>
        <v/>
      </c>
      <c r="Q90" s="13" t="str">
        <f>IFERROR(AVERAGE('Revenue Growth YoY'!Q87:Q90),"")</f>
        <v/>
      </c>
      <c r="R90" s="13">
        <f>IFERROR(AVERAGE('Revenue Growth YoY'!R87:R90),"")</f>
        <v>7.3044150572620481E-2</v>
      </c>
      <c r="S90" s="13">
        <f>IFERROR(AVERAGE('Revenue Growth YoY'!S87:S90),"")</f>
        <v>4.0944645032038735E-2</v>
      </c>
      <c r="T90" s="13" t="str">
        <f>IFERROR(AVERAGE('Revenue Growth YoY'!T87:T90),"")</f>
        <v/>
      </c>
      <c r="U90" s="13" t="str">
        <f>IFERROR(AVERAGE('Revenue Growth YoY'!U87:U90),"")</f>
        <v/>
      </c>
      <c r="V90" s="13" t="str">
        <f>IFERROR(AVERAGE('Revenue Growth YoY'!V87:V90),"")</f>
        <v/>
      </c>
      <c r="W90" s="13">
        <f>IFERROR(AVERAGE('Revenue Growth YoY'!W87:W90),"")</f>
        <v>2.3271538673964975E-2</v>
      </c>
      <c r="X90" s="13">
        <f>IFERROR(AVERAGE('Revenue Growth YoY'!X87:X90),"")</f>
        <v>0.14699317163799419</v>
      </c>
      <c r="Y90" s="13">
        <f>IFERROR(AVERAGE('Revenue Growth YoY'!Y87:Y90),"")</f>
        <v>0.33141553617571051</v>
      </c>
      <c r="Z90" s="13">
        <f>IFERROR(AVERAGE('Revenue Growth YoY'!Z87:Z90),"")</f>
        <v>0.43522840753384884</v>
      </c>
      <c r="AA90" s="13">
        <f>IFERROR(AVERAGE('Revenue Growth YoY'!AA87:AA90),"")</f>
        <v>-3.3881456322743642E-2</v>
      </c>
      <c r="AB90" s="13">
        <f>IFERROR(AVERAGE('Revenue Growth YoY'!AB87:AB90),"")</f>
        <v>0.76663026446987326</v>
      </c>
      <c r="AC90" s="11"/>
    </row>
    <row r="91" spans="1:29" ht="14">
      <c r="A91" s="14" t="s">
        <v>116</v>
      </c>
      <c r="B91" s="13">
        <f ca="1">IFERROR(AVERAGE('Revenue Growth YoY'!B88:B91),"")</f>
        <v>0.29893676889141035</v>
      </c>
      <c r="C91" s="13">
        <f ca="1">IFERROR(AVERAGE('Revenue Growth YoY'!C88:C91),"")</f>
        <v>9.4548280653540456E-2</v>
      </c>
      <c r="D91" s="13">
        <f ca="1">IFERROR(AVERAGE('Revenue Growth YoY'!D88:D91),"")</f>
        <v>9.0492745388064399E-2</v>
      </c>
      <c r="E91" s="13">
        <f ca="1">IFERROR(AVERAGE('Revenue Growth YoY'!E88:E91),"")</f>
        <v>0.13896850184973264</v>
      </c>
      <c r="F91" s="13">
        <f ca="1">IFERROR(AVERAGE('Revenue Growth YoY'!F88:F91),"")</f>
        <v>3.4274302993343775E-2</v>
      </c>
      <c r="G91" s="13">
        <f ca="1">IFERROR(AVERAGE('Revenue Growth YoY'!G88:G91),"")</f>
        <v>-0.15168101276267237</v>
      </c>
      <c r="H91" s="13">
        <f ca="1">IFERROR(AVERAGE('Revenue Growth YoY'!H88:H91),"")</f>
        <v>2.7350402835374599E-2</v>
      </c>
      <c r="I91" s="13">
        <f ca="1">IFERROR(AVERAGE('Revenue Growth YoY'!I88:I91),"")</f>
        <v>-5.5621578569672453E-2</v>
      </c>
      <c r="J91" s="13">
        <f ca="1">IFERROR(AVERAGE('Revenue Growth YoY'!J88:J91),"")</f>
        <v>-0.28044258303820174</v>
      </c>
      <c r="K91" s="13" t="str">
        <f>IFERROR(AVERAGE('Revenue Growth YoY'!K88:K91),"")</f>
        <v/>
      </c>
      <c r="L91" s="13">
        <f ca="1">IFERROR(AVERAGE('Revenue Growth YoY'!L88:L91),"")</f>
        <v>-0.16856853048327977</v>
      </c>
      <c r="M91" s="13" t="str">
        <f ca="1">IFERROR(AVERAGE('Revenue Growth YoY'!M88:M91),"")</f>
        <v/>
      </c>
      <c r="N91" s="13">
        <f ca="1">IFERROR(AVERAGE('Revenue Growth YoY'!N88:N91),"")</f>
        <v>0.60367499551479831</v>
      </c>
      <c r="O91" s="13">
        <f ca="1">IFERROR(AVERAGE('Revenue Growth YoY'!O88:O91),"")</f>
        <v>0.1985764443891761</v>
      </c>
      <c r="P91" s="13" t="str">
        <f>IFERROR(AVERAGE('Revenue Growth YoY'!P88:P91),"")</f>
        <v/>
      </c>
      <c r="Q91" s="13" t="str">
        <f>IFERROR(AVERAGE('Revenue Growth YoY'!Q88:Q91),"")</f>
        <v/>
      </c>
      <c r="R91" s="13">
        <f>IFERROR(AVERAGE('Revenue Growth YoY'!R88:R91),"")</f>
        <v>9.9085836826081575E-2</v>
      </c>
      <c r="S91" s="13">
        <f>IFERROR(AVERAGE('Revenue Growth YoY'!S88:S91),"")</f>
        <v>-0.2667837677266035</v>
      </c>
      <c r="T91" s="13" t="str">
        <f ca="1">IFERROR(AVERAGE('Revenue Growth YoY'!T88:T91),"")</f>
        <v/>
      </c>
      <c r="U91" s="13" t="str">
        <f>IFERROR(AVERAGE('Revenue Growth YoY'!U88:U91),"")</f>
        <v/>
      </c>
      <c r="V91" s="13" t="str">
        <f>IFERROR(AVERAGE('Revenue Growth YoY'!V88:V91),"")</f>
        <v/>
      </c>
      <c r="W91" s="13">
        <f>IFERROR(AVERAGE('Revenue Growth YoY'!W88:W91),"")</f>
        <v>4.0810605928325583E-3</v>
      </c>
      <c r="X91" s="13">
        <f>IFERROR(AVERAGE('Revenue Growth YoY'!X88:X91),"")</f>
        <v>0.16796037349601806</v>
      </c>
      <c r="Y91" s="13">
        <f>IFERROR(AVERAGE('Revenue Growth YoY'!Y88:Y91),"")</f>
        <v>0.36337447338328016</v>
      </c>
      <c r="Z91" s="13">
        <f>IFERROR(AVERAGE('Revenue Growth YoY'!Z88:Z91),"")</f>
        <v>0.36519993654545857</v>
      </c>
      <c r="AA91" s="13">
        <f>IFERROR(AVERAGE('Revenue Growth YoY'!AA88:AA91),"")</f>
        <v>-5.55986592302678E-2</v>
      </c>
      <c r="AB91" s="13">
        <f>IFERROR(AVERAGE('Revenue Growth YoY'!AB88:AB91),"")</f>
        <v>0.64125323696073133</v>
      </c>
      <c r="AC91" s="11"/>
    </row>
    <row r="92" spans="1:29" ht="14">
      <c r="A92" s="14" t="s">
        <v>117</v>
      </c>
      <c r="B92" s="13">
        <f ca="1">IFERROR(AVERAGE('Revenue Growth YoY'!B89:B92),"")</f>
        <v>0.27495916073768051</v>
      </c>
      <c r="C92" s="13">
        <f ca="1">IFERROR(AVERAGE('Revenue Growth YoY'!C89:C92),"")</f>
        <v>7.4299586592498884E-2</v>
      </c>
      <c r="D92" s="13">
        <f ca="1">IFERROR(AVERAGE('Revenue Growth YoY'!D89:D92),"")</f>
        <v>8.5768388272828511E-2</v>
      </c>
      <c r="E92" s="13">
        <f ca="1">IFERROR(AVERAGE('Revenue Growth YoY'!E89:E92),"")</f>
        <v>0.13210523590425188</v>
      </c>
      <c r="F92" s="13">
        <f ca="1">IFERROR(AVERAGE('Revenue Growth YoY'!F89:F92),"")</f>
        <v>2.2616659958788921E-2</v>
      </c>
      <c r="G92" s="13">
        <f ca="1">IFERROR(AVERAGE('Revenue Growth YoY'!G89:G92),"")</f>
        <v>-0.11062605277007595</v>
      </c>
      <c r="H92" s="13">
        <f ca="1">IFERROR(AVERAGE('Revenue Growth YoY'!H89:H92),"")</f>
        <v>4.0166153206845634E-2</v>
      </c>
      <c r="I92" s="13">
        <f ca="1">IFERROR(AVERAGE('Revenue Growth YoY'!I89:I92),"")</f>
        <v>-9.3057717979579319E-2</v>
      </c>
      <c r="J92" s="13">
        <f ca="1">IFERROR(AVERAGE('Revenue Growth YoY'!J89:J92),"")</f>
        <v>-0.20143725871267623</v>
      </c>
      <c r="K92" s="13" t="str">
        <f>IFERROR(AVERAGE('Revenue Growth YoY'!K89:K92),"")</f>
        <v/>
      </c>
      <c r="L92" s="13">
        <f ca="1">IFERROR(AVERAGE('Revenue Growth YoY'!L89:L92),"")</f>
        <v>-0.23931292955253872</v>
      </c>
      <c r="M92" s="13" t="str">
        <f ca="1">IFERROR(AVERAGE('Revenue Growth YoY'!M89:M92),"")</f>
        <v/>
      </c>
      <c r="N92" s="13">
        <f ca="1">IFERROR(AVERAGE('Revenue Growth YoY'!N89:N92),"")</f>
        <v>0.67001456592005204</v>
      </c>
      <c r="O92" s="13">
        <f ca="1">IFERROR(AVERAGE('Revenue Growth YoY'!O89:O92),"")</f>
        <v>-0.57562995344208723</v>
      </c>
      <c r="P92" s="13" t="str">
        <f>IFERROR(AVERAGE('Revenue Growth YoY'!P89:P92),"")</f>
        <v/>
      </c>
      <c r="Q92" s="13" t="str">
        <f>IFERROR(AVERAGE('Revenue Growth YoY'!Q89:Q92),"")</f>
        <v/>
      </c>
      <c r="R92" s="13">
        <f>IFERROR(AVERAGE('Revenue Growth YoY'!R89:R92),"")</f>
        <v>0.12512752307954267</v>
      </c>
      <c r="S92" s="13">
        <f>IFERROR(AVERAGE('Revenue Growth YoY'!S89:S92),"")</f>
        <v>-0.25108306976183659</v>
      </c>
      <c r="T92" s="13" t="str">
        <f ca="1">IFERROR(AVERAGE('Revenue Growth YoY'!T89:T92),"")</f>
        <v/>
      </c>
      <c r="U92" s="13" t="str">
        <f>IFERROR(AVERAGE('Revenue Growth YoY'!U89:U92),"")</f>
        <v/>
      </c>
      <c r="V92" s="13" t="str">
        <f>IFERROR(AVERAGE('Revenue Growth YoY'!V89:V92),"")</f>
        <v/>
      </c>
      <c r="W92" s="13">
        <f>IFERROR(AVERAGE('Revenue Growth YoY'!W89:W92),"")</f>
        <v>-1.5109417488299859E-2</v>
      </c>
      <c r="X92" s="13">
        <f>IFERROR(AVERAGE('Revenue Growth YoY'!X89:X92),"")</f>
        <v>0.18892757535404192</v>
      </c>
      <c r="Y92" s="13">
        <f>IFERROR(AVERAGE('Revenue Growth YoY'!Y89:Y92),"")</f>
        <v>0.39533341059084981</v>
      </c>
      <c r="Z92" s="13">
        <f>IFERROR(AVERAGE('Revenue Growth YoY'!Z89:Z92),"")</f>
        <v>0.2951714655570683</v>
      </c>
      <c r="AA92" s="13">
        <f>IFERROR(AVERAGE('Revenue Growth YoY'!AA89:AA92),"")</f>
        <v>-7.7315862137791957E-2</v>
      </c>
      <c r="AB92" s="13">
        <f>IFERROR(AVERAGE('Revenue Growth YoY'!AB89:AB92),"")</f>
        <v>0.51587620945158941</v>
      </c>
      <c r="AC92" s="11"/>
    </row>
    <row r="93" spans="1:29" ht="14">
      <c r="A93" s="14" t="s">
        <v>118</v>
      </c>
      <c r="B93" s="13">
        <f ca="1">IFERROR(AVERAGE('Revenue Growth YoY'!B90:B93),"")</f>
        <v>0.36927338565555418</v>
      </c>
      <c r="C93" s="13">
        <f ca="1">IFERROR(AVERAGE('Revenue Growth YoY'!C90:C93),"")</f>
        <v>6.0740131685362214E-2</v>
      </c>
      <c r="D93" s="13">
        <f ca="1">IFERROR(AVERAGE('Revenue Growth YoY'!D90:D93),"")</f>
        <v>8.1159067496953452E-2</v>
      </c>
      <c r="E93" s="13">
        <f ca="1">IFERROR(AVERAGE('Revenue Growth YoY'!E90:E93),"")</f>
        <v>0.11460966098590814</v>
      </c>
      <c r="F93" s="13">
        <f ca="1">IFERROR(AVERAGE('Revenue Growth YoY'!F90:F93),"")</f>
        <v>-4.5789314508260515E-3</v>
      </c>
      <c r="G93" s="13">
        <f ca="1">IFERROR(AVERAGE('Revenue Growth YoY'!G90:G93),"")</f>
        <v>-8.4066145140159032E-2</v>
      </c>
      <c r="H93" s="13">
        <f ca="1">IFERROR(AVERAGE('Revenue Growth YoY'!H90:H93),"")</f>
        <v>4.5798283093373138E-2</v>
      </c>
      <c r="I93" s="13">
        <f ca="1">IFERROR(AVERAGE('Revenue Growth YoY'!I90:I93),"")</f>
        <v>-5.1449746702633165E-2</v>
      </c>
      <c r="J93" s="13">
        <f ca="1">IFERROR(AVERAGE('Revenue Growth YoY'!J90:J93),"")</f>
        <v>-8.6204355827204399E-2</v>
      </c>
      <c r="K93" s="13" t="str">
        <f>IFERROR(AVERAGE('Revenue Growth YoY'!K90:K93),"")</f>
        <v/>
      </c>
      <c r="L93" s="13">
        <f ca="1">IFERROR(AVERAGE('Revenue Growth YoY'!L90:L93),"")</f>
        <v>-0.3129831440688613</v>
      </c>
      <c r="M93" s="13" t="str">
        <f ca="1">IFERROR(AVERAGE('Revenue Growth YoY'!M90:M93),"")</f>
        <v/>
      </c>
      <c r="N93" s="13">
        <f ca="1">IFERROR(AVERAGE('Revenue Growth YoY'!N90:N93),"")</f>
        <v>0.67107994307670893</v>
      </c>
      <c r="O93" s="13">
        <f ca="1">IFERROR(AVERAGE('Revenue Growth YoY'!O90:O93),"")</f>
        <v>-0.36686417663162313</v>
      </c>
      <c r="P93" s="13" t="str">
        <f>IFERROR(AVERAGE('Revenue Growth YoY'!P90:P93),"")</f>
        <v/>
      </c>
      <c r="Q93" s="13" t="str">
        <f>IFERROR(AVERAGE('Revenue Growth YoY'!Q90:Q93),"")</f>
        <v/>
      </c>
      <c r="R93" s="13">
        <f>IFERROR(AVERAGE('Revenue Growth YoY'!R90:R93),"")</f>
        <v>0.15116920933300376</v>
      </c>
      <c r="S93" s="13">
        <f>IFERROR(AVERAGE('Revenue Growth YoY'!S90:S93),"")</f>
        <v>-0.23538237179706961</v>
      </c>
      <c r="T93" s="13" t="str">
        <f ca="1">IFERROR(AVERAGE('Revenue Growth YoY'!T90:T93),"")</f>
        <v/>
      </c>
      <c r="U93" s="13" t="str">
        <f>IFERROR(AVERAGE('Revenue Growth YoY'!U90:U93),"")</f>
        <v/>
      </c>
      <c r="V93" s="13" t="str">
        <f>IFERROR(AVERAGE('Revenue Growth YoY'!V90:V93),"")</f>
        <v/>
      </c>
      <c r="W93" s="13">
        <f>IFERROR(AVERAGE('Revenue Growth YoY'!W90:W93),"")</f>
        <v>-9.6653128924925502E-2</v>
      </c>
      <c r="X93" s="13">
        <f>IFERROR(AVERAGE('Revenue Growth YoY'!X90:X93),"")</f>
        <v>0.20989477721206579</v>
      </c>
      <c r="Y93" s="13">
        <f>IFERROR(AVERAGE('Revenue Growth YoY'!Y90:Y93),"")</f>
        <v>0.42729234779841946</v>
      </c>
      <c r="Z93" s="13">
        <f>IFERROR(AVERAGE('Revenue Growth YoY'!Z90:Z93),"")</f>
        <v>0.22514299456867803</v>
      </c>
      <c r="AA93" s="13">
        <f>IFERROR(AVERAGE('Revenue Growth YoY'!AA90:AA93),"")</f>
        <v>-9.9033065045316115E-2</v>
      </c>
      <c r="AB93" s="13">
        <f>IFERROR(AVERAGE('Revenue Growth YoY'!AB90:AB93),"")</f>
        <v>0.39049918194244748</v>
      </c>
      <c r="AC93" s="11"/>
    </row>
    <row r="94" spans="1:29" ht="14">
      <c r="A94" s="14" t="s">
        <v>119</v>
      </c>
      <c r="B94" s="13">
        <f ca="1">IFERROR(AVERAGE('Revenue Growth YoY'!B91:B94),"")</f>
        <v>0.31599664292158919</v>
      </c>
      <c r="C94" s="13">
        <f ca="1">IFERROR(AVERAGE('Revenue Growth YoY'!C91:C94),"")</f>
        <v>3.3976090357093508E-2</v>
      </c>
      <c r="D94" s="13">
        <f ca="1">IFERROR(AVERAGE('Revenue Growth YoY'!D91:D94),"")</f>
        <v>7.3652395714284447E-2</v>
      </c>
      <c r="E94" s="13">
        <f ca="1">IFERROR(AVERAGE('Revenue Growth YoY'!E91:E94),"")</f>
        <v>9.6163235888364063E-2</v>
      </c>
      <c r="F94" s="13">
        <f ca="1">IFERROR(AVERAGE('Revenue Growth YoY'!F91:F94),"")</f>
        <v>-3.1997313313862408E-2</v>
      </c>
      <c r="G94" s="13">
        <f ca="1">IFERROR(AVERAGE('Revenue Growth YoY'!G91:G94),"")</f>
        <v>-8.0639203664441772E-2</v>
      </c>
      <c r="H94" s="13">
        <f ca="1">IFERROR(AVERAGE('Revenue Growth YoY'!H91:H94),"")</f>
        <v>8.4394581785670164E-2</v>
      </c>
      <c r="I94" s="13">
        <f ca="1">IFERROR(AVERAGE('Revenue Growth YoY'!I91:I94),"")</f>
        <v>-6.8070532309181531E-3</v>
      </c>
      <c r="J94" s="13">
        <f ca="1">IFERROR(AVERAGE('Revenue Growth YoY'!J91:J94),"")</f>
        <v>2.709365365322558E-2</v>
      </c>
      <c r="K94" s="13" t="str">
        <f>IFERROR(AVERAGE('Revenue Growth YoY'!K91:K94),"")</f>
        <v/>
      </c>
      <c r="L94" s="13">
        <f ca="1">IFERROR(AVERAGE('Revenue Growth YoY'!L91:L94),"")</f>
        <v>-0.34681868323622794</v>
      </c>
      <c r="M94" s="13" t="str">
        <f ca="1">IFERROR(AVERAGE('Revenue Growth YoY'!M91:M94),"")</f>
        <v/>
      </c>
      <c r="N94" s="13">
        <f ca="1">IFERROR(AVERAGE('Revenue Growth YoY'!N91:N94),"")</f>
        <v>0.54144413982711925</v>
      </c>
      <c r="O94" s="13">
        <f ca="1">IFERROR(AVERAGE('Revenue Growth YoY'!O91:O94),"")</f>
        <v>-0.15809839982115903</v>
      </c>
      <c r="P94" s="13" t="str">
        <f>IFERROR(AVERAGE('Revenue Growth YoY'!P91:P94),"")</f>
        <v/>
      </c>
      <c r="Q94" s="13" t="str">
        <f>IFERROR(AVERAGE('Revenue Growth YoY'!Q91:Q94),"")</f>
        <v/>
      </c>
      <c r="R94" s="13">
        <f>IFERROR(AVERAGE('Revenue Growth YoY'!R91:R94),"")</f>
        <v>0.17721089558646486</v>
      </c>
      <c r="S94" s="13">
        <f>IFERROR(AVERAGE('Revenue Growth YoY'!S91:S94),"")</f>
        <v>-0.21968167383230267</v>
      </c>
      <c r="T94" s="13" t="str">
        <f ca="1">IFERROR(AVERAGE('Revenue Growth YoY'!T91:T94),"")</f>
        <v/>
      </c>
      <c r="U94" s="13" t="str">
        <f>IFERROR(AVERAGE('Revenue Growth YoY'!U91:U94),"")</f>
        <v/>
      </c>
      <c r="V94" s="13" t="str">
        <f>IFERROR(AVERAGE('Revenue Growth YoY'!V91:V94),"")</f>
        <v/>
      </c>
      <c r="W94" s="13">
        <f>IFERROR(AVERAGE('Revenue Growth YoY'!W91:W94),"")</f>
        <v>-0.17819684036155115</v>
      </c>
      <c r="X94" s="13">
        <f>IFERROR(AVERAGE('Revenue Growth YoY'!X91:X94),"")</f>
        <v>0.23086197907008965</v>
      </c>
      <c r="Y94" s="13">
        <f>IFERROR(AVERAGE('Revenue Growth YoY'!Y91:Y94),"")</f>
        <v>0.45925128500598911</v>
      </c>
      <c r="Z94" s="13">
        <f>IFERROR(AVERAGE('Revenue Growth YoY'!Z91:Z94),"")</f>
        <v>0.15511452358028777</v>
      </c>
      <c r="AA94" s="13">
        <f>IFERROR(AVERAGE('Revenue Growth YoY'!AA91:AA94),"")</f>
        <v>-0.12075026795284027</v>
      </c>
      <c r="AB94" s="13">
        <f>IFERROR(AVERAGE('Revenue Growth YoY'!AB91:AB94),"")</f>
        <v>0.26512215443330556</v>
      </c>
      <c r="AC94" s="11"/>
    </row>
    <row r="95" spans="1:29" ht="14">
      <c r="A95" s="14" t="s">
        <v>120</v>
      </c>
      <c r="B95" s="13">
        <f ca="1">IFERROR(AVERAGE('Revenue Growth YoY'!B92:B95),"")</f>
        <v>0.33710183476263611</v>
      </c>
      <c r="C95" s="13">
        <f ca="1">IFERROR(AVERAGE('Revenue Growth YoY'!C92:C95),"")</f>
        <v>-6.6160424450043831E-3</v>
      </c>
      <c r="D95" s="13">
        <f ca="1">IFERROR(AVERAGE('Revenue Growth YoY'!D92:D95),"")</f>
        <v>2.5255750987376036E-2</v>
      </c>
      <c r="E95" s="13">
        <f ca="1">IFERROR(AVERAGE('Revenue Growth YoY'!E92:E95),"")</f>
        <v>-4.8727239236843106E-2</v>
      </c>
      <c r="F95" s="13">
        <f ca="1">IFERROR(AVERAGE('Revenue Growth YoY'!F92:F95),"")</f>
        <v>-9.5834136459196168E-2</v>
      </c>
      <c r="G95" s="13">
        <f ca="1">IFERROR(AVERAGE('Revenue Growth YoY'!G92:G95),"")</f>
        <v>-0.11479808327909016</v>
      </c>
      <c r="H95" s="13">
        <f ca="1">IFERROR(AVERAGE('Revenue Growth YoY'!H92:H95),"")</f>
        <v>5.4733106067353654E-3</v>
      </c>
      <c r="I95" s="13">
        <f ca="1">IFERROR(AVERAGE('Revenue Growth YoY'!I92:I95),"")</f>
        <v>-8.7803245043301392E-2</v>
      </c>
      <c r="J95" s="13">
        <f ca="1">IFERROR(AVERAGE('Revenue Growth YoY'!J92:J95),"")</f>
        <v>5.502189068018204E-2</v>
      </c>
      <c r="K95" s="13" t="str">
        <f>IFERROR(AVERAGE('Revenue Growth YoY'!K92:K95),"")</f>
        <v/>
      </c>
      <c r="L95" s="13">
        <f ca="1">IFERROR(AVERAGE('Revenue Growth YoY'!L92:L95),"")</f>
        <v>-0.35049366945360727</v>
      </c>
      <c r="M95" s="13">
        <f ca="1">IFERROR(AVERAGE('Revenue Growth YoY'!M92:M95),"")</f>
        <v>0.98322147651007219</v>
      </c>
      <c r="N95" s="13">
        <f ca="1">IFERROR(AVERAGE('Revenue Growth YoY'!N92:N95),"")</f>
        <v>0.38279125176065432</v>
      </c>
      <c r="O95" s="13">
        <f ca="1">IFERROR(AVERAGE('Revenue Growth YoY'!O92:O95),"")</f>
        <v>-0.20520956790324602</v>
      </c>
      <c r="P95" s="13" t="str">
        <f>IFERROR(AVERAGE('Revenue Growth YoY'!P92:P95),"")</f>
        <v/>
      </c>
      <c r="Q95" s="13" t="str">
        <f>IFERROR(AVERAGE('Revenue Growth YoY'!Q92:Q95),"")</f>
        <v/>
      </c>
      <c r="R95" s="13">
        <f>IFERROR(AVERAGE('Revenue Growth YoY'!R92:R95),"")</f>
        <v>-3.4892938185800415E-2</v>
      </c>
      <c r="S95" s="13">
        <f>IFERROR(AVERAGE('Revenue Growth YoY'!S92:S95),"")</f>
        <v>-0.20398097586753572</v>
      </c>
      <c r="T95" s="13" t="str">
        <f ca="1">IFERROR(AVERAGE('Revenue Growth YoY'!T92:T95),"")</f>
        <v/>
      </c>
      <c r="U95" s="13" t="str">
        <f>IFERROR(AVERAGE('Revenue Growth YoY'!U92:U95),"")</f>
        <v/>
      </c>
      <c r="V95" s="13" t="str">
        <f>IFERROR(AVERAGE('Revenue Growth YoY'!V92:V95),"")</f>
        <v/>
      </c>
      <c r="W95" s="13">
        <f>IFERROR(AVERAGE('Revenue Growth YoY'!W92:W95),"")</f>
        <v>-0.25974055179817679</v>
      </c>
      <c r="X95" s="13">
        <f>IFERROR(AVERAGE('Revenue Growth YoY'!X92:X95),"")</f>
        <v>7.4334920044695219E-3</v>
      </c>
      <c r="Y95" s="13">
        <f>IFERROR(AVERAGE('Revenue Growth YoY'!Y92:Y95),"")</f>
        <v>0.19544426163899131</v>
      </c>
      <c r="Z95" s="13">
        <f>IFERROR(AVERAGE('Revenue Growth YoY'!Z92:Z95),"")</f>
        <v>-3.7453917570368311E-2</v>
      </c>
      <c r="AA95" s="13">
        <f>IFERROR(AVERAGE('Revenue Growth YoY'!AA92:AA95),"")</f>
        <v>-0.25136188179209196</v>
      </c>
      <c r="AB95" s="13">
        <f>IFERROR(AVERAGE('Revenue Growth YoY'!AB92:AB95),"")</f>
        <v>0.10606128636802653</v>
      </c>
      <c r="AC95" s="11"/>
    </row>
    <row r="96" spans="1:29" ht="14">
      <c r="A96" s="14" t="s">
        <v>121</v>
      </c>
      <c r="B96" s="13">
        <f ca="1">IFERROR(AVERAGE('Revenue Growth YoY'!B93:B96),"")</f>
        <v>7.3620158002314806E-2</v>
      </c>
      <c r="C96" s="13">
        <f ca="1">IFERROR(AVERAGE('Revenue Growth YoY'!C93:C96),"")</f>
        <v>-0.23782298803367127</v>
      </c>
      <c r="D96" s="13">
        <f ca="1">IFERROR(AVERAGE('Revenue Growth YoY'!D93:D96),"")</f>
        <v>-0.20356427161015012</v>
      </c>
      <c r="E96" s="13">
        <f ca="1">IFERROR(AVERAGE('Revenue Growth YoY'!E93:E96),"")</f>
        <v>-0.24517657148375274</v>
      </c>
      <c r="F96" s="13">
        <f ca="1">IFERROR(AVERAGE('Revenue Growth YoY'!F93:F96),"")</f>
        <v>-0.30453049056315507</v>
      </c>
      <c r="G96" s="13">
        <f ca="1">IFERROR(AVERAGE('Revenue Growth YoY'!G93:G96),"")</f>
        <v>-0.33478497179937206</v>
      </c>
      <c r="H96" s="13">
        <f ca="1">IFERROR(AVERAGE('Revenue Growth YoY'!H93:H96),"")</f>
        <v>-0.22801381785660846</v>
      </c>
      <c r="I96" s="13">
        <f ca="1">IFERROR(AVERAGE('Revenue Growth YoY'!I93:I96),"")</f>
        <v>-0.33145807850401654</v>
      </c>
      <c r="J96" s="13">
        <f ca="1">IFERROR(AVERAGE('Revenue Growth YoY'!J93:J96),"")</f>
        <v>-0.19163081105273028</v>
      </c>
      <c r="K96" s="13" t="str">
        <f>IFERROR(AVERAGE('Revenue Growth YoY'!K93:K96),"")</f>
        <v/>
      </c>
      <c r="L96" s="13">
        <f ca="1">IFERROR(AVERAGE('Revenue Growth YoY'!L93:L96),"")</f>
        <v>-0.49188803728367969</v>
      </c>
      <c r="M96" s="13">
        <f ca="1">IFERROR(AVERAGE('Revenue Growth YoY'!M93:M96),"")</f>
        <v>4.0843791199123181E-2</v>
      </c>
      <c r="N96" s="13">
        <f ca="1">IFERROR(AVERAGE('Revenue Growth YoY'!N93:N96),"")</f>
        <v>-3.5215504833745609E-2</v>
      </c>
      <c r="O96" s="13">
        <f ca="1">IFERROR(AVERAGE('Revenue Growth YoY'!O93:O96),"")</f>
        <v>-0.252320735985333</v>
      </c>
      <c r="P96" s="13" t="str">
        <f>IFERROR(AVERAGE('Revenue Growth YoY'!P93:P96),"")</f>
        <v/>
      </c>
      <c r="Q96" s="13" t="str">
        <f>IFERROR(AVERAGE('Revenue Growth YoY'!Q93:Q96),"")</f>
        <v/>
      </c>
      <c r="R96" s="13">
        <f>IFERROR(AVERAGE('Revenue Growth YoY'!R93:R96),"")</f>
        <v>-0.24699677195806569</v>
      </c>
      <c r="S96" s="13">
        <f>IFERROR(AVERAGE('Revenue Growth YoY'!S93:S96),"")</f>
        <v>-0.19252987883581443</v>
      </c>
      <c r="T96" s="13" t="str">
        <f ca="1">IFERROR(AVERAGE('Revenue Growth YoY'!T93:T96),"")</f>
        <v/>
      </c>
      <c r="U96" s="13" t="str">
        <f>IFERROR(AVERAGE('Revenue Growth YoY'!U93:U96),"")</f>
        <v/>
      </c>
      <c r="V96" s="13" t="str">
        <f>IFERROR(AVERAGE('Revenue Growth YoY'!V93:V96),"")</f>
        <v/>
      </c>
      <c r="W96" s="13">
        <f>IFERROR(AVERAGE('Revenue Growth YoY'!W93:W96),"")</f>
        <v>-0.34128426323480243</v>
      </c>
      <c r="X96" s="13">
        <f>IFERROR(AVERAGE('Revenue Growth YoY'!X93:X96),"")</f>
        <v>-0.21599499506115061</v>
      </c>
      <c r="Y96" s="13">
        <f>IFERROR(AVERAGE('Revenue Growth YoY'!Y93:Y96),"")</f>
        <v>-6.8362761728006483E-2</v>
      </c>
      <c r="Z96" s="13">
        <f>IFERROR(AVERAGE('Revenue Growth YoY'!Z93:Z96),"")</f>
        <v>-0.23002235872102439</v>
      </c>
      <c r="AA96" s="13">
        <f>IFERROR(AVERAGE('Revenue Growth YoY'!AA93:AA96),"")</f>
        <v>-0.3819734956313437</v>
      </c>
      <c r="AB96" s="13">
        <f>IFERROR(AVERAGE('Revenue Growth YoY'!AB93:AB96),"")</f>
        <v>-5.2999581697252496E-2</v>
      </c>
      <c r="AC96" s="11"/>
    </row>
    <row r="97" spans="1:29" ht="14">
      <c r="A97" s="14" t="s">
        <v>122</v>
      </c>
      <c r="B97" s="13">
        <f ca="1">IFERROR(AVERAGE('Revenue Growth YoY'!B94:B97),"")</f>
        <v>-0.1732661713851798</v>
      </c>
      <c r="C97" s="13">
        <f ca="1">IFERROR(AVERAGE('Revenue Growth YoY'!C94:C97),"")</f>
        <v>-0.36671317548072196</v>
      </c>
      <c r="D97" s="13">
        <f ca="1">IFERROR(AVERAGE('Revenue Growth YoY'!D94:D97),"")</f>
        <v>-0.36940707130623818</v>
      </c>
      <c r="E97" s="13">
        <f ca="1">IFERROR(AVERAGE('Revenue Growth YoY'!E94:E97),"")</f>
        <v>-0.3766362160285161</v>
      </c>
      <c r="F97" s="13">
        <f ca="1">IFERROR(AVERAGE('Revenue Growth YoY'!F94:F97),"")</f>
        <v>-0.4499540101321875</v>
      </c>
      <c r="G97" s="13">
        <f ca="1">IFERROR(AVERAGE('Revenue Growth YoY'!G94:G97),"")</f>
        <v>-0.52117692623680645</v>
      </c>
      <c r="H97" s="13">
        <f ca="1">IFERROR(AVERAGE('Revenue Growth YoY'!H94:H97),"")</f>
        <v>-0.42924490371025698</v>
      </c>
      <c r="I97" s="13">
        <f ca="1">IFERROR(AVERAGE('Revenue Growth YoY'!I94:I97),"")</f>
        <v>-0.58147067019325793</v>
      </c>
      <c r="J97" s="13">
        <f ca="1">IFERROR(AVERAGE('Revenue Growth YoY'!J94:J97),"")</f>
        <v>-0.42742212121799827</v>
      </c>
      <c r="K97" s="13" t="str">
        <f>IFERROR(AVERAGE('Revenue Growth YoY'!K94:K97),"")</f>
        <v/>
      </c>
      <c r="L97" s="13">
        <f ca="1">IFERROR(AVERAGE('Revenue Growth YoY'!L94:L97),"")</f>
        <v>-0.64792471718698696</v>
      </c>
      <c r="M97" s="13">
        <f ca="1">IFERROR(AVERAGE('Revenue Growth YoY'!M94:M97),"")</f>
        <v>-0.24352091683041144</v>
      </c>
      <c r="N97" s="13">
        <f ca="1">IFERROR(AVERAGE('Revenue Growth YoY'!N94:N97),"")</f>
        <v>-0.40046667743040187</v>
      </c>
      <c r="O97" s="13">
        <f ca="1">IFERROR(AVERAGE('Revenue Growth YoY'!O94:O97),"")</f>
        <v>-0.53637912977295676</v>
      </c>
      <c r="P97" s="13" t="str">
        <f>IFERROR(AVERAGE('Revenue Growth YoY'!P94:P97),"")</f>
        <v/>
      </c>
      <c r="Q97" s="13" t="str">
        <f>IFERROR(AVERAGE('Revenue Growth YoY'!Q94:Q97),"")</f>
        <v/>
      </c>
      <c r="R97" s="13">
        <f>IFERROR(AVERAGE('Revenue Growth YoY'!R94:R97),"")</f>
        <v>-0.45910060573033096</v>
      </c>
      <c r="S97" s="13">
        <f>IFERROR(AVERAGE('Revenue Growth YoY'!S94:S97),"")</f>
        <v>-0.18107878180409315</v>
      </c>
      <c r="T97" s="13" t="str">
        <f ca="1">IFERROR(AVERAGE('Revenue Growth YoY'!T94:T97),"")</f>
        <v/>
      </c>
      <c r="U97" s="13" t="str">
        <f>IFERROR(AVERAGE('Revenue Growth YoY'!U94:U97),"")</f>
        <v/>
      </c>
      <c r="V97" s="13" t="str">
        <f>IFERROR(AVERAGE('Revenue Growth YoY'!V94:V97),"")</f>
        <v/>
      </c>
      <c r="W97" s="13">
        <f>IFERROR(AVERAGE('Revenue Growth YoY'!W94:W97),"")</f>
        <v>-0.42139553952177933</v>
      </c>
      <c r="X97" s="13">
        <f>IFERROR(AVERAGE('Revenue Growth YoY'!X94:X97),"")</f>
        <v>-0.43942348212677074</v>
      </c>
      <c r="Y97" s="13">
        <f>IFERROR(AVERAGE('Revenue Growth YoY'!Y94:Y97),"")</f>
        <v>-0.33216978509500428</v>
      </c>
      <c r="Z97" s="13">
        <f>IFERROR(AVERAGE('Revenue Growth YoY'!Z94:Z97),"")</f>
        <v>-0.42259079987168047</v>
      </c>
      <c r="AA97" s="13">
        <f>IFERROR(AVERAGE('Revenue Growth YoY'!AA94:AA97),"")</f>
        <v>-0.51258510947059543</v>
      </c>
      <c r="AB97" s="13">
        <f>IFERROR(AVERAGE('Revenue Growth YoY'!AB94:AB97),"")</f>
        <v>-0.21206044976253152</v>
      </c>
      <c r="AC97" s="11"/>
    </row>
    <row r="98" spans="1:29" ht="14">
      <c r="A98" s="14" t="s">
        <v>123</v>
      </c>
      <c r="B98" s="13">
        <f ca="1">IFERROR(AVERAGE('Revenue Growth YoY'!B95:B98),"")</f>
        <v>-0.28239622037009787</v>
      </c>
      <c r="C98" s="13">
        <f ca="1">IFERROR(AVERAGE('Revenue Growth YoY'!C95:C98),"")</f>
        <v>-0.5338246741682473</v>
      </c>
      <c r="D98" s="13">
        <f ca="1">IFERROR(AVERAGE('Revenue Growth YoY'!D95:D98),"")</f>
        <v>-0.55404591779093926</v>
      </c>
      <c r="E98" s="13">
        <f ca="1">IFERROR(AVERAGE('Revenue Growth YoY'!E95:E98),"")</f>
        <v>-0.47185419860567712</v>
      </c>
      <c r="F98" s="13">
        <f ca="1">IFERROR(AVERAGE('Revenue Growth YoY'!F95:F98),"")</f>
        <v>-0.60543886907447031</v>
      </c>
      <c r="G98" s="13">
        <f ca="1">IFERROR(AVERAGE('Revenue Growth YoY'!G95:G98),"")</f>
        <v>-0.70234195879891359</v>
      </c>
      <c r="H98" s="13">
        <f ca="1">IFERROR(AVERAGE('Revenue Growth YoY'!H95:H98),"")</f>
        <v>-0.66111308498348564</v>
      </c>
      <c r="I98" s="13">
        <f ca="1">IFERROR(AVERAGE('Revenue Growth YoY'!I95:I98),"")</f>
        <v>-0.76473141744745643</v>
      </c>
      <c r="J98" s="13">
        <f ca="1">IFERROR(AVERAGE('Revenue Growth YoY'!J95:J98),"")</f>
        <v>-0.62495370890480895</v>
      </c>
      <c r="K98" s="13" t="str">
        <f>IFERROR(AVERAGE('Revenue Growth YoY'!K95:K98),"")</f>
        <v/>
      </c>
      <c r="L98" s="13">
        <f ca="1">IFERROR(AVERAGE('Revenue Growth YoY'!L95:L98),"")</f>
        <v>-0.74771574110056926</v>
      </c>
      <c r="M98" s="13">
        <f ca="1">IFERROR(AVERAGE('Revenue Growth YoY'!M95:M98),"")</f>
        <v>-0.3589502114323323</v>
      </c>
      <c r="N98" s="13">
        <f ca="1">IFERROR(AVERAGE('Revenue Growth YoY'!N95:N98),"")</f>
        <v>-0.68770523961585239</v>
      </c>
      <c r="O98" s="13">
        <f ca="1">IFERROR(AVERAGE('Revenue Growth YoY'!O95:O98),"")</f>
        <v>-0.82043752356058064</v>
      </c>
      <c r="P98" s="13" t="str">
        <f>IFERROR(AVERAGE('Revenue Growth YoY'!P95:P98),"")</f>
        <v/>
      </c>
      <c r="Q98" s="13" t="str">
        <f>IFERROR(AVERAGE('Revenue Growth YoY'!Q95:Q98),"")</f>
        <v/>
      </c>
      <c r="R98" s="13">
        <f>IFERROR(AVERAGE('Revenue Growth YoY'!R95:R98),"")</f>
        <v>-0.67120443950259623</v>
      </c>
      <c r="S98" s="13">
        <f>IFERROR(AVERAGE('Revenue Growth YoY'!S95:S98),"")</f>
        <v>-0.16962768477237186</v>
      </c>
      <c r="T98" s="13" t="str">
        <f ca="1">IFERROR(AVERAGE('Revenue Growth YoY'!T95:T98),"")</f>
        <v/>
      </c>
      <c r="U98" s="13" t="str">
        <f>IFERROR(AVERAGE('Revenue Growth YoY'!U95:U98),"")</f>
        <v/>
      </c>
      <c r="V98" s="13" t="str">
        <f>IFERROR(AVERAGE('Revenue Growth YoY'!V95:V98),"")</f>
        <v/>
      </c>
      <c r="W98" s="13">
        <f>IFERROR(AVERAGE('Revenue Growth YoY'!W95:W98),"")</f>
        <v>-0.50150681580875611</v>
      </c>
      <c r="X98" s="13">
        <f>IFERROR(AVERAGE('Revenue Growth YoY'!X95:X98),"")</f>
        <v>-0.66285196919239087</v>
      </c>
      <c r="Y98" s="13">
        <f>IFERROR(AVERAGE('Revenue Growth YoY'!Y95:Y98),"")</f>
        <v>-0.59597680846200207</v>
      </c>
      <c r="Z98" s="13">
        <f>IFERROR(AVERAGE('Revenue Growth YoY'!Z95:Z98),"")</f>
        <v>-0.61515924102233654</v>
      </c>
      <c r="AA98" s="13">
        <f>IFERROR(AVERAGE('Revenue Growth YoY'!AA95:AA98),"")</f>
        <v>-0.64319672330984712</v>
      </c>
      <c r="AB98" s="13">
        <f>IFERROR(AVERAGE('Revenue Growth YoY'!AB95:AB98),"")</f>
        <v>-0.37112131782781055</v>
      </c>
      <c r="AC98" s="11"/>
    </row>
    <row r="99" spans="1:29" ht="14">
      <c r="A99" s="14" t="s">
        <v>124</v>
      </c>
      <c r="B99" s="13">
        <f ca="1">IFERROR(AVERAGE('Revenue Growth YoY'!B96:B99),"")</f>
        <v>-0.26984426384941446</v>
      </c>
      <c r="C99" s="13">
        <f ca="1">IFERROR(AVERAGE('Revenue Growth YoY'!C96:C99),"")</f>
        <v>-0.61077390246022323</v>
      </c>
      <c r="D99" s="13">
        <f ca="1">IFERROR(AVERAGE('Revenue Growth YoY'!D96:D99),"")</f>
        <v>-0.62470302265880884</v>
      </c>
      <c r="E99" s="13">
        <f ca="1">IFERROR(AVERAGE('Revenue Growth YoY'!E96:E99),"")</f>
        <v>-0.37449084472848382</v>
      </c>
      <c r="F99" s="13">
        <f ca="1">IFERROR(AVERAGE('Revenue Growth YoY'!F96:F99),"")</f>
        <v>-0.67966778381501824</v>
      </c>
      <c r="G99" s="13">
        <f ca="1">IFERROR(AVERAGE('Revenue Growth YoY'!G96:G99),"")</f>
        <v>-0.80128697596410459</v>
      </c>
      <c r="H99" s="13">
        <f ca="1">IFERROR(AVERAGE('Revenue Growth YoY'!H96:H99),"")</f>
        <v>-0.78712438944350094</v>
      </c>
      <c r="I99" s="13">
        <f ca="1">IFERROR(AVERAGE('Revenue Growth YoY'!I96:I99),"")</f>
        <v>-0.73733397290505265</v>
      </c>
      <c r="J99" s="13">
        <f ca="1">IFERROR(AVERAGE('Revenue Growth YoY'!J96:J99),"")</f>
        <v>-0.6545507097732709</v>
      </c>
      <c r="K99" s="13" t="str">
        <f>IFERROR(AVERAGE('Revenue Growth YoY'!K96:K99),"")</f>
        <v/>
      </c>
      <c r="L99" s="13">
        <f ca="1">IFERROR(AVERAGE('Revenue Growth YoY'!L96:L99),"")</f>
        <v>-0.8218599495767116</v>
      </c>
      <c r="M99" s="13">
        <f ca="1">IFERROR(AVERAGE('Revenue Growth YoY'!M96:M99),"")</f>
        <v>-0.70606691727727855</v>
      </c>
      <c r="N99" s="13">
        <f ca="1">IFERROR(AVERAGE('Revenue Growth YoY'!N96:N99),"")</f>
        <v>-0.8294820523934332</v>
      </c>
      <c r="O99" s="13">
        <f ca="1">IFERROR(AVERAGE('Revenue Growth YoY'!O96:O99),"")</f>
        <v>-0.80287253532790825</v>
      </c>
      <c r="P99" s="13" t="str">
        <f ca="1">IFERROR(AVERAGE('Revenue Growth YoY'!P96:P99),"")</f>
        <v/>
      </c>
      <c r="Q99" s="13" t="str">
        <f>IFERROR(AVERAGE('Revenue Growth YoY'!Q96:Q99),"")</f>
        <v/>
      </c>
      <c r="R99" s="13">
        <f>IFERROR(AVERAGE('Revenue Growth YoY'!R96:R99),"")</f>
        <v>-0.39190913916109849</v>
      </c>
      <c r="S99" s="13">
        <f>IFERROR(AVERAGE('Revenue Growth YoY'!S96:S99),"")</f>
        <v>-0.15817658774065058</v>
      </c>
      <c r="T99" s="13" t="str">
        <f ca="1">IFERROR(AVERAGE('Revenue Growth YoY'!T96:T99),"")</f>
        <v/>
      </c>
      <c r="U99" s="13" t="str">
        <f>IFERROR(AVERAGE('Revenue Growth YoY'!U96:U99),"")</f>
        <v/>
      </c>
      <c r="V99" s="13" t="str">
        <f>IFERROR(AVERAGE('Revenue Growth YoY'!V96:V99),"")</f>
        <v/>
      </c>
      <c r="W99" s="13">
        <f>IFERROR(AVERAGE('Revenue Growth YoY'!W96:W99),"")</f>
        <v>-0.58161809209573301</v>
      </c>
      <c r="X99" s="13">
        <f>IFERROR(AVERAGE('Revenue Growth YoY'!X96:X99),"")</f>
        <v>-0.46915864059912998</v>
      </c>
      <c r="Y99" s="13">
        <f>IFERROR(AVERAGE('Revenue Growth YoY'!Y96:Y99),"")</f>
        <v>-0.3644936648795743</v>
      </c>
      <c r="Z99" s="13">
        <f>IFERROR(AVERAGE('Revenue Growth YoY'!Z96:Z99),"")</f>
        <v>-0.35811858126698809</v>
      </c>
      <c r="AA99" s="13">
        <f>IFERROR(AVERAGE('Revenue Growth YoY'!AA96:AA99),"")</f>
        <v>-0.47098654145744512</v>
      </c>
      <c r="AB99" s="13">
        <f>IFERROR(AVERAGE('Revenue Growth YoY'!AB96:AB99),"")</f>
        <v>-0.30597913688684658</v>
      </c>
      <c r="AC99" s="11"/>
    </row>
    <row r="100" spans="1:29" ht="14">
      <c r="A100" s="14" t="s">
        <v>125</v>
      </c>
      <c r="B100" s="13">
        <f ca="1">IFERROR(AVERAGE('Revenue Growth YoY'!B97:B100),"")</f>
        <v>0.65830304353174141</v>
      </c>
      <c r="C100" s="13">
        <f ca="1">IFERROR(AVERAGE('Revenue Growth YoY'!C97:C100),"")</f>
        <v>0.20545986377354297</v>
      </c>
      <c r="D100" s="13">
        <f ca="1">IFERROR(AVERAGE('Revenue Growth YoY'!D97:D100),"")</f>
        <v>0.26283957797169732</v>
      </c>
      <c r="E100" s="13">
        <f ca="1">IFERROR(AVERAGE('Revenue Growth YoY'!E97:E100),"")</f>
        <v>4.6039936644838991E-2</v>
      </c>
      <c r="F100" s="13">
        <f ca="1">IFERROR(AVERAGE('Revenue Growth YoY'!F97:F100),"")</f>
        <v>0.28114232141431739</v>
      </c>
      <c r="G100" s="13">
        <f ca="1">IFERROR(AVERAGE('Revenue Growth YoY'!G97:G100),"")</f>
        <v>0.66323570442250435</v>
      </c>
      <c r="H100" s="13">
        <f ca="1">IFERROR(AVERAGE('Revenue Growth YoY'!H97:H100),"")</f>
        <v>0.2136674705760826</v>
      </c>
      <c r="I100" s="13">
        <f ca="1">IFERROR(AVERAGE('Revenue Growth YoY'!I97:I100),"")</f>
        <v>-2.3415703770359921</v>
      </c>
      <c r="J100" s="13">
        <f ca="1">IFERROR(AVERAGE('Revenue Growth YoY'!J97:J100),"")</f>
        <v>0.62463201881656816</v>
      </c>
      <c r="K100" s="13"/>
      <c r="L100" s="13">
        <f ca="1">IFERROR(AVERAGE('Revenue Growth YoY'!L97:L100),"")</f>
        <v>0.81499282939096473</v>
      </c>
      <c r="M100" s="13">
        <f ca="1">IFERROR(AVERAGE('Revenue Growth YoY'!M97:M100),"")</f>
        <v>0.30449243564766171</v>
      </c>
      <c r="N100" s="13">
        <f ca="1">IFERROR(AVERAGE('Revenue Growth YoY'!N97:N100),"")</f>
        <v>1.1354986632002422</v>
      </c>
      <c r="O100" s="13">
        <f ca="1">IFERROR(AVERAGE('Revenue Growth YoY'!O97:O100),"")</f>
        <v>-0.58048208508291432</v>
      </c>
      <c r="P100" s="13" t="str">
        <f ca="1">IFERROR(AVERAGE('Revenue Growth YoY'!P97:P100),"")</f>
        <v/>
      </c>
      <c r="Q100" s="13" t="str">
        <f>IFERROR(AVERAGE('Revenue Growth YoY'!Q97:Q100),"")</f>
        <v/>
      </c>
      <c r="R100" s="13">
        <f>IFERROR(AVERAGE('Revenue Growth YoY'!R97:R100),"")</f>
        <v>-0.11261383881960085</v>
      </c>
      <c r="S100" s="13">
        <f>IFERROR(AVERAGE('Revenue Growth YoY'!S97:S100),"")</f>
        <v>4.3911589476831631E-2</v>
      </c>
      <c r="T100" s="13">
        <f ca="1">IFERROR(AVERAGE('Revenue Growth YoY'!T97:T100),"")</f>
        <v>1.8958333333333357</v>
      </c>
      <c r="U100" s="13" t="str">
        <f>IFERROR(AVERAGE('Revenue Growth YoY'!U97:U100),"")</f>
        <v/>
      </c>
      <c r="V100" s="13" t="str">
        <f>IFERROR(AVERAGE('Revenue Growth YoY'!V97:V100),"")</f>
        <v/>
      </c>
      <c r="W100" s="13">
        <f>IFERROR(AVERAGE('Revenue Growth YoY'!W97:W100),"")</f>
        <v>-0.6617293683827099</v>
      </c>
      <c r="X100" s="13">
        <f>IFERROR(AVERAGE('Revenue Growth YoY'!X97:X100),"")</f>
        <v>-0.2754653120058691</v>
      </c>
      <c r="Y100" s="13">
        <f>IFERROR(AVERAGE('Revenue Growth YoY'!Y97:Y100),"")</f>
        <v>-0.13301052129714652</v>
      </c>
      <c r="Z100" s="13">
        <f>IFERROR(AVERAGE('Revenue Growth YoY'!Z97:Z100),"")</f>
        <v>-0.10107792151163963</v>
      </c>
      <c r="AA100" s="13">
        <f>IFERROR(AVERAGE('Revenue Growth YoY'!AA97:AA100),"")</f>
        <v>-0.29877635960504317</v>
      </c>
      <c r="AB100" s="13">
        <f>IFERROR(AVERAGE('Revenue Growth YoY'!AB97:AB100),"")</f>
        <v>-0.24083695594588261</v>
      </c>
      <c r="AC100" s="11"/>
    </row>
    <row r="101" spans="1:29" ht="14">
      <c r="A101" s="14" t="s">
        <v>126</v>
      </c>
      <c r="B101" s="13">
        <f ca="1">IFERROR(AVERAGE('Revenue Growth YoY'!B98:B101),"")</f>
        <v>0.87128482296180076</v>
      </c>
      <c r="C101" s="13">
        <f ca="1">IFERROR(AVERAGE('Revenue Growth YoY'!C98:C101),"")</f>
        <v>0.51731051312419241</v>
      </c>
      <c r="D101" s="13">
        <f ca="1">IFERROR(AVERAGE('Revenue Growth YoY'!D98:D101),"")</f>
        <v>0.64951595455189415</v>
      </c>
      <c r="E101" s="13">
        <f ca="1">IFERROR(AVERAGE('Revenue Growth YoY'!E98:E101),"")</f>
        <v>0.16711651301191169</v>
      </c>
      <c r="F101" s="13">
        <f ca="1">IFERROR(AVERAGE('Revenue Growth YoY'!F98:F101),"")</f>
        <v>0.69459701597395096</v>
      </c>
      <c r="G101" s="13">
        <f ca="1">IFERROR(AVERAGE('Revenue Growth YoY'!G98:G101),"")</f>
        <v>1.1745388407241584</v>
      </c>
      <c r="H101" s="13">
        <f ca="1">IFERROR(AVERAGE('Revenue Growth YoY'!H98:H101),"")</f>
        <v>0.87812442567921045</v>
      </c>
      <c r="I101" s="13">
        <f ca="1">IFERROR(AVERAGE('Revenue Growth YoY'!I98:I101),"")</f>
        <v>-0.58236194657756202</v>
      </c>
      <c r="J101" s="13">
        <f ca="1">IFERROR(AVERAGE('Revenue Growth YoY'!J98:J101),"")</f>
        <v>1.3080285754845098</v>
      </c>
      <c r="K101" s="13"/>
      <c r="L101" s="13">
        <f ca="1">IFERROR(AVERAGE('Revenue Growth YoY'!L98:L101),"")</f>
        <v>2.3361542610936294</v>
      </c>
      <c r="M101" s="13">
        <f ca="1">IFERROR(AVERAGE('Revenue Growth YoY'!M98:M101),"")</f>
        <v>0.62162121272345949</v>
      </c>
      <c r="N101" s="13">
        <f ca="1">IFERROR(AVERAGE('Revenue Growth YoY'!N98:N101),"")</f>
        <v>1.9250037500684234</v>
      </c>
      <c r="O101" s="13">
        <f ca="1">IFERROR(AVERAGE('Revenue Growth YoY'!O98:O101),"")</f>
        <v>1.3591206535799594E-3</v>
      </c>
      <c r="P101" s="13" t="str">
        <f ca="1">IFERROR(AVERAGE('Revenue Growth YoY'!P98:P101),"")</f>
        <v/>
      </c>
      <c r="Q101" s="13" t="str">
        <f>IFERROR(AVERAGE('Revenue Growth YoY'!Q98:Q101),"")</f>
        <v/>
      </c>
      <c r="R101" s="13">
        <f>IFERROR(AVERAGE('Revenue Growth YoY'!R98:R101),"")</f>
        <v>0.16668146152189683</v>
      </c>
      <c r="S101" s="13">
        <f>IFERROR(AVERAGE('Revenue Growth YoY'!S98:S101),"")</f>
        <v>0.24599976669431384</v>
      </c>
      <c r="T101" s="13">
        <f ca="1">IFERROR(AVERAGE('Revenue Growth YoY'!T98:T101),"")</f>
        <v>1.8958333333333357</v>
      </c>
      <c r="U101" s="13" t="str">
        <f>IFERROR(AVERAGE('Revenue Growth YoY'!U98:U101),"")</f>
        <v/>
      </c>
      <c r="V101" s="13" t="str">
        <f>IFERROR(AVERAGE('Revenue Growth YoY'!V98:V101),"")</f>
        <v/>
      </c>
      <c r="W101" s="13">
        <f>IFERROR(AVERAGE('Revenue Growth YoY'!W98:W101),"")</f>
        <v>-0.3669692055910409</v>
      </c>
      <c r="X101" s="13">
        <f>IFERROR(AVERAGE('Revenue Growth YoY'!X98:X101),"")</f>
        <v>-8.1771983412608218E-2</v>
      </c>
      <c r="Y101" s="13">
        <f>IFERROR(AVERAGE('Revenue Growth YoY'!Y98:Y101),"")</f>
        <v>9.8472622285281253E-2</v>
      </c>
      <c r="Z101" s="13">
        <f>IFERROR(AVERAGE('Revenue Growth YoY'!Z98:Z101),"")</f>
        <v>0.15596273824370882</v>
      </c>
      <c r="AA101" s="13">
        <f>IFERROR(AVERAGE('Revenue Growth YoY'!AA98:AA101),"")</f>
        <v>-0.1265661777526412</v>
      </c>
      <c r="AB101" s="13">
        <f>IFERROR(AVERAGE('Revenue Growth YoY'!AB98:AB101),"")</f>
        <v>-0.17569477500491865</v>
      </c>
      <c r="AC101" s="11"/>
    </row>
    <row r="102" spans="1:29" ht="14">
      <c r="A102" s="14" t="s">
        <v>127</v>
      </c>
      <c r="B102" s="13">
        <f ca="1">IFERROR(AVERAGE('Revenue Growth YoY'!B99:B102),"")</f>
        <v>1.1232163803177313</v>
      </c>
      <c r="C102" s="13">
        <f ca="1">IFERROR(AVERAGE('Revenue Growth YoY'!C99:C102),"")</f>
        <v>1.0265970886275815</v>
      </c>
      <c r="D102" s="13">
        <f ca="1">IFERROR(AVERAGE('Revenue Growth YoY'!D99:D102),"")</f>
        <v>1.1850817298640925</v>
      </c>
      <c r="E102" s="13">
        <f ca="1">IFERROR(AVERAGE('Revenue Growth YoY'!E99:E102),"")</f>
        <v>0.24314033749914249</v>
      </c>
      <c r="F102" s="13">
        <f ca="1">IFERROR(AVERAGE('Revenue Growth YoY'!F99:F102),"")</f>
        <v>1.1274264035189843</v>
      </c>
      <c r="G102" s="13">
        <f ca="1">IFERROR(AVERAGE('Revenue Growth YoY'!G99:G102),"")</f>
        <v>1.8124393016362266</v>
      </c>
      <c r="H102" s="13">
        <f ca="1">IFERROR(AVERAGE('Revenue Growth YoY'!H99:H102),"")</f>
        <v>1.6161768174787547</v>
      </c>
      <c r="I102" s="13">
        <f ca="1">IFERROR(AVERAGE('Revenue Growth YoY'!I99:I102),"")</f>
        <v>-8.8973201207224184E-2</v>
      </c>
      <c r="J102" s="13">
        <f ca="1">IFERROR(AVERAGE('Revenue Growth YoY'!J99:J102),"")</f>
        <v>1.7175564586526155</v>
      </c>
      <c r="K102" s="13"/>
      <c r="L102" s="13">
        <f ca="1">IFERROR(AVERAGE('Revenue Growth YoY'!L99:L102),"")</f>
        <v>2.9972730145520261</v>
      </c>
      <c r="M102" s="13">
        <f ca="1">IFERROR(AVERAGE('Revenue Growth YoY'!M99:M102),"")</f>
        <v>1.0907417219934032</v>
      </c>
      <c r="N102" s="13">
        <f ca="1">IFERROR(AVERAGE('Revenue Growth YoY'!N99:N102),"")</f>
        <v>2.4438178788242695</v>
      </c>
      <c r="O102" s="13">
        <f ca="1">IFERROR(AVERAGE('Revenue Growth YoY'!O99:O102),"")</f>
        <v>0.88123526088788751</v>
      </c>
      <c r="P102" s="13" t="str">
        <f ca="1">IFERROR(AVERAGE('Revenue Growth YoY'!P99:P102),"")</f>
        <v/>
      </c>
      <c r="Q102" s="13" t="str">
        <f>IFERROR(AVERAGE('Revenue Growth YoY'!Q99:Q102),"")</f>
        <v/>
      </c>
      <c r="R102" s="13">
        <f>IFERROR(AVERAGE('Revenue Growth YoY'!R99:R102),"")</f>
        <v>0.44597676186339452</v>
      </c>
      <c r="S102" s="13">
        <f>IFERROR(AVERAGE('Revenue Growth YoY'!S99:S102),"")</f>
        <v>0.44808794391179607</v>
      </c>
      <c r="T102" s="13">
        <f ca="1">IFERROR(AVERAGE('Revenue Growth YoY'!T99:T102),"")</f>
        <v>1.8958333333333357</v>
      </c>
      <c r="U102" s="13" t="str">
        <f>IFERROR(AVERAGE('Revenue Growth YoY'!U99:U102),"")</f>
        <v/>
      </c>
      <c r="V102" s="13" t="str">
        <f>IFERROR(AVERAGE('Revenue Growth YoY'!V99:V102),"")</f>
        <v/>
      </c>
      <c r="W102" s="13">
        <f>IFERROR(AVERAGE('Revenue Growth YoY'!W99:W102),"")</f>
        <v>-7.2209042799371903E-2</v>
      </c>
      <c r="X102" s="13">
        <f>IFERROR(AVERAGE('Revenue Growth YoY'!X99:X102),"")</f>
        <v>0.11192134518065266</v>
      </c>
      <c r="Y102" s="13">
        <f>IFERROR(AVERAGE('Revenue Growth YoY'!Y99:Y102),"")</f>
        <v>0.32995576586770903</v>
      </c>
      <c r="Z102" s="13">
        <f>IFERROR(AVERAGE('Revenue Growth YoY'!Z99:Z102),"")</f>
        <v>0.41300339799905728</v>
      </c>
      <c r="AA102" s="13">
        <f>IFERROR(AVERAGE('Revenue Growth YoY'!AA99:AA102),"")</f>
        <v>4.5644004099760771E-2</v>
      </c>
      <c r="AB102" s="13">
        <f>IFERROR(AVERAGE('Revenue Growth YoY'!AB99:AB102),"")</f>
        <v>-0.11055259406395468</v>
      </c>
      <c r="AC102" s="11"/>
    </row>
    <row r="103" spans="1:29" ht="14">
      <c r="A103" s="14" t="s">
        <v>128</v>
      </c>
      <c r="B103" s="13">
        <f ca="1">IFERROR(AVERAGE('Revenue Growth YoY'!B100:B103),"")</f>
        <v>1.2851441238103132</v>
      </c>
      <c r="C103" s="13">
        <f ca="1">IFERROR(AVERAGE('Revenue Growth YoY'!C100:C103),"")</f>
        <v>1.4924156833763909</v>
      </c>
      <c r="D103" s="13">
        <f ca="1">IFERROR(AVERAGE('Revenue Growth YoY'!D100:D103),"")</f>
        <v>1.4953116771031343</v>
      </c>
      <c r="E103" s="13">
        <f ca="1">IFERROR(AVERAGE('Revenue Growth YoY'!E100:E103),"")</f>
        <v>0.26682158529745348</v>
      </c>
      <c r="F103" s="13">
        <f ca="1">IFERROR(AVERAGE('Revenue Growth YoY'!F100:F103),"")</f>
        <v>1.5493352179308695</v>
      </c>
      <c r="G103" s="13">
        <f ca="1">IFERROR(AVERAGE('Revenue Growth YoY'!G100:G103),"")</f>
        <v>2.4092975845984239</v>
      </c>
      <c r="H103" s="13">
        <f ca="1">IFERROR(AVERAGE('Revenue Growth YoY'!H100:H103),"")</f>
        <v>2.5386794520273783</v>
      </c>
      <c r="I103" s="13">
        <f ca="1">IFERROR(AVERAGE('Revenue Growth YoY'!I100:I103),"")</f>
        <v>0.28270714250131557</v>
      </c>
      <c r="J103" s="13">
        <f ca="1">IFERROR(AVERAGE('Revenue Growth YoY'!J100:J103),"")</f>
        <v>1.8083945318344807</v>
      </c>
      <c r="K103" s="13">
        <f>IFERROR(AVERAGE('Revenue Growth YoY'!K100:K103),"")</f>
        <v>1.6861926924517201</v>
      </c>
      <c r="L103" s="13">
        <f ca="1">IFERROR(AVERAGE('Revenue Growth YoY'!L100:L103),"")</f>
        <v>3.5915164420029586</v>
      </c>
      <c r="M103" s="13">
        <f ca="1">IFERROR(AVERAGE('Revenue Growth YoY'!M100:M103),"")</f>
        <v>1.3797079609623726</v>
      </c>
      <c r="N103" s="13">
        <f ca="1">IFERROR(AVERAGE('Revenue Growth YoY'!N100:N103),"")</f>
        <v>2.9819739592032288</v>
      </c>
      <c r="O103" s="13">
        <f ca="1">IFERROR(AVERAGE('Revenue Growth YoY'!O100:O103),"")</f>
        <v>2.1134175705595997</v>
      </c>
      <c r="P103" s="13">
        <f ca="1">IFERROR(AVERAGE('Revenue Growth YoY'!P100:P103),"")</f>
        <v>-0.16228070175438603</v>
      </c>
      <c r="Q103" s="13" t="str">
        <f>IFERROR(AVERAGE('Revenue Growth YoY'!Q100:Q103),"")</f>
        <v/>
      </c>
      <c r="R103" s="13">
        <f>IFERROR(AVERAGE('Revenue Growth YoY'!R100:R103),"")</f>
        <v>0.52449834189919797</v>
      </c>
      <c r="S103" s="13">
        <f>IFERROR(AVERAGE('Revenue Growth YoY'!S100:S103),"")</f>
        <v>0.65017612112927825</v>
      </c>
      <c r="T103" s="13">
        <f ca="1">IFERROR(AVERAGE('Revenue Growth YoY'!T100:T103),"")</f>
        <v>1.8958333333333357</v>
      </c>
      <c r="U103" s="13" t="str">
        <f>IFERROR(AVERAGE('Revenue Growth YoY'!U100:U103),"")</f>
        <v/>
      </c>
      <c r="V103" s="13" t="str">
        <f>IFERROR(AVERAGE('Revenue Growth YoY'!V100:V103),"")</f>
        <v/>
      </c>
      <c r="W103" s="13">
        <f>IFERROR(AVERAGE('Revenue Growth YoY'!W100:W103),"")</f>
        <v>0.2225511199922971</v>
      </c>
      <c r="X103" s="13">
        <f>IFERROR(AVERAGE('Revenue Growth YoY'!X100:X103),"")</f>
        <v>0.39310481899694361</v>
      </c>
      <c r="Y103" s="13">
        <f>IFERROR(AVERAGE('Revenue Growth YoY'!Y100:Y103),"")</f>
        <v>0.55460318979506562</v>
      </c>
      <c r="Z103" s="13">
        <f>IFERROR(AVERAGE('Revenue Growth YoY'!Z100:Z103),"")</f>
        <v>0.14479052047628307</v>
      </c>
      <c r="AA103" s="13">
        <f>IFERROR(AVERAGE('Revenue Growth YoY'!AA100:AA103),"")</f>
        <v>-2.560820453153112E-2</v>
      </c>
      <c r="AB103" s="13">
        <f>IFERROR(AVERAGE('Revenue Growth YoY'!AB100:AB103),"")</f>
        <v>9.8256176109787985E-2</v>
      </c>
      <c r="AC103" s="11"/>
    </row>
    <row r="104" spans="1:29" ht="14">
      <c r="A104" s="14" t="s">
        <v>129</v>
      </c>
      <c r="B104" s="13">
        <f ca="1">IFERROR(AVERAGE('Revenue Growth YoY'!B101:B104),"")</f>
        <v>0.68202622321073347</v>
      </c>
      <c r="C104" s="13">
        <f ca="1">IFERROR(AVERAGE('Revenue Growth YoY'!C101:C104),"")</f>
        <v>1.1322635669742744</v>
      </c>
      <c r="D104" s="13">
        <f ca="1">IFERROR(AVERAGE('Revenue Growth YoY'!D101:D104),"")</f>
        <v>0.93960837804536357</v>
      </c>
      <c r="E104" s="13">
        <f ca="1">IFERROR(AVERAGE('Revenue Growth YoY'!E101:E104),"")</f>
        <v>-7.7907424727609143E-2</v>
      </c>
      <c r="F104" s="13">
        <f ca="1">IFERROR(AVERAGE('Revenue Growth YoY'!F101:F104),"")</f>
        <v>0.99718952734305843</v>
      </c>
      <c r="G104" s="13">
        <f ca="1">IFERROR(AVERAGE('Revenue Growth YoY'!G101:G104),"")</f>
        <v>1.3058617013681422</v>
      </c>
      <c r="H104" s="13">
        <f ca="1">IFERROR(AVERAGE('Revenue Growth YoY'!H101:H104),"")</f>
        <v>2.0410882098657495</v>
      </c>
      <c r="I104" s="13">
        <f ca="1">IFERROR(AVERAGE('Revenue Growth YoY'!I101:I104),"")</f>
        <v>2.4410299207937207</v>
      </c>
      <c r="J104" s="13">
        <f ca="1">IFERROR(AVERAGE('Revenue Growth YoY'!J101:J104),"")</f>
        <v>1.6048026053850846</v>
      </c>
      <c r="K104" s="13">
        <f>IFERROR(AVERAGE('Revenue Growth YoY'!K101:K104),"")</f>
        <v>1.3183855824101063</v>
      </c>
      <c r="L104" s="13">
        <f ca="1">IFERROR(AVERAGE('Revenue Growth YoY'!L101:L104),"")</f>
        <v>2.2539871942153034</v>
      </c>
      <c r="M104" s="13">
        <f ca="1">IFERROR(AVERAGE('Revenue Growth YoY'!M101:M104),"")</f>
        <v>0.68142316443585349</v>
      </c>
      <c r="N104" s="13">
        <f ca="1">IFERROR(AVERAGE('Revenue Growth YoY'!N101:N104),"")</f>
        <v>1.6594008232154589</v>
      </c>
      <c r="O104" s="13">
        <f ca="1">IFERROR(AVERAGE('Revenue Growth YoY'!O101:O104),"")</f>
        <v>2.6165317529461731</v>
      </c>
      <c r="P104" s="13">
        <f ca="1">IFERROR(AVERAGE('Revenue Growth YoY'!P101:P104),"")</f>
        <v>0.55482456140350878</v>
      </c>
      <c r="Q104" s="13" t="str">
        <f>IFERROR(AVERAGE('Revenue Growth YoY'!Q101:Q104),"")</f>
        <v/>
      </c>
      <c r="R104" s="13">
        <f>IFERROR(AVERAGE('Revenue Growth YoY'!R101:R104),"")</f>
        <v>0.60301992193500153</v>
      </c>
      <c r="S104" s="13">
        <f ca="1">IFERROR(AVERAGE('Revenue Growth YoY'!S101:S104),"")</f>
        <v>0.57844510933778959</v>
      </c>
      <c r="T104" s="13">
        <f ca="1">IFERROR(AVERAGE('Revenue Growth YoY'!T101:T104),"")</f>
        <v>1.6846446043165471</v>
      </c>
      <c r="U104" s="13" t="str">
        <f>IFERROR(AVERAGE('Revenue Growth YoY'!U101:U104),"")</f>
        <v/>
      </c>
      <c r="V104" s="13" t="str">
        <f>IFERROR(AVERAGE('Revenue Growth YoY'!V101:V104),"")</f>
        <v/>
      </c>
      <c r="W104" s="13">
        <f>IFERROR(AVERAGE('Revenue Growth YoY'!W101:W104),"")</f>
        <v>0.5173112827839661</v>
      </c>
      <c r="X104" s="13">
        <f>IFERROR(AVERAGE('Revenue Growth YoY'!X101:X104),"")</f>
        <v>0.67428829281323455</v>
      </c>
      <c r="Y104" s="13">
        <f>IFERROR(AVERAGE('Revenue Growth YoY'!Y101:Y104),"")</f>
        <v>0.77925061372242233</v>
      </c>
      <c r="Z104" s="13">
        <f>IFERROR(AVERAGE('Revenue Growth YoY'!Z101:Z104),"")</f>
        <v>-0.12342235704649113</v>
      </c>
      <c r="AA104" s="13">
        <f>IFERROR(AVERAGE('Revenue Growth YoY'!AA101:AA104),"")</f>
        <v>-9.6860413162823011E-2</v>
      </c>
      <c r="AB104" s="13">
        <f>IFERROR(AVERAGE('Revenue Growth YoY'!AB101:AB104),"")</f>
        <v>0.30706494628353065</v>
      </c>
      <c r="AC104" s="11"/>
    </row>
    <row r="105" spans="1:29" ht="14">
      <c r="A105" s="14" t="s">
        <v>130</v>
      </c>
      <c r="B105" s="13">
        <f ca="1">IFERROR(AVERAGE('Revenue Growth YoY'!B102:B105),"")</f>
        <v>0.58750722494026042</v>
      </c>
      <c r="C105" s="13">
        <f ca="1">IFERROR(AVERAGE('Revenue Growth YoY'!C102:C105),"")</f>
        <v>1.0130276880827069</v>
      </c>
      <c r="D105" s="13">
        <f ca="1">IFERROR(AVERAGE('Revenue Growth YoY'!D102:D105),"")</f>
        <v>0.75270705167014262</v>
      </c>
      <c r="E105" s="13">
        <f ca="1">IFERROR(AVERAGE('Revenue Growth YoY'!E102:E105),"")</f>
        <v>-4.4465713401735218E-2</v>
      </c>
      <c r="F105" s="13">
        <f ca="1">IFERROR(AVERAGE('Revenue Growth YoY'!F102:F105),"")</f>
        <v>0.87424676949111435</v>
      </c>
      <c r="G105" s="13">
        <f ca="1">IFERROR(AVERAGE('Revenue Growth YoY'!G102:G105),"")</f>
        <v>1.0654287294995268</v>
      </c>
      <c r="H105" s="13">
        <f ca="1">IFERROR(AVERAGE('Revenue Growth YoY'!H102:H105),"")</f>
        <v>1.6736793766138931</v>
      </c>
      <c r="I105" s="13">
        <f ca="1">IFERROR(AVERAGE('Revenue Growth YoY'!I102:I105),"")</f>
        <v>1.0962687711755519</v>
      </c>
      <c r="J105" s="13">
        <f ca="1">IFERROR(AVERAGE('Revenue Growth YoY'!J102:J105),"")</f>
        <v>1.3588540265048348</v>
      </c>
      <c r="K105" s="13">
        <f>IFERROR(AVERAGE('Revenue Growth YoY'!K102:K105),"")</f>
        <v>0.95057847236849247</v>
      </c>
      <c r="L105" s="13">
        <f ca="1">IFERROR(AVERAGE('Revenue Growth YoY'!L102:L105),"")</f>
        <v>1.0536761752473778</v>
      </c>
      <c r="M105" s="13">
        <f ca="1">IFERROR(AVERAGE('Revenue Growth YoY'!M102:M105),"")</f>
        <v>0.81306813537753886</v>
      </c>
      <c r="N105" s="13">
        <f ca="1">IFERROR(AVERAGE('Revenue Growth YoY'!N102:N105),"")</f>
        <v>1.3482358435728647</v>
      </c>
      <c r="O105" s="13">
        <f ca="1">IFERROR(AVERAGE('Revenue Growth YoY'!O102:O105),"")</f>
        <v>2.79750162429377</v>
      </c>
      <c r="P105" s="13">
        <f ca="1">IFERROR(AVERAGE('Revenue Growth YoY'!P102:P105),"")</f>
        <v>0.79385964912280704</v>
      </c>
      <c r="Q105" s="13" t="str">
        <f>IFERROR(AVERAGE('Revenue Growth YoY'!Q102:Q105),"")</f>
        <v/>
      </c>
      <c r="R105" s="13">
        <f>IFERROR(AVERAGE('Revenue Growth YoY'!R102:R105),"")</f>
        <v>0.6815415019708051</v>
      </c>
      <c r="S105" s="13">
        <f ca="1">IFERROR(AVERAGE('Revenue Growth YoY'!S102:S105),"")</f>
        <v>0.58568244648810674</v>
      </c>
      <c r="T105" s="13">
        <f ca="1">IFERROR(AVERAGE('Revenue Growth YoY'!T102:T105),"")</f>
        <v>1.6846446043165471</v>
      </c>
      <c r="U105" s="13" t="str">
        <f>IFERROR(AVERAGE('Revenue Growth YoY'!U102:U105),"")</f>
        <v/>
      </c>
      <c r="V105" s="13" t="str">
        <f>IFERROR(AVERAGE('Revenue Growth YoY'!V102:V105),"")</f>
        <v/>
      </c>
      <c r="W105" s="13">
        <f>IFERROR(AVERAGE('Revenue Growth YoY'!W102:W105),"")</f>
        <v>0.66320345169957617</v>
      </c>
      <c r="X105" s="13">
        <f>IFERROR(AVERAGE('Revenue Growth YoY'!X102:X105),"")</f>
        <v>0.95547176662952549</v>
      </c>
      <c r="Y105" s="13">
        <f>IFERROR(AVERAGE('Revenue Growth YoY'!Y102:Y105),"")</f>
        <v>1.0038980376497788</v>
      </c>
      <c r="Z105" s="13">
        <f>IFERROR(AVERAGE('Revenue Growth YoY'!Z102:Z105),"")</f>
        <v>-0.3916352345692653</v>
      </c>
      <c r="AA105" s="13">
        <f>IFERROR(AVERAGE('Revenue Growth YoY'!AA102:AA105),"")</f>
        <v>-0.1681126217941149</v>
      </c>
      <c r="AB105" s="13">
        <f>IFERROR(AVERAGE('Revenue Growth YoY'!AB102:AB105),"")</f>
        <v>0.51587371645727331</v>
      </c>
      <c r="AC105" s="11"/>
    </row>
    <row r="106" spans="1:29" ht="14">
      <c r="A106" s="14" t="s">
        <v>131</v>
      </c>
      <c r="B106" s="13">
        <f ca="1">IFERROR(AVERAGE('Revenue Growth YoY'!B103:B106),"")</f>
        <v>0.45192178047098924</v>
      </c>
      <c r="C106" s="13">
        <f ca="1">IFERROR(AVERAGE('Revenue Growth YoY'!C103:C106),"")</f>
        <v>0.75061594900717266</v>
      </c>
      <c r="D106" s="13">
        <f ca="1">IFERROR(AVERAGE('Revenue Growth YoY'!D103:D106),"")</f>
        <v>0.42060093628772854</v>
      </c>
      <c r="E106" s="13">
        <f ca="1">IFERROR(AVERAGE('Revenue Growth YoY'!E103:E106),"")</f>
        <v>-3.7625000769770489E-2</v>
      </c>
      <c r="F106" s="13">
        <f ca="1">IFERROR(AVERAGE('Revenue Growth YoY'!F103:F106),"")</f>
        <v>0.72207013477942461</v>
      </c>
      <c r="G106" s="13">
        <f ca="1">IFERROR(AVERAGE('Revenue Growth YoY'!G103:G106),"")</f>
        <v>0.66981450081059146</v>
      </c>
      <c r="H106" s="13">
        <f ca="1">IFERROR(AVERAGE('Revenue Growth YoY'!H103:H106),"")</f>
        <v>1.2206605086893649</v>
      </c>
      <c r="I106" s="13">
        <f ca="1">IFERROR(AVERAGE('Revenue Growth YoY'!I103:I106),"")</f>
        <v>0.80357650442253759</v>
      </c>
      <c r="J106" s="13">
        <f ca="1">IFERROR(AVERAGE('Revenue Growth YoY'!J103:J106),"")</f>
        <v>1.2232788638768559</v>
      </c>
      <c r="K106" s="13">
        <f>IFERROR(AVERAGE('Revenue Growth YoY'!K103:K106),"")</f>
        <v>0.58277136232687865</v>
      </c>
      <c r="L106" s="13">
        <f ca="1">IFERROR(AVERAGE('Revenue Growth YoY'!L103:L106),"")</f>
        <v>0.71934394950791392</v>
      </c>
      <c r="M106" s="13">
        <f ca="1">IFERROR(AVERAGE('Revenue Growth YoY'!M103:M106),"")</f>
        <v>0.46819737197072286</v>
      </c>
      <c r="N106" s="13">
        <f ca="1">IFERROR(AVERAGE('Revenue Growth YoY'!N103:N106),"")</f>
        <v>1.1316842569007142</v>
      </c>
      <c r="O106" s="13">
        <f ca="1">IFERROR(AVERAGE('Revenue Growth YoY'!O103:O106),"")</f>
        <v>2.4594603763324971</v>
      </c>
      <c r="P106" s="13">
        <f ca="1">IFERROR(AVERAGE('Revenue Growth YoY'!P103:P106),"")</f>
        <v>1.0783790300358227</v>
      </c>
      <c r="Q106" s="13" t="str">
        <f>IFERROR(AVERAGE('Revenue Growth YoY'!Q103:Q106),"")</f>
        <v/>
      </c>
      <c r="R106" s="13">
        <f>IFERROR(AVERAGE('Revenue Growth YoY'!R103:R106),"")</f>
        <v>0.76006308200660855</v>
      </c>
      <c r="S106" s="13">
        <f ca="1">IFERROR(AVERAGE('Revenue Growth YoY'!S103:S106),"")</f>
        <v>0.69462480062487408</v>
      </c>
      <c r="T106" s="13">
        <f ca="1">IFERROR(AVERAGE('Revenue Growth YoY'!T103:T106),"")</f>
        <v>1.6846446043165471</v>
      </c>
      <c r="U106" s="13" t="str">
        <f>IFERROR(AVERAGE('Revenue Growth YoY'!U103:U106),"")</f>
        <v/>
      </c>
      <c r="V106" s="13" t="str">
        <f>IFERROR(AVERAGE('Revenue Growth YoY'!V103:V106),"")</f>
        <v/>
      </c>
      <c r="W106" s="13">
        <f>IFERROR(AVERAGE('Revenue Growth YoY'!W103:W106),"")</f>
        <v>0.80909562061518636</v>
      </c>
      <c r="X106" s="13">
        <f>IFERROR(AVERAGE('Revenue Growth YoY'!X103:X106),"")</f>
        <v>1.2366552404458164</v>
      </c>
      <c r="Y106" s="13">
        <f>IFERROR(AVERAGE('Revenue Growth YoY'!Y103:Y106),"")</f>
        <v>1.2285454615771356</v>
      </c>
      <c r="Z106" s="13">
        <f>IFERROR(AVERAGE('Revenue Growth YoY'!Z103:Z106),"")</f>
        <v>-0.65984811209203953</v>
      </c>
      <c r="AA106" s="13">
        <f>IFERROR(AVERAGE('Revenue Growth YoY'!AA103:AA106),"")</f>
        <v>-0.23936483042540679</v>
      </c>
      <c r="AB106" s="13">
        <f>IFERROR(AVERAGE('Revenue Growth YoY'!AB103:AB106),"")</f>
        <v>0.72468248663101598</v>
      </c>
      <c r="AC106" s="11"/>
    </row>
    <row r="107" spans="1:29" ht="14">
      <c r="A107" s="14" t="s">
        <v>132</v>
      </c>
      <c r="B107" s="13">
        <f ca="1">IF('Revenue Growth YoY'!B107&lt;&gt;"",IFERROR(AVERAGE('Revenue Growth YoY'!B104:B107),""),"")</f>
        <v>0.3278042327839617</v>
      </c>
      <c r="C107" s="13">
        <f ca="1">IF('Revenue Growth YoY'!C107&lt;&gt;"",IFERROR(AVERAGE('Revenue Growth YoY'!C104:C107),""),"")</f>
        <v>0.51058897335355358</v>
      </c>
      <c r="D107" s="13">
        <f ca="1">IF('Revenue Growth YoY'!D107&lt;&gt;"",IFERROR(AVERAGE('Revenue Growth YoY'!D104:D107),""),"")</f>
        <v>0.26559973011583976</v>
      </c>
      <c r="E107" s="13">
        <f ca="1">IF('Revenue Growth YoY'!E107&lt;&gt;"",IFERROR(AVERAGE('Revenue Growth YoY'!E104:E107),""),"")</f>
        <v>0.2205790711488107</v>
      </c>
      <c r="F107" s="13">
        <f ca="1">IF('Revenue Growth YoY'!F107&lt;&gt;"",IFERROR(AVERAGE('Revenue Growth YoY'!F104:F107),""),"")</f>
        <v>0.54355744316395893</v>
      </c>
      <c r="G107" s="13">
        <f ca="1">IF('Revenue Growth YoY'!G107&lt;&gt;"",IFERROR(AVERAGE('Revenue Growth YoY'!G104:G107),""),"")</f>
        <v>0.27776069786205099</v>
      </c>
      <c r="H107" s="13">
        <f ca="1">IF('Revenue Growth YoY'!H107&lt;&gt;"",IFERROR(AVERAGE('Revenue Growth YoY'!H104:H107),""),"")</f>
        <v>0.5487203261187914</v>
      </c>
      <c r="I107" s="13">
        <f ca="1">IF('Revenue Growth YoY'!I107&lt;&gt;"",IFERROR(AVERAGE('Revenue Growth YoY'!I104:I107),""),"")</f>
        <v>0.61451310974417728</v>
      </c>
      <c r="J107" s="13">
        <f ca="1">IF('Revenue Growth YoY'!J107&lt;&gt;"",IFERROR(AVERAGE('Revenue Growth YoY'!J104:J107),""),"")</f>
        <v>1.3628667637649425</v>
      </c>
      <c r="K107" s="13">
        <f>IF('Revenue Growth YoY'!K107&lt;&gt;"",IFERROR(AVERAGE('Revenue Growth YoY'!K104:K107),""),"")</f>
        <v>0.21496425228526483</v>
      </c>
      <c r="L107" s="13">
        <f ca="1">IF('Revenue Growth YoY'!L107&lt;&gt;"",IFERROR(AVERAGE('Revenue Growth YoY'!L104:L107),""),"")</f>
        <v>0.54027134675582023</v>
      </c>
      <c r="M107" s="13">
        <f ca="1">IF('Revenue Growth YoY'!M107&lt;&gt;"",IFERROR(AVERAGE('Revenue Growth YoY'!M104:M107),""),"")</f>
        <v>0.34821164265151255</v>
      </c>
      <c r="N107" s="13">
        <f ca="1">IF('Revenue Growth YoY'!N107&lt;&gt;"",IFERROR(AVERAGE('Revenue Growth YoY'!N104:N107),""),"")</f>
        <v>0.90986535678834768</v>
      </c>
      <c r="O107" s="13">
        <f ca="1">IF('Revenue Growth YoY'!O107&lt;&gt;"",IFERROR(AVERAGE('Revenue Growth YoY'!O104:O107),""),"")</f>
        <v>1.7142415262486237</v>
      </c>
      <c r="P107" s="13">
        <f ca="1">IF('Revenue Growth YoY'!P107&lt;&gt;"",IFERROR(AVERAGE('Revenue Growth YoY'!P104:P107),""),"")</f>
        <v>1.6019334986681364</v>
      </c>
      <c r="Q107" s="13" t="str">
        <f>IF('Revenue Growth YoY'!Q107&lt;&gt;"",IFERROR(AVERAGE('Revenue Growth YoY'!Q104:Q107),""),"")</f>
        <v/>
      </c>
      <c r="R107" s="13">
        <f ca="1">IF('Revenue Growth YoY'!R107&lt;&gt;"",IFERROR(AVERAGE('Revenue Growth YoY'!R104:R107),""),"")</f>
        <v>0.61875082670375692</v>
      </c>
      <c r="S107" s="13">
        <f ca="1">IF('Revenue Growth YoY'!S107&lt;&gt;"",IFERROR(AVERAGE('Revenue Growth YoY'!S104:S107),""),"")</f>
        <v>0.73202357899709447</v>
      </c>
      <c r="T107" s="13" t="str">
        <f ca="1">IF('Revenue Growth YoY'!T107&lt;&gt;"",IFERROR(AVERAGE('Revenue Growth YoY'!T104:T107),""),"")</f>
        <v/>
      </c>
      <c r="U107" s="13" t="str">
        <f>IF('Revenue Growth YoY'!U107&lt;&gt;"",IFERROR(AVERAGE('Revenue Growth YoY'!U104:U107),""),"")</f>
        <v/>
      </c>
      <c r="V107" s="13" t="str">
        <f>IF('Revenue Growth YoY'!V107&lt;&gt;"",IFERROR(AVERAGE('Revenue Growth YoY'!V104:V107),""),"")</f>
        <v/>
      </c>
      <c r="W107" s="13">
        <f>IF('Revenue Growth YoY'!W107&lt;&gt;"",IFERROR(AVERAGE('Revenue Growth YoY'!W104:W107),""),"")</f>
        <v>0.95498778953079655</v>
      </c>
      <c r="X107" s="13">
        <f>IF('Revenue Growth YoY'!X107&lt;&gt;"",IFERROR(AVERAGE('Revenue Growth YoY'!X104:X107),""),"")</f>
        <v>0.99621901407067104</v>
      </c>
      <c r="Y107" s="13">
        <f>IF('Revenue Growth YoY'!Y107&lt;&gt;"",IFERROR(AVERAGE('Revenue Growth YoY'!Y104:Y107),""),"")</f>
        <v>1.1210845758048809</v>
      </c>
      <c r="Z107" s="13">
        <f>IF('Revenue Growth YoY'!Z107&lt;&gt;"",IFERROR(AVERAGE('Revenue Growth YoY'!Z104:Z107),""),"")</f>
        <v>-0.4475379219521034</v>
      </c>
      <c r="AA107" s="13" t="str">
        <f>IF('Revenue Growth YoY'!AA107&lt;&gt;"",IFERROR(AVERAGE('Revenue Growth YoY'!AA104:AA107),""),"")</f>
        <v/>
      </c>
      <c r="AB107" s="13">
        <f>IF('Revenue Growth YoY'!AB107&lt;&gt;"",IFERROR(AVERAGE('Revenue Growth YoY'!AB104:AB107),""),"")</f>
        <v>0.62163638325329607</v>
      </c>
      <c r="AC107" s="11"/>
    </row>
    <row r="108" spans="1:29" ht="14">
      <c r="A108" s="14" t="s">
        <v>133</v>
      </c>
      <c r="B108" s="13">
        <f ca="1">IF('Revenue Growth YoY'!B108&lt;&gt;"",IFERROR(AVERAGE('Revenue Growth YoY'!B105:B108),""),"")</f>
        <v>0.22897162784344388</v>
      </c>
      <c r="C108" s="13">
        <f ca="1">IF('Revenue Growth YoY'!C108&lt;&gt;"",IFERROR(AVERAGE('Revenue Growth YoY'!C105:C108),""),"")</f>
        <v>0.33160009567755433</v>
      </c>
      <c r="D108" s="13">
        <f ca="1">IF('Revenue Growth YoY'!D108&lt;&gt;"",IFERROR(AVERAGE('Revenue Growth YoY'!D105:D108),""),"")</f>
        <v>0.15279325437336655</v>
      </c>
      <c r="E108" s="13">
        <f ca="1">IF('Revenue Growth YoY'!E108&lt;&gt;"",IFERROR(AVERAGE('Revenue Growth YoY'!E105:E108),""),"")</f>
        <v>0.70496047802576933</v>
      </c>
      <c r="F108" s="13">
        <f ca="1">IF('Revenue Growth YoY'!F108&lt;&gt;"",IFERROR(AVERAGE('Revenue Growth YoY'!F105:F108),""),"")</f>
        <v>0.39610349143172763</v>
      </c>
      <c r="G108" s="13">
        <f ca="1">IF('Revenue Growth YoY'!G108&lt;&gt;"",IFERROR(AVERAGE('Revenue Growth YoY'!G105:G108),""),"")</f>
        <v>0.11356821821189245</v>
      </c>
      <c r="H108" s="13">
        <f ca="1">IF('Revenue Growth YoY'!H108&lt;&gt;"",IFERROR(AVERAGE('Revenue Growth YoY'!H105:H108),""),"")</f>
        <v>0.286438169400067</v>
      </c>
      <c r="I108" s="13">
        <f ca="1">IF('Revenue Growth YoY'!I108&lt;&gt;"",IFERROR(AVERAGE('Revenue Growth YoY'!I105:I108),""),"")</f>
        <v>0.38952626643585075</v>
      </c>
      <c r="J108" s="13">
        <f ca="1">IF('Revenue Growth YoY'!J108&lt;&gt;"",IFERROR(AVERAGE('Revenue Growth YoY'!J105:J108),""),"")</f>
        <v>0.62063492665039177</v>
      </c>
      <c r="K108" s="13">
        <f>IF('Revenue Growth YoY'!K108&lt;&gt;"",IFERROR(AVERAGE('Revenue Growth YoY'!K105:K108),""),"")</f>
        <v>0.2381201026828948</v>
      </c>
      <c r="L108" s="13">
        <f ca="1">IF('Revenue Growth YoY'!L108&lt;&gt;"",IFERROR(AVERAGE('Revenue Growth YoY'!L105:L108),""),"")</f>
        <v>0.6093140636829083</v>
      </c>
      <c r="M108" s="13">
        <f ca="1">IF('Revenue Growth YoY'!M108&lt;&gt;"",IFERROR(AVERAGE('Revenue Growth YoY'!M105:M108),""),"")</f>
        <v>0.39882055978104763</v>
      </c>
      <c r="N108" s="13">
        <f ca="1">IF('Revenue Growth YoY'!N108&lt;&gt;"",IFERROR(AVERAGE('Revenue Growth YoY'!N105:N108),""),"")</f>
        <v>0.60911135894682422</v>
      </c>
      <c r="O108" s="13">
        <f ca="1">IF('Revenue Growth YoY'!O108&lt;&gt;"",IFERROR(AVERAGE('Revenue Growth YoY'!O105:O108),""),"")</f>
        <v>1.2728892980147282</v>
      </c>
      <c r="P108" s="13">
        <f ca="1">IF('Revenue Growth YoY'!P108&lt;&gt;"",IFERROR(AVERAGE('Revenue Growth YoY'!P105:P108),""),"")</f>
        <v>1.2989124324891752</v>
      </c>
      <c r="Q108" s="13" t="str">
        <f>IF('Revenue Growth YoY'!Q108&lt;&gt;"",IFERROR(AVERAGE('Revenue Growth YoY'!Q105:Q108),""),"")</f>
        <v/>
      </c>
      <c r="R108" s="13">
        <f ca="1">IF('Revenue Growth YoY'!R108&lt;&gt;"",IFERROR(AVERAGE('Revenue Growth YoY'!R105:R108),""),"")</f>
        <v>0.48347298584936577</v>
      </c>
      <c r="S108" s="13">
        <f ca="1">IF('Revenue Growth YoY'!S108&lt;&gt;"",IFERROR(AVERAGE('Revenue Growth YoY'!S105:S108),""),"")</f>
        <v>0.69175833236868822</v>
      </c>
      <c r="T108" s="13">
        <f ca="1">IF('Revenue Growth YoY'!T108&lt;&gt;"",IFERROR(AVERAGE('Revenue Growth YoY'!T105:T108),""),"")</f>
        <v>0.18449503384020383</v>
      </c>
      <c r="U108" s="13" t="str">
        <f>IF('Revenue Growth YoY'!U108&lt;&gt;"",IFERROR(AVERAGE('Revenue Growth YoY'!U105:U108),""),"")</f>
        <v/>
      </c>
      <c r="V108" s="13" t="str">
        <f>IF('Revenue Growth YoY'!V108&lt;&gt;"",IFERROR(AVERAGE('Revenue Growth YoY'!V105:V108),""),"")</f>
        <v/>
      </c>
      <c r="W108" s="13">
        <f>IF('Revenue Growth YoY'!W108&lt;&gt;"",IFERROR(AVERAGE('Revenue Growth YoY'!W105:W108),""),"")</f>
        <v>1.1008799584464066</v>
      </c>
      <c r="X108" s="13">
        <f>IF('Revenue Growth YoY'!X108&lt;&gt;"",IFERROR(AVERAGE('Revenue Growth YoY'!X105:X108),""),"")</f>
        <v>0.75578278769552543</v>
      </c>
      <c r="Y108" s="13">
        <f>IF('Revenue Growth YoY'!Y108&lt;&gt;"",IFERROR(AVERAGE('Revenue Growth YoY'!Y105:Y108),""),"")</f>
        <v>1.0136236900326263</v>
      </c>
      <c r="Z108" s="13">
        <f>IF('Revenue Growth YoY'!Z108&lt;&gt;"",IFERROR(AVERAGE('Revenue Growth YoY'!Z105:Z108),""),"")</f>
        <v>-0.23522773181216722</v>
      </c>
      <c r="AA108" s="13" t="str">
        <f>IF('Revenue Growth YoY'!AA108&lt;&gt;"",IFERROR(AVERAGE('Revenue Growth YoY'!AA105:AA108),""),"")</f>
        <v/>
      </c>
      <c r="AB108" s="13">
        <f>IF('Revenue Growth YoY'!AB108&lt;&gt;"",IFERROR(AVERAGE('Revenue Growth YoY'!AB105:AB108),""),"")</f>
        <v>0.51859027987557604</v>
      </c>
      <c r="AC108" s="11"/>
    </row>
    <row r="109" spans="1:29" ht="14">
      <c r="A109" s="14" t="s">
        <v>134</v>
      </c>
      <c r="B109" s="13">
        <f ca="1">IF('Revenue Growth YoY'!B109&lt;&gt;"",IFERROR(AVERAGE('Revenue Growth YoY'!B106:B109),""),"")</f>
        <v>0.20110901608744602</v>
      </c>
      <c r="C109" s="13">
        <f ca="1">IF('Revenue Growth YoY'!C109&lt;&gt;"",IFERROR(AVERAGE('Revenue Growth YoY'!C106:C109),""),"")</f>
        <v>0.31127980480806111</v>
      </c>
      <c r="D109" s="13">
        <f ca="1">IF('Revenue Growth YoY'!D109&lt;&gt;"",IFERROR(AVERAGE('Revenue Growth YoY'!D106:D109),""),"")</f>
        <v>0.11875561280164076</v>
      </c>
      <c r="E109" s="13">
        <f ca="1">IF('Revenue Growth YoY'!E109&lt;&gt;"",IFERROR(AVERAGE('Revenue Growth YoY'!E106:E109),""),"")</f>
        <v>0.89977034192952954</v>
      </c>
      <c r="F109" s="13">
        <f ca="1">IF('Revenue Growth YoY'!F109&lt;&gt;"",IFERROR(AVERAGE('Revenue Growth YoY'!F106:F109),""),"")</f>
        <v>0.30769563103784509</v>
      </c>
      <c r="G109" s="13">
        <f ca="1">IF('Revenue Growth YoY'!G109&lt;&gt;"",IFERROR(AVERAGE('Revenue Growth YoY'!G106:G109),""),"")</f>
        <v>-2.9442978814619436E-3</v>
      </c>
      <c r="H109" s="13">
        <f ca="1">IF('Revenue Growth YoY'!H109&lt;&gt;"",IFERROR(AVERAGE('Revenue Growth YoY'!H106:H109),""),"")</f>
        <v>0.22353786504826229</v>
      </c>
      <c r="I109" s="13">
        <f ca="1">IF('Revenue Growth YoY'!I109&lt;&gt;"",IFERROR(AVERAGE('Revenue Growth YoY'!I106:I109),""),"")</f>
        <v>0.25873186754289562</v>
      </c>
      <c r="J109" s="13">
        <f ca="1">IF('Revenue Growth YoY'!J109&lt;&gt;"",IFERROR(AVERAGE('Revenue Growth YoY'!J106:J109),""),"")</f>
        <v>0.45566220805801833</v>
      </c>
      <c r="K109" s="13">
        <f>IF('Revenue Growth YoY'!K109&lt;&gt;"",IFERROR(AVERAGE('Revenue Growth YoY'!K106:K109),""),"")</f>
        <v>0.26127595308052476</v>
      </c>
      <c r="L109" s="13">
        <f ca="1">IF('Revenue Growth YoY'!L109&lt;&gt;"",IFERROR(AVERAGE('Revenue Growth YoY'!L106:L109),""),"")</f>
        <v>0.61586173336918226</v>
      </c>
      <c r="M109" s="13">
        <f ca="1">IF('Revenue Growth YoY'!M109&lt;&gt;"",IFERROR(AVERAGE('Revenue Growth YoY'!M106:M109),""),"")</f>
        <v>0.29894272831926805</v>
      </c>
      <c r="N109" s="13">
        <f ca="1">IF('Revenue Growth YoY'!N109&lt;&gt;"",IFERROR(AVERAGE('Revenue Growth YoY'!N106:N109),""),"")</f>
        <v>0.43493183199233254</v>
      </c>
      <c r="O109" s="13">
        <f ca="1">IF('Revenue Growth YoY'!O109&lt;&gt;"",IFERROR(AVERAGE('Revenue Growth YoY'!O106:O109),""),"")</f>
        <v>0.83153706978083242</v>
      </c>
      <c r="P109" s="13">
        <f ca="1">IF('Revenue Growth YoY'!P109&lt;&gt;"",IFERROR(AVERAGE('Revenue Growth YoY'!P106:P109),""),"")</f>
        <v>0.99589136631021447</v>
      </c>
      <c r="Q109" s="13" t="str">
        <f>IF('Revenue Growth YoY'!Q109&lt;&gt;"",IFERROR(AVERAGE('Revenue Growth YoY'!Q106:Q109),""),"")</f>
        <v/>
      </c>
      <c r="R109" s="13">
        <f ca="1">IF('Revenue Growth YoY'!R109&lt;&gt;"",IFERROR(AVERAGE('Revenue Growth YoY'!R106:R109),""),"")</f>
        <v>0.31668209176412482</v>
      </c>
      <c r="S109" s="13">
        <f ca="1">IF('Revenue Growth YoY'!S109&lt;&gt;"",IFERROR(AVERAGE('Revenue Growth YoY'!S106:S109),""),"")</f>
        <v>0.55769620894774941</v>
      </c>
      <c r="T109" s="13">
        <f ca="1">IF('Revenue Growth YoY'!T109&lt;&gt;"",IFERROR(AVERAGE('Revenue Growth YoY'!T106:T109),""),"")</f>
        <v>0.15038591370976617</v>
      </c>
      <c r="U109" s="13" t="str">
        <f>IF('Revenue Growth YoY'!U109&lt;&gt;"",IFERROR(AVERAGE('Revenue Growth YoY'!U106:U109),""),"")</f>
        <v/>
      </c>
      <c r="V109" s="13" t="str">
        <f>IF('Revenue Growth YoY'!V109&lt;&gt;"",IFERROR(AVERAGE('Revenue Growth YoY'!V106:V109),""),"")</f>
        <v/>
      </c>
      <c r="W109" s="13">
        <f>IF('Revenue Growth YoY'!W109&lt;&gt;"",IFERROR(AVERAGE('Revenue Growth YoY'!W106:W109),""),"")</f>
        <v>0.87824127186480749</v>
      </c>
      <c r="X109" s="13">
        <f>IF('Revenue Growth YoY'!X109&lt;&gt;"",IFERROR(AVERAGE('Revenue Growth YoY'!X106:X109),""),"")</f>
        <v>0.51534656132038004</v>
      </c>
      <c r="Y109" s="13">
        <f>IF('Revenue Growth YoY'!Y109&lt;&gt;"",IFERROR(AVERAGE('Revenue Growth YoY'!Y106:Y109),""),"")</f>
        <v>0.90616280426037155</v>
      </c>
      <c r="Z109" s="13">
        <f>IF('Revenue Growth YoY'!Z109&lt;&gt;"",IFERROR(AVERAGE('Revenue Growth YoY'!Z106:Z109),""),"")</f>
        <v>-2.2917541672231062E-2</v>
      </c>
      <c r="AA109" s="13" t="str">
        <f>IF('Revenue Growth YoY'!AA109&lt;&gt;"",IFERROR(AVERAGE('Revenue Growth YoY'!AA106:AA109),""),"")</f>
        <v/>
      </c>
      <c r="AB109" s="13">
        <f>IF('Revenue Growth YoY'!AB109&lt;&gt;"",IFERROR(AVERAGE('Revenue Growth YoY'!AB106:AB109),""),"")</f>
        <v>0.41554417649785608</v>
      </c>
      <c r="AC109" s="11"/>
    </row>
    <row r="110" spans="1:29" ht="14">
      <c r="A110" s="14" t="s">
        <v>135</v>
      </c>
      <c r="B110" s="13">
        <f ca="1">IF('Revenue Growth YoY'!B110&lt;&gt;"",IFERROR(AVERAGE('Revenue Growth YoY'!B107:B110),""),"")</f>
        <v>0.18230535601753362</v>
      </c>
      <c r="C110" s="13">
        <f ca="1">IF('Revenue Growth YoY'!C110&lt;&gt;"",IFERROR(AVERAGE('Revenue Growth YoY'!C107:C110),""),"")</f>
        <v>0.26709412119680753</v>
      </c>
      <c r="D110" s="13">
        <f ca="1">IF('Revenue Growth YoY'!D110&lt;&gt;"",IFERROR(AVERAGE('Revenue Growth YoY'!D107:D110),""),"")</f>
        <v>0.10725579766955656</v>
      </c>
      <c r="E110" s="13">
        <f ca="1">IF('Revenue Growth YoY'!E110&lt;&gt;"",IFERROR(AVERAGE('Revenue Growth YoY'!E107:E110),""),"")</f>
        <v>1.1501011591879398</v>
      </c>
      <c r="F110" s="13">
        <f ca="1">IF('Revenue Growth YoY'!F110&lt;&gt;"",IFERROR(AVERAGE('Revenue Growth YoY'!F107:F110),""),"")</f>
        <v>0.21589944283895623</v>
      </c>
      <c r="G110" s="13">
        <f ca="1">IF('Revenue Growth YoY'!G110&lt;&gt;"",IFERROR(AVERAGE('Revenue Growth YoY'!G107:G110),""),"")</f>
        <v>-7.8602553856913393E-2</v>
      </c>
      <c r="H110" s="13">
        <f ca="1">IF('Revenue Growth YoY'!H110&lt;&gt;"",IFERROR(AVERAGE('Revenue Growth YoY'!H107:H110),""),"")</f>
        <v>0.1635490701375415</v>
      </c>
      <c r="I110" s="13">
        <f ca="1">IF('Revenue Growth YoY'!I110&lt;&gt;"",IFERROR(AVERAGE('Revenue Growth YoY'!I107:I110),""),"")</f>
        <v>0.31644054110134978</v>
      </c>
      <c r="J110" s="13">
        <f ca="1">IF('Revenue Growth YoY'!J110&lt;&gt;"",IFERROR(AVERAGE('Revenue Growth YoY'!J107:J110),""),"")</f>
        <v>0.39907945546493062</v>
      </c>
      <c r="K110" s="13">
        <f>IF('Revenue Growth YoY'!K110&lt;&gt;"",IFERROR(AVERAGE('Revenue Growth YoY'!K107:K110),""),"")</f>
        <v>0.28443180347815472</v>
      </c>
      <c r="L110" s="13">
        <f ca="1">IF('Revenue Growth YoY'!L110&lt;&gt;"",IFERROR(AVERAGE('Revenue Growth YoY'!L107:L110),""),"")</f>
        <v>0.57647903667034472</v>
      </c>
      <c r="M110" s="13">
        <f ca="1">IF('Revenue Growth YoY'!M110&lt;&gt;"",IFERROR(AVERAGE('Revenue Growth YoY'!M107:M110),""),"")</f>
        <v>0.66116928452653378</v>
      </c>
      <c r="N110" s="13">
        <f ca="1">IF('Revenue Growth YoY'!N110&lt;&gt;"",IFERROR(AVERAGE('Revenue Growth YoY'!N107:N110),""),"")</f>
        <v>0.45354224286753647</v>
      </c>
      <c r="O110" s="13">
        <f ca="1">IF('Revenue Growth YoY'!O110&lt;&gt;"",IFERROR(AVERAGE('Revenue Growth YoY'!O107:O110),""),"")</f>
        <v>0.56436615920320832</v>
      </c>
      <c r="P110" s="13">
        <f ca="1">IF('Revenue Growth YoY'!P110&lt;&gt;"",IFERROR(AVERAGE('Revenue Growth YoY'!P107:P110),""),"")</f>
        <v>0.5307642159736401</v>
      </c>
      <c r="Q110" s="13" t="str">
        <f>IF('Revenue Growth YoY'!Q110&lt;&gt;"",IFERROR(AVERAGE('Revenue Growth YoY'!Q107:Q110),""),"")</f>
        <v/>
      </c>
      <c r="R110" s="13">
        <f ca="1">IF('Revenue Growth YoY'!R110&lt;&gt;"",IFERROR(AVERAGE('Revenue Growth YoY'!R107:R110),""),"")</f>
        <v>7.7142979050219773E-2</v>
      </c>
      <c r="S110" s="13">
        <f ca="1">IF('Revenue Growth YoY'!S110&lt;&gt;"",IFERROR(AVERAGE('Revenue Growth YoY'!S107:S110),""),"")</f>
        <v>0.28446270597046436</v>
      </c>
      <c r="T110" s="13">
        <f ca="1">IF('Revenue Growth YoY'!T110&lt;&gt;"",IFERROR(AVERAGE('Revenue Growth YoY'!T107:T110),""),"")</f>
        <v>0.1753191399802804</v>
      </c>
      <c r="U110" s="13" t="str">
        <f>IF('Revenue Growth YoY'!U110&lt;&gt;"",IFERROR(AVERAGE('Revenue Growth YoY'!U107:U110),""),"")</f>
        <v/>
      </c>
      <c r="V110" s="13" t="str">
        <f>IF('Revenue Growth YoY'!V110&lt;&gt;"",IFERROR(AVERAGE('Revenue Growth YoY'!V107:V110),""),"")</f>
        <v/>
      </c>
      <c r="W110" s="13">
        <f>IF('Revenue Growth YoY'!W110&lt;&gt;"",IFERROR(AVERAGE('Revenue Growth YoY'!W107:W110),""),"")</f>
        <v>0.65560258528320836</v>
      </c>
      <c r="X110" s="13">
        <f>IF('Revenue Growth YoY'!X110&lt;&gt;"",IFERROR(AVERAGE('Revenue Growth YoY'!X107:X110),""),"")</f>
        <v>0.27491033494523465</v>
      </c>
      <c r="Y110" s="13">
        <f>IF('Revenue Growth YoY'!Y110&lt;&gt;"",IFERROR(AVERAGE('Revenue Growth YoY'!Y107:Y110),""),"")</f>
        <v>0.79870191848811678</v>
      </c>
      <c r="Z110" s="13">
        <f>IF('Revenue Growth YoY'!Z110&lt;&gt;"",IFERROR(AVERAGE('Revenue Growth YoY'!Z107:Z110),""),"")</f>
        <v>0.18939264846770509</v>
      </c>
      <c r="AA110" s="13" t="str">
        <f>IF('Revenue Growth YoY'!AA110&lt;&gt;"",IFERROR(AVERAGE('Revenue Growth YoY'!AA107:AA110),""),"")</f>
        <v/>
      </c>
      <c r="AB110" s="13">
        <f>IF('Revenue Growth YoY'!AB110&lt;&gt;"",IFERROR(AVERAGE('Revenue Growth YoY'!AB107:AB110),""),"")</f>
        <v>0.31249807312013611</v>
      </c>
      <c r="AC110" s="11"/>
    </row>
    <row r="111" spans="1:29" ht="14">
      <c r="A111" s="14" t="s">
        <v>136</v>
      </c>
      <c r="B111" s="13">
        <f ca="1">IF('Revenue Growth YoY'!B111&lt;&gt;"",IFERROR(AVERAGE('Revenue Growth YoY'!B108:B111),""),"")</f>
        <v>0.17565439334423022</v>
      </c>
      <c r="C111" s="13">
        <f ca="1">IF('Revenue Growth YoY'!C111&lt;&gt;"",IFERROR(AVERAGE('Revenue Growth YoY'!C108:C111),""),"")</f>
        <v>0.20878223154369424</v>
      </c>
      <c r="D111" s="13">
        <f ca="1">IF('Revenue Growth YoY'!D111&lt;&gt;"",IFERROR(AVERAGE('Revenue Growth YoY'!D108:D111),""),"")</f>
        <v>8.202615631133775E-2</v>
      </c>
      <c r="E111" s="13">
        <f ca="1">IF('Revenue Growth YoY'!E111&lt;&gt;"",IFERROR(AVERAGE('Revenue Growth YoY'!E108:E111),""),"")</f>
        <v>0.9413299066787737</v>
      </c>
      <c r="F111" s="13">
        <f ca="1">IF('Revenue Growth YoY'!F111&lt;&gt;"",IFERROR(AVERAGE('Revenue Growth YoY'!F108:F111),""),"")</f>
        <v>0.12806431598971446</v>
      </c>
      <c r="G111" s="13">
        <f ca="1">IF('Revenue Growth YoY'!G111&lt;&gt;"",IFERROR(AVERAGE('Revenue Growth YoY'!G108:G111),""),"")</f>
        <v>-0.12334702858596766</v>
      </c>
      <c r="H111" s="13">
        <f ca="1">IF('Revenue Growth YoY'!H111&lt;&gt;"",IFERROR(AVERAGE('Revenue Growth YoY'!H108:H111),""),"")</f>
        <v>0.12842740468210356</v>
      </c>
      <c r="I111" s="13">
        <f ca="1">IF('Revenue Growth YoY'!I111&lt;&gt;"",IFERROR(AVERAGE('Revenue Growth YoY'!I108:I111),""),"")</f>
        <v>0.23710592743893344</v>
      </c>
      <c r="J111" s="13">
        <f ca="1">IF('Revenue Growth YoY'!J111&lt;&gt;"",IFERROR(AVERAGE('Revenue Growth YoY'!J108:J111),""),"")</f>
        <v>0.32144271121348256</v>
      </c>
      <c r="K111" s="13">
        <f ca="1">IF('Revenue Growth YoY'!K111&lt;&gt;"",IFERROR(AVERAGE('Revenue Growth YoY'!K108:K111),""),"")</f>
        <v>0.3165038638109085</v>
      </c>
      <c r="L111" s="13">
        <f ca="1">IF('Revenue Growth YoY'!L111&lt;&gt;"",IFERROR(AVERAGE('Revenue Growth YoY'!L108:L111),""),"")</f>
        <v>0.45141512092622998</v>
      </c>
      <c r="M111" s="13">
        <f ca="1">IF('Revenue Growth YoY'!M111&lt;&gt;"",IFERROR(AVERAGE('Revenue Growth YoY'!M108:M111),""),"")</f>
        <v>0.64444556869479463</v>
      </c>
      <c r="N111" s="13">
        <f ca="1">IF('Revenue Growth YoY'!N111&lt;&gt;"",IFERROR(AVERAGE('Revenue Growth YoY'!N108:N111),""),"")</f>
        <v>0.40880252790953969</v>
      </c>
      <c r="O111" s="13">
        <f ca="1">IF('Revenue Growth YoY'!O111&lt;&gt;"",IFERROR(AVERAGE('Revenue Growth YoY'!O108:O111),""),"")</f>
        <v>0.29719524862558422</v>
      </c>
      <c r="P111" s="13">
        <f ca="1">IF('Revenue Growth YoY'!P111&lt;&gt;"",IFERROR(AVERAGE('Revenue Growth YoY'!P108:P111),""),"")</f>
        <v>6.5637065637065617E-2</v>
      </c>
      <c r="Q111" s="13" t="str">
        <f>IF('Revenue Growth YoY'!Q111&lt;&gt;"",IFERROR(AVERAGE('Revenue Growth YoY'!Q108:Q111),""),"")</f>
        <v/>
      </c>
      <c r="R111" s="13">
        <f ca="1">IF('Revenue Growth YoY'!R111&lt;&gt;"",IFERROR(AVERAGE('Revenue Growth YoY'!R108:R111),""),"")</f>
        <v>-1.5829828376940358E-3</v>
      </c>
      <c r="S111" s="13">
        <f ca="1">IF('Revenue Growth YoY'!S111&lt;&gt;"",IFERROR(AVERAGE('Revenue Growth YoY'!S108:S111),""),"")</f>
        <v>0.13091389767859729</v>
      </c>
      <c r="T111" s="13">
        <f ca="1">IF('Revenue Growth YoY'!T111&lt;&gt;"",IFERROR(AVERAGE('Revenue Growth YoY'!T108:T111),""),"")</f>
        <v>0.10294692844883976</v>
      </c>
      <c r="U111" s="13" t="str">
        <f>IF('Revenue Growth YoY'!U111&lt;&gt;"",IFERROR(AVERAGE('Revenue Growth YoY'!U108:U111),""),"")</f>
        <v/>
      </c>
      <c r="V111" s="13" t="str">
        <f>IF('Revenue Growth YoY'!V111&lt;&gt;"",IFERROR(AVERAGE('Revenue Growth YoY'!V108:V111),""),"")</f>
        <v/>
      </c>
      <c r="W111" s="13">
        <f>IF('Revenue Growth YoY'!W111&lt;&gt;"",IFERROR(AVERAGE('Revenue Growth YoY'!W108:W111),""),"")</f>
        <v>0.43296389870160923</v>
      </c>
      <c r="X111" s="13" t="str">
        <f>IF('Revenue Growth YoY'!X111&lt;&gt;"",IFERROR(AVERAGE('Revenue Growth YoY'!X108:X111),""),"")</f>
        <v/>
      </c>
      <c r="Y111" s="13" t="str">
        <f>IF('Revenue Growth YoY'!Y111&lt;&gt;"",IFERROR(AVERAGE('Revenue Growth YoY'!Y108:Y111),""),"")</f>
        <v/>
      </c>
      <c r="Z111" s="13" t="str">
        <f>IF('Revenue Growth YoY'!Z111&lt;&gt;"",IFERROR(AVERAGE('Revenue Growth YoY'!Z108:Z111),""),"")</f>
        <v/>
      </c>
      <c r="AA111" s="13" t="str">
        <f>IF('Revenue Growth YoY'!AA111&lt;&gt;"",IFERROR(AVERAGE('Revenue Growth YoY'!AA108:AA111),""),"")</f>
        <v/>
      </c>
      <c r="AB111" s="13" t="str">
        <f>IF('Revenue Growth YoY'!AB111&lt;&gt;"",IFERROR(AVERAGE('Revenue Growth YoY'!AB108:AB111),""),"")</f>
        <v/>
      </c>
      <c r="AC111" s="11"/>
    </row>
    <row r="112" spans="1:29" ht="14">
      <c r="A112" s="14" t="s">
        <v>137</v>
      </c>
      <c r="B112" s="13">
        <f ca="1">IF('Revenue Growth YoY'!B112&lt;&gt;"",IFERROR(AVERAGE('Revenue Growth YoY'!B109:B112),""),"")</f>
        <v>0.15708735974645271</v>
      </c>
      <c r="C112" s="13">
        <f ca="1">IF('Revenue Growth YoY'!C112&lt;&gt;"",IFERROR(AVERAGE('Revenue Growth YoY'!C109:C112),""),"")</f>
        <v>0.15895136811278654</v>
      </c>
      <c r="D112" s="13">
        <f ca="1">IF('Revenue Growth YoY'!D112&lt;&gt;"",IFERROR(AVERAGE('Revenue Growth YoY'!D109:D112),""),"")</f>
        <v>8.3005251778224542E-2</v>
      </c>
      <c r="E112" s="13">
        <f ca="1">IF('Revenue Growth YoY'!E112&lt;&gt;"",IFERROR(AVERAGE('Revenue Growth YoY'!E109:E112),""),"")</f>
        <v>0.57572834637771408</v>
      </c>
      <c r="F112" s="13">
        <f ca="1">IF('Revenue Growth YoY'!F112&lt;&gt;"",IFERROR(AVERAGE('Revenue Growth YoY'!F109:F112),""),"")</f>
        <v>8.3419465068831744E-2</v>
      </c>
      <c r="G112" s="13">
        <f ca="1">IF('Revenue Growth YoY'!G112&lt;&gt;"",IFERROR(AVERAGE('Revenue Growth YoY'!G109:G112),""),"")</f>
        <v>-0.10004548620783221</v>
      </c>
      <c r="H112" s="13">
        <f ca="1">IF('Revenue Growth YoY'!H112&lt;&gt;"",IFERROR(AVERAGE('Revenue Growth YoY'!H109:H112),""),"")</f>
        <v>0.11214857560299996</v>
      </c>
      <c r="I112" s="13">
        <f ca="1">IF('Revenue Growth YoY'!I112&lt;&gt;"",IFERROR(AVERAGE('Revenue Growth YoY'!I109:I112),""),"")</f>
        <v>0.2087463437211986</v>
      </c>
      <c r="J112" s="13">
        <f ca="1">IF('Revenue Growth YoY'!J112&lt;&gt;"",IFERROR(AVERAGE('Revenue Growth YoY'!J109:J112),""),"")</f>
        <v>0.30029932231098805</v>
      </c>
      <c r="K112" s="13">
        <f ca="1">IF('Revenue Growth YoY'!K112&lt;&gt;"",IFERROR(AVERAGE('Revenue Growth YoY'!K109:K112),""),"")</f>
        <v>0.27132447944625082</v>
      </c>
      <c r="L112" s="13">
        <f ca="1">IF('Revenue Growth YoY'!L112&lt;&gt;"",IFERROR(AVERAGE('Revenue Growth YoY'!L109:L112),""),"")</f>
        <v>0.3783661533761753</v>
      </c>
      <c r="M112" s="13">
        <f ca="1">IF('Revenue Growth YoY'!M112&lt;&gt;"",IFERROR(AVERAGE('Revenue Growth YoY'!M109:M112),""),"")</f>
        <v>0.69242943966253645</v>
      </c>
      <c r="N112" s="13">
        <f ca="1">IF('Revenue Growth YoY'!N112&lt;&gt;"",IFERROR(AVERAGE('Revenue Growth YoY'!N109:N112),""),"")</f>
        <v>0.4647265305768824</v>
      </c>
      <c r="O112" s="13" t="str">
        <f>IF('Revenue Growth YoY'!O112&lt;&gt;"",IFERROR(AVERAGE('Revenue Growth YoY'!O109:O112),""),"")</f>
        <v/>
      </c>
      <c r="P112" s="13">
        <f ca="1">IF('Revenue Growth YoY'!P112&lt;&gt;"",IFERROR(AVERAGE('Revenue Growth YoY'!P109:P112),""),"")</f>
        <v>8.3462560921577278E-2</v>
      </c>
      <c r="Q112" s="13" t="str">
        <f>IF('Revenue Growth YoY'!Q112&lt;&gt;"",IFERROR(AVERAGE('Revenue Growth YoY'!Q109:Q112),""),"")</f>
        <v/>
      </c>
      <c r="R112" s="13">
        <f ca="1">IF('Revenue Growth YoY'!R112&lt;&gt;"",IFERROR(AVERAGE('Revenue Growth YoY'!R109:R112),""),"")</f>
        <v>-6.9247205114218002E-2</v>
      </c>
      <c r="S112" s="13">
        <f ca="1">IF('Revenue Growth YoY'!S112&lt;&gt;"",IFERROR(AVERAGE('Revenue Growth YoY'!S109:S112),""),"")</f>
        <v>9.0280307220563127E-2</v>
      </c>
      <c r="T112" s="13">
        <f ca="1">IF('Revenue Growth YoY'!T112&lt;&gt;"",IFERROR(AVERAGE('Revenue Growth YoY'!T109:T112),""),"")</f>
        <v>4.0739020389501168E-2</v>
      </c>
      <c r="U112" s="13" t="str">
        <f>IF('Revenue Growth YoY'!U112&lt;&gt;"",IFERROR(AVERAGE('Revenue Growth YoY'!U109:U112),""),"")</f>
        <v/>
      </c>
      <c r="V112" s="13" t="str">
        <f>IF('Revenue Growth YoY'!V112&lt;&gt;"",IFERROR(AVERAGE('Revenue Growth YoY'!V109:V112),""),"")</f>
        <v/>
      </c>
      <c r="W112" s="13">
        <f>IF('Revenue Growth YoY'!W112&lt;&gt;"",IFERROR(AVERAGE('Revenue Growth YoY'!W109:W112),""),"")</f>
        <v>0.2103252121200101</v>
      </c>
      <c r="X112" s="13" t="str">
        <f>IF('Revenue Growth YoY'!X112&lt;&gt;"",IFERROR(AVERAGE('Revenue Growth YoY'!X109:X112),""),"")</f>
        <v/>
      </c>
      <c r="Y112" s="13" t="str">
        <f>IF('Revenue Growth YoY'!Y112&lt;&gt;"",IFERROR(AVERAGE('Revenue Growth YoY'!Y109:Y112),""),"")</f>
        <v/>
      </c>
      <c r="Z112" s="13" t="str">
        <f>IF('Revenue Growth YoY'!Z112&lt;&gt;"",IFERROR(AVERAGE('Revenue Growth YoY'!Z109:Z112),""),"")</f>
        <v/>
      </c>
      <c r="AA112" s="13" t="str">
        <f>IF('Revenue Growth YoY'!AA112&lt;&gt;"",IFERROR(AVERAGE('Revenue Growth YoY'!AA109:AA112),""),"")</f>
        <v/>
      </c>
      <c r="AB112" s="13" t="str">
        <f>IF('Revenue Growth YoY'!AB112&lt;&gt;"",IFERROR(AVERAGE('Revenue Growth YoY'!AB109:AB112),""),"")</f>
        <v/>
      </c>
      <c r="AC112" s="11"/>
    </row>
    <row r="113" spans="1:29" ht="14">
      <c r="A113" s="14" t="s">
        <v>138</v>
      </c>
      <c r="B113" s="13">
        <f ca="1">IF('Revenue Growth YoY'!B113&lt;&gt;"",IFERROR(AVERAGE('Revenue Growth YoY'!B110:B113),""),"")</f>
        <v>0.137313836397152</v>
      </c>
      <c r="C113" s="13">
        <f ca="1">IF('Revenue Growth YoY'!C113&lt;&gt;"",IFERROR(AVERAGE('Revenue Growth YoY'!C110:C113),""),"")</f>
        <v>0.12794262226908693</v>
      </c>
      <c r="D113" s="13">
        <f ca="1">IF('Revenue Growth YoY'!D113&lt;&gt;"",IFERROR(AVERAGE('Revenue Growth YoY'!D110:D113),""),"")</f>
        <v>6.9925950634990741E-2</v>
      </c>
      <c r="E113" s="13">
        <f ca="1">IF('Revenue Growth YoY'!E113&lt;&gt;"",IFERROR(AVERAGE('Revenue Growth YoY'!E110:E113),""),"")</f>
        <v>0.38980011497067418</v>
      </c>
      <c r="F113" s="13">
        <f ca="1">IF('Revenue Growth YoY'!F113&lt;&gt;"",IFERROR(AVERAGE('Revenue Growth YoY'!F110:F113),""),"")</f>
        <v>4.2645411023615576E-2</v>
      </c>
      <c r="G113" s="13">
        <f ca="1">IF('Revenue Growth YoY'!G113&lt;&gt;"",IFERROR(AVERAGE('Revenue Growth YoY'!G110:G113),""),"")</f>
        <v>-8.3529792736124653E-2</v>
      </c>
      <c r="H113" s="13">
        <f ca="1">IF('Revenue Growth YoY'!H113&lt;&gt;"",IFERROR(AVERAGE('Revenue Growth YoY'!H110:H113),""),"")</f>
        <v>6.3932896714927662E-2</v>
      </c>
      <c r="I113" s="13">
        <f ca="1">IF('Revenue Growth YoY'!I113&lt;&gt;"",IFERROR(AVERAGE('Revenue Growth YoY'!I110:I113),""),"")</f>
        <v>0.17511292224043312</v>
      </c>
      <c r="J113" s="13">
        <f ca="1">IF('Revenue Growth YoY'!J113&lt;&gt;"",IFERROR(AVERAGE('Revenue Growth YoY'!J110:J113),""),"")</f>
        <v>0.29168823083217338</v>
      </c>
      <c r="K113" s="13">
        <f ca="1">IF('Revenue Growth YoY'!K113&lt;&gt;"",IFERROR(AVERAGE('Revenue Growth YoY'!K110:K113),""),"")</f>
        <v>0.26680212615674231</v>
      </c>
      <c r="L113" s="13">
        <f ca="1">IF('Revenue Growth YoY'!L113&lt;&gt;"",IFERROR(AVERAGE('Revenue Growth YoY'!L110:L113),""),"")</f>
        <v>0.3399526437675191</v>
      </c>
      <c r="M113" s="13">
        <f ca="1">IF('Revenue Growth YoY'!M113&lt;&gt;"",IFERROR(AVERAGE('Revenue Growth YoY'!M110:M113),""),"")</f>
        <v>0.54860354652059073</v>
      </c>
      <c r="N113" s="13">
        <f ca="1">IF('Revenue Growth YoY'!N113&lt;&gt;"",IFERROR(AVERAGE('Revenue Growth YoY'!N110:N113),""),"")</f>
        <v>0.57226551444793328</v>
      </c>
      <c r="O113" s="13" t="str">
        <f>IF('Revenue Growth YoY'!O113&lt;&gt;"",IFERROR(AVERAGE('Revenue Growth YoY'!O110:O113),""),"")</f>
        <v/>
      </c>
      <c r="P113" s="13">
        <f ca="1">IF('Revenue Growth YoY'!P113&lt;&gt;"",IFERROR(AVERAGE('Revenue Growth YoY'!P110:P113),""),"")</f>
        <v>0.10128805620608894</v>
      </c>
      <c r="Q113" s="13" t="str">
        <f>IF('Revenue Growth YoY'!Q113&lt;&gt;"",IFERROR(AVERAGE('Revenue Growth YoY'!Q110:Q113),""),"")</f>
        <v/>
      </c>
      <c r="R113" s="13">
        <f ca="1">IF('Revenue Growth YoY'!R113&lt;&gt;"",IFERROR(AVERAGE('Revenue Growth YoY'!R110:R113),""),"")</f>
        <v>-7.6521161285230399E-2</v>
      </c>
      <c r="S113" s="13">
        <f ca="1">IF('Revenue Growth YoY'!S113&lt;&gt;"",IFERROR(AVERAGE('Revenue Growth YoY'!S110:S113),""),"")</f>
        <v>2.5603166852341042E-2</v>
      </c>
      <c r="T113" s="13">
        <f ca="1">IF('Revenue Growth YoY'!T113&lt;&gt;"",IFERROR(AVERAGE('Revenue Growth YoY'!T110:T113),""),"")</f>
        <v>0.38017047960098216</v>
      </c>
      <c r="U113" s="13" t="str">
        <f>IF('Revenue Growth YoY'!U113&lt;&gt;"",IFERROR(AVERAGE('Revenue Growth YoY'!U110:U113),""),"")</f>
        <v/>
      </c>
      <c r="V113" s="13" t="str">
        <f>IF('Revenue Growth YoY'!V113&lt;&gt;"",IFERROR(AVERAGE('Revenue Growth YoY'!V110:V113),""),"")</f>
        <v/>
      </c>
      <c r="W113" s="13" t="str">
        <f>IF('Revenue Growth YoY'!W113&lt;&gt;"",IFERROR(AVERAGE('Revenue Growth YoY'!W110:W113),""),"")</f>
        <v/>
      </c>
      <c r="X113" s="13" t="str">
        <f>IF('Revenue Growth YoY'!X113&lt;&gt;"",IFERROR(AVERAGE('Revenue Growth YoY'!X110:X113),""),"")</f>
        <v/>
      </c>
      <c r="Y113" s="13" t="str">
        <f>IF('Revenue Growth YoY'!Y113&lt;&gt;"",IFERROR(AVERAGE('Revenue Growth YoY'!Y110:Y113),""),"")</f>
        <v/>
      </c>
      <c r="Z113" s="13" t="str">
        <f>IF('Revenue Growth YoY'!Z113&lt;&gt;"",IFERROR(AVERAGE('Revenue Growth YoY'!Z110:Z113),""),"")</f>
        <v/>
      </c>
      <c r="AA113" s="13" t="str">
        <f>IF('Revenue Growth YoY'!AA113&lt;&gt;"",IFERROR(AVERAGE('Revenue Growth YoY'!AA110:AA113),""),"")</f>
        <v/>
      </c>
      <c r="AB113" s="13" t="str">
        <f>IF('Revenue Growth YoY'!AB113&lt;&gt;"",IFERROR(AVERAGE('Revenue Growth YoY'!AB110:AB113),""),"")</f>
        <v/>
      </c>
      <c r="AC113" s="11"/>
    </row>
    <row r="114" spans="1:29" ht="13">
      <c r="A114" s="27" t="s">
        <v>139</v>
      </c>
      <c r="B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0.12904905738985528</v>
      </c>
      <c r="C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0.11740184197770231</v>
      </c>
      <c r="D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6.5552903739061197E-2</v>
      </c>
      <c r="E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0.2941923774954629</v>
      </c>
      <c r="F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3.5388127853881235E-2</v>
      </c>
      <c r="G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-8.1192558352384259E-2</v>
      </c>
      <c r="H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5.8920342330480491E-2</v>
      </c>
      <c r="I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0.16736922205432236</v>
      </c>
      <c r="J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0.28948675617631148</v>
      </c>
      <c r="K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0.25898870379607053</v>
      </c>
      <c r="L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0.33384010146624576</v>
      </c>
      <c r="M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0.46655974521354926</v>
      </c>
      <c r="N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0.58886494252873578</v>
      </c>
      <c r="O114" s="45"/>
      <c r="P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0.10099188458070341</v>
      </c>
      <c r="Q114" s="45"/>
      <c r="R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-7.4306257176824819E-2</v>
      </c>
      <c r="S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2.178034257272099E-2</v>
      </c>
      <c r="T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0.33269081732011196</v>
      </c>
      <c r="U114" s="45"/>
      <c r="V114" s="45"/>
      <c r="W114" s="45">
        <f ca="1">IFERROR(AVERAGE(INDIRECT("'Quarterly Revenue&amp;EBITDA'!"&amp;ADDRESS(ROW()-5,COLUMN())):INDIRECT("'Quarterly Revenue&amp;EBITDA'!"&amp;ADDRESS(ROW()-2,COLUMN())))/AVERAGE(INDIRECT("'Quarterly Revenue&amp;EBITDA'!"&amp;ADDRESS(ROW()-9,COLUMN())):INDIRECT("'Quarterly Revenue&amp;EBITDA'!"&amp;ADDRESS(ROW()-6,COLUMN())))-1,"")</f>
        <v>0.2103252121200101</v>
      </c>
      <c r="X114" s="46"/>
      <c r="Y114" s="46"/>
      <c r="Z114" s="46"/>
      <c r="AA114" s="46"/>
      <c r="AB114" s="46"/>
      <c r="AC114" s="28"/>
    </row>
    <row r="115" spans="1:29" ht="14">
      <c r="A115" s="11"/>
      <c r="B115" s="15"/>
      <c r="C115" s="15"/>
      <c r="D115" s="15"/>
      <c r="E115" s="15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4">
      <c r="A116" s="14" t="s">
        <v>140</v>
      </c>
      <c r="B116" s="15"/>
      <c r="C116" s="15"/>
      <c r="D116" s="15"/>
      <c r="E116" s="15"/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4">
      <c r="A117" s="14" t="s">
        <v>28</v>
      </c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1"/>
      <c r="V117" s="11"/>
      <c r="W117" s="13" t="str">
        <f>IFERROR(AVERAGE(#REF!),"")</f>
        <v/>
      </c>
      <c r="X117" s="11"/>
      <c r="Y117" s="11"/>
      <c r="Z117" s="11"/>
      <c r="AA117" s="11"/>
      <c r="AB117" s="11"/>
      <c r="AC117" s="11"/>
    </row>
    <row r="118" spans="1:29" ht="14">
      <c r="A118" s="14" t="s">
        <v>29</v>
      </c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1"/>
      <c r="V118" s="11"/>
      <c r="W118" s="13"/>
      <c r="X118" s="11"/>
      <c r="Y118" s="11"/>
      <c r="Z118" s="11"/>
      <c r="AA118" s="11"/>
      <c r="AB118" s="11"/>
      <c r="AC118" s="11"/>
    </row>
    <row r="119" spans="1:29" ht="14">
      <c r="A119" s="14" t="s">
        <v>30</v>
      </c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1"/>
      <c r="V119" s="11"/>
      <c r="W119" s="13"/>
      <c r="X119" s="11"/>
      <c r="Y119" s="11"/>
      <c r="Z119" s="11"/>
      <c r="AA119" s="11"/>
      <c r="AB119" s="11"/>
      <c r="AC119" s="11"/>
    </row>
    <row r="120" spans="1:29" ht="14">
      <c r="A120" s="14" t="s">
        <v>31</v>
      </c>
      <c r="B120" s="13" t="str">
        <f>IFERROR(AVERAGE(EBITDA_MARGIN!B3:B6),"")</f>
        <v/>
      </c>
      <c r="C120" s="13" t="str">
        <f>IFERROR(AVERAGE(EBITDA_MARGIN!C3:C6),"")</f>
        <v/>
      </c>
      <c r="D120" s="13"/>
      <c r="E120" s="13" t="str">
        <f>IFERROR(AVERAGE(EBITDA_MARGIN!E3:E6),"")</f>
        <v/>
      </c>
      <c r="F120" s="13" t="str">
        <f>IFERROR(AVERAGE(EBITDA_MARGIN!F3:F6),"")</f>
        <v/>
      </c>
      <c r="G120" s="13" t="str">
        <f>IFERROR(AVERAGE(EBITDA_MARGIN!G3:G6),"")</f>
        <v/>
      </c>
      <c r="H120" s="13" t="str">
        <f>IFERROR(AVERAGE(EBITDA_MARGIN!H3:H6),"")</f>
        <v/>
      </c>
      <c r="I120" s="13" t="str">
        <f>IFERROR(AVERAGE(EBITDA_MARGIN!I3:I6),"")</f>
        <v/>
      </c>
      <c r="J120" s="13" t="str">
        <f>IFERROR(AVERAGE(EBITDA_MARGIN!J3:J6),"")</f>
        <v/>
      </c>
      <c r="K120" s="13"/>
      <c r="L120" s="13" t="str">
        <f>IFERROR(AVERAGE(EBITDA_MARGIN!L3:L6),"")</f>
        <v/>
      </c>
      <c r="M120" s="13" t="str">
        <f>IFERROR(AVERAGE(EBITDA_MARGIN!M3:M6),"")</f>
        <v/>
      </c>
      <c r="N120" s="13" t="str">
        <f>IFERROR(AVERAGE(EBITDA_MARGIN!N3:N6),"")</f>
        <v/>
      </c>
      <c r="O120" s="13" t="str">
        <f>IFERROR(AVERAGE(EBITDA_MARGIN!O3:O6),"")</f>
        <v/>
      </c>
      <c r="P120" s="13" t="str">
        <f>IFERROR(AVERAGE(EBITDA_MARGIN!P3:P6),"")</f>
        <v/>
      </c>
      <c r="Q120" s="13" t="str">
        <f>IFERROR(AVERAGE(EBITDA_MARGIN!Q3:Q6),"")</f>
        <v/>
      </c>
      <c r="R120" s="13" t="str">
        <f>IFERROR(AVERAGE(EBITDA_MARGIN!R3:R6),"")</f>
        <v/>
      </c>
      <c r="S120" s="13" t="str">
        <f>IFERROR(AVERAGE(EBITDA_MARGIN!S3:S6),"")</f>
        <v/>
      </c>
      <c r="T120" s="13" t="str">
        <f>IFERROR(AVERAGE(EBITDA_MARGIN!T3:T6),"")</f>
        <v/>
      </c>
      <c r="U120" s="13" t="str">
        <f>IFERROR(AVERAGE(EBITDA_MARGIN!U3:U6),"")</f>
        <v/>
      </c>
      <c r="V120" s="13">
        <f>IFERROR(AVERAGE(EBITDA_MARGIN!V3:V6),"")</f>
        <v>-2.0157209001830516</v>
      </c>
      <c r="W120" s="16">
        <f>IFERROR(AVERAGE(EBITDA_MARGIN!W3:W6),"")</f>
        <v>2.0406423071830625E-2</v>
      </c>
      <c r="X120" s="16" t="str">
        <f>IFERROR(AVERAGE(EBITDA_MARGIN!X3:X6),"")</f>
        <v/>
      </c>
      <c r="Y120" s="16" t="str">
        <f>IFERROR(AVERAGE(EBITDA_MARGIN!Y3:Y6),"")</f>
        <v/>
      </c>
      <c r="Z120" s="16" t="str">
        <f>IFERROR(AVERAGE(EBITDA_MARGIN!Z3:Z6),"")</f>
        <v/>
      </c>
      <c r="AA120" s="16" t="str">
        <f>IFERROR(AVERAGE(EBITDA_MARGIN!AA3:AA6),"")</f>
        <v/>
      </c>
      <c r="AB120" s="16" t="str">
        <f>IFERROR(AVERAGE(EBITDA_MARGIN!AB3:AB6),"")</f>
        <v/>
      </c>
      <c r="AC120" s="11"/>
    </row>
    <row r="121" spans="1:29" ht="14">
      <c r="A121" s="14" t="s">
        <v>32</v>
      </c>
      <c r="B121" s="13" t="str">
        <f>IFERROR(AVERAGE(EBITDA_MARGIN!B4:B7),"")</f>
        <v/>
      </c>
      <c r="C121" s="13" t="str">
        <f>B123</f>
        <v/>
      </c>
      <c r="D121" s="13">
        <f>IFERROR(AVERAGE(EBITDA_MARGIN!D4:D7),"")</f>
        <v>-8.2967708265580669</v>
      </c>
      <c r="E121" s="13" t="str">
        <f>IFERROR(AVERAGE(EBITDA_MARGIN!E4:E7),"")</f>
        <v/>
      </c>
      <c r="F121" s="13" t="str">
        <f>IFERROR(AVERAGE(EBITDA_MARGIN!F4:F7),"")</f>
        <v/>
      </c>
      <c r="G121" s="13" t="str">
        <f>IFERROR(AVERAGE(EBITDA_MARGIN!G4:G7),"")</f>
        <v/>
      </c>
      <c r="H121" s="13" t="str">
        <f>IFERROR(AVERAGE(EBITDA_MARGIN!H4:H7),"")</f>
        <v/>
      </c>
      <c r="I121" s="13" t="str">
        <f>IFERROR(AVERAGE(EBITDA_MARGIN!I4:I7),"")</f>
        <v/>
      </c>
      <c r="J121" s="13" t="str">
        <f>IFERROR(AVERAGE(EBITDA_MARGIN!J4:J7),"")</f>
        <v/>
      </c>
      <c r="K121" s="13"/>
      <c r="L121" s="13" t="str">
        <f>IFERROR(AVERAGE(EBITDA_MARGIN!L4:L7),"")</f>
        <v/>
      </c>
      <c r="M121" s="13" t="str">
        <f>IFERROR(AVERAGE(EBITDA_MARGIN!M4:M7),"")</f>
        <v/>
      </c>
      <c r="N121" s="13" t="str">
        <f>IFERROR(AVERAGE(EBITDA_MARGIN!N4:N7),"")</f>
        <v/>
      </c>
      <c r="O121" s="13" t="str">
        <f>IFERROR(AVERAGE(EBITDA_MARGIN!O4:O7),"")</f>
        <v/>
      </c>
      <c r="P121" s="13" t="str">
        <f>IFERROR(AVERAGE(EBITDA_MARGIN!P4:P7),"")</f>
        <v/>
      </c>
      <c r="Q121" s="13" t="str">
        <f>IFERROR(AVERAGE(EBITDA_MARGIN!Q4:Q7),"")</f>
        <v/>
      </c>
      <c r="R121" s="13" t="str">
        <f>IFERROR(AVERAGE(EBITDA_MARGIN!R4:R7),"")</f>
        <v/>
      </c>
      <c r="S121" s="13" t="str">
        <f>IFERROR(AVERAGE(EBITDA_MARGIN!S4:S7),"")</f>
        <v/>
      </c>
      <c r="T121" s="13" t="str">
        <f>IFERROR(AVERAGE(EBITDA_MARGIN!T4:T7),"")</f>
        <v/>
      </c>
      <c r="U121" s="13" t="str">
        <f>IFERROR(AVERAGE(EBITDA_MARGIN!U4:U7),"")</f>
        <v/>
      </c>
      <c r="V121" s="13">
        <f>IFERROR(AVERAGE(EBITDA_MARGIN!V4:V7),"")</f>
        <v>-1.7622850719731491</v>
      </c>
      <c r="W121" s="16">
        <f>IFERROR(AVERAGE(EBITDA_MARGIN!W4:W7),"")</f>
        <v>2.1209106702224697E-2</v>
      </c>
      <c r="X121" s="16" t="str">
        <f>IFERROR(AVERAGE(EBITDA_MARGIN!X4:X7),"")</f>
        <v/>
      </c>
      <c r="Y121" s="16" t="str">
        <f>IFERROR(AVERAGE(EBITDA_MARGIN!Y4:Y7),"")</f>
        <v/>
      </c>
      <c r="Z121" s="16" t="str">
        <f>IFERROR(AVERAGE(EBITDA_MARGIN!Z4:Z7),"")</f>
        <v/>
      </c>
      <c r="AA121" s="16" t="str">
        <f>IFERROR(AVERAGE(EBITDA_MARGIN!AA4:AA7),"")</f>
        <v/>
      </c>
      <c r="AB121" s="16" t="str">
        <f>IFERROR(AVERAGE(EBITDA_MARGIN!AB4:AB7),"")</f>
        <v/>
      </c>
      <c r="AC121" s="11"/>
    </row>
    <row r="122" spans="1:29" ht="14">
      <c r="A122" s="14" t="s">
        <v>33</v>
      </c>
      <c r="B122" s="13" t="str">
        <f>IFERROR(AVERAGE(EBITDA_MARGIN!B5:B8),"")</f>
        <v/>
      </c>
      <c r="C122" s="13"/>
      <c r="D122" s="13">
        <f>IFERROR(AVERAGE(EBITDA_MARGIN!D5:D8),"")</f>
        <v>-6.2237385896588018</v>
      </c>
      <c r="E122" s="13" t="str">
        <f>IFERROR(AVERAGE(EBITDA_MARGIN!E5:E8),"")</f>
        <v/>
      </c>
      <c r="F122" s="13" t="str">
        <f>IFERROR(AVERAGE(EBITDA_MARGIN!F5:F8),"")</f>
        <v/>
      </c>
      <c r="G122" s="13" t="str">
        <f>IFERROR(AVERAGE(EBITDA_MARGIN!G5:G8),"")</f>
        <v/>
      </c>
      <c r="H122" s="13" t="str">
        <f>IFERROR(AVERAGE(EBITDA_MARGIN!H5:H8),"")</f>
        <v/>
      </c>
      <c r="I122" s="13" t="str">
        <f>IFERROR(AVERAGE(EBITDA_MARGIN!I5:I8),"")</f>
        <v/>
      </c>
      <c r="J122" s="13" t="str">
        <f>IFERROR(AVERAGE(EBITDA_MARGIN!J5:J8),"")</f>
        <v/>
      </c>
      <c r="K122" s="13"/>
      <c r="L122" s="13" t="str">
        <f>IFERROR(AVERAGE(EBITDA_MARGIN!L5:L8),"")</f>
        <v/>
      </c>
      <c r="M122" s="13" t="str">
        <f>IFERROR(AVERAGE(EBITDA_MARGIN!M5:M8),"")</f>
        <v/>
      </c>
      <c r="N122" s="13" t="str">
        <f>IFERROR(AVERAGE(EBITDA_MARGIN!N5:N8),"")</f>
        <v/>
      </c>
      <c r="O122" s="13" t="str">
        <f>IFERROR(AVERAGE(EBITDA_MARGIN!O5:O8),"")</f>
        <v/>
      </c>
      <c r="P122" s="13" t="str">
        <f>IFERROR(AVERAGE(EBITDA_MARGIN!P5:P8),"")</f>
        <v/>
      </c>
      <c r="Q122" s="13" t="str">
        <f>IFERROR(AVERAGE(EBITDA_MARGIN!Q5:Q8),"")</f>
        <v/>
      </c>
      <c r="R122" s="13" t="str">
        <f>IFERROR(AVERAGE(EBITDA_MARGIN!R5:R8),"")</f>
        <v/>
      </c>
      <c r="S122" s="13" t="str">
        <f>IFERROR(AVERAGE(EBITDA_MARGIN!S5:S8),"")</f>
        <v/>
      </c>
      <c r="T122" s="13" t="str">
        <f>IFERROR(AVERAGE(EBITDA_MARGIN!T5:T8),"")</f>
        <v/>
      </c>
      <c r="U122" s="13" t="str">
        <f>IFERROR(AVERAGE(EBITDA_MARGIN!U5:U8),"")</f>
        <v/>
      </c>
      <c r="V122" s="13">
        <f>IFERROR(AVERAGE(EBITDA_MARGIN!V5:V8),"")</f>
        <v>-1.5088492437632466</v>
      </c>
      <c r="W122" s="16">
        <f>IFERROR(AVERAGE(EBITDA_MARGIN!W5:W8),"")</f>
        <v>2.2011790332618769E-2</v>
      </c>
      <c r="X122" s="16" t="str">
        <f>IFERROR(AVERAGE(EBITDA_MARGIN!X5:X8),"")</f>
        <v/>
      </c>
      <c r="Y122" s="16" t="str">
        <f>IFERROR(AVERAGE(EBITDA_MARGIN!Y5:Y8),"")</f>
        <v/>
      </c>
      <c r="Z122" s="16" t="str">
        <f>IFERROR(AVERAGE(EBITDA_MARGIN!Z5:Z8),"")</f>
        <v/>
      </c>
      <c r="AA122" s="16" t="str">
        <f>IFERROR(AVERAGE(EBITDA_MARGIN!AA5:AA8),"")</f>
        <v/>
      </c>
      <c r="AB122" s="16" t="str">
        <f>IFERROR(AVERAGE(EBITDA_MARGIN!AB5:AB8),"")</f>
        <v/>
      </c>
      <c r="AC122" s="11"/>
    </row>
    <row r="123" spans="1:29" ht="14">
      <c r="A123" s="14" t="s">
        <v>34</v>
      </c>
      <c r="B123" s="13" t="str">
        <f>IFERROR(AVERAGE(EBITDA_MARGIN!B6:B9),"")</f>
        <v/>
      </c>
      <c r="C123" s="13"/>
      <c r="D123" s="13">
        <f>IFERROR(AVERAGE(EBITDA_MARGIN!D6:D9),"")</f>
        <v>-4.1507063527595376</v>
      </c>
      <c r="E123" s="13" t="str">
        <f>IFERROR(AVERAGE(EBITDA_MARGIN!E6:E9),"")</f>
        <v/>
      </c>
      <c r="F123" s="13" t="str">
        <f>IFERROR(AVERAGE(EBITDA_MARGIN!F6:F9),"")</f>
        <v/>
      </c>
      <c r="G123" s="13" t="str">
        <f>IFERROR(AVERAGE(EBITDA_MARGIN!G6:G9),"")</f>
        <v/>
      </c>
      <c r="H123" s="13" t="str">
        <f>IFERROR(AVERAGE(EBITDA_MARGIN!H6:H9),"")</f>
        <v/>
      </c>
      <c r="I123" s="13" t="str">
        <f>IFERROR(AVERAGE(EBITDA_MARGIN!I6:I9),"")</f>
        <v/>
      </c>
      <c r="J123" s="13" t="str">
        <f>IFERROR(AVERAGE(EBITDA_MARGIN!J6:J9),"")</f>
        <v/>
      </c>
      <c r="K123" s="13"/>
      <c r="L123" s="13" t="str">
        <f>IFERROR(AVERAGE(EBITDA_MARGIN!L6:L9),"")</f>
        <v/>
      </c>
      <c r="M123" s="13" t="str">
        <f>IFERROR(AVERAGE(EBITDA_MARGIN!M6:M9),"")</f>
        <v/>
      </c>
      <c r="N123" s="13" t="str">
        <f>IFERROR(AVERAGE(EBITDA_MARGIN!N6:N9),"")</f>
        <v/>
      </c>
      <c r="O123" s="13" t="str">
        <f>IFERROR(AVERAGE(EBITDA_MARGIN!O6:O9),"")</f>
        <v/>
      </c>
      <c r="P123" s="13" t="str">
        <f>IFERROR(AVERAGE(EBITDA_MARGIN!P6:P9),"")</f>
        <v/>
      </c>
      <c r="Q123" s="13" t="str">
        <f>IFERROR(AVERAGE(EBITDA_MARGIN!Q6:Q9),"")</f>
        <v/>
      </c>
      <c r="R123" s="13" t="str">
        <f>IFERROR(AVERAGE(EBITDA_MARGIN!R6:R9),"")</f>
        <v/>
      </c>
      <c r="S123" s="13" t="str">
        <f>IFERROR(AVERAGE(EBITDA_MARGIN!S6:S9),"")</f>
        <v/>
      </c>
      <c r="T123" s="13" t="str">
        <f>IFERROR(AVERAGE(EBITDA_MARGIN!T6:T9),"")</f>
        <v/>
      </c>
      <c r="U123" s="13" t="str">
        <f>IFERROR(AVERAGE(EBITDA_MARGIN!U6:U9),"")</f>
        <v/>
      </c>
      <c r="V123" s="13">
        <f>IFERROR(AVERAGE(EBITDA_MARGIN!V6:V9),"")</f>
        <v>-1.2554134155533436</v>
      </c>
      <c r="W123" s="16">
        <f>IFERROR(AVERAGE(EBITDA_MARGIN!W6:W9),"")</f>
        <v>2.0815282357816538E-2</v>
      </c>
      <c r="X123" s="16" t="str">
        <f>IFERROR(AVERAGE(EBITDA_MARGIN!X6:X9),"")</f>
        <v/>
      </c>
      <c r="Y123" s="16" t="str">
        <f>IFERROR(AVERAGE(EBITDA_MARGIN!Y6:Y9),"")</f>
        <v/>
      </c>
      <c r="Z123" s="16" t="str">
        <f>IFERROR(AVERAGE(EBITDA_MARGIN!Z6:Z9),"")</f>
        <v/>
      </c>
      <c r="AA123" s="16" t="str">
        <f>IFERROR(AVERAGE(EBITDA_MARGIN!AA6:AA9),"")</f>
        <v/>
      </c>
      <c r="AB123" s="16" t="str">
        <f>IFERROR(AVERAGE(EBITDA_MARGIN!AB6:AB9),"")</f>
        <v/>
      </c>
      <c r="AC123" s="11"/>
    </row>
    <row r="124" spans="1:29" ht="14">
      <c r="A124" s="14" t="s">
        <v>35</v>
      </c>
      <c r="B124" s="13" t="str">
        <f>IFERROR(AVERAGE(EBITDA_MARGIN!B7:B10),"")</f>
        <v/>
      </c>
      <c r="C124" s="13">
        <f>IFERROR(AVERAGE(EBITDA_MARGIN!C7:C10),"")</f>
        <v>-1.5027385986321196</v>
      </c>
      <c r="D124" s="13">
        <f>IFERROR(AVERAGE(EBITDA_MARGIN!D7:D10),"")</f>
        <v>-2.0776741158602734</v>
      </c>
      <c r="E124" s="13" t="str">
        <f>IFERROR(AVERAGE(EBITDA_MARGIN!E7:E10),"")</f>
        <v/>
      </c>
      <c r="F124" s="13" t="str">
        <f>IFERROR(AVERAGE(EBITDA_MARGIN!F7:F10),"")</f>
        <v/>
      </c>
      <c r="G124" s="13" t="str">
        <f>IFERROR(AVERAGE(EBITDA_MARGIN!G7:G10),"")</f>
        <v/>
      </c>
      <c r="H124" s="13" t="str">
        <f>IFERROR(AVERAGE(EBITDA_MARGIN!H7:H10),"")</f>
        <v/>
      </c>
      <c r="I124" s="13" t="str">
        <f>IFERROR(AVERAGE(EBITDA_MARGIN!I7:I10),"")</f>
        <v/>
      </c>
      <c r="J124" s="13" t="str">
        <f>IFERROR(AVERAGE(EBITDA_MARGIN!J7:J10),"")</f>
        <v/>
      </c>
      <c r="K124" s="13"/>
      <c r="L124" s="13" t="str">
        <f>IFERROR(AVERAGE(EBITDA_MARGIN!L7:L10),"")</f>
        <v/>
      </c>
      <c r="M124" s="13" t="str">
        <f>IFERROR(AVERAGE(EBITDA_MARGIN!M7:M10),"")</f>
        <v/>
      </c>
      <c r="N124" s="13" t="str">
        <f>IFERROR(AVERAGE(EBITDA_MARGIN!N7:N10),"")</f>
        <v/>
      </c>
      <c r="O124" s="13" t="str">
        <f>IFERROR(AVERAGE(EBITDA_MARGIN!O7:O10),"")</f>
        <v/>
      </c>
      <c r="P124" s="13" t="str">
        <f>IFERROR(AVERAGE(EBITDA_MARGIN!P7:P10),"")</f>
        <v/>
      </c>
      <c r="Q124" s="13" t="str">
        <f>IFERROR(AVERAGE(EBITDA_MARGIN!Q7:Q10),"")</f>
        <v/>
      </c>
      <c r="R124" s="13" t="str">
        <f>IFERROR(AVERAGE(EBITDA_MARGIN!R7:R10),"")</f>
        <v/>
      </c>
      <c r="S124" s="13" t="str">
        <f>IFERROR(AVERAGE(EBITDA_MARGIN!S7:S10),"")</f>
        <v/>
      </c>
      <c r="T124" s="13" t="str">
        <f>IFERROR(AVERAGE(EBITDA_MARGIN!T7:T10),"")</f>
        <v/>
      </c>
      <c r="U124" s="13" t="str">
        <f>IFERROR(AVERAGE(EBITDA_MARGIN!U7:U10),"")</f>
        <v/>
      </c>
      <c r="V124" s="13">
        <f>IFERROR(AVERAGE(EBITDA_MARGIN!V7:V10),"")</f>
        <v>-1.0019775873434411</v>
      </c>
      <c r="W124" s="16">
        <f>IFERROR(AVERAGE(EBITDA_MARGIN!W7:W10),"")</f>
        <v>1.961877438301431E-2</v>
      </c>
      <c r="X124" s="16" t="str">
        <f>IFERROR(AVERAGE(EBITDA_MARGIN!X7:X10),"")</f>
        <v/>
      </c>
      <c r="Y124" s="16" t="str">
        <f>IFERROR(AVERAGE(EBITDA_MARGIN!Y7:Y10),"")</f>
        <v/>
      </c>
      <c r="Z124" s="16" t="str">
        <f>IFERROR(AVERAGE(EBITDA_MARGIN!Z7:Z10),"")</f>
        <v/>
      </c>
      <c r="AA124" s="16" t="str">
        <f>IFERROR(AVERAGE(EBITDA_MARGIN!AA7:AA10),"")</f>
        <v/>
      </c>
      <c r="AB124" s="16" t="str">
        <f>IFERROR(AVERAGE(EBITDA_MARGIN!AB7:AB10),"")</f>
        <v/>
      </c>
      <c r="AC124" s="11"/>
    </row>
    <row r="125" spans="1:29" ht="14">
      <c r="A125" s="14" t="s">
        <v>36</v>
      </c>
      <c r="B125" s="13" t="str">
        <f>IFERROR(AVERAGE(EBITDA_MARGIN!B8:B11),"")</f>
        <v/>
      </c>
      <c r="C125" s="13">
        <f>IFERROR(AVERAGE(EBITDA_MARGIN!C8:C11),"")</f>
        <v>-1.1571326164975655</v>
      </c>
      <c r="D125" s="13">
        <f>IFERROR(AVERAGE(EBITDA_MARGIN!D8:D11),"")</f>
        <v>-1.6798607963321415</v>
      </c>
      <c r="E125" s="13" t="str">
        <f>IFERROR(AVERAGE(EBITDA_MARGIN!E8:E11),"")</f>
        <v/>
      </c>
      <c r="F125" s="13" t="str">
        <f>IFERROR(AVERAGE(EBITDA_MARGIN!F8:F11),"")</f>
        <v/>
      </c>
      <c r="G125" s="13" t="str">
        <f>IFERROR(AVERAGE(EBITDA_MARGIN!G8:G11),"")</f>
        <v/>
      </c>
      <c r="H125" s="13" t="str">
        <f>IFERROR(AVERAGE(EBITDA_MARGIN!H8:H11),"")</f>
        <v/>
      </c>
      <c r="I125" s="13" t="str">
        <f>IFERROR(AVERAGE(EBITDA_MARGIN!I8:I11),"")</f>
        <v/>
      </c>
      <c r="J125" s="13" t="str">
        <f>IFERROR(AVERAGE(EBITDA_MARGIN!J8:J11),"")</f>
        <v/>
      </c>
      <c r="K125" s="13"/>
      <c r="L125" s="13" t="str">
        <f>IFERROR(AVERAGE(EBITDA_MARGIN!L8:L11),"")</f>
        <v/>
      </c>
      <c r="M125" s="13" t="str">
        <f>IFERROR(AVERAGE(EBITDA_MARGIN!M8:M11),"")</f>
        <v/>
      </c>
      <c r="N125" s="13" t="str">
        <f>IFERROR(AVERAGE(EBITDA_MARGIN!N8:N11),"")</f>
        <v/>
      </c>
      <c r="O125" s="13" t="str">
        <f>IFERROR(AVERAGE(EBITDA_MARGIN!O8:O11),"")</f>
        <v/>
      </c>
      <c r="P125" s="13" t="str">
        <f>IFERROR(AVERAGE(EBITDA_MARGIN!P8:P11),"")</f>
        <v/>
      </c>
      <c r="Q125" s="13" t="str">
        <f>IFERROR(AVERAGE(EBITDA_MARGIN!Q8:Q11),"")</f>
        <v/>
      </c>
      <c r="R125" s="13">
        <f>IFERROR(AVERAGE(EBITDA_MARGIN!R8:R11),"")</f>
        <v>-34.158974358974362</v>
      </c>
      <c r="S125" s="13" t="str">
        <f>IFERROR(AVERAGE(EBITDA_MARGIN!S8:S11),"")</f>
        <v/>
      </c>
      <c r="T125" s="13" t="str">
        <f>IFERROR(AVERAGE(EBITDA_MARGIN!T8:T11),"")</f>
        <v/>
      </c>
      <c r="U125" s="13" t="str">
        <f>IFERROR(AVERAGE(EBITDA_MARGIN!U8:U11),"")</f>
        <v/>
      </c>
      <c r="V125" s="13">
        <f>IFERROR(AVERAGE(EBITDA_MARGIN!V8:V11),"")</f>
        <v>-0.83183824682739638</v>
      </c>
      <c r="W125" s="16">
        <f>IFERROR(AVERAGE(EBITDA_MARGIN!W8:W11),"")</f>
        <v>1.8422266408212082E-2</v>
      </c>
      <c r="X125" s="16" t="str">
        <f>IFERROR(AVERAGE(EBITDA_MARGIN!X8:X11),"")</f>
        <v/>
      </c>
      <c r="Y125" s="16" t="str">
        <f>IFERROR(AVERAGE(EBITDA_MARGIN!Y8:Y11),"")</f>
        <v/>
      </c>
      <c r="Z125" s="16" t="str">
        <f>IFERROR(AVERAGE(EBITDA_MARGIN!Z8:Z11),"")</f>
        <v/>
      </c>
      <c r="AA125" s="16" t="str">
        <f>IFERROR(AVERAGE(EBITDA_MARGIN!AA8:AA11),"")</f>
        <v/>
      </c>
      <c r="AB125" s="16" t="str">
        <f>IFERROR(AVERAGE(EBITDA_MARGIN!AB8:AB11),"")</f>
        <v/>
      </c>
      <c r="AC125" s="11"/>
    </row>
    <row r="126" spans="1:29" ht="14">
      <c r="A126" s="14" t="s">
        <v>37</v>
      </c>
      <c r="B126" s="13" t="str">
        <f>IFERROR(AVERAGE(EBITDA_MARGIN!B9:B12),"")</f>
        <v/>
      </c>
      <c r="C126" s="13">
        <f>IFERROR(AVERAGE(EBITDA_MARGIN!C9:C12),"")</f>
        <v>-0.81152663436301153</v>
      </c>
      <c r="D126" s="13">
        <f>IFERROR(AVERAGE(EBITDA_MARGIN!D9:D12),"")</f>
        <v>-1.2820474768040095</v>
      </c>
      <c r="E126" s="13" t="str">
        <f>IFERROR(AVERAGE(EBITDA_MARGIN!E9:E12),"")</f>
        <v/>
      </c>
      <c r="F126" s="13" t="str">
        <f>IFERROR(AVERAGE(EBITDA_MARGIN!F9:F12),"")</f>
        <v/>
      </c>
      <c r="G126" s="13" t="str">
        <f>IFERROR(AVERAGE(EBITDA_MARGIN!G9:G12),"")</f>
        <v/>
      </c>
      <c r="H126" s="13" t="str">
        <f>IFERROR(AVERAGE(EBITDA_MARGIN!H9:H12),"")</f>
        <v/>
      </c>
      <c r="I126" s="13" t="str">
        <f>IFERROR(AVERAGE(EBITDA_MARGIN!I9:I12),"")</f>
        <v/>
      </c>
      <c r="J126" s="13" t="str">
        <f>IFERROR(AVERAGE(EBITDA_MARGIN!J9:J12),"")</f>
        <v/>
      </c>
      <c r="K126" s="13"/>
      <c r="L126" s="13" t="str">
        <f>IFERROR(AVERAGE(EBITDA_MARGIN!L9:L12),"")</f>
        <v/>
      </c>
      <c r="M126" s="13" t="str">
        <f>IFERROR(AVERAGE(EBITDA_MARGIN!M9:M12),"")</f>
        <v/>
      </c>
      <c r="N126" s="13" t="str">
        <f>IFERROR(AVERAGE(EBITDA_MARGIN!N9:N12),"")</f>
        <v/>
      </c>
      <c r="O126" s="13" t="str">
        <f>IFERROR(AVERAGE(EBITDA_MARGIN!O9:O12),"")</f>
        <v/>
      </c>
      <c r="P126" s="13" t="str">
        <f>IFERROR(AVERAGE(EBITDA_MARGIN!P9:P12),"")</f>
        <v/>
      </c>
      <c r="Q126" s="13" t="str">
        <f>IFERROR(AVERAGE(EBITDA_MARGIN!Q9:Q12),"")</f>
        <v/>
      </c>
      <c r="R126" s="13">
        <f>IFERROR(AVERAGE(EBITDA_MARGIN!R9:R12),"")</f>
        <v>-34.158974358974362</v>
      </c>
      <c r="S126" s="13" t="str">
        <f>IFERROR(AVERAGE(EBITDA_MARGIN!S9:S12),"")</f>
        <v/>
      </c>
      <c r="T126" s="13" t="str">
        <f>IFERROR(AVERAGE(EBITDA_MARGIN!T9:T12),"")</f>
        <v/>
      </c>
      <c r="U126" s="13" t="str">
        <f>IFERROR(AVERAGE(EBITDA_MARGIN!U9:U12),"")</f>
        <v/>
      </c>
      <c r="V126" s="13">
        <f>IFERROR(AVERAGE(EBITDA_MARGIN!V9:V12),"")</f>
        <v>-0.66169890631135164</v>
      </c>
      <c r="W126" s="16">
        <f>IFERROR(AVERAGE(EBITDA_MARGIN!W9:W12),"")</f>
        <v>1.722575843340985E-2</v>
      </c>
      <c r="X126" s="16" t="str">
        <f>IFERROR(AVERAGE(EBITDA_MARGIN!X9:X12),"")</f>
        <v/>
      </c>
      <c r="Y126" s="16" t="str">
        <f>IFERROR(AVERAGE(EBITDA_MARGIN!Y9:Y12),"")</f>
        <v/>
      </c>
      <c r="Z126" s="16" t="str">
        <f>IFERROR(AVERAGE(EBITDA_MARGIN!Z9:Z12),"")</f>
        <v/>
      </c>
      <c r="AA126" s="16" t="str">
        <f>IFERROR(AVERAGE(EBITDA_MARGIN!AA9:AA12),"")</f>
        <v/>
      </c>
      <c r="AB126" s="16" t="str">
        <f>IFERROR(AVERAGE(EBITDA_MARGIN!AB9:AB12),"")</f>
        <v/>
      </c>
      <c r="AC126" s="11"/>
    </row>
    <row r="127" spans="1:29" ht="14">
      <c r="A127" s="14" t="s">
        <v>38</v>
      </c>
      <c r="B127" s="13" t="str">
        <f>IFERROR(AVERAGE(EBITDA_MARGIN!B10:B13),"")</f>
        <v/>
      </c>
      <c r="C127" s="13">
        <f>IFERROR(AVERAGE(EBITDA_MARGIN!C10:C13),"")</f>
        <v>-0.46592065222845752</v>
      </c>
      <c r="D127" s="13">
        <f>IFERROR(AVERAGE(EBITDA_MARGIN!D10:D13),"")</f>
        <v>-0.88423415727587729</v>
      </c>
      <c r="E127" s="15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3" t="str">
        <f>IFERROR(AVERAGE(EBITDA_MARGIN!T10:T13),"")</f>
        <v/>
      </c>
      <c r="U127" s="13" t="str">
        <f>IFERROR(AVERAGE(EBITDA_MARGIN!U10:U13),"")</f>
        <v/>
      </c>
      <c r="V127" s="13">
        <f>IFERROR(AVERAGE(EBITDA_MARGIN!V10:V13),"")</f>
        <v>-0.49155956579530691</v>
      </c>
      <c r="W127" s="16">
        <f>IFERROR(AVERAGE(EBITDA_MARGIN!W10:W13),"")</f>
        <v>1.8819466593367227E-2</v>
      </c>
      <c r="X127" s="16" t="str">
        <f>IFERROR(AVERAGE(EBITDA_MARGIN!X10:X13),"")</f>
        <v/>
      </c>
      <c r="Y127" s="16" t="str">
        <f>IFERROR(AVERAGE(EBITDA_MARGIN!Y10:Y13),"")</f>
        <v/>
      </c>
      <c r="Z127" s="16" t="str">
        <f>IFERROR(AVERAGE(EBITDA_MARGIN!Z10:Z13),"")</f>
        <v/>
      </c>
      <c r="AA127" s="16" t="str">
        <f>IFERROR(AVERAGE(EBITDA_MARGIN!AA10:AA13),"")</f>
        <v/>
      </c>
      <c r="AB127" s="16" t="str">
        <f>IFERROR(AVERAGE(EBITDA_MARGIN!AB10:AB13),"")</f>
        <v/>
      </c>
      <c r="AC127" s="11"/>
    </row>
    <row r="128" spans="1:29" ht="14">
      <c r="A128" s="14" t="s">
        <v>39</v>
      </c>
      <c r="B128" s="13" t="str">
        <f>IFERROR(AVERAGE(EBITDA_MARGIN!B11:B14),"")</f>
        <v/>
      </c>
      <c r="C128" s="13">
        <f>IFERROR(AVERAGE(EBITDA_MARGIN!C11:C14),"")</f>
        <v>-0.12031467009390352</v>
      </c>
      <c r="D128" s="13">
        <f>IFERROR(AVERAGE(EBITDA_MARGIN!D11:D14),"")</f>
        <v>-0.48642083774774542</v>
      </c>
      <c r="E128" s="13" t="str">
        <f>IFERROR(AVERAGE(EBITDA_MARGIN!E11:E14),"")</f>
        <v/>
      </c>
      <c r="F128" s="13" t="str">
        <f>IFERROR(AVERAGE(EBITDA_MARGIN!F11:F14),"")</f>
        <v/>
      </c>
      <c r="G128" s="13" t="str">
        <f>IFERROR(AVERAGE(EBITDA_MARGIN!G11:G14),"")</f>
        <v/>
      </c>
      <c r="H128" s="13" t="str">
        <f>IFERROR(AVERAGE(EBITDA_MARGIN!H11:H14),"")</f>
        <v/>
      </c>
      <c r="I128" s="13" t="str">
        <f>IFERROR(AVERAGE(EBITDA_MARGIN!I11:I14),"")</f>
        <v/>
      </c>
      <c r="J128" s="13" t="str">
        <f>IFERROR(AVERAGE(EBITDA_MARGIN!J11:J14),"")</f>
        <v/>
      </c>
      <c r="K128" s="13"/>
      <c r="L128" s="13" t="str">
        <f>IFERROR(AVERAGE(EBITDA_MARGIN!L11:L14),"")</f>
        <v/>
      </c>
      <c r="M128" s="13" t="str">
        <f>IFERROR(AVERAGE(EBITDA_MARGIN!M11:M14),"")</f>
        <v/>
      </c>
      <c r="N128" s="13" t="str">
        <f>IFERROR(AVERAGE(EBITDA_MARGIN!N11:N14),"")</f>
        <v/>
      </c>
      <c r="O128" s="13" t="str">
        <f>IFERROR(AVERAGE(EBITDA_MARGIN!O11:O14),"")</f>
        <v/>
      </c>
      <c r="P128" s="13" t="str">
        <f>IFERROR(AVERAGE(EBITDA_MARGIN!P11:P14),"")</f>
        <v/>
      </c>
      <c r="Q128" s="13" t="str">
        <f>IFERROR(AVERAGE(EBITDA_MARGIN!Q11:Q14),"")</f>
        <v/>
      </c>
      <c r="R128" s="13">
        <f>IFERROR(AVERAGE(EBITDA_MARGIN!R11:R14),"")</f>
        <v>-34.158974358974362</v>
      </c>
      <c r="S128" s="13" t="str">
        <f>IFERROR(AVERAGE(EBITDA_MARGIN!S11:S14),"")</f>
        <v/>
      </c>
      <c r="T128" s="13" t="str">
        <f>IFERROR(AVERAGE(EBITDA_MARGIN!T11:T14),"")</f>
        <v/>
      </c>
      <c r="U128" s="13" t="str">
        <f>IFERROR(AVERAGE(EBITDA_MARGIN!U11:U14),"")</f>
        <v/>
      </c>
      <c r="V128" s="13">
        <f>IFERROR(AVERAGE(EBITDA_MARGIN!V11:V14),"")</f>
        <v>-0.32142022527926217</v>
      </c>
      <c r="W128" s="16">
        <f>IFERROR(AVERAGE(EBITDA_MARGIN!W11:W14),"")</f>
        <v>2.0413174753324607E-2</v>
      </c>
      <c r="X128" s="16" t="str">
        <f>IFERROR(AVERAGE(EBITDA_MARGIN!X11:X14),"")</f>
        <v/>
      </c>
      <c r="Y128" s="16" t="str">
        <f>IFERROR(AVERAGE(EBITDA_MARGIN!Y11:Y14),"")</f>
        <v/>
      </c>
      <c r="Z128" s="16" t="str">
        <f>IFERROR(AVERAGE(EBITDA_MARGIN!Z11:Z14),"")</f>
        <v/>
      </c>
      <c r="AA128" s="16" t="str">
        <f>IFERROR(AVERAGE(EBITDA_MARGIN!AA11:AA14),"")</f>
        <v/>
      </c>
      <c r="AB128" s="16" t="str">
        <f>IFERROR(AVERAGE(EBITDA_MARGIN!AB11:AB14),"")</f>
        <v/>
      </c>
      <c r="AC128" s="11"/>
    </row>
    <row r="129" spans="1:29" ht="14">
      <c r="A129" s="14" t="s">
        <v>40</v>
      </c>
      <c r="B129" s="13" t="str">
        <f>IFERROR(AVERAGE(EBITDA_MARGIN!B12:B15),"")</f>
        <v/>
      </c>
      <c r="C129" s="13">
        <f>IFERROR(AVERAGE(EBITDA_MARGIN!C12:C15),"")</f>
        <v>-9.661553593462828E-2</v>
      </c>
      <c r="D129" s="13">
        <f>IFERROR(AVERAGE(EBITDA_MARGIN!D12:D15),"")</f>
        <v>-0.65370351917109804</v>
      </c>
      <c r="E129" s="13"/>
      <c r="F129" s="13" t="str">
        <f>IFERROR(AVERAGE(EBITDA_MARGIN!F12:F15),"")</f>
        <v/>
      </c>
      <c r="G129" s="13" t="str">
        <f>IFERROR(AVERAGE(EBITDA_MARGIN!G12:G15),"")</f>
        <v/>
      </c>
      <c r="H129" s="13" t="str">
        <f>IFERROR(AVERAGE(EBITDA_MARGIN!H12:H15),"")</f>
        <v/>
      </c>
      <c r="I129" s="13" t="str">
        <f>IFERROR(AVERAGE(EBITDA_MARGIN!I12:I15),"")</f>
        <v/>
      </c>
      <c r="J129" s="13" t="str">
        <f>IFERROR(AVERAGE(EBITDA_MARGIN!J12:J15),"")</f>
        <v/>
      </c>
      <c r="K129" s="13"/>
      <c r="L129" s="13" t="str">
        <f>IFERROR(AVERAGE(EBITDA_MARGIN!L12:L15),"")</f>
        <v/>
      </c>
      <c r="M129" s="13" t="str">
        <f>IFERROR(AVERAGE(EBITDA_MARGIN!M12:M15),"")</f>
        <v/>
      </c>
      <c r="N129" s="13" t="str">
        <f>IFERROR(AVERAGE(EBITDA_MARGIN!N12:N15),"")</f>
        <v/>
      </c>
      <c r="O129" s="13" t="str">
        <f>IFERROR(AVERAGE(EBITDA_MARGIN!O12:O15),"")</f>
        <v/>
      </c>
      <c r="P129" s="13" t="str">
        <f>IFERROR(AVERAGE(EBITDA_MARGIN!P12:P15),"")</f>
        <v/>
      </c>
      <c r="Q129" s="13" t="str">
        <f>IFERROR(AVERAGE(EBITDA_MARGIN!Q12:Q15),"")</f>
        <v/>
      </c>
      <c r="R129" s="13">
        <f>IFERROR(AVERAGE(EBITDA_MARGIN!R12:R15),"")</f>
        <v>-28.168511803085885</v>
      </c>
      <c r="S129" s="13" t="str">
        <f>IFERROR(AVERAGE(EBITDA_MARGIN!S12:S15),"")</f>
        <v/>
      </c>
      <c r="T129" s="13" t="str">
        <f>IFERROR(AVERAGE(EBITDA_MARGIN!T12:T15),"")</f>
        <v/>
      </c>
      <c r="U129" s="13" t="str">
        <f>IFERROR(AVERAGE(EBITDA_MARGIN!U12:U15),"")</f>
        <v/>
      </c>
      <c r="V129" s="13">
        <f>IFERROR(AVERAGE(EBITDA_MARGIN!V12:V15),"")</f>
        <v>-0.3824831375067036</v>
      </c>
      <c r="W129" s="16">
        <f>IFERROR(AVERAGE(EBITDA_MARGIN!W12:W15),"")</f>
        <v>2.2006882913281983E-2</v>
      </c>
      <c r="X129" s="16" t="str">
        <f>IFERROR(AVERAGE(EBITDA_MARGIN!X12:X15),"")</f>
        <v/>
      </c>
      <c r="Y129" s="16" t="str">
        <f>IFERROR(AVERAGE(EBITDA_MARGIN!Y12:Y15),"")</f>
        <v/>
      </c>
      <c r="Z129" s="16" t="str">
        <f>IFERROR(AVERAGE(EBITDA_MARGIN!Z12:Z15),"")</f>
        <v/>
      </c>
      <c r="AA129" s="16" t="str">
        <f>IFERROR(AVERAGE(EBITDA_MARGIN!AA12:AA15),"")</f>
        <v/>
      </c>
      <c r="AB129" s="16" t="str">
        <f>IFERROR(AVERAGE(EBITDA_MARGIN!AB12:AB15),"")</f>
        <v/>
      </c>
      <c r="AC129" s="11"/>
    </row>
    <row r="130" spans="1:29" ht="14">
      <c r="A130" s="14" t="s">
        <v>41</v>
      </c>
      <c r="B130" s="13" t="str">
        <f>IFERROR(AVERAGE(EBITDA_MARGIN!B13:B16),"")</f>
        <v/>
      </c>
      <c r="C130" s="13">
        <f>IFERROR(AVERAGE(EBITDA_MARGIN!C13:C16),"")</f>
        <v>-7.2916401775353024E-2</v>
      </c>
      <c r="D130" s="13">
        <f>IFERROR(AVERAGE(EBITDA_MARGIN!D13:D16),"")</f>
        <v>-0.8209862005944506</v>
      </c>
      <c r="E130" s="13"/>
      <c r="F130" s="13" t="str">
        <f>IFERROR(AVERAGE(EBITDA_MARGIN!F13:F16),"")</f>
        <v/>
      </c>
      <c r="G130" s="13" t="str">
        <f>IFERROR(AVERAGE(EBITDA_MARGIN!G13:G16),"")</f>
        <v/>
      </c>
      <c r="H130" s="13" t="str">
        <f>IFERROR(AVERAGE(EBITDA_MARGIN!H13:H16),"")</f>
        <v/>
      </c>
      <c r="I130" s="13" t="str">
        <f>IFERROR(AVERAGE(EBITDA_MARGIN!I13:I16),"")</f>
        <v/>
      </c>
      <c r="J130" s="13" t="str">
        <f>IFERROR(AVERAGE(EBITDA_MARGIN!J13:J16),"")</f>
        <v/>
      </c>
      <c r="K130" s="13"/>
      <c r="L130" s="13" t="str">
        <f>IFERROR(AVERAGE(EBITDA_MARGIN!L13:L16),"")</f>
        <v/>
      </c>
      <c r="M130" s="13" t="str">
        <f>IFERROR(AVERAGE(EBITDA_MARGIN!M13:M16),"")</f>
        <v/>
      </c>
      <c r="N130" s="13" t="str">
        <f>IFERROR(AVERAGE(EBITDA_MARGIN!N13:N16),"")</f>
        <v/>
      </c>
      <c r="O130" s="13" t="str">
        <f>IFERROR(AVERAGE(EBITDA_MARGIN!O13:O16),"")</f>
        <v/>
      </c>
      <c r="P130" s="13" t="str">
        <f>IFERROR(AVERAGE(EBITDA_MARGIN!P13:P16),"")</f>
        <v/>
      </c>
      <c r="Q130" s="13" t="str">
        <f>IFERROR(AVERAGE(EBITDA_MARGIN!Q13:Q16),"")</f>
        <v/>
      </c>
      <c r="R130" s="13">
        <f>IFERROR(AVERAGE(EBITDA_MARGIN!R13:R16),"")</f>
        <v>-22.178049247197414</v>
      </c>
      <c r="S130" s="13" t="str">
        <f>IFERROR(AVERAGE(EBITDA_MARGIN!S13:S16),"")</f>
        <v/>
      </c>
      <c r="T130" s="13" t="str">
        <f>IFERROR(AVERAGE(EBITDA_MARGIN!T13:T16),"")</f>
        <v/>
      </c>
      <c r="U130" s="13" t="str">
        <f>IFERROR(AVERAGE(EBITDA_MARGIN!U13:U16),"")</f>
        <v/>
      </c>
      <c r="V130" s="13">
        <f>IFERROR(AVERAGE(EBITDA_MARGIN!V13:V16),"")</f>
        <v>-0.44354604973414502</v>
      </c>
      <c r="W130" s="16">
        <f>IFERROR(AVERAGE(EBITDA_MARGIN!W13:W16),"")</f>
        <v>2.360059107323936E-2</v>
      </c>
      <c r="X130" s="16" t="str">
        <f>IFERROR(AVERAGE(EBITDA_MARGIN!X13:X16),"")</f>
        <v/>
      </c>
      <c r="Y130" s="16" t="str">
        <f>IFERROR(AVERAGE(EBITDA_MARGIN!Y13:Y16),"")</f>
        <v/>
      </c>
      <c r="Z130" s="16" t="str">
        <f>IFERROR(AVERAGE(EBITDA_MARGIN!Z13:Z16),"")</f>
        <v/>
      </c>
      <c r="AA130" s="16" t="str">
        <f>IFERROR(AVERAGE(EBITDA_MARGIN!AA13:AA16),"")</f>
        <v/>
      </c>
      <c r="AB130" s="16" t="str">
        <f>IFERROR(AVERAGE(EBITDA_MARGIN!AB13:AB16),"")</f>
        <v/>
      </c>
      <c r="AC130" s="11"/>
    </row>
    <row r="131" spans="1:29" ht="14">
      <c r="A131" s="14" t="s">
        <v>42</v>
      </c>
      <c r="B131" s="13" t="str">
        <f>IFERROR(AVERAGE(EBITDA_MARGIN!B14:B17),"")</f>
        <v/>
      </c>
      <c r="C131" s="13">
        <f>IFERROR(AVERAGE(EBITDA_MARGIN!C14:C17),"")</f>
        <v>-4.9217267616077767E-2</v>
      </c>
      <c r="D131" s="13">
        <f>IFERROR(AVERAGE(EBITDA_MARGIN!D14:D17),"")</f>
        <v>-0.98826888201780316</v>
      </c>
      <c r="E131" s="13"/>
      <c r="F131" s="13" t="str">
        <f>IFERROR(AVERAGE(EBITDA_MARGIN!F14:F17),"")</f>
        <v/>
      </c>
      <c r="G131" s="13" t="str">
        <f>IFERROR(AVERAGE(EBITDA_MARGIN!G14:G17),"")</f>
        <v/>
      </c>
      <c r="H131" s="13" t="str">
        <f>IFERROR(AVERAGE(EBITDA_MARGIN!H14:H17),"")</f>
        <v/>
      </c>
      <c r="I131" s="13" t="str">
        <f>IFERROR(AVERAGE(EBITDA_MARGIN!I14:I17),"")</f>
        <v/>
      </c>
      <c r="J131" s="13" t="str">
        <f>IFERROR(AVERAGE(EBITDA_MARGIN!J14:J17),"")</f>
        <v/>
      </c>
      <c r="K131" s="13"/>
      <c r="L131" s="13" t="str">
        <f>IFERROR(AVERAGE(EBITDA_MARGIN!L14:L17),"")</f>
        <v/>
      </c>
      <c r="M131" s="13" t="str">
        <f>IFERROR(AVERAGE(EBITDA_MARGIN!M14:M17),"")</f>
        <v/>
      </c>
      <c r="N131" s="13" t="str">
        <f>IFERROR(AVERAGE(EBITDA_MARGIN!N14:N17),"")</f>
        <v/>
      </c>
      <c r="O131" s="13"/>
      <c r="P131" s="13" t="str">
        <f>IFERROR(AVERAGE(EBITDA_MARGIN!P14:P17),"")</f>
        <v/>
      </c>
      <c r="Q131" s="13" t="str">
        <f>IFERROR(AVERAGE(EBITDA_MARGIN!Q14:Q17),"")</f>
        <v/>
      </c>
      <c r="R131" s="13">
        <f>IFERROR(AVERAGE(EBITDA_MARGIN!R14:R17),"")</f>
        <v>-16.187586691308937</v>
      </c>
      <c r="S131" s="13" t="str">
        <f>IFERROR(AVERAGE(EBITDA_MARGIN!S14:S17),"")</f>
        <v/>
      </c>
      <c r="T131" s="13" t="str">
        <f>IFERROR(AVERAGE(EBITDA_MARGIN!T14:T17),"")</f>
        <v/>
      </c>
      <c r="U131" s="13" t="str">
        <f>IFERROR(AVERAGE(EBITDA_MARGIN!U14:U17),"")</f>
        <v/>
      </c>
      <c r="V131" s="13">
        <f>IFERROR(AVERAGE(EBITDA_MARGIN!V14:V17),"")</f>
        <v>-0.50460896196158644</v>
      </c>
      <c r="W131" s="16">
        <f>IFERROR(AVERAGE(EBITDA_MARGIN!W14:W17),"")</f>
        <v>2.466735509368408E-2</v>
      </c>
      <c r="X131" s="16" t="str">
        <f>IFERROR(AVERAGE(EBITDA_MARGIN!X14:X17),"")</f>
        <v/>
      </c>
      <c r="Y131" s="16" t="str">
        <f>IFERROR(AVERAGE(EBITDA_MARGIN!Y14:Y17),"")</f>
        <v/>
      </c>
      <c r="Z131" s="16" t="str">
        <f>IFERROR(AVERAGE(EBITDA_MARGIN!Z14:Z17),"")</f>
        <v/>
      </c>
      <c r="AA131" s="16" t="str">
        <f>IFERROR(AVERAGE(EBITDA_MARGIN!AA14:AA17),"")</f>
        <v/>
      </c>
      <c r="AB131" s="16" t="str">
        <f>IFERROR(AVERAGE(EBITDA_MARGIN!AB14:AB17),"")</f>
        <v/>
      </c>
      <c r="AC131" s="11"/>
    </row>
    <row r="132" spans="1:29" ht="14">
      <c r="A132" s="14" t="s">
        <v>43</v>
      </c>
      <c r="B132" s="13" t="str">
        <f>IFERROR(AVERAGE(EBITDA_MARGIN!B15:B18),"")</f>
        <v/>
      </c>
      <c r="C132" s="13">
        <f>IFERROR(AVERAGE(EBITDA_MARGIN!C15:C18),"")</f>
        <v>-2.5518133456802514E-2</v>
      </c>
      <c r="D132" s="13">
        <f>IFERROR(AVERAGE(EBITDA_MARGIN!D15:D18),"")</f>
        <v>-1.1555515634411557</v>
      </c>
      <c r="E132" s="13">
        <f>IFERROR(AVERAGE(EBITDA_MARGIN!E15:E18),"")</f>
        <v>-4.7807692307692307</v>
      </c>
      <c r="F132" s="13" t="str">
        <f>IFERROR(AVERAGE(EBITDA_MARGIN!F15:F18),"")</f>
        <v/>
      </c>
      <c r="G132" s="13" t="str">
        <f>IFERROR(AVERAGE(EBITDA_MARGIN!G15:G18),"")</f>
        <v/>
      </c>
      <c r="H132" s="13" t="str">
        <f>IFERROR(AVERAGE(EBITDA_MARGIN!H15:H18),"")</f>
        <v/>
      </c>
      <c r="I132" s="13" t="str">
        <f>IFERROR(AVERAGE(EBITDA_MARGIN!I15:I18),"")</f>
        <v/>
      </c>
      <c r="J132" s="13" t="str">
        <f>IFERROR(AVERAGE(EBITDA_MARGIN!J15:J18),"")</f>
        <v/>
      </c>
      <c r="K132" s="13"/>
      <c r="L132" s="13" t="str">
        <f>IFERROR(AVERAGE(EBITDA_MARGIN!L15:L18),"")</f>
        <v/>
      </c>
      <c r="M132" s="13" t="str">
        <f>IFERROR(AVERAGE(EBITDA_MARGIN!M15:M18),"")</f>
        <v/>
      </c>
      <c r="N132" s="13" t="str">
        <f>IFERROR(AVERAGE(EBITDA_MARGIN!N15:N18),"")</f>
        <v/>
      </c>
      <c r="O132" s="13"/>
      <c r="P132" s="13" t="str">
        <f>IFERROR(AVERAGE(EBITDA_MARGIN!P15:P18),"")</f>
        <v/>
      </c>
      <c r="Q132" s="13" t="str">
        <f>IFERROR(AVERAGE(EBITDA_MARGIN!Q15:Q18),"")</f>
        <v/>
      </c>
      <c r="R132" s="13">
        <f>IFERROR(AVERAGE(EBITDA_MARGIN!R15:R18),"")</f>
        <v>-10.197124135420459</v>
      </c>
      <c r="S132" s="13" t="str">
        <f>IFERROR(AVERAGE(EBITDA_MARGIN!S15:S18),"")</f>
        <v/>
      </c>
      <c r="T132" s="13" t="str">
        <f>IFERROR(AVERAGE(EBITDA_MARGIN!T15:T18),"")</f>
        <v/>
      </c>
      <c r="U132" s="13" t="str">
        <f>IFERROR(AVERAGE(EBITDA_MARGIN!U15:U18),"")</f>
        <v/>
      </c>
      <c r="V132" s="13">
        <f>IFERROR(AVERAGE(EBITDA_MARGIN!V15:V18),"")</f>
        <v>-0.56567187418902787</v>
      </c>
      <c r="W132" s="16">
        <f>IFERROR(AVERAGE(EBITDA_MARGIN!W15:W18),"")</f>
        <v>2.5734119114128803E-2</v>
      </c>
      <c r="X132" s="16" t="str">
        <f>IFERROR(AVERAGE(EBITDA_MARGIN!X15:X18),"")</f>
        <v/>
      </c>
      <c r="Y132" s="16" t="str">
        <f>IFERROR(AVERAGE(EBITDA_MARGIN!Y15:Y18),"")</f>
        <v/>
      </c>
      <c r="Z132" s="16" t="str">
        <f>IFERROR(AVERAGE(EBITDA_MARGIN!Z15:Z18),"")</f>
        <v/>
      </c>
      <c r="AA132" s="16" t="str">
        <f>IFERROR(AVERAGE(EBITDA_MARGIN!AA15:AA18),"")</f>
        <v/>
      </c>
      <c r="AB132" s="16" t="str">
        <f>IFERROR(AVERAGE(EBITDA_MARGIN!AB15:AB18),"")</f>
        <v/>
      </c>
      <c r="AC132" s="11"/>
    </row>
    <row r="133" spans="1:29" ht="14">
      <c r="A133" s="14" t="s">
        <v>44</v>
      </c>
      <c r="B133" s="13" t="str">
        <f>IFERROR(AVERAGE(EBITDA_MARGIN!B16:B19),"")</f>
        <v/>
      </c>
      <c r="C133" s="13">
        <f>IFERROR(AVERAGE(EBITDA_MARGIN!C16:C19),"")</f>
        <v>-1.7698450163393255E-2</v>
      </c>
      <c r="D133" s="13">
        <f>IFERROR(AVERAGE(EBITDA_MARGIN!D16:D19),"")</f>
        <v>-0.88126294357357671</v>
      </c>
      <c r="E133" s="13">
        <f>IFERROR(AVERAGE(EBITDA_MARGIN!E16:E19),"")</f>
        <v>-3.6785859558206191</v>
      </c>
      <c r="F133" s="13" t="str">
        <f>IFERROR(AVERAGE(EBITDA_MARGIN!F16:F19),"")</f>
        <v/>
      </c>
      <c r="G133" s="13" t="str">
        <f>IFERROR(AVERAGE(EBITDA_MARGIN!G16:G19),"")</f>
        <v/>
      </c>
      <c r="H133" s="13" t="str">
        <f>IFERROR(AVERAGE(EBITDA_MARGIN!H16:H19),"")</f>
        <v/>
      </c>
      <c r="I133" s="13" t="str">
        <f>IFERROR(AVERAGE(EBITDA_MARGIN!I16:I19),"")</f>
        <v/>
      </c>
      <c r="J133" s="13" t="str">
        <f>IFERROR(AVERAGE(EBITDA_MARGIN!J16:J19),"")</f>
        <v/>
      </c>
      <c r="K133" s="13"/>
      <c r="L133" s="13" t="str">
        <f>IFERROR(AVERAGE(EBITDA_MARGIN!L16:L19),"")</f>
        <v/>
      </c>
      <c r="M133" s="13" t="str">
        <f>IFERROR(AVERAGE(EBITDA_MARGIN!M16:M19),"")</f>
        <v/>
      </c>
      <c r="N133" s="13" t="str">
        <f>IFERROR(AVERAGE(EBITDA_MARGIN!N16:N19),"")</f>
        <v/>
      </c>
      <c r="O133" s="13"/>
      <c r="P133" s="13" t="str">
        <f>IFERROR(AVERAGE(EBITDA_MARGIN!P16:P19),"")</f>
        <v/>
      </c>
      <c r="Q133" s="13" t="str">
        <f>IFERROR(AVERAGE(EBITDA_MARGIN!Q16:Q19),"")</f>
        <v/>
      </c>
      <c r="R133" s="13">
        <f>IFERROR(AVERAGE(EBITDA_MARGIN!R16:R19),"")</f>
        <v>-8.1038216637534806</v>
      </c>
      <c r="S133" s="13" t="str">
        <f>IFERROR(AVERAGE(EBITDA_MARGIN!S16:S19),"")</f>
        <v/>
      </c>
      <c r="T133" s="13" t="str">
        <f>IFERROR(AVERAGE(EBITDA_MARGIN!T16:T19),"")</f>
        <v/>
      </c>
      <c r="U133" s="13">
        <f>IFERROR(AVERAGE(EBITDA_MARGIN!U16:U19),"")</f>
        <v>-2.378568301730295</v>
      </c>
      <c r="V133" s="13">
        <f>IFERROR(AVERAGE(EBITDA_MARGIN!V16:V19),"")</f>
        <v>-0.50017348015215957</v>
      </c>
      <c r="W133" s="16">
        <f>IFERROR(AVERAGE(EBITDA_MARGIN!W16:W19),"")</f>
        <v>2.6800883134573524E-2</v>
      </c>
      <c r="X133" s="16" t="str">
        <f>IFERROR(AVERAGE(EBITDA_MARGIN!X16:X19),"")</f>
        <v/>
      </c>
      <c r="Y133" s="16" t="str">
        <f>IFERROR(AVERAGE(EBITDA_MARGIN!Y16:Y19),"")</f>
        <v/>
      </c>
      <c r="Z133" s="16" t="str">
        <f>IFERROR(AVERAGE(EBITDA_MARGIN!Z16:Z19),"")</f>
        <v/>
      </c>
      <c r="AA133" s="16" t="str">
        <f>IFERROR(AVERAGE(EBITDA_MARGIN!AA16:AA19),"")</f>
        <v/>
      </c>
      <c r="AB133" s="16" t="str">
        <f>IFERROR(AVERAGE(EBITDA_MARGIN!AB16:AB19),"")</f>
        <v/>
      </c>
      <c r="AC133" s="11"/>
    </row>
    <row r="134" spans="1:29" ht="14">
      <c r="A134" s="14" t="s">
        <v>45</v>
      </c>
      <c r="B134" s="13" t="str">
        <f>IFERROR(AVERAGE(EBITDA_MARGIN!B17:B20),"")</f>
        <v/>
      </c>
      <c r="C134" s="13">
        <f>IFERROR(AVERAGE(EBITDA_MARGIN!C17:C20),"")</f>
        <v>-9.8787668699839969E-3</v>
      </c>
      <c r="D134" s="13">
        <f>IFERROR(AVERAGE(EBITDA_MARGIN!D17:D20),"")</f>
        <v>-0.6069743237059978</v>
      </c>
      <c r="E134" s="13">
        <f>IFERROR(AVERAGE(EBITDA_MARGIN!E17:E20),"")</f>
        <v>-2.5764026808720075</v>
      </c>
      <c r="F134" s="13" t="str">
        <f>IFERROR(AVERAGE(EBITDA_MARGIN!F17:F20),"")</f>
        <v/>
      </c>
      <c r="G134" s="13" t="str">
        <f>IFERROR(AVERAGE(EBITDA_MARGIN!G17:G20),"")</f>
        <v/>
      </c>
      <c r="H134" s="13" t="str">
        <f>IFERROR(AVERAGE(EBITDA_MARGIN!H17:H20),"")</f>
        <v/>
      </c>
      <c r="I134" s="13" t="str">
        <f>IFERROR(AVERAGE(EBITDA_MARGIN!I17:I20),"")</f>
        <v/>
      </c>
      <c r="J134" s="13" t="str">
        <f>IFERROR(AVERAGE(EBITDA_MARGIN!J17:J20),"")</f>
        <v/>
      </c>
      <c r="K134" s="13"/>
      <c r="L134" s="13" t="str">
        <f>IFERROR(AVERAGE(EBITDA_MARGIN!L17:L20),"")</f>
        <v/>
      </c>
      <c r="M134" s="13" t="str">
        <f>IFERROR(AVERAGE(EBITDA_MARGIN!M17:M20),"")</f>
        <v/>
      </c>
      <c r="N134" s="13" t="str">
        <f>IFERROR(AVERAGE(EBITDA_MARGIN!N17:N20),"")</f>
        <v/>
      </c>
      <c r="O134" s="13">
        <f>IFERROR(AVERAGE(EBITDA_MARGIN!O17:O20),"")</f>
        <v>-6.4532374100719423</v>
      </c>
      <c r="P134" s="13" t="str">
        <f>IFERROR(AVERAGE(EBITDA_MARGIN!P17:P20),"")</f>
        <v/>
      </c>
      <c r="Q134" s="13" t="str">
        <f>IFERROR(AVERAGE(EBITDA_MARGIN!Q17:Q20),"")</f>
        <v/>
      </c>
      <c r="R134" s="13">
        <f>IFERROR(AVERAGE(EBITDA_MARGIN!R17:R20),"")</f>
        <v>-6.0105191920865</v>
      </c>
      <c r="S134" s="13" t="str">
        <f>IFERROR(AVERAGE(EBITDA_MARGIN!S17:S20),"")</f>
        <v/>
      </c>
      <c r="T134" s="13" t="str">
        <f>IFERROR(AVERAGE(EBITDA_MARGIN!T17:T20),"")</f>
        <v/>
      </c>
      <c r="U134" s="13">
        <f>IFERROR(AVERAGE(EBITDA_MARGIN!U17:U20),"")</f>
        <v>-2.378568301730295</v>
      </c>
      <c r="V134" s="13">
        <f>IFERROR(AVERAGE(EBITDA_MARGIN!V17:V20),"")</f>
        <v>-0.43467508611529138</v>
      </c>
      <c r="W134" s="16">
        <f>IFERROR(AVERAGE(EBITDA_MARGIN!W17:W20),"")</f>
        <v>2.7867647155018244E-2</v>
      </c>
      <c r="X134" s="16" t="str">
        <f>IFERROR(AVERAGE(EBITDA_MARGIN!X17:X20),"")</f>
        <v/>
      </c>
      <c r="Y134" s="16" t="str">
        <f>IFERROR(AVERAGE(EBITDA_MARGIN!Y17:Y20),"")</f>
        <v/>
      </c>
      <c r="Z134" s="16" t="str">
        <f>IFERROR(AVERAGE(EBITDA_MARGIN!Z17:Z20),"")</f>
        <v/>
      </c>
      <c r="AA134" s="16" t="str">
        <f>IFERROR(AVERAGE(EBITDA_MARGIN!AA17:AA20),"")</f>
        <v/>
      </c>
      <c r="AB134" s="16" t="str">
        <f>IFERROR(AVERAGE(EBITDA_MARGIN!AB17:AB20),"")</f>
        <v/>
      </c>
      <c r="AC134" s="11"/>
    </row>
    <row r="135" spans="1:29" ht="14">
      <c r="A135" s="14" t="s">
        <v>46</v>
      </c>
      <c r="B135" s="13" t="str">
        <f>IFERROR(AVERAGE(EBITDA_MARGIN!B18:B21),"")</f>
        <v/>
      </c>
      <c r="C135" s="13">
        <f>IFERROR(AVERAGE(EBITDA_MARGIN!C18:C21),"")</f>
        <v>-2.0590835765747382E-3</v>
      </c>
      <c r="D135" s="13">
        <f>IFERROR(AVERAGE(EBITDA_MARGIN!D18:D21),"")</f>
        <v>-0.33268570383841867</v>
      </c>
      <c r="E135" s="13">
        <f>IFERROR(AVERAGE(EBITDA_MARGIN!E18:E21),"")</f>
        <v>-1.4742194059233953</v>
      </c>
      <c r="F135" s="13" t="str">
        <f>IFERROR(AVERAGE(EBITDA_MARGIN!F18:F21),"")</f>
        <v/>
      </c>
      <c r="G135" s="13" t="str">
        <f>IFERROR(AVERAGE(EBITDA_MARGIN!G18:G21),"")</f>
        <v/>
      </c>
      <c r="H135" s="13" t="str">
        <f>IFERROR(AVERAGE(EBITDA_MARGIN!H18:H21),"")</f>
        <v/>
      </c>
      <c r="I135" s="13" t="str">
        <f>IFERROR(AVERAGE(EBITDA_MARGIN!I18:I21),"")</f>
        <v/>
      </c>
      <c r="J135" s="13" t="str">
        <f>IFERROR(AVERAGE(EBITDA_MARGIN!J18:J21),"")</f>
        <v/>
      </c>
      <c r="K135" s="13"/>
      <c r="L135" s="13" t="str">
        <f>IFERROR(AVERAGE(EBITDA_MARGIN!L18:L21),"")</f>
        <v/>
      </c>
      <c r="M135" s="13" t="str">
        <f>IFERROR(AVERAGE(EBITDA_MARGIN!M18:M21),"")</f>
        <v/>
      </c>
      <c r="N135" s="13" t="str">
        <f>IFERROR(AVERAGE(EBITDA_MARGIN!N18:N21),"")</f>
        <v/>
      </c>
      <c r="O135" s="13">
        <f>IFERROR(AVERAGE(EBITDA_MARGIN!O18:O21),"")</f>
        <v>-4.5618007945478043</v>
      </c>
      <c r="P135" s="13" t="str">
        <f>IFERROR(AVERAGE(EBITDA_MARGIN!P18:P21),"")</f>
        <v/>
      </c>
      <c r="Q135" s="13" t="str">
        <f>IFERROR(AVERAGE(EBITDA_MARGIN!Q18:Q21),"")</f>
        <v/>
      </c>
      <c r="R135" s="13">
        <f>IFERROR(AVERAGE(EBITDA_MARGIN!R18:R21),"")</f>
        <v>-3.9172167204195203</v>
      </c>
      <c r="S135" s="13" t="str">
        <f>IFERROR(AVERAGE(EBITDA_MARGIN!S18:S21),"")</f>
        <v/>
      </c>
      <c r="T135" s="13" t="str">
        <f>IFERROR(AVERAGE(EBITDA_MARGIN!T18:T21),"")</f>
        <v/>
      </c>
      <c r="U135" s="13">
        <f>IFERROR(AVERAGE(EBITDA_MARGIN!U18:U21),"")</f>
        <v>-2.378568301730295</v>
      </c>
      <c r="V135" s="13">
        <f>IFERROR(AVERAGE(EBITDA_MARGIN!V18:V21),"")</f>
        <v>-0.36917669207842313</v>
      </c>
      <c r="W135" s="16">
        <f>IFERROR(AVERAGE(EBITDA_MARGIN!W18:W21),"")</f>
        <v>2.6120287996394424E-2</v>
      </c>
      <c r="X135" s="16" t="str">
        <f>IFERROR(AVERAGE(EBITDA_MARGIN!X18:X21),"")</f>
        <v/>
      </c>
      <c r="Y135" s="16" t="str">
        <f>IFERROR(AVERAGE(EBITDA_MARGIN!Y18:Y21),"")</f>
        <v/>
      </c>
      <c r="Z135" s="16" t="str">
        <f>IFERROR(AVERAGE(EBITDA_MARGIN!Z18:Z21),"")</f>
        <v/>
      </c>
      <c r="AA135" s="16" t="str">
        <f>IFERROR(AVERAGE(EBITDA_MARGIN!AA18:AA21),"")</f>
        <v/>
      </c>
      <c r="AB135" s="16" t="str">
        <f>IFERROR(AVERAGE(EBITDA_MARGIN!AB18:AB21),"")</f>
        <v/>
      </c>
      <c r="AC135" s="11"/>
    </row>
    <row r="136" spans="1:29" ht="14">
      <c r="A136" s="14" t="s">
        <v>47</v>
      </c>
      <c r="B136" s="13" t="str">
        <f>IFERROR(AVERAGE(EBITDA_MARGIN!B19:B22),"")</f>
        <v/>
      </c>
      <c r="C136" s="13">
        <f>IFERROR(AVERAGE(EBITDA_MARGIN!C19:C22),"")</f>
        <v>5.7605997168345205E-3</v>
      </c>
      <c r="D136" s="13">
        <f>IFERROR(AVERAGE(EBITDA_MARGIN!D19:D22),"")</f>
        <v>-5.839708397083971E-2</v>
      </c>
      <c r="E136" s="13">
        <f>IFERROR(AVERAGE(EBITDA_MARGIN!E19:E22),"")</f>
        <v>-0.37203613097478361</v>
      </c>
      <c r="F136" s="13" t="str">
        <f>IFERROR(AVERAGE(EBITDA_MARGIN!F19:F22),"")</f>
        <v/>
      </c>
      <c r="G136" s="13" t="str">
        <f>IFERROR(AVERAGE(EBITDA_MARGIN!G19:G22),"")</f>
        <v/>
      </c>
      <c r="H136" s="13" t="str">
        <f>IFERROR(AVERAGE(EBITDA_MARGIN!H19:H22),"")</f>
        <v/>
      </c>
      <c r="I136" s="13" t="str">
        <f>IFERROR(AVERAGE(EBITDA_MARGIN!I19:I22),"")</f>
        <v/>
      </c>
      <c r="J136" s="13" t="str">
        <f>IFERROR(AVERAGE(EBITDA_MARGIN!J19:J22),"")</f>
        <v/>
      </c>
      <c r="K136" s="13"/>
      <c r="L136" s="13" t="str">
        <f>IFERROR(AVERAGE(EBITDA_MARGIN!L19:L22),"")</f>
        <v/>
      </c>
      <c r="M136" s="13" t="str">
        <f>IFERROR(AVERAGE(EBITDA_MARGIN!M19:M22),"")</f>
        <v/>
      </c>
      <c r="N136" s="13" t="str">
        <f>IFERROR(AVERAGE(EBITDA_MARGIN!N19:N22),"")</f>
        <v/>
      </c>
      <c r="O136" s="13">
        <f>IFERROR(AVERAGE(EBITDA_MARGIN!O19:O22),"")</f>
        <v>-3.6160824867857357</v>
      </c>
      <c r="P136" s="13" t="str">
        <f>IFERROR(AVERAGE(EBITDA_MARGIN!P19:P22),"")</f>
        <v/>
      </c>
      <c r="Q136" s="13" t="str">
        <f>IFERROR(AVERAGE(EBITDA_MARGIN!Q19:Q22),"")</f>
        <v/>
      </c>
      <c r="R136" s="13">
        <f>IFERROR(AVERAGE(EBITDA_MARGIN!R19:R22),"")</f>
        <v>-1.823914248752541</v>
      </c>
      <c r="S136" s="13" t="str">
        <f>IFERROR(AVERAGE(EBITDA_MARGIN!S19:S22),"")</f>
        <v/>
      </c>
      <c r="T136" s="13" t="str">
        <f>IFERROR(AVERAGE(EBITDA_MARGIN!T19:T22),"")</f>
        <v/>
      </c>
      <c r="U136" s="13">
        <f>IFERROR(AVERAGE(EBITDA_MARGIN!U19:U22),"")</f>
        <v>-2.378568301730295</v>
      </c>
      <c r="V136" s="13">
        <f>IFERROR(AVERAGE(EBITDA_MARGIN!V19:V22),"")</f>
        <v>-0.30367829804155483</v>
      </c>
      <c r="W136" s="16">
        <f>IFERROR(AVERAGE(EBITDA_MARGIN!W19:W22),"")</f>
        <v>2.4372928837770605E-2</v>
      </c>
      <c r="X136" s="16" t="str">
        <f>IFERROR(AVERAGE(EBITDA_MARGIN!X19:X22),"")</f>
        <v/>
      </c>
      <c r="Y136" s="16" t="str">
        <f>IFERROR(AVERAGE(EBITDA_MARGIN!Y19:Y22),"")</f>
        <v/>
      </c>
      <c r="Z136" s="16" t="str">
        <f>IFERROR(AVERAGE(EBITDA_MARGIN!Z19:Z22),"")</f>
        <v/>
      </c>
      <c r="AA136" s="16" t="str">
        <f>IFERROR(AVERAGE(EBITDA_MARGIN!AA19:AA22),"")</f>
        <v/>
      </c>
      <c r="AB136" s="16" t="str">
        <f>IFERROR(AVERAGE(EBITDA_MARGIN!AB19:AB22),"")</f>
        <v/>
      </c>
      <c r="AC136" s="11"/>
    </row>
    <row r="137" spans="1:29" ht="14">
      <c r="A137" s="14" t="s">
        <v>48</v>
      </c>
      <c r="B137" s="13" t="str">
        <f>IFERROR(AVERAGE(EBITDA_MARGIN!B20:B23),"")</f>
        <v/>
      </c>
      <c r="C137" s="13">
        <f>IFERROR(AVERAGE(EBITDA_MARGIN!C20:C23),"")</f>
        <v>9.963600585847502E-3</v>
      </c>
      <c r="D137" s="13">
        <f>IFERROR(AVERAGE(EBITDA_MARGIN!D20:D23),"")</f>
        <v>-8.7134165414665815E-4</v>
      </c>
      <c r="E137" s="13">
        <f>IFERROR(AVERAGE(EBITDA_MARGIN!E20:E23),"")</f>
        <v>-0.21107050527449478</v>
      </c>
      <c r="F137" s="13" t="str">
        <f>IFERROR(AVERAGE(EBITDA_MARGIN!F20:F23),"")</f>
        <v/>
      </c>
      <c r="G137" s="13" t="str">
        <f>IFERROR(AVERAGE(EBITDA_MARGIN!G20:G23),"")</f>
        <v/>
      </c>
      <c r="H137" s="13" t="str">
        <f>IFERROR(AVERAGE(EBITDA_MARGIN!H20:H23),"")</f>
        <v/>
      </c>
      <c r="I137" s="13" t="str">
        <f>IFERROR(AVERAGE(EBITDA_MARGIN!I20:I23),"")</f>
        <v/>
      </c>
      <c r="J137" s="13" t="str">
        <f>IFERROR(AVERAGE(EBITDA_MARGIN!J20:J23),"")</f>
        <v/>
      </c>
      <c r="K137" s="13"/>
      <c r="L137" s="13" t="str">
        <f>IFERROR(AVERAGE(EBITDA_MARGIN!L20:L23),"")</f>
        <v/>
      </c>
      <c r="M137" s="13" t="str">
        <f>IFERROR(AVERAGE(EBITDA_MARGIN!M20:M23),"")</f>
        <v/>
      </c>
      <c r="N137" s="13" t="str">
        <f>IFERROR(AVERAGE(EBITDA_MARGIN!N20:N23),"")</f>
        <v/>
      </c>
      <c r="O137" s="13">
        <f>IFERROR(AVERAGE(EBITDA_MARGIN!O20:O23),"")</f>
        <v>-2.1975050251426325</v>
      </c>
      <c r="P137" s="13" t="str">
        <f>IFERROR(AVERAGE(EBITDA_MARGIN!P20:P23),"")</f>
        <v/>
      </c>
      <c r="Q137" s="13" t="str">
        <f>IFERROR(AVERAGE(EBITDA_MARGIN!Q20:Q23),"")</f>
        <v/>
      </c>
      <c r="R137" s="13">
        <f>IFERROR(AVERAGE(EBITDA_MARGIN!R20:R23),"")</f>
        <v>-1.4204303467319945</v>
      </c>
      <c r="S137" s="13" t="str">
        <f>IFERROR(AVERAGE(EBITDA_MARGIN!S20:S23),"")</f>
        <v/>
      </c>
      <c r="T137" s="13" t="str">
        <f>IFERROR(AVERAGE(EBITDA_MARGIN!T20:T23),"")</f>
        <v/>
      </c>
      <c r="U137" s="13">
        <f>IFERROR(AVERAGE(EBITDA_MARGIN!U20:U23),"")</f>
        <v>-1.8093877384622701</v>
      </c>
      <c r="V137" s="13">
        <f>IFERROR(AVERAGE(EBITDA_MARGIN!V20:V23),"")</f>
        <v>-0.30367829804155483</v>
      </c>
      <c r="W137" s="16">
        <f>IFERROR(AVERAGE(EBITDA_MARGIN!W20:W23),"")</f>
        <v>2.2625569679146779E-2</v>
      </c>
      <c r="X137" s="16" t="str">
        <f>IFERROR(AVERAGE(EBITDA_MARGIN!X20:X23),"")</f>
        <v/>
      </c>
      <c r="Y137" s="16" t="str">
        <f>IFERROR(AVERAGE(EBITDA_MARGIN!Y20:Y23),"")</f>
        <v/>
      </c>
      <c r="Z137" s="16" t="str">
        <f>IFERROR(AVERAGE(EBITDA_MARGIN!Z20:Z23),"")</f>
        <v/>
      </c>
      <c r="AA137" s="16" t="str">
        <f>IFERROR(AVERAGE(EBITDA_MARGIN!AA20:AA23),"")</f>
        <v/>
      </c>
      <c r="AB137" s="16" t="str">
        <f>IFERROR(AVERAGE(EBITDA_MARGIN!AB20:AB23),"")</f>
        <v/>
      </c>
      <c r="AC137" s="11"/>
    </row>
    <row r="138" spans="1:29" ht="14">
      <c r="A138" s="14" t="s">
        <v>49</v>
      </c>
      <c r="B138" s="13" t="str">
        <f>IFERROR(AVERAGE(EBITDA_MARGIN!B21:B24),"")</f>
        <v/>
      </c>
      <c r="C138" s="13">
        <f>IFERROR(AVERAGE(EBITDA_MARGIN!C21:C24),"")</f>
        <v>1.4166601454860487E-2</v>
      </c>
      <c r="D138" s="13">
        <f>IFERROR(AVERAGE(EBITDA_MARGIN!D21:D24),"")</f>
        <v>5.66544006625464E-2</v>
      </c>
      <c r="E138" s="13">
        <f>IFERROR(AVERAGE(EBITDA_MARGIN!E21:E24),"")</f>
        <v>-5.0104879574205896E-2</v>
      </c>
      <c r="F138" s="13" t="str">
        <f>IFERROR(AVERAGE(EBITDA_MARGIN!F21:F24),"")</f>
        <v/>
      </c>
      <c r="G138" s="13" t="str">
        <f>IFERROR(AVERAGE(EBITDA_MARGIN!G21:G24),"")</f>
        <v/>
      </c>
      <c r="H138" s="13" t="str">
        <f>IFERROR(AVERAGE(EBITDA_MARGIN!H21:H24),"")</f>
        <v/>
      </c>
      <c r="I138" s="13" t="str">
        <f>IFERROR(AVERAGE(EBITDA_MARGIN!I21:I24),"")</f>
        <v/>
      </c>
      <c r="J138" s="13" t="str">
        <f>IFERROR(AVERAGE(EBITDA_MARGIN!J21:J24),"")</f>
        <v/>
      </c>
      <c r="K138" s="13"/>
      <c r="L138" s="13" t="str">
        <f>IFERROR(AVERAGE(EBITDA_MARGIN!L21:L24),"")</f>
        <v/>
      </c>
      <c r="M138" s="13" t="str">
        <f>IFERROR(AVERAGE(EBITDA_MARGIN!M21:M24),"")</f>
        <v/>
      </c>
      <c r="N138" s="13" t="str">
        <f>IFERROR(AVERAGE(EBITDA_MARGIN!N21:N24),"")</f>
        <v/>
      </c>
      <c r="O138" s="13">
        <f>IFERROR(AVERAGE(EBITDA_MARGIN!O21:O24),"")</f>
        <v>-0.77892756349952963</v>
      </c>
      <c r="P138" s="13" t="str">
        <f>IFERROR(AVERAGE(EBITDA_MARGIN!P21:P24),"")</f>
        <v/>
      </c>
      <c r="Q138" s="13" t="str">
        <f>IFERROR(AVERAGE(EBITDA_MARGIN!Q21:Q24),"")</f>
        <v/>
      </c>
      <c r="R138" s="13">
        <f>IFERROR(AVERAGE(EBITDA_MARGIN!R21:R24),"")</f>
        <v>-1.0169464447114478</v>
      </c>
      <c r="S138" s="13" t="str">
        <f>IFERROR(AVERAGE(EBITDA_MARGIN!S21:S24),"")</f>
        <v/>
      </c>
      <c r="T138" s="13" t="str">
        <f>IFERROR(AVERAGE(EBITDA_MARGIN!T21:T24),"")</f>
        <v/>
      </c>
      <c r="U138" s="13">
        <f>IFERROR(AVERAGE(EBITDA_MARGIN!U21:U24),"")</f>
        <v>-1.2402071751942454</v>
      </c>
      <c r="V138" s="13">
        <f>IFERROR(AVERAGE(EBITDA_MARGIN!V21:V24),"")</f>
        <v>-0.30367829804155483</v>
      </c>
      <c r="W138" s="16">
        <f>IFERROR(AVERAGE(EBITDA_MARGIN!W21:W24),"")</f>
        <v>2.0878210520522959E-2</v>
      </c>
      <c r="X138" s="16" t="str">
        <f>IFERROR(AVERAGE(EBITDA_MARGIN!X21:X24),"")</f>
        <v/>
      </c>
      <c r="Y138" s="16" t="str">
        <f>IFERROR(AVERAGE(EBITDA_MARGIN!Y21:Y24),"")</f>
        <v/>
      </c>
      <c r="Z138" s="16" t="str">
        <f>IFERROR(AVERAGE(EBITDA_MARGIN!Z21:Z24),"")</f>
        <v/>
      </c>
      <c r="AA138" s="16" t="str">
        <f>IFERROR(AVERAGE(EBITDA_MARGIN!AA21:AA24),"")</f>
        <v/>
      </c>
      <c r="AB138" s="16" t="str">
        <f>IFERROR(AVERAGE(EBITDA_MARGIN!AB21:AB24),"")</f>
        <v/>
      </c>
      <c r="AC138" s="11"/>
    </row>
    <row r="139" spans="1:29" ht="14">
      <c r="A139" s="14" t="s">
        <v>50</v>
      </c>
      <c r="B139" s="13" t="str">
        <f>IFERROR(AVERAGE(EBITDA_MARGIN!B22:B25),"")</f>
        <v/>
      </c>
      <c r="C139" s="13">
        <f>IFERROR(AVERAGE(EBITDA_MARGIN!C22:C25),"")</f>
        <v>1.8369602323873468E-2</v>
      </c>
      <c r="D139" s="13">
        <f>IFERROR(AVERAGE(EBITDA_MARGIN!D22:D25),"")</f>
        <v>0.11418014297923945</v>
      </c>
      <c r="E139" s="13">
        <f>IFERROR(AVERAGE(EBITDA_MARGIN!E22:E25),"")</f>
        <v>0.11086074612608296</v>
      </c>
      <c r="F139" s="13" t="str">
        <f>IFERROR(AVERAGE(EBITDA_MARGIN!F22:F25),"")</f>
        <v/>
      </c>
      <c r="G139" s="13" t="str">
        <f>IFERROR(AVERAGE(EBITDA_MARGIN!G22:G25),"")</f>
        <v/>
      </c>
      <c r="H139" s="13" t="str">
        <f>IFERROR(AVERAGE(EBITDA_MARGIN!H22:H25),"")</f>
        <v/>
      </c>
      <c r="I139" s="13" t="str">
        <f>IFERROR(AVERAGE(EBITDA_MARGIN!I22:I25),"")</f>
        <v/>
      </c>
      <c r="J139" s="13" t="str">
        <f>IFERROR(AVERAGE(EBITDA_MARGIN!J22:J25),"")</f>
        <v/>
      </c>
      <c r="K139" s="13"/>
      <c r="L139" s="13" t="str">
        <f>IFERROR(AVERAGE(EBITDA_MARGIN!L22:L25),"")</f>
        <v/>
      </c>
      <c r="M139" s="13" t="str">
        <f>IFERROR(AVERAGE(EBITDA_MARGIN!M22:M25),"")</f>
        <v/>
      </c>
      <c r="N139" s="13" t="str">
        <f>IFERROR(AVERAGE(EBITDA_MARGIN!N22:N25),"")</f>
        <v/>
      </c>
      <c r="O139" s="13">
        <f>IFERROR(AVERAGE(EBITDA_MARGIN!O22:O25),"")</f>
        <v>-0.69972597565495021</v>
      </c>
      <c r="P139" s="13" t="str">
        <f>IFERROR(AVERAGE(EBITDA_MARGIN!P22:P25),"")</f>
        <v/>
      </c>
      <c r="Q139" s="13" t="str">
        <f>IFERROR(AVERAGE(EBITDA_MARGIN!Q22:Q25),"")</f>
        <v/>
      </c>
      <c r="R139" s="13">
        <f>IFERROR(AVERAGE(EBITDA_MARGIN!R22:R25),"")</f>
        <v>-0.61346254269090117</v>
      </c>
      <c r="S139" s="13" t="str">
        <f>IFERROR(AVERAGE(EBITDA_MARGIN!S22:S25),"")</f>
        <v/>
      </c>
      <c r="T139" s="13" t="str">
        <f>IFERROR(AVERAGE(EBITDA_MARGIN!T22:T25),"")</f>
        <v/>
      </c>
      <c r="U139" s="13">
        <f>IFERROR(AVERAGE(EBITDA_MARGIN!U22:U25),"")</f>
        <v>-0.67102661192622093</v>
      </c>
      <c r="V139" s="13">
        <f>IFERROR(AVERAGE(EBITDA_MARGIN!V22:V25),"")</f>
        <v>-0.30367829804155483</v>
      </c>
      <c r="W139" s="16">
        <f>IFERROR(AVERAGE(EBITDA_MARGIN!W22:W25),"")</f>
        <v>5.4378734967395106E-2</v>
      </c>
      <c r="X139" s="16" t="str">
        <f>IFERROR(AVERAGE(EBITDA_MARGIN!X22:X25),"")</f>
        <v/>
      </c>
      <c r="Y139" s="16" t="str">
        <f>IFERROR(AVERAGE(EBITDA_MARGIN!Y22:Y25),"")</f>
        <v/>
      </c>
      <c r="Z139" s="16" t="str">
        <f>IFERROR(AVERAGE(EBITDA_MARGIN!Z22:Z25),"")</f>
        <v/>
      </c>
      <c r="AA139" s="16" t="str">
        <f>IFERROR(AVERAGE(EBITDA_MARGIN!AA22:AA25),"")</f>
        <v/>
      </c>
      <c r="AB139" s="16" t="str">
        <f>IFERROR(AVERAGE(EBITDA_MARGIN!AB22:AB25),"")</f>
        <v/>
      </c>
      <c r="AC139" s="11"/>
    </row>
    <row r="140" spans="1:29" ht="14">
      <c r="A140" s="14" t="s">
        <v>51</v>
      </c>
      <c r="B140" s="13" t="str">
        <f>IFERROR(AVERAGE(EBITDA_MARGIN!B23:B26),"")</f>
        <v/>
      </c>
      <c r="C140" s="13">
        <f>IFERROR(AVERAGE(EBITDA_MARGIN!C23:C26),"")</f>
        <v>2.257260319288645E-2</v>
      </c>
      <c r="D140" s="13">
        <f>IFERROR(AVERAGE(EBITDA_MARGIN!D23:D26),"")</f>
        <v>0.1717058852959325</v>
      </c>
      <c r="E140" s="13">
        <f>IFERROR(AVERAGE(EBITDA_MARGIN!E23:E26),"")</f>
        <v>0.27182637182637182</v>
      </c>
      <c r="F140" s="13" t="str">
        <f>IFERROR(AVERAGE(EBITDA_MARGIN!F23:F26),"")</f>
        <v/>
      </c>
      <c r="G140" s="13" t="str">
        <f>IFERROR(AVERAGE(EBITDA_MARGIN!G23:G26),"")</f>
        <v/>
      </c>
      <c r="H140" s="13" t="str">
        <f>IFERROR(AVERAGE(EBITDA_MARGIN!H23:H26),"")</f>
        <v/>
      </c>
      <c r="I140" s="13" t="str">
        <f>IFERROR(AVERAGE(EBITDA_MARGIN!I23:I26),"")</f>
        <v/>
      </c>
      <c r="J140" s="13" t="str">
        <f>IFERROR(AVERAGE(EBITDA_MARGIN!J23:J26),"")</f>
        <v/>
      </c>
      <c r="K140" s="13"/>
      <c r="L140" s="13" t="str">
        <f>IFERROR(AVERAGE(EBITDA_MARGIN!L23:L26),"")</f>
        <v/>
      </c>
      <c r="M140" s="13" t="str">
        <f>IFERROR(AVERAGE(EBITDA_MARGIN!M23:M26),"")</f>
        <v/>
      </c>
      <c r="N140" s="13" t="str">
        <f>IFERROR(AVERAGE(EBITDA_MARGIN!N23:N26),"")</f>
        <v/>
      </c>
      <c r="O140" s="13">
        <f>IFERROR(AVERAGE(EBITDA_MARGIN!O23:O26),"")</f>
        <v>-0.62052438781037078</v>
      </c>
      <c r="P140" s="13" t="str">
        <f>IFERROR(AVERAGE(EBITDA_MARGIN!P23:P26),"")</f>
        <v/>
      </c>
      <c r="Q140" s="13" t="str">
        <f>IFERROR(AVERAGE(EBITDA_MARGIN!Q23:Q26),"")</f>
        <v/>
      </c>
      <c r="R140" s="13">
        <f>IFERROR(AVERAGE(EBITDA_MARGIN!R23:R26),"")</f>
        <v>-0.20997864067035435</v>
      </c>
      <c r="S140" s="13" t="str">
        <f>IFERROR(AVERAGE(EBITDA_MARGIN!S23:S26),"")</f>
        <v/>
      </c>
      <c r="T140" s="13" t="str">
        <f>IFERROR(AVERAGE(EBITDA_MARGIN!T23:T26),"")</f>
        <v/>
      </c>
      <c r="U140" s="13">
        <f>IFERROR(AVERAGE(EBITDA_MARGIN!U23:U26),"")</f>
        <v>-0.10184604865819612</v>
      </c>
      <c r="V140" s="13" t="str">
        <f>IFERROR(AVERAGE(EBITDA_MARGIN!V23:V26),"")</f>
        <v/>
      </c>
      <c r="W140" s="16">
        <f>IFERROR(AVERAGE(EBITDA_MARGIN!W23:W26),"")</f>
        <v>8.7879259414267247E-2</v>
      </c>
      <c r="X140" s="16" t="str">
        <f>IFERROR(AVERAGE(EBITDA_MARGIN!X23:X26),"")</f>
        <v/>
      </c>
      <c r="Y140" s="16" t="str">
        <f>IFERROR(AVERAGE(EBITDA_MARGIN!Y23:Y26),"")</f>
        <v/>
      </c>
      <c r="Z140" s="16" t="str">
        <f>IFERROR(AVERAGE(EBITDA_MARGIN!Z23:Z26),"")</f>
        <v/>
      </c>
      <c r="AA140" s="16" t="str">
        <f>IFERROR(AVERAGE(EBITDA_MARGIN!AA23:AA26),"")</f>
        <v/>
      </c>
      <c r="AB140" s="16" t="str">
        <f>IFERROR(AVERAGE(EBITDA_MARGIN!AB23:AB26),"")</f>
        <v/>
      </c>
      <c r="AC140" s="11"/>
    </row>
    <row r="141" spans="1:29" ht="14">
      <c r="A141" s="14" t="s">
        <v>52</v>
      </c>
      <c r="B141" s="13" t="str">
        <f>IFERROR(AVERAGE(EBITDA_MARGIN!B24:B27),"")</f>
        <v/>
      </c>
      <c r="C141" s="13">
        <f>IFERROR(AVERAGE(EBITDA_MARGIN!C24:C27),"")</f>
        <v>2.4456421888482432E-2</v>
      </c>
      <c r="D141" s="13">
        <f>IFERROR(AVERAGE(EBITDA_MARGIN!D24:D27),"")</f>
        <v>0.16788798803320981</v>
      </c>
      <c r="E141" s="13">
        <f>IFERROR(AVERAGE(EBITDA_MARGIN!E24:E27),"")</f>
        <v>0.29381637743026179</v>
      </c>
      <c r="F141" s="13" t="str">
        <f>IFERROR(AVERAGE(EBITDA_MARGIN!F24:F27),"")</f>
        <v/>
      </c>
      <c r="G141" s="13" t="str">
        <f>IFERROR(AVERAGE(EBITDA_MARGIN!G24:G27),"")</f>
        <v/>
      </c>
      <c r="H141" s="13" t="str">
        <f>IFERROR(AVERAGE(EBITDA_MARGIN!H24:H27),"")</f>
        <v/>
      </c>
      <c r="I141" s="13" t="str">
        <f>IFERROR(AVERAGE(EBITDA_MARGIN!I24:I27),"")</f>
        <v/>
      </c>
      <c r="J141" s="13" t="str">
        <f>IFERROR(AVERAGE(EBITDA_MARGIN!J24:J27),"")</f>
        <v/>
      </c>
      <c r="K141" s="13"/>
      <c r="L141" s="13" t="str">
        <f>IFERROR(AVERAGE(EBITDA_MARGIN!L24:L27),"")</f>
        <v/>
      </c>
      <c r="M141" s="13" t="str">
        <f>IFERROR(AVERAGE(EBITDA_MARGIN!M24:M27),"")</f>
        <v/>
      </c>
      <c r="N141" s="13" t="str">
        <f>IFERROR(AVERAGE(EBITDA_MARGIN!N24:N27),"")</f>
        <v/>
      </c>
      <c r="O141" s="13">
        <f>IFERROR(AVERAGE(EBITDA_MARGIN!O24:O27),"")</f>
        <v>-0.54132279996579147</v>
      </c>
      <c r="P141" s="13" t="str">
        <f>IFERROR(AVERAGE(EBITDA_MARGIN!P24:P27),"")</f>
        <v/>
      </c>
      <c r="Q141" s="13" t="str">
        <f>IFERROR(AVERAGE(EBITDA_MARGIN!Q24:Q27),"")</f>
        <v/>
      </c>
      <c r="R141" s="13">
        <f>IFERROR(AVERAGE(EBITDA_MARGIN!R24:R27),"")</f>
        <v>-0.22079054350840924</v>
      </c>
      <c r="S141" s="13" t="str">
        <f>IFERROR(AVERAGE(EBITDA_MARGIN!S24:S27),"")</f>
        <v/>
      </c>
      <c r="T141" s="13" t="str">
        <f>IFERROR(AVERAGE(EBITDA_MARGIN!T24:T27),"")</f>
        <v/>
      </c>
      <c r="U141" s="13">
        <f>IFERROR(AVERAGE(EBITDA_MARGIN!U24:U27),"")</f>
        <v>-9.2954376056994747E-2</v>
      </c>
      <c r="V141" s="13" t="str">
        <f>IFERROR(AVERAGE(EBITDA_MARGIN!V24:V27),"")</f>
        <v/>
      </c>
      <c r="W141" s="16">
        <f>IFERROR(AVERAGE(EBITDA_MARGIN!W24:W27),"")</f>
        <v>0.1213797838611394</v>
      </c>
      <c r="X141" s="16" t="str">
        <f>IFERROR(AVERAGE(EBITDA_MARGIN!X24:X27),"")</f>
        <v/>
      </c>
      <c r="Y141" s="16" t="str">
        <f>IFERROR(AVERAGE(EBITDA_MARGIN!Y24:Y27),"")</f>
        <v/>
      </c>
      <c r="Z141" s="16" t="str">
        <f>IFERROR(AVERAGE(EBITDA_MARGIN!Z24:Z27),"")</f>
        <v/>
      </c>
      <c r="AA141" s="16" t="str">
        <f>IFERROR(AVERAGE(EBITDA_MARGIN!AA24:AA27),"")</f>
        <v/>
      </c>
      <c r="AB141" s="16" t="str">
        <f>IFERROR(AVERAGE(EBITDA_MARGIN!AB24:AB27),"")</f>
        <v/>
      </c>
      <c r="AC141" s="11"/>
    </row>
    <row r="142" spans="1:29" ht="14">
      <c r="A142" s="14" t="s">
        <v>53</v>
      </c>
      <c r="B142" s="13" t="str">
        <f>IFERROR(AVERAGE(EBITDA_MARGIN!B25:B28),"")</f>
        <v/>
      </c>
      <c r="C142" s="13">
        <f>IFERROR(AVERAGE(EBITDA_MARGIN!C25:C28),"")</f>
        <v>2.6340240584078418E-2</v>
      </c>
      <c r="D142" s="13">
        <f>IFERROR(AVERAGE(EBITDA_MARGIN!D25:D28),"")</f>
        <v>0.16407009077048715</v>
      </c>
      <c r="E142" s="13">
        <f>IFERROR(AVERAGE(EBITDA_MARGIN!E25:E28),"")</f>
        <v>0.31580638303415176</v>
      </c>
      <c r="F142" s="13" t="str">
        <f>IFERROR(AVERAGE(EBITDA_MARGIN!F25:F28),"")</f>
        <v/>
      </c>
      <c r="G142" s="13" t="str">
        <f>IFERROR(AVERAGE(EBITDA_MARGIN!G25:G28),"")</f>
        <v/>
      </c>
      <c r="H142" s="13" t="str">
        <f>IFERROR(AVERAGE(EBITDA_MARGIN!H25:H28),"")</f>
        <v/>
      </c>
      <c r="I142" s="13" t="str">
        <f>IFERROR(AVERAGE(EBITDA_MARGIN!I25:I28),"")</f>
        <v/>
      </c>
      <c r="J142" s="13" t="str">
        <f>IFERROR(AVERAGE(EBITDA_MARGIN!J25:J28),"")</f>
        <v/>
      </c>
      <c r="K142" s="13"/>
      <c r="L142" s="13" t="str">
        <f>IFERROR(AVERAGE(EBITDA_MARGIN!L25:L28),"")</f>
        <v/>
      </c>
      <c r="M142" s="13" t="str">
        <f>IFERROR(AVERAGE(EBITDA_MARGIN!M25:M28),"")</f>
        <v/>
      </c>
      <c r="N142" s="13" t="str">
        <f>IFERROR(AVERAGE(EBITDA_MARGIN!N25:N28),"")</f>
        <v/>
      </c>
      <c r="O142" s="13">
        <f>IFERROR(AVERAGE(EBITDA_MARGIN!O25:O28),"")</f>
        <v>-0.4621212121212121</v>
      </c>
      <c r="P142" s="13" t="str">
        <f>IFERROR(AVERAGE(EBITDA_MARGIN!P25:P28),"")</f>
        <v/>
      </c>
      <c r="Q142" s="13" t="str">
        <f>IFERROR(AVERAGE(EBITDA_MARGIN!Q25:Q28),"")</f>
        <v/>
      </c>
      <c r="R142" s="13">
        <f>IFERROR(AVERAGE(EBITDA_MARGIN!R25:R28),"")</f>
        <v>-0.2316024463464641</v>
      </c>
      <c r="S142" s="13" t="str">
        <f>IFERROR(AVERAGE(EBITDA_MARGIN!S25:S28),"")</f>
        <v/>
      </c>
      <c r="T142" s="13" t="str">
        <f>IFERROR(AVERAGE(EBITDA_MARGIN!T25:T28),"")</f>
        <v/>
      </c>
      <c r="U142" s="13">
        <f>IFERROR(AVERAGE(EBITDA_MARGIN!U25:U28),"")</f>
        <v>-8.4062703455793392E-2</v>
      </c>
      <c r="V142" s="13" t="str">
        <f>IFERROR(AVERAGE(EBITDA_MARGIN!V25:V28),"")</f>
        <v/>
      </c>
      <c r="W142" s="16">
        <f>IFERROR(AVERAGE(EBITDA_MARGIN!W25:W28),"")</f>
        <v>0.15488030830801156</v>
      </c>
      <c r="X142" s="16" t="str">
        <f>IFERROR(AVERAGE(EBITDA_MARGIN!X25:X28),"")</f>
        <v/>
      </c>
      <c r="Y142" s="16" t="str">
        <f>IFERROR(AVERAGE(EBITDA_MARGIN!Y25:Y28),"")</f>
        <v/>
      </c>
      <c r="Z142" s="16" t="str">
        <f>IFERROR(AVERAGE(EBITDA_MARGIN!Z25:Z28),"")</f>
        <v/>
      </c>
      <c r="AA142" s="16" t="str">
        <f>IFERROR(AVERAGE(EBITDA_MARGIN!AA25:AA28),"")</f>
        <v/>
      </c>
      <c r="AB142" s="16" t="str">
        <f>IFERROR(AVERAGE(EBITDA_MARGIN!AB25:AB28),"")</f>
        <v/>
      </c>
      <c r="AC142" s="11"/>
    </row>
    <row r="143" spans="1:29" ht="14">
      <c r="A143" s="14" t="s">
        <v>54</v>
      </c>
      <c r="B143" s="13" t="str">
        <f>IFERROR(AVERAGE(EBITDA_MARGIN!B26:B29),"")</f>
        <v/>
      </c>
      <c r="C143" s="13">
        <f>IFERROR(AVERAGE(EBITDA_MARGIN!C26:C29),"")</f>
        <v>2.8224059279674404E-2</v>
      </c>
      <c r="D143" s="13">
        <f>IFERROR(AVERAGE(EBITDA_MARGIN!D26:D29),"")</f>
        <v>0.16025219350776448</v>
      </c>
      <c r="E143" s="13">
        <f>IFERROR(AVERAGE(EBITDA_MARGIN!E26:E29),"")</f>
        <v>0.33779638863804173</v>
      </c>
      <c r="F143" s="13" t="str">
        <f>IFERROR(AVERAGE(EBITDA_MARGIN!F26:F29),"")</f>
        <v/>
      </c>
      <c r="G143" s="13" t="str">
        <f>IFERROR(AVERAGE(EBITDA_MARGIN!G26:G29),"")</f>
        <v/>
      </c>
      <c r="H143" s="13" t="str">
        <f>IFERROR(AVERAGE(EBITDA_MARGIN!H26:H29),"")</f>
        <v/>
      </c>
      <c r="I143" s="13" t="str">
        <f>IFERROR(AVERAGE(EBITDA_MARGIN!I26:I29),"")</f>
        <v/>
      </c>
      <c r="J143" s="13" t="str">
        <f>IFERROR(AVERAGE(EBITDA_MARGIN!J26:J29),"")</f>
        <v/>
      </c>
      <c r="K143" s="13"/>
      <c r="L143" s="13" t="str">
        <f>IFERROR(AVERAGE(EBITDA_MARGIN!L26:L29),"")</f>
        <v/>
      </c>
      <c r="M143" s="13" t="str">
        <f>IFERROR(AVERAGE(EBITDA_MARGIN!M26:M29),"")</f>
        <v/>
      </c>
      <c r="N143" s="13" t="str">
        <f>IFERROR(AVERAGE(EBITDA_MARGIN!N26:N29),"")</f>
        <v/>
      </c>
      <c r="O143" s="13">
        <f>IFERROR(AVERAGE(EBITDA_MARGIN!O26:O29),"")</f>
        <v>-0.52015296761764973</v>
      </c>
      <c r="P143" s="13" t="str">
        <f>IFERROR(AVERAGE(EBITDA_MARGIN!P26:P29),"")</f>
        <v/>
      </c>
      <c r="Q143" s="13" t="str">
        <f>IFERROR(AVERAGE(EBITDA_MARGIN!Q26:Q29),"")</f>
        <v/>
      </c>
      <c r="R143" s="13">
        <f>IFERROR(AVERAGE(EBITDA_MARGIN!R26:R29),"")</f>
        <v>-0.24241434918451898</v>
      </c>
      <c r="S143" s="13" t="str">
        <f>IFERROR(AVERAGE(EBITDA_MARGIN!S26:S29),"")</f>
        <v/>
      </c>
      <c r="T143" s="13" t="str">
        <f>IFERROR(AVERAGE(EBITDA_MARGIN!T26:T29),"")</f>
        <v/>
      </c>
      <c r="U143" s="13">
        <f>IFERROR(AVERAGE(EBITDA_MARGIN!U26:U29),"")</f>
        <v>-7.5171030854592022E-2</v>
      </c>
      <c r="V143" s="13" t="str">
        <f>IFERROR(AVERAGE(EBITDA_MARGIN!V26:V29),"")</f>
        <v/>
      </c>
      <c r="W143" s="16">
        <f>IFERROR(AVERAGE(EBITDA_MARGIN!W26:W29),"")</f>
        <v>0.15522979959209954</v>
      </c>
      <c r="X143" s="16" t="str">
        <f>IFERROR(AVERAGE(EBITDA_MARGIN!X26:X29),"")</f>
        <v/>
      </c>
      <c r="Y143" s="16" t="str">
        <f>IFERROR(AVERAGE(EBITDA_MARGIN!Y26:Y29),"")</f>
        <v/>
      </c>
      <c r="Z143" s="16" t="str">
        <f>IFERROR(AVERAGE(EBITDA_MARGIN!Z26:Z29),"")</f>
        <v/>
      </c>
      <c r="AA143" s="16" t="str">
        <f>IFERROR(AVERAGE(EBITDA_MARGIN!AA26:AA29),"")</f>
        <v/>
      </c>
      <c r="AB143" s="16" t="str">
        <f>IFERROR(AVERAGE(EBITDA_MARGIN!AB26:AB29),"")</f>
        <v/>
      </c>
      <c r="AC143" s="11"/>
    </row>
    <row r="144" spans="1:29" ht="14">
      <c r="A144" s="14" t="s">
        <v>55</v>
      </c>
      <c r="B144" s="13" t="str">
        <f>IFERROR(AVERAGE(EBITDA_MARGIN!B27:B30),"")</f>
        <v/>
      </c>
      <c r="C144" s="13">
        <f>IFERROR(AVERAGE(EBITDA_MARGIN!C27:C30),"")</f>
        <v>3.010787797527039E-2</v>
      </c>
      <c r="D144" s="13">
        <f>IFERROR(AVERAGE(EBITDA_MARGIN!D27:D30),"")</f>
        <v>0.15643429624504179</v>
      </c>
      <c r="E144" s="13">
        <f>IFERROR(AVERAGE(EBITDA_MARGIN!E27:E30),"")</f>
        <v>0.35978639424193176</v>
      </c>
      <c r="F144" s="13" t="str">
        <f>IFERROR(AVERAGE(EBITDA_MARGIN!F27:F30),"")</f>
        <v/>
      </c>
      <c r="G144" s="13" t="str">
        <f>IFERROR(AVERAGE(EBITDA_MARGIN!G27:G30),"")</f>
        <v/>
      </c>
      <c r="H144" s="13" t="str">
        <f>IFERROR(AVERAGE(EBITDA_MARGIN!H27:H30),"")</f>
        <v/>
      </c>
      <c r="I144" s="13" t="str">
        <f>IFERROR(AVERAGE(EBITDA_MARGIN!I27:I30),"")</f>
        <v/>
      </c>
      <c r="J144" s="13" t="str">
        <f>IFERROR(AVERAGE(EBITDA_MARGIN!J27:J30),"")</f>
        <v/>
      </c>
      <c r="K144" s="13"/>
      <c r="L144" s="13" t="str">
        <f>IFERROR(AVERAGE(EBITDA_MARGIN!L27:L30),"")</f>
        <v/>
      </c>
      <c r="M144" s="13" t="str">
        <f>IFERROR(AVERAGE(EBITDA_MARGIN!M27:M30),"")</f>
        <v/>
      </c>
      <c r="N144" s="13" t="str">
        <f>IFERROR(AVERAGE(EBITDA_MARGIN!N27:N30),"")</f>
        <v/>
      </c>
      <c r="O144" s="13">
        <f>IFERROR(AVERAGE(EBITDA_MARGIN!O27:O30),"")</f>
        <v>-0.57818472311408742</v>
      </c>
      <c r="P144" s="13" t="str">
        <f>IFERROR(AVERAGE(EBITDA_MARGIN!P27:P30),"")</f>
        <v/>
      </c>
      <c r="Q144" s="13" t="str">
        <f>IFERROR(AVERAGE(EBITDA_MARGIN!Q27:Q30),"")</f>
        <v/>
      </c>
      <c r="R144" s="13">
        <f>IFERROR(AVERAGE(EBITDA_MARGIN!R27:R30),"")</f>
        <v>-0.25322625202257387</v>
      </c>
      <c r="S144" s="13" t="str">
        <f>IFERROR(AVERAGE(EBITDA_MARGIN!S27:S30),"")</f>
        <v/>
      </c>
      <c r="T144" s="13" t="str">
        <f>IFERROR(AVERAGE(EBITDA_MARGIN!T27:T30),"")</f>
        <v/>
      </c>
      <c r="U144" s="13">
        <f>IFERROR(AVERAGE(EBITDA_MARGIN!U27:U30),"")</f>
        <v>-6.6279358253390666E-2</v>
      </c>
      <c r="V144" s="13" t="str">
        <f>IFERROR(AVERAGE(EBITDA_MARGIN!V27:V30),"")</f>
        <v/>
      </c>
      <c r="W144" s="16">
        <f>IFERROR(AVERAGE(EBITDA_MARGIN!W27:W30),"")</f>
        <v>0.15557929087618752</v>
      </c>
      <c r="X144" s="16" t="str">
        <f>IFERROR(AVERAGE(EBITDA_MARGIN!X27:X30),"")</f>
        <v/>
      </c>
      <c r="Y144" s="16" t="str">
        <f>IFERROR(AVERAGE(EBITDA_MARGIN!Y27:Y30),"")</f>
        <v/>
      </c>
      <c r="Z144" s="16" t="str">
        <f>IFERROR(AVERAGE(EBITDA_MARGIN!Z27:Z30),"")</f>
        <v/>
      </c>
      <c r="AA144" s="16" t="str">
        <f>IFERROR(AVERAGE(EBITDA_MARGIN!AA27:AA30),"")</f>
        <v/>
      </c>
      <c r="AB144" s="16" t="str">
        <f>IFERROR(AVERAGE(EBITDA_MARGIN!AB27:AB30),"")</f>
        <v/>
      </c>
      <c r="AC144" s="11"/>
    </row>
    <row r="145" spans="1:29" ht="14">
      <c r="A145" s="14" t="s">
        <v>56</v>
      </c>
      <c r="B145" s="13" t="str">
        <f>IFERROR(AVERAGE(EBITDA_MARGIN!B28:B31),"")</f>
        <v/>
      </c>
      <c r="C145" s="13">
        <f>IFERROR(AVERAGE(EBITDA_MARGIN!C28:C31),"")</f>
        <v>3.4829479085102075E-2</v>
      </c>
      <c r="D145" s="13">
        <f>IFERROR(AVERAGE(EBITDA_MARGIN!D28:D31),"")</f>
        <v>0.17289098406744685</v>
      </c>
      <c r="E145" s="13">
        <f>IFERROR(AVERAGE(EBITDA_MARGIN!E28:E31),"")</f>
        <v>0.3737714865287074</v>
      </c>
      <c r="F145" s="13" t="str">
        <f>IFERROR(AVERAGE(EBITDA_MARGIN!F28:F31),"")</f>
        <v/>
      </c>
      <c r="G145" s="13" t="str">
        <f>IFERROR(AVERAGE(EBITDA_MARGIN!G28:G31),"")</f>
        <v/>
      </c>
      <c r="H145" s="13" t="str">
        <f>IFERROR(AVERAGE(EBITDA_MARGIN!H28:H31),"")</f>
        <v/>
      </c>
      <c r="I145" s="13" t="str">
        <f>IFERROR(AVERAGE(EBITDA_MARGIN!I28:I31),"")</f>
        <v/>
      </c>
      <c r="J145" s="13" t="str">
        <f>IFERROR(AVERAGE(EBITDA_MARGIN!J28:J31),"")</f>
        <v/>
      </c>
      <c r="K145" s="13"/>
      <c r="L145" s="13" t="str">
        <f>IFERROR(AVERAGE(EBITDA_MARGIN!L28:L31),"")</f>
        <v/>
      </c>
      <c r="M145" s="13" t="str">
        <f>IFERROR(AVERAGE(EBITDA_MARGIN!M28:M31),"")</f>
        <v/>
      </c>
      <c r="N145" s="13" t="str">
        <f>IFERROR(AVERAGE(EBITDA_MARGIN!N28:N31),"")</f>
        <v/>
      </c>
      <c r="O145" s="13">
        <f>IFERROR(AVERAGE(EBITDA_MARGIN!O28:O31),"")</f>
        <v>-0.6362164786105251</v>
      </c>
      <c r="P145" s="13" t="str">
        <f>IFERROR(AVERAGE(EBITDA_MARGIN!P28:P31),"")</f>
        <v/>
      </c>
      <c r="Q145" s="13" t="str">
        <f>IFERROR(AVERAGE(EBITDA_MARGIN!Q28:Q31),"")</f>
        <v/>
      </c>
      <c r="R145" s="13">
        <f>IFERROR(AVERAGE(EBITDA_MARGIN!R28:R31),"")</f>
        <v>-0.25322625202257387</v>
      </c>
      <c r="S145" s="13" t="str">
        <f>IFERROR(AVERAGE(EBITDA_MARGIN!S28:S31),"")</f>
        <v/>
      </c>
      <c r="T145" s="13" t="str">
        <f>IFERROR(AVERAGE(EBITDA_MARGIN!T28:T31),"")</f>
        <v/>
      </c>
      <c r="U145" s="13">
        <f>IFERROR(AVERAGE(EBITDA_MARGIN!U28:U31),"")</f>
        <v>-0.11118492852610858</v>
      </c>
      <c r="V145" s="13" t="str">
        <f>IFERROR(AVERAGE(EBITDA_MARGIN!V28:V31),"")</f>
        <v/>
      </c>
      <c r="W145" s="16">
        <f>IFERROR(AVERAGE(EBITDA_MARGIN!W28:W31),"")</f>
        <v>0.1559287821602755</v>
      </c>
      <c r="X145" s="16" t="str">
        <f>IFERROR(AVERAGE(EBITDA_MARGIN!X28:X31),"")</f>
        <v/>
      </c>
      <c r="Y145" s="16" t="str">
        <f>IFERROR(AVERAGE(EBITDA_MARGIN!Y28:Y31),"")</f>
        <v/>
      </c>
      <c r="Z145" s="16" t="str">
        <f>IFERROR(AVERAGE(EBITDA_MARGIN!Z28:Z31),"")</f>
        <v/>
      </c>
      <c r="AA145" s="16" t="str">
        <f>IFERROR(AVERAGE(EBITDA_MARGIN!AA28:AA31),"")</f>
        <v/>
      </c>
      <c r="AB145" s="16" t="str">
        <f>IFERROR(AVERAGE(EBITDA_MARGIN!AB28:AB31),"")</f>
        <v/>
      </c>
      <c r="AC145" s="11"/>
    </row>
    <row r="146" spans="1:29" ht="14">
      <c r="A146" s="14" t="s">
        <v>57</v>
      </c>
      <c r="B146" s="13" t="str">
        <f>IFERROR(AVERAGE(EBITDA_MARGIN!B29:B32),"")</f>
        <v/>
      </c>
      <c r="C146" s="13">
        <f>IFERROR(AVERAGE(EBITDA_MARGIN!C29:C32),"")</f>
        <v>3.9551080194933752E-2</v>
      </c>
      <c r="D146" s="13">
        <f>IFERROR(AVERAGE(EBITDA_MARGIN!D29:D32),"")</f>
        <v>0.18934767188985191</v>
      </c>
      <c r="E146" s="13">
        <f>IFERROR(AVERAGE(EBITDA_MARGIN!E29:E32),"")</f>
        <v>0.38775657881548303</v>
      </c>
      <c r="F146" s="13" t="str">
        <f>IFERROR(AVERAGE(EBITDA_MARGIN!F29:F32),"")</f>
        <v/>
      </c>
      <c r="G146" s="13" t="str">
        <f>IFERROR(AVERAGE(EBITDA_MARGIN!G29:G32),"")</f>
        <v/>
      </c>
      <c r="H146" s="13" t="str">
        <f>IFERROR(AVERAGE(EBITDA_MARGIN!H29:H32),"")</f>
        <v/>
      </c>
      <c r="I146" s="13" t="str">
        <f>IFERROR(AVERAGE(EBITDA_MARGIN!I29:I32),"")</f>
        <v/>
      </c>
      <c r="J146" s="13" t="str">
        <f>IFERROR(AVERAGE(EBITDA_MARGIN!J29:J32),"")</f>
        <v/>
      </c>
      <c r="K146" s="13"/>
      <c r="L146" s="13" t="str">
        <f>IFERROR(AVERAGE(EBITDA_MARGIN!L29:L32),"")</f>
        <v/>
      </c>
      <c r="M146" s="13" t="str">
        <f>IFERROR(AVERAGE(EBITDA_MARGIN!M29:M32),"")</f>
        <v/>
      </c>
      <c r="N146" s="13" t="str">
        <f>IFERROR(AVERAGE(EBITDA_MARGIN!N29:N32),"")</f>
        <v/>
      </c>
      <c r="O146" s="13">
        <f>IFERROR(AVERAGE(EBITDA_MARGIN!O29:O32),"")</f>
        <v>-0.69424823410696268</v>
      </c>
      <c r="P146" s="13" t="str">
        <f>IFERROR(AVERAGE(EBITDA_MARGIN!P29:P32),"")</f>
        <v/>
      </c>
      <c r="Q146" s="13" t="str">
        <f>IFERROR(AVERAGE(EBITDA_MARGIN!Q29:Q32),"")</f>
        <v/>
      </c>
      <c r="R146" s="13">
        <f>IFERROR(AVERAGE(EBITDA_MARGIN!R29:R32),"")</f>
        <v>-0.25322625202257387</v>
      </c>
      <c r="S146" s="13" t="str">
        <f>IFERROR(AVERAGE(EBITDA_MARGIN!S29:S32),"")</f>
        <v/>
      </c>
      <c r="T146" s="13" t="str">
        <f>IFERROR(AVERAGE(EBITDA_MARGIN!T29:T32),"")</f>
        <v/>
      </c>
      <c r="U146" s="13">
        <f>IFERROR(AVERAGE(EBITDA_MARGIN!U29:U32),"")</f>
        <v>-0.15609049879882647</v>
      </c>
      <c r="V146" s="13" t="str">
        <f>IFERROR(AVERAGE(EBITDA_MARGIN!V29:V32),"")</f>
        <v/>
      </c>
      <c r="W146" s="16">
        <f>IFERROR(AVERAGE(EBITDA_MARGIN!W29:W32),"")</f>
        <v>0.15627827344436349</v>
      </c>
      <c r="X146" s="16" t="str">
        <f>IFERROR(AVERAGE(EBITDA_MARGIN!X29:X32),"")</f>
        <v/>
      </c>
      <c r="Y146" s="16" t="str">
        <f>IFERROR(AVERAGE(EBITDA_MARGIN!Y29:Y32),"")</f>
        <v/>
      </c>
      <c r="Z146" s="16" t="str">
        <f>IFERROR(AVERAGE(EBITDA_MARGIN!Z29:Z32),"")</f>
        <v/>
      </c>
      <c r="AA146" s="16" t="str">
        <f>IFERROR(AVERAGE(EBITDA_MARGIN!AA29:AA32),"")</f>
        <v/>
      </c>
      <c r="AB146" s="16" t="str">
        <f>IFERROR(AVERAGE(EBITDA_MARGIN!AB29:AB32),"")</f>
        <v/>
      </c>
      <c r="AC146" s="11"/>
    </row>
    <row r="147" spans="1:29" ht="14">
      <c r="A147" s="14" t="s">
        <v>58</v>
      </c>
      <c r="B147" s="13" t="str">
        <f>IFERROR(AVERAGE(EBITDA_MARGIN!B30:B33),"")</f>
        <v/>
      </c>
      <c r="C147" s="13">
        <f>IFERROR(AVERAGE(EBITDA_MARGIN!C30:C33),"")</f>
        <v>4.4272681304765443E-2</v>
      </c>
      <c r="D147" s="13">
        <f>IFERROR(AVERAGE(EBITDA_MARGIN!D30:D33),"")</f>
        <v>0.20580435971225697</v>
      </c>
      <c r="E147" s="13">
        <f>IFERROR(AVERAGE(EBITDA_MARGIN!E30:E33),"")</f>
        <v>0.40174167110225867</v>
      </c>
      <c r="F147" s="13" t="str">
        <f>IFERROR(AVERAGE(EBITDA_MARGIN!F30:F33),"")</f>
        <v/>
      </c>
      <c r="G147" s="13" t="str">
        <f>IFERROR(AVERAGE(EBITDA_MARGIN!G30:G33),"")</f>
        <v/>
      </c>
      <c r="H147" s="13" t="str">
        <f>IFERROR(AVERAGE(EBITDA_MARGIN!H30:H33),"")</f>
        <v/>
      </c>
      <c r="I147" s="13" t="str">
        <f>IFERROR(AVERAGE(EBITDA_MARGIN!I30:I33),"")</f>
        <v/>
      </c>
      <c r="J147" s="13" t="str">
        <f>IFERROR(AVERAGE(EBITDA_MARGIN!J30:J33),"")</f>
        <v/>
      </c>
      <c r="K147" s="13"/>
      <c r="L147" s="13" t="str">
        <f>IFERROR(AVERAGE(EBITDA_MARGIN!L30:L33),"")</f>
        <v/>
      </c>
      <c r="M147" s="13" t="str">
        <f>IFERROR(AVERAGE(EBITDA_MARGIN!M30:M33),"")</f>
        <v/>
      </c>
      <c r="N147" s="13" t="str">
        <f>IFERROR(AVERAGE(EBITDA_MARGIN!N30:N33),"")</f>
        <v/>
      </c>
      <c r="O147" s="13">
        <f>IFERROR(AVERAGE(EBITDA_MARGIN!O30:O33),"")</f>
        <v>-0.43935785477821698</v>
      </c>
      <c r="P147" s="13" t="str">
        <f>IFERROR(AVERAGE(EBITDA_MARGIN!P30:P33),"")</f>
        <v/>
      </c>
      <c r="Q147" s="13" t="str">
        <f>IFERROR(AVERAGE(EBITDA_MARGIN!Q30:Q33),"")</f>
        <v/>
      </c>
      <c r="R147" s="13">
        <f>IFERROR(AVERAGE(EBITDA_MARGIN!R30:R33),"")</f>
        <v>-0.25322625202257387</v>
      </c>
      <c r="S147" s="13" t="str">
        <f>IFERROR(AVERAGE(EBITDA_MARGIN!S30:S33),"")</f>
        <v/>
      </c>
      <c r="T147" s="13" t="str">
        <f>IFERROR(AVERAGE(EBITDA_MARGIN!T30:T33),"")</f>
        <v/>
      </c>
      <c r="U147" s="13">
        <f>IFERROR(AVERAGE(EBITDA_MARGIN!U30:U33),"")</f>
        <v>-0.20099606907154438</v>
      </c>
      <c r="V147" s="13" t="str">
        <f>IFERROR(AVERAGE(EBITDA_MARGIN!V30:V33),"")</f>
        <v/>
      </c>
      <c r="W147" s="16">
        <f>IFERROR(AVERAGE(EBITDA_MARGIN!W30:W33),"")</f>
        <v>0.15766646045404048</v>
      </c>
      <c r="X147" s="16" t="str">
        <f>IFERROR(AVERAGE(EBITDA_MARGIN!X30:X33),"")</f>
        <v/>
      </c>
      <c r="Y147" s="16" t="str">
        <f>IFERROR(AVERAGE(EBITDA_MARGIN!Y30:Y33),"")</f>
        <v/>
      </c>
      <c r="Z147" s="16" t="str">
        <f>IFERROR(AVERAGE(EBITDA_MARGIN!Z30:Z33),"")</f>
        <v/>
      </c>
      <c r="AA147" s="16" t="str">
        <f>IFERROR(AVERAGE(EBITDA_MARGIN!AA30:AA33),"")</f>
        <v/>
      </c>
      <c r="AB147" s="16" t="str">
        <f>IFERROR(AVERAGE(EBITDA_MARGIN!AB30:AB33),"")</f>
        <v/>
      </c>
      <c r="AC147" s="11"/>
    </row>
    <row r="148" spans="1:29" ht="14">
      <c r="A148" s="14" t="s">
        <v>59</v>
      </c>
      <c r="B148" s="13" t="str">
        <f>IFERROR(AVERAGE(EBITDA_MARGIN!B31:B34),"")</f>
        <v/>
      </c>
      <c r="C148" s="13">
        <f>IFERROR(AVERAGE(EBITDA_MARGIN!C31:C34),"")</f>
        <v>4.8994282414597121E-2</v>
      </c>
      <c r="D148" s="13">
        <f>IFERROR(AVERAGE(EBITDA_MARGIN!D31:D34),"")</f>
        <v>0.222261047534662</v>
      </c>
      <c r="E148" s="13">
        <f>IFERROR(AVERAGE(EBITDA_MARGIN!E31:E34),"")</f>
        <v>0.4157267633890343</v>
      </c>
      <c r="F148" s="13" t="str">
        <f>IFERROR(AVERAGE(EBITDA_MARGIN!F31:F34),"")</f>
        <v/>
      </c>
      <c r="G148" s="13" t="str">
        <f>IFERROR(AVERAGE(EBITDA_MARGIN!G31:G34),"")</f>
        <v/>
      </c>
      <c r="H148" s="13" t="str">
        <f>IFERROR(AVERAGE(EBITDA_MARGIN!H31:H34),"")</f>
        <v/>
      </c>
      <c r="I148" s="13" t="str">
        <f>IFERROR(AVERAGE(EBITDA_MARGIN!I31:I34),"")</f>
        <v/>
      </c>
      <c r="J148" s="13" t="str">
        <f>IFERROR(AVERAGE(EBITDA_MARGIN!J31:J34),"")</f>
        <v/>
      </c>
      <c r="K148" s="13"/>
      <c r="L148" s="13" t="str">
        <f>IFERROR(AVERAGE(EBITDA_MARGIN!L31:L34),"")</f>
        <v/>
      </c>
      <c r="M148" s="13" t="str">
        <f>IFERROR(AVERAGE(EBITDA_MARGIN!M31:M34),"")</f>
        <v/>
      </c>
      <c r="N148" s="13" t="str">
        <f>IFERROR(AVERAGE(EBITDA_MARGIN!N31:N34),"")</f>
        <v/>
      </c>
      <c r="O148" s="13">
        <f>IFERROR(AVERAGE(EBITDA_MARGIN!O31:O34),"")</f>
        <v>-0.18446747544947129</v>
      </c>
      <c r="P148" s="13" t="str">
        <f>IFERROR(AVERAGE(EBITDA_MARGIN!P31:P34),"")</f>
        <v/>
      </c>
      <c r="Q148" s="13" t="str">
        <f>IFERROR(AVERAGE(EBITDA_MARGIN!Q31:Q34),"")</f>
        <v/>
      </c>
      <c r="R148" s="13" t="str">
        <f>IFERROR(AVERAGE(EBITDA_MARGIN!R31:R34),"")</f>
        <v/>
      </c>
      <c r="S148" s="13" t="str">
        <f>IFERROR(AVERAGE(EBITDA_MARGIN!S31:S34),"")</f>
        <v/>
      </c>
      <c r="T148" s="13" t="str">
        <f>IFERROR(AVERAGE(EBITDA_MARGIN!T31:T34),"")</f>
        <v/>
      </c>
      <c r="U148" s="13">
        <f>IFERROR(AVERAGE(EBITDA_MARGIN!U31:U34),"")</f>
        <v>-0.24590163934426226</v>
      </c>
      <c r="V148" s="13" t="str">
        <f>IFERROR(AVERAGE(EBITDA_MARGIN!V31:V34),"")</f>
        <v/>
      </c>
      <c r="W148" s="16">
        <f>IFERROR(AVERAGE(EBITDA_MARGIN!W31:W34),"")</f>
        <v>0.1590546474637175</v>
      </c>
      <c r="X148" s="16" t="str">
        <f>IFERROR(AVERAGE(EBITDA_MARGIN!X31:X34),"")</f>
        <v/>
      </c>
      <c r="Y148" s="16" t="str">
        <f>IFERROR(AVERAGE(EBITDA_MARGIN!Y31:Y34),"")</f>
        <v/>
      </c>
      <c r="Z148" s="16" t="str">
        <f>IFERROR(AVERAGE(EBITDA_MARGIN!Z31:Z34),"")</f>
        <v/>
      </c>
      <c r="AA148" s="16" t="str">
        <f>IFERROR(AVERAGE(EBITDA_MARGIN!AA31:AA34),"")</f>
        <v/>
      </c>
      <c r="AB148" s="16" t="str">
        <f>IFERROR(AVERAGE(EBITDA_MARGIN!AB31:AB34),"")</f>
        <v/>
      </c>
      <c r="AC148" s="11"/>
    </row>
    <row r="149" spans="1:29" ht="14">
      <c r="A149" s="14" t="s">
        <v>60</v>
      </c>
      <c r="B149" s="13" t="str">
        <f>IFERROR(AVERAGE(EBITDA_MARGIN!B32:B35),"")</f>
        <v/>
      </c>
      <c r="C149" s="13">
        <f>IFERROR(AVERAGE(EBITDA_MARGIN!C32:C35),"")</f>
        <v>5.3586548658848446E-2</v>
      </c>
      <c r="D149" s="13">
        <f>IFERROR(AVERAGE(EBITDA_MARGIN!D32:D35),"")</f>
        <v>0.23435044215467316</v>
      </c>
      <c r="E149" s="13">
        <f>IFERROR(AVERAGE(EBITDA_MARGIN!E32:E35),"")</f>
        <v>0.42723302116845902</v>
      </c>
      <c r="F149" s="13" t="str">
        <f>IFERROR(AVERAGE(EBITDA_MARGIN!F32:F35),"")</f>
        <v/>
      </c>
      <c r="G149" s="13" t="str">
        <f>IFERROR(AVERAGE(EBITDA_MARGIN!G32:G35),"")</f>
        <v/>
      </c>
      <c r="H149" s="13" t="str">
        <f>IFERROR(AVERAGE(EBITDA_MARGIN!H32:H35),"")</f>
        <v/>
      </c>
      <c r="I149" s="13" t="str">
        <f>IFERROR(AVERAGE(EBITDA_MARGIN!I32:I35),"")</f>
        <v/>
      </c>
      <c r="J149" s="13" t="str">
        <f>IFERROR(AVERAGE(EBITDA_MARGIN!J32:J35),"")</f>
        <v/>
      </c>
      <c r="K149" s="13"/>
      <c r="L149" s="13" t="str">
        <f>IFERROR(AVERAGE(EBITDA_MARGIN!L32:L35),"")</f>
        <v/>
      </c>
      <c r="M149" s="13" t="str">
        <f>IFERROR(AVERAGE(EBITDA_MARGIN!M32:M35),"")</f>
        <v/>
      </c>
      <c r="N149" s="13" t="str">
        <f>IFERROR(AVERAGE(EBITDA_MARGIN!N32:N35),"")</f>
        <v/>
      </c>
      <c r="O149" s="13">
        <f>IFERROR(AVERAGE(EBITDA_MARGIN!O32:O35),"")</f>
        <v>7.0422903879274371E-2</v>
      </c>
      <c r="P149" s="13" t="str">
        <f>IFERROR(AVERAGE(EBITDA_MARGIN!P32:P35),"")</f>
        <v/>
      </c>
      <c r="Q149" s="13" t="str">
        <f>IFERROR(AVERAGE(EBITDA_MARGIN!Q32:Q35),"")</f>
        <v/>
      </c>
      <c r="R149" s="13" t="str">
        <f>IFERROR(AVERAGE(EBITDA_MARGIN!R32:R35),"")</f>
        <v/>
      </c>
      <c r="S149" s="13" t="str">
        <f>IFERROR(AVERAGE(EBITDA_MARGIN!S32:S35),"")</f>
        <v/>
      </c>
      <c r="T149" s="13" t="str">
        <f>IFERROR(AVERAGE(EBITDA_MARGIN!T32:T35),"")</f>
        <v/>
      </c>
      <c r="U149" s="13">
        <f>IFERROR(AVERAGE(EBITDA_MARGIN!U32:U35),"")</f>
        <v>-0.24590163934426229</v>
      </c>
      <c r="V149" s="13" t="str">
        <f>IFERROR(AVERAGE(EBITDA_MARGIN!V32:V35),"")</f>
        <v/>
      </c>
      <c r="W149" s="16">
        <f>IFERROR(AVERAGE(EBITDA_MARGIN!W32:W35),"")</f>
        <v>0.1604428344733945</v>
      </c>
      <c r="X149" s="16" t="str">
        <f>IFERROR(AVERAGE(EBITDA_MARGIN!X32:X35),"")</f>
        <v/>
      </c>
      <c r="Y149" s="16" t="str">
        <f>IFERROR(AVERAGE(EBITDA_MARGIN!Y32:Y35),"")</f>
        <v/>
      </c>
      <c r="Z149" s="16" t="str">
        <f>IFERROR(AVERAGE(EBITDA_MARGIN!Z32:Z35),"")</f>
        <v/>
      </c>
      <c r="AA149" s="16" t="str">
        <f>IFERROR(AVERAGE(EBITDA_MARGIN!AA32:AA35),"")</f>
        <v/>
      </c>
      <c r="AB149" s="16" t="str">
        <f>IFERROR(AVERAGE(EBITDA_MARGIN!AB32:AB35),"")</f>
        <v/>
      </c>
      <c r="AC149" s="11"/>
    </row>
    <row r="150" spans="1:29" ht="14">
      <c r="A150" s="14" t="s">
        <v>61</v>
      </c>
      <c r="B150" s="13" t="str">
        <f>IFERROR(AVERAGE(EBITDA_MARGIN!B33:B36),"")</f>
        <v/>
      </c>
      <c r="C150" s="13">
        <f>IFERROR(AVERAGE(EBITDA_MARGIN!C33:C36),"")</f>
        <v>5.8178814903099778E-2</v>
      </c>
      <c r="D150" s="13">
        <f>IFERROR(AVERAGE(EBITDA_MARGIN!D33:D36),"")</f>
        <v>0.24643983677468428</v>
      </c>
      <c r="E150" s="13">
        <f>IFERROR(AVERAGE(EBITDA_MARGIN!E33:E36),"")</f>
        <v>0.43873927894788373</v>
      </c>
      <c r="F150" s="13" t="str">
        <f>IFERROR(AVERAGE(EBITDA_MARGIN!F33:F36),"")</f>
        <v/>
      </c>
      <c r="G150" s="13" t="str">
        <f>IFERROR(AVERAGE(EBITDA_MARGIN!G33:G36),"")</f>
        <v/>
      </c>
      <c r="H150" s="13" t="str">
        <f>IFERROR(AVERAGE(EBITDA_MARGIN!H33:H36),"")</f>
        <v/>
      </c>
      <c r="I150" s="13" t="str">
        <f>IFERROR(AVERAGE(EBITDA_MARGIN!I33:I36),"")</f>
        <v/>
      </c>
      <c r="J150" s="13" t="str">
        <f>IFERROR(AVERAGE(EBITDA_MARGIN!J33:J36),"")</f>
        <v/>
      </c>
      <c r="K150" s="13"/>
      <c r="L150" s="13" t="str">
        <f>IFERROR(AVERAGE(EBITDA_MARGIN!L33:L36),"")</f>
        <v/>
      </c>
      <c r="M150" s="13" t="str">
        <f>IFERROR(AVERAGE(EBITDA_MARGIN!M33:M36),"")</f>
        <v/>
      </c>
      <c r="N150" s="13" t="str">
        <f>IFERROR(AVERAGE(EBITDA_MARGIN!N33:N36),"")</f>
        <v/>
      </c>
      <c r="O150" s="13">
        <f>IFERROR(AVERAGE(EBITDA_MARGIN!O33:O36),"")</f>
        <v>0.32531328320802005</v>
      </c>
      <c r="P150" s="13" t="str">
        <f>IFERROR(AVERAGE(EBITDA_MARGIN!P33:P36),"")</f>
        <v/>
      </c>
      <c r="Q150" s="13" t="str">
        <f>IFERROR(AVERAGE(EBITDA_MARGIN!Q33:Q36),"")</f>
        <v/>
      </c>
      <c r="R150" s="13" t="str">
        <f>IFERROR(AVERAGE(EBITDA_MARGIN!R33:R36),"")</f>
        <v/>
      </c>
      <c r="S150" s="13" t="str">
        <f>IFERROR(AVERAGE(EBITDA_MARGIN!S33:S36),"")</f>
        <v/>
      </c>
      <c r="T150" s="13" t="str">
        <f>IFERROR(AVERAGE(EBITDA_MARGIN!T33:T36),"")</f>
        <v/>
      </c>
      <c r="U150" s="13">
        <f>IFERROR(AVERAGE(EBITDA_MARGIN!U33:U36),"")</f>
        <v>-0.24590163934426229</v>
      </c>
      <c r="V150" s="13" t="str">
        <f>IFERROR(AVERAGE(EBITDA_MARGIN!V33:V36),"")</f>
        <v/>
      </c>
      <c r="W150" s="16">
        <f>IFERROR(AVERAGE(EBITDA_MARGIN!W33:W36),"")</f>
        <v>0.16183102148307149</v>
      </c>
      <c r="X150" s="16" t="str">
        <f>IFERROR(AVERAGE(EBITDA_MARGIN!X33:X36),"")</f>
        <v/>
      </c>
      <c r="Y150" s="16" t="str">
        <f>IFERROR(AVERAGE(EBITDA_MARGIN!Y33:Y36),"")</f>
        <v/>
      </c>
      <c r="Z150" s="16" t="str">
        <f>IFERROR(AVERAGE(EBITDA_MARGIN!Z33:Z36),"")</f>
        <v/>
      </c>
      <c r="AA150" s="16" t="str">
        <f>IFERROR(AVERAGE(EBITDA_MARGIN!AA33:AA36),"")</f>
        <v/>
      </c>
      <c r="AB150" s="16" t="str">
        <f>IFERROR(AVERAGE(EBITDA_MARGIN!AB33:AB36),"")</f>
        <v/>
      </c>
      <c r="AC150" s="11"/>
    </row>
    <row r="151" spans="1:29" ht="14">
      <c r="A151" s="14" t="s">
        <v>62</v>
      </c>
      <c r="B151" s="13" t="str">
        <f>IFERROR(AVERAGE(EBITDA_MARGIN!B34:B37),"")</f>
        <v/>
      </c>
      <c r="C151" s="13">
        <f>IFERROR(AVERAGE(EBITDA_MARGIN!C34:C37),"")</f>
        <v>6.277108114735111E-2</v>
      </c>
      <c r="D151" s="13">
        <f>IFERROR(AVERAGE(EBITDA_MARGIN!D34:D37),"")</f>
        <v>0.25852923139469541</v>
      </c>
      <c r="E151" s="13">
        <f>IFERROR(AVERAGE(EBITDA_MARGIN!E34:E37),"")</f>
        <v>0.45024553672730838</v>
      </c>
      <c r="F151" s="13" t="str">
        <f>IFERROR(AVERAGE(EBITDA_MARGIN!F34:F37),"")</f>
        <v/>
      </c>
      <c r="G151" s="13" t="str">
        <f>IFERROR(AVERAGE(EBITDA_MARGIN!G34:G37),"")</f>
        <v/>
      </c>
      <c r="H151" s="13" t="str">
        <f>IFERROR(AVERAGE(EBITDA_MARGIN!H34:H37),"")</f>
        <v/>
      </c>
      <c r="I151" s="13" t="str">
        <f>IFERROR(AVERAGE(EBITDA_MARGIN!I34:I37),"")</f>
        <v/>
      </c>
      <c r="J151" s="13" t="str">
        <f>IFERROR(AVERAGE(EBITDA_MARGIN!J34:J37),"")</f>
        <v/>
      </c>
      <c r="K151" s="13"/>
      <c r="L151" s="13" t="str">
        <f>IFERROR(AVERAGE(EBITDA_MARGIN!L34:L37),"")</f>
        <v/>
      </c>
      <c r="M151" s="13" t="str">
        <f>IFERROR(AVERAGE(EBITDA_MARGIN!M34:M37),"")</f>
        <v/>
      </c>
      <c r="N151" s="13" t="str">
        <f>IFERROR(AVERAGE(EBITDA_MARGIN!N34:N37),"")</f>
        <v/>
      </c>
      <c r="O151" s="13">
        <f>IFERROR(AVERAGE(EBITDA_MARGIN!O34:O37),"")</f>
        <v>0.32748350468006748</v>
      </c>
      <c r="P151" s="13" t="str">
        <f>IFERROR(AVERAGE(EBITDA_MARGIN!P34:P37),"")</f>
        <v/>
      </c>
      <c r="Q151" s="13" t="str">
        <f>IFERROR(AVERAGE(EBITDA_MARGIN!Q34:Q37),"")</f>
        <v/>
      </c>
      <c r="R151" s="13" t="str">
        <f>IFERROR(AVERAGE(EBITDA_MARGIN!R34:R37),"")</f>
        <v/>
      </c>
      <c r="S151" s="13" t="str">
        <f>IFERROR(AVERAGE(EBITDA_MARGIN!S34:S37),"")</f>
        <v/>
      </c>
      <c r="T151" s="13" t="str">
        <f>IFERROR(AVERAGE(EBITDA_MARGIN!T34:T37),"")</f>
        <v/>
      </c>
      <c r="U151" s="13" t="str">
        <f>IFERROR(AVERAGE(EBITDA_MARGIN!U34:U37),"")</f>
        <v/>
      </c>
      <c r="V151" s="13" t="str">
        <f>IFERROR(AVERAGE(EBITDA_MARGIN!V34:V37),"")</f>
        <v/>
      </c>
      <c r="W151" s="16">
        <f>IFERROR(AVERAGE(EBITDA_MARGIN!W34:W37),"")</f>
        <v>0.15921672673249931</v>
      </c>
      <c r="X151" s="16" t="str">
        <f>IFERROR(AVERAGE(EBITDA_MARGIN!X34:X37),"")</f>
        <v/>
      </c>
      <c r="Y151" s="16" t="str">
        <f>IFERROR(AVERAGE(EBITDA_MARGIN!Y34:Y37),"")</f>
        <v/>
      </c>
      <c r="Z151" s="16" t="str">
        <f>IFERROR(AVERAGE(EBITDA_MARGIN!Z34:Z37),"")</f>
        <v/>
      </c>
      <c r="AA151" s="16" t="str">
        <f>IFERROR(AVERAGE(EBITDA_MARGIN!AA34:AA37),"")</f>
        <v/>
      </c>
      <c r="AB151" s="16" t="str">
        <f>IFERROR(AVERAGE(EBITDA_MARGIN!AB34:AB37),"")</f>
        <v/>
      </c>
      <c r="AC151" s="11"/>
    </row>
    <row r="152" spans="1:29" ht="14">
      <c r="A152" s="14" t="s">
        <v>63</v>
      </c>
      <c r="B152" s="13" t="str">
        <f>IFERROR(AVERAGE(EBITDA_MARGIN!B35:B38),"")</f>
        <v/>
      </c>
      <c r="C152" s="13">
        <f>IFERROR(AVERAGE(EBITDA_MARGIN!C35:C38),"")</f>
        <v>6.7363347391602435E-2</v>
      </c>
      <c r="D152" s="13">
        <f>IFERROR(AVERAGE(EBITDA_MARGIN!D35:D38),"")</f>
        <v>0.2706186260147066</v>
      </c>
      <c r="E152" s="13">
        <f>IFERROR(AVERAGE(EBITDA_MARGIN!E35:E38),"")</f>
        <v>0.46175179450673309</v>
      </c>
      <c r="F152" s="13" t="str">
        <f>IFERROR(AVERAGE(EBITDA_MARGIN!F35:F38),"")</f>
        <v/>
      </c>
      <c r="G152" s="13" t="str">
        <f>IFERROR(AVERAGE(EBITDA_MARGIN!G35:G38),"")</f>
        <v/>
      </c>
      <c r="H152" s="13" t="str">
        <f>IFERROR(AVERAGE(EBITDA_MARGIN!H35:H38),"")</f>
        <v/>
      </c>
      <c r="I152" s="13" t="str">
        <f>IFERROR(AVERAGE(EBITDA_MARGIN!I35:I38),"")</f>
        <v/>
      </c>
      <c r="J152" s="13" t="str">
        <f>IFERROR(AVERAGE(EBITDA_MARGIN!J35:J38),"")</f>
        <v/>
      </c>
      <c r="K152" s="13"/>
      <c r="L152" s="13" t="str">
        <f>IFERROR(AVERAGE(EBITDA_MARGIN!L35:L38),"")</f>
        <v/>
      </c>
      <c r="M152" s="13" t="str">
        <f>IFERROR(AVERAGE(EBITDA_MARGIN!M35:M38),"")</f>
        <v/>
      </c>
      <c r="N152" s="13" t="str">
        <f>IFERROR(AVERAGE(EBITDA_MARGIN!N35:N38),"")</f>
        <v/>
      </c>
      <c r="O152" s="13">
        <f>IFERROR(AVERAGE(EBITDA_MARGIN!O35:O38),"")</f>
        <v>0.32965372615211497</v>
      </c>
      <c r="P152" s="13" t="str">
        <f>IFERROR(AVERAGE(EBITDA_MARGIN!P35:P38),"")</f>
        <v/>
      </c>
      <c r="Q152" s="13" t="str">
        <f>IFERROR(AVERAGE(EBITDA_MARGIN!Q35:Q38),"")</f>
        <v/>
      </c>
      <c r="R152" s="13" t="str">
        <f>IFERROR(AVERAGE(EBITDA_MARGIN!R35:R38),"")</f>
        <v/>
      </c>
      <c r="S152" s="13" t="str">
        <f>IFERROR(AVERAGE(EBITDA_MARGIN!S35:S38),"")</f>
        <v/>
      </c>
      <c r="T152" s="13" t="str">
        <f>IFERROR(AVERAGE(EBITDA_MARGIN!T35:T38),"")</f>
        <v/>
      </c>
      <c r="U152" s="13" t="str">
        <f>IFERROR(AVERAGE(EBITDA_MARGIN!U35:U38),"")</f>
        <v/>
      </c>
      <c r="V152" s="13" t="str">
        <f>IFERROR(AVERAGE(EBITDA_MARGIN!V35:V38),"")</f>
        <v/>
      </c>
      <c r="W152" s="16">
        <f>IFERROR(AVERAGE(EBITDA_MARGIN!W35:W38),"")</f>
        <v>0.15660243198192714</v>
      </c>
      <c r="X152" s="16" t="str">
        <f>IFERROR(AVERAGE(EBITDA_MARGIN!X35:X38),"")</f>
        <v/>
      </c>
      <c r="Y152" s="16" t="str">
        <f>IFERROR(AVERAGE(EBITDA_MARGIN!Y35:Y38),"")</f>
        <v/>
      </c>
      <c r="Z152" s="16" t="str">
        <f>IFERROR(AVERAGE(EBITDA_MARGIN!Z35:Z38),"")</f>
        <v/>
      </c>
      <c r="AA152" s="16" t="str">
        <f>IFERROR(AVERAGE(EBITDA_MARGIN!AA35:AA38),"")</f>
        <v/>
      </c>
      <c r="AB152" s="16" t="str">
        <f>IFERROR(AVERAGE(EBITDA_MARGIN!AB35:AB38),"")</f>
        <v/>
      </c>
      <c r="AC152" s="11"/>
    </row>
    <row r="153" spans="1:29" ht="14">
      <c r="A153" s="14" t="s">
        <v>64</v>
      </c>
      <c r="B153" s="13" t="str">
        <f>IFERROR(AVERAGE(EBITDA_MARGIN!B36:B39),"")</f>
        <v/>
      </c>
      <c r="C153" s="13">
        <f>IFERROR(AVERAGE(EBITDA_MARGIN!C36:C39),"")</f>
        <v>7.2119149498454868E-2</v>
      </c>
      <c r="D153" s="13">
        <f>IFERROR(AVERAGE(EBITDA_MARGIN!D36:D39),"")</f>
        <v>0.26529386431730778</v>
      </c>
      <c r="E153" s="13">
        <f>IFERROR(AVERAGE(EBITDA_MARGIN!E36:E39),"")</f>
        <v>0.43499518625413064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3">
        <f>IFERROR(AVERAGE(EBITDA_MARGIN!O36:O39),"")</f>
        <v>0.33182394762416245</v>
      </c>
      <c r="P153" s="15"/>
      <c r="Q153" s="15"/>
      <c r="R153" s="15"/>
      <c r="S153" s="15"/>
      <c r="T153" s="13" t="str">
        <f>IFERROR(AVERAGE(EBITDA_MARGIN!T36:T38),"")</f>
        <v/>
      </c>
      <c r="U153" s="13" t="str">
        <f>IFERROR(AVERAGE(EBITDA_MARGIN!U36:U39),"")</f>
        <v/>
      </c>
      <c r="V153" s="13" t="str">
        <f>IFERROR(AVERAGE(EBITDA_MARGIN!V36:V39),"")</f>
        <v/>
      </c>
      <c r="W153" s="16">
        <f>IFERROR(AVERAGE(EBITDA_MARGIN!W36:W39),"")</f>
        <v>0.15398813723135496</v>
      </c>
      <c r="X153" s="16" t="str">
        <f>IFERROR(AVERAGE(EBITDA_MARGIN!X36:X39),"")</f>
        <v/>
      </c>
      <c r="Y153" s="16" t="str">
        <f>IFERROR(AVERAGE(EBITDA_MARGIN!Y36:Y39),"")</f>
        <v/>
      </c>
      <c r="Z153" s="16" t="str">
        <f>IFERROR(AVERAGE(EBITDA_MARGIN!Z36:Z39),"")</f>
        <v/>
      </c>
      <c r="AA153" s="16" t="str">
        <f>IFERROR(AVERAGE(EBITDA_MARGIN!AA36:AA39),"")</f>
        <v/>
      </c>
      <c r="AB153" s="16" t="str">
        <f>IFERROR(AVERAGE(EBITDA_MARGIN!AB36:AB39),"")</f>
        <v/>
      </c>
      <c r="AC153" s="11"/>
    </row>
    <row r="154" spans="1:29" ht="14">
      <c r="A154" s="14" t="s">
        <v>65</v>
      </c>
      <c r="B154" s="13" t="str">
        <f>IFERROR(AVERAGE(EBITDA_MARGIN!B37:B40),"")</f>
        <v/>
      </c>
      <c r="C154" s="13">
        <f>IFERROR(AVERAGE(EBITDA_MARGIN!C37:C40),"")</f>
        <v>7.6874951605307301E-2</v>
      </c>
      <c r="D154" s="13">
        <f>IFERROR(AVERAGE(EBITDA_MARGIN!D37:D40),"")</f>
        <v>0.25996910261990896</v>
      </c>
      <c r="E154" s="13">
        <f>IFERROR(AVERAGE(EBITDA_MARGIN!E37:E40),"")</f>
        <v>0.40823857800152819</v>
      </c>
      <c r="F154" s="13" t="str">
        <f>IFERROR(AVERAGE(EBITDA_MARGIN!F37:F40),"")</f>
        <v/>
      </c>
      <c r="G154" s="13" t="str">
        <f>IFERROR(AVERAGE(EBITDA_MARGIN!G37:G40),"")</f>
        <v/>
      </c>
      <c r="H154" s="13" t="str">
        <f>IFERROR(AVERAGE(EBITDA_MARGIN!H37:H40),"")</f>
        <v/>
      </c>
      <c r="I154" s="13" t="str">
        <f>IFERROR(AVERAGE(EBITDA_MARGIN!I37:I40),"")</f>
        <v/>
      </c>
      <c r="J154" s="13" t="str">
        <f>IFERROR(AVERAGE(EBITDA_MARGIN!J37:J40),"")</f>
        <v/>
      </c>
      <c r="K154" s="13"/>
      <c r="L154" s="13" t="str">
        <f>IFERROR(AVERAGE(EBITDA_MARGIN!L37:L40),"")</f>
        <v/>
      </c>
      <c r="M154" s="13" t="str">
        <f>IFERROR(AVERAGE(EBITDA_MARGIN!M37:M40),"")</f>
        <v/>
      </c>
      <c r="N154" s="13" t="str">
        <f>IFERROR(AVERAGE(EBITDA_MARGIN!N37:N40),"")</f>
        <v/>
      </c>
      <c r="O154" s="13">
        <f>IFERROR(AVERAGE(EBITDA_MARGIN!O37:O40),"")</f>
        <v>0.33399416909620994</v>
      </c>
      <c r="P154" s="13" t="str">
        <f>IFERROR(AVERAGE(EBITDA_MARGIN!P37:P40),"")</f>
        <v/>
      </c>
      <c r="Q154" s="13" t="str">
        <f>IFERROR(AVERAGE(EBITDA_MARGIN!Q37:Q40),"")</f>
        <v/>
      </c>
      <c r="R154" s="13" t="str">
        <f>IFERROR(AVERAGE(EBITDA_MARGIN!R37:R40),"")</f>
        <v/>
      </c>
      <c r="S154" s="13" t="str">
        <f>IFERROR(AVERAGE(EBITDA_MARGIN!S37:S40),"")</f>
        <v/>
      </c>
      <c r="T154" s="13" t="str">
        <f>IFERROR(AVERAGE(EBITDA_MARGIN!T37:T40),"")</f>
        <v/>
      </c>
      <c r="U154" s="13" t="str">
        <f>IFERROR(AVERAGE(EBITDA_MARGIN!U37:U40),"")</f>
        <v/>
      </c>
      <c r="V154" s="13" t="str">
        <f>IFERROR(AVERAGE(EBITDA_MARGIN!V37:V40),"")</f>
        <v/>
      </c>
      <c r="W154" s="16">
        <f>IFERROR(AVERAGE(EBITDA_MARGIN!W37:W40),"")</f>
        <v>0.15137384248078276</v>
      </c>
      <c r="X154" s="16" t="str">
        <f>IFERROR(AVERAGE(EBITDA_MARGIN!X37:X40),"")</f>
        <v/>
      </c>
      <c r="Y154" s="16" t="str">
        <f>IFERROR(AVERAGE(EBITDA_MARGIN!Y37:Y40),"")</f>
        <v/>
      </c>
      <c r="Z154" s="16" t="str">
        <f>IFERROR(AVERAGE(EBITDA_MARGIN!Z37:Z40),"")</f>
        <v/>
      </c>
      <c r="AA154" s="16" t="str">
        <f>IFERROR(AVERAGE(EBITDA_MARGIN!AA37:AA40),"")</f>
        <v/>
      </c>
      <c r="AB154" s="16" t="str">
        <f>IFERROR(AVERAGE(EBITDA_MARGIN!AB37:AB40),"")</f>
        <v/>
      </c>
      <c r="AC154" s="11"/>
    </row>
    <row r="155" spans="1:29" ht="14">
      <c r="A155" s="14" t="s">
        <v>66</v>
      </c>
      <c r="B155" s="13" t="str">
        <f>IFERROR(AVERAGE(EBITDA_MARGIN!B38:B41),"")</f>
        <v/>
      </c>
      <c r="C155" s="13">
        <f>IFERROR(AVERAGE(EBITDA_MARGIN!C38:C41),"")</f>
        <v>8.1630753712159734E-2</v>
      </c>
      <c r="D155" s="13">
        <f>IFERROR(AVERAGE(EBITDA_MARGIN!D38:D41),"")</f>
        <v>0.25464434092251015</v>
      </c>
      <c r="E155" s="13">
        <f>IFERROR(AVERAGE(EBITDA_MARGIN!E38:E41),"")</f>
        <v>0.38148196974892573</v>
      </c>
      <c r="F155" s="13" t="str">
        <f>IFERROR(AVERAGE(EBITDA_MARGIN!F38:F41),"")</f>
        <v/>
      </c>
      <c r="G155" s="13" t="str">
        <f>IFERROR(AVERAGE(EBITDA_MARGIN!G38:G41),"")</f>
        <v/>
      </c>
      <c r="H155" s="13" t="str">
        <f>IFERROR(AVERAGE(EBITDA_MARGIN!H38:H41),"")</f>
        <v/>
      </c>
      <c r="I155" s="13" t="str">
        <f>IFERROR(AVERAGE(EBITDA_MARGIN!I38:I41),"")</f>
        <v/>
      </c>
      <c r="J155" s="13" t="str">
        <f>IFERROR(AVERAGE(EBITDA_MARGIN!J38:J41),"")</f>
        <v/>
      </c>
      <c r="K155" s="13"/>
      <c r="L155" s="13" t="str">
        <f>IFERROR(AVERAGE(EBITDA_MARGIN!L38:L41),"")</f>
        <v/>
      </c>
      <c r="M155" s="13" t="str">
        <f>IFERROR(AVERAGE(EBITDA_MARGIN!M38:M41),"")</f>
        <v/>
      </c>
      <c r="N155" s="13" t="str">
        <f>IFERROR(AVERAGE(EBITDA_MARGIN!N38:N41),"")</f>
        <v/>
      </c>
      <c r="O155" s="13">
        <f>IFERROR(AVERAGE(EBITDA_MARGIN!O38:O41),"")</f>
        <v>0.31748860246107535</v>
      </c>
      <c r="P155" s="13" t="str">
        <f>IFERROR(AVERAGE(EBITDA_MARGIN!P38:P41),"")</f>
        <v/>
      </c>
      <c r="Q155" s="13" t="str">
        <f>IFERROR(AVERAGE(EBITDA_MARGIN!Q38:Q41),"")</f>
        <v/>
      </c>
      <c r="R155" s="13" t="str">
        <f>IFERROR(AVERAGE(EBITDA_MARGIN!R38:R41),"")</f>
        <v/>
      </c>
      <c r="S155" s="13" t="str">
        <f>IFERROR(AVERAGE(EBITDA_MARGIN!S38:S41),"")</f>
        <v/>
      </c>
      <c r="T155" s="13" t="str">
        <f>IFERROR(AVERAGE(EBITDA_MARGIN!T38:T41),"")</f>
        <v/>
      </c>
      <c r="U155" s="13" t="str">
        <f>IFERROR(AVERAGE(EBITDA_MARGIN!U38:U41),"")</f>
        <v/>
      </c>
      <c r="V155" s="13" t="str">
        <f>IFERROR(AVERAGE(EBITDA_MARGIN!V38:V41),"")</f>
        <v/>
      </c>
      <c r="W155" s="16">
        <f>IFERROR(AVERAGE(EBITDA_MARGIN!W38:W41),"")</f>
        <v>0.14206109844306919</v>
      </c>
      <c r="X155" s="16" t="str">
        <f>IFERROR(AVERAGE(EBITDA_MARGIN!X38:X41),"")</f>
        <v/>
      </c>
      <c r="Y155" s="16" t="str">
        <f>IFERROR(AVERAGE(EBITDA_MARGIN!Y38:Y41),"")</f>
        <v/>
      </c>
      <c r="Z155" s="16" t="str">
        <f>IFERROR(AVERAGE(EBITDA_MARGIN!Z38:Z41),"")</f>
        <v/>
      </c>
      <c r="AA155" s="16" t="str">
        <f>IFERROR(AVERAGE(EBITDA_MARGIN!AA38:AA41),"")</f>
        <v/>
      </c>
      <c r="AB155" s="16" t="str">
        <f>IFERROR(AVERAGE(EBITDA_MARGIN!AB38:AB41),"")</f>
        <v/>
      </c>
      <c r="AC155" s="11"/>
    </row>
    <row r="156" spans="1:29" ht="14">
      <c r="A156" s="14" t="s">
        <v>67</v>
      </c>
      <c r="B156" s="13" t="str">
        <f>IFERROR(AVERAGE(EBITDA_MARGIN!B39:B42),"")</f>
        <v/>
      </c>
      <c r="C156" s="13">
        <f>IFERROR(AVERAGE(EBITDA_MARGIN!C39:C42),"")</f>
        <v>8.6386555819012154E-2</v>
      </c>
      <c r="D156" s="13">
        <f>IFERROR(AVERAGE(EBITDA_MARGIN!D39:D42),"")</f>
        <v>0.24931957922511136</v>
      </c>
      <c r="E156" s="13">
        <f>IFERROR(AVERAGE(EBITDA_MARGIN!E39:E42),"")</f>
        <v>0.35472536149632333</v>
      </c>
      <c r="F156" s="13" t="str">
        <f>IFERROR(AVERAGE(EBITDA_MARGIN!F39:F42),"")</f>
        <v/>
      </c>
      <c r="G156" s="13" t="str">
        <f>IFERROR(AVERAGE(EBITDA_MARGIN!G39:G42),"")</f>
        <v/>
      </c>
      <c r="H156" s="13" t="str">
        <f>IFERROR(AVERAGE(EBITDA_MARGIN!H39:H42),"")</f>
        <v/>
      </c>
      <c r="I156" s="13" t="str">
        <f>IFERROR(AVERAGE(EBITDA_MARGIN!I39:I42),"")</f>
        <v/>
      </c>
      <c r="J156" s="13" t="str">
        <f>IFERROR(AVERAGE(EBITDA_MARGIN!J39:J42),"")</f>
        <v/>
      </c>
      <c r="K156" s="13"/>
      <c r="L156" s="13" t="str">
        <f>IFERROR(AVERAGE(EBITDA_MARGIN!L39:L42),"")</f>
        <v/>
      </c>
      <c r="M156" s="13" t="str">
        <f>IFERROR(AVERAGE(EBITDA_MARGIN!M39:M42),"")</f>
        <v/>
      </c>
      <c r="N156" s="13" t="str">
        <f>IFERROR(AVERAGE(EBITDA_MARGIN!N39:N42),"")</f>
        <v/>
      </c>
      <c r="O156" s="13">
        <f>IFERROR(AVERAGE(EBITDA_MARGIN!O39:O42),"")</f>
        <v>0.30098303582594083</v>
      </c>
      <c r="P156" s="13" t="str">
        <f>IFERROR(AVERAGE(EBITDA_MARGIN!P39:P42),"")</f>
        <v/>
      </c>
      <c r="Q156" s="13" t="str">
        <f>IFERROR(AVERAGE(EBITDA_MARGIN!Q39:Q42),"")</f>
        <v/>
      </c>
      <c r="R156" s="13" t="str">
        <f>IFERROR(AVERAGE(EBITDA_MARGIN!R39:R42),"")</f>
        <v/>
      </c>
      <c r="S156" s="13" t="str">
        <f>IFERROR(AVERAGE(EBITDA_MARGIN!S39:S42),"")</f>
        <v/>
      </c>
      <c r="T156" s="13" t="str">
        <f>IFERROR(AVERAGE(EBITDA_MARGIN!T37:T42),"")</f>
        <v/>
      </c>
      <c r="U156" s="13" t="str">
        <f>IFERROR(AVERAGE(EBITDA_MARGIN!U39:U42),"")</f>
        <v/>
      </c>
      <c r="V156" s="13" t="str">
        <f>IFERROR(AVERAGE(EBITDA_MARGIN!V39:V42),"")</f>
        <v/>
      </c>
      <c r="W156" s="16">
        <f>IFERROR(AVERAGE(EBITDA_MARGIN!W39:W42),"")</f>
        <v>0.13274835440535562</v>
      </c>
      <c r="X156" s="16" t="str">
        <f>IFERROR(AVERAGE(EBITDA_MARGIN!X39:X42),"")</f>
        <v/>
      </c>
      <c r="Y156" s="16" t="str">
        <f>IFERROR(AVERAGE(EBITDA_MARGIN!Y39:Y42),"")</f>
        <v/>
      </c>
      <c r="Z156" s="16" t="str">
        <f>IFERROR(AVERAGE(EBITDA_MARGIN!Z39:Z42),"")</f>
        <v/>
      </c>
      <c r="AA156" s="16" t="str">
        <f>IFERROR(AVERAGE(EBITDA_MARGIN!AA39:AA42),"")</f>
        <v/>
      </c>
      <c r="AB156" s="16" t="str">
        <f>IFERROR(AVERAGE(EBITDA_MARGIN!AB39:AB42),"")</f>
        <v/>
      </c>
      <c r="AC156" s="11"/>
    </row>
    <row r="157" spans="1:29" ht="14">
      <c r="A157" s="14" t="s">
        <v>68</v>
      </c>
      <c r="B157" s="13" t="str">
        <f>IFERROR(AVERAGE(EBITDA_MARGIN!B40:B43),"")</f>
        <v/>
      </c>
      <c r="C157" s="13">
        <f>IFERROR(AVERAGE(EBITDA_MARGIN!C40:C43),"")</f>
        <v>0.10572640158941696</v>
      </c>
      <c r="D157" s="13">
        <f>IFERROR(AVERAGE(EBITDA_MARGIN!D40:D43),"")</f>
        <v>0.24947383273506579</v>
      </c>
      <c r="E157" s="13">
        <f>IFERROR(AVERAGE(EBITDA_MARGIN!E40:E43),"")</f>
        <v>0.36040111706226297</v>
      </c>
      <c r="F157" s="13" t="str">
        <f>IFERROR(AVERAGE(EBITDA_MARGIN!F40:F43),"")</f>
        <v/>
      </c>
      <c r="G157" s="13" t="str">
        <f>IFERROR(AVERAGE(EBITDA_MARGIN!G40:G43),"")</f>
        <v/>
      </c>
      <c r="H157" s="13" t="str">
        <f>IFERROR(AVERAGE(EBITDA_MARGIN!H40:H43),"")</f>
        <v/>
      </c>
      <c r="I157" s="13" t="str">
        <f>IFERROR(AVERAGE(EBITDA_MARGIN!I40:I43),"")</f>
        <v/>
      </c>
      <c r="J157" s="13" t="str">
        <f>IFERROR(AVERAGE(EBITDA_MARGIN!J40:J43),"")</f>
        <v/>
      </c>
      <c r="K157" s="13"/>
      <c r="L157" s="13" t="str">
        <f>IFERROR(AVERAGE(EBITDA_MARGIN!L40:L43),"")</f>
        <v/>
      </c>
      <c r="M157" s="13" t="str">
        <f>IFERROR(AVERAGE(EBITDA_MARGIN!M40:M43),"")</f>
        <v/>
      </c>
      <c r="N157" s="13" t="str">
        <f>IFERROR(AVERAGE(EBITDA_MARGIN!N40:N43),"")</f>
        <v/>
      </c>
      <c r="O157" s="13">
        <f>IFERROR(AVERAGE(EBITDA_MARGIN!O40:O43),"")</f>
        <v>0.2844774691908063</v>
      </c>
      <c r="P157" s="13" t="str">
        <f>IFERROR(AVERAGE(EBITDA_MARGIN!P40:P43),"")</f>
        <v/>
      </c>
      <c r="Q157" s="13" t="str">
        <f>IFERROR(AVERAGE(EBITDA_MARGIN!Q40:Q43),"")</f>
        <v/>
      </c>
      <c r="R157" s="13" t="str">
        <f>IFERROR(AVERAGE(EBITDA_MARGIN!R40:R43),"")</f>
        <v/>
      </c>
      <c r="S157" s="13" t="str">
        <f>IFERROR(AVERAGE(EBITDA_MARGIN!S40:S43),"")</f>
        <v/>
      </c>
      <c r="T157" s="13" t="str">
        <f>IFERROR(AVERAGE(EBITDA_MARGIN!T40:T43),"")</f>
        <v/>
      </c>
      <c r="U157" s="13" t="str">
        <f>IFERROR(AVERAGE(EBITDA_MARGIN!U40:U43),"")</f>
        <v/>
      </c>
      <c r="V157" s="13" t="str">
        <f>IFERROR(AVERAGE(EBITDA_MARGIN!V40:V43),"")</f>
        <v/>
      </c>
      <c r="W157" s="16">
        <f>IFERROR(AVERAGE(EBITDA_MARGIN!W40:W43),"")</f>
        <v>0.12343561036764207</v>
      </c>
      <c r="X157" s="16" t="str">
        <f>IFERROR(AVERAGE(EBITDA_MARGIN!X40:X43),"")</f>
        <v/>
      </c>
      <c r="Y157" s="16" t="str">
        <f>IFERROR(AVERAGE(EBITDA_MARGIN!Y40:Y43),"")</f>
        <v/>
      </c>
      <c r="Z157" s="16" t="str">
        <f>IFERROR(AVERAGE(EBITDA_MARGIN!Z40:Z43),"")</f>
        <v/>
      </c>
      <c r="AA157" s="16" t="str">
        <f>IFERROR(AVERAGE(EBITDA_MARGIN!AA40:AA43),"")</f>
        <v/>
      </c>
      <c r="AB157" s="16" t="str">
        <f>IFERROR(AVERAGE(EBITDA_MARGIN!AB40:AB43),"")</f>
        <v/>
      </c>
      <c r="AC157" s="11"/>
    </row>
    <row r="158" spans="1:29" ht="14">
      <c r="A158" s="14" t="s">
        <v>69</v>
      </c>
      <c r="B158" s="13" t="str">
        <f>IFERROR(AVERAGE(EBITDA_MARGIN!B41:B44),"")</f>
        <v/>
      </c>
      <c r="C158" s="13">
        <f>IFERROR(AVERAGE(EBITDA_MARGIN!C41:C44),"")</f>
        <v>0.12506624735982177</v>
      </c>
      <c r="D158" s="13">
        <f>IFERROR(AVERAGE(EBITDA_MARGIN!D41:D44),"")</f>
        <v>0.24962808624502023</v>
      </c>
      <c r="E158" s="13">
        <f>IFERROR(AVERAGE(EBITDA_MARGIN!E41:E44),"")</f>
        <v>0.36607687262820265</v>
      </c>
      <c r="F158" s="13" t="str">
        <f>IFERROR(AVERAGE(EBITDA_MARGIN!F41:F44),"")</f>
        <v/>
      </c>
      <c r="G158" s="13" t="str">
        <f>IFERROR(AVERAGE(EBITDA_MARGIN!G41:G44),"")</f>
        <v/>
      </c>
      <c r="H158" s="13" t="str">
        <f>IFERROR(AVERAGE(EBITDA_MARGIN!H41:H44),"")</f>
        <v/>
      </c>
      <c r="I158" s="13" t="str">
        <f>IFERROR(AVERAGE(EBITDA_MARGIN!I41:I44),"")</f>
        <v/>
      </c>
      <c r="J158" s="13" t="str">
        <f>IFERROR(AVERAGE(EBITDA_MARGIN!J41:J44),"")</f>
        <v/>
      </c>
      <c r="K158" s="13"/>
      <c r="L158" s="13" t="str">
        <f>IFERROR(AVERAGE(EBITDA_MARGIN!L41:L44),"")</f>
        <v/>
      </c>
      <c r="M158" s="13" t="str">
        <f>IFERROR(AVERAGE(EBITDA_MARGIN!M41:M44),"")</f>
        <v/>
      </c>
      <c r="N158" s="13" t="str">
        <f>IFERROR(AVERAGE(EBITDA_MARGIN!N41:N44),"")</f>
        <v/>
      </c>
      <c r="O158" s="13">
        <f>IFERROR(AVERAGE(EBITDA_MARGIN!O41:O44),"")</f>
        <v>0.26797190255567177</v>
      </c>
      <c r="P158" s="13" t="str">
        <f>IFERROR(AVERAGE(EBITDA_MARGIN!P41:P44),"")</f>
        <v/>
      </c>
      <c r="Q158" s="13" t="str">
        <f>IFERROR(AVERAGE(EBITDA_MARGIN!Q41:Q44),"")</f>
        <v/>
      </c>
      <c r="R158" s="13" t="str">
        <f>IFERROR(AVERAGE(EBITDA_MARGIN!R41:R44),"")</f>
        <v/>
      </c>
      <c r="S158" s="13" t="str">
        <f>IFERROR(AVERAGE(EBITDA_MARGIN!S41:S44),"")</f>
        <v/>
      </c>
      <c r="T158" s="13" t="str">
        <f>IFERROR(AVERAGE(EBITDA_MARGIN!T41:T44),"")</f>
        <v/>
      </c>
      <c r="U158" s="13">
        <f>IFERROR(AVERAGE(EBITDA_MARGIN!U41:U44),"")</f>
        <v>-4.7729918509895226E-2</v>
      </c>
      <c r="V158" s="13" t="str">
        <f>IFERROR(AVERAGE(EBITDA_MARGIN!V41:V44),"")</f>
        <v/>
      </c>
      <c r="W158" s="16">
        <f>IFERROR(AVERAGE(EBITDA_MARGIN!W41:W44),"")</f>
        <v>0.1141228663299285</v>
      </c>
      <c r="X158" s="16" t="str">
        <f>IFERROR(AVERAGE(EBITDA_MARGIN!X41:X44),"")</f>
        <v/>
      </c>
      <c r="Y158" s="16" t="str">
        <f>IFERROR(AVERAGE(EBITDA_MARGIN!Y41:Y44),"")</f>
        <v/>
      </c>
      <c r="Z158" s="16" t="str">
        <f>IFERROR(AVERAGE(EBITDA_MARGIN!Z41:Z44),"")</f>
        <v/>
      </c>
      <c r="AA158" s="16" t="str">
        <f>IFERROR(AVERAGE(EBITDA_MARGIN!AA41:AA44),"")</f>
        <v/>
      </c>
      <c r="AB158" s="16" t="str">
        <f>IFERROR(AVERAGE(EBITDA_MARGIN!AB41:AB44),"")</f>
        <v/>
      </c>
      <c r="AC158" s="11"/>
    </row>
    <row r="159" spans="1:29" ht="14">
      <c r="A159" s="14" t="s">
        <v>70</v>
      </c>
      <c r="B159" s="13" t="str">
        <f>IFERROR(AVERAGE(EBITDA_MARGIN!B42:B45),"")</f>
        <v/>
      </c>
      <c r="C159" s="13">
        <f>IFERROR(AVERAGE(EBITDA_MARGIN!C42:C45),"")</f>
        <v>0.14440609313022659</v>
      </c>
      <c r="D159" s="13">
        <f>IFERROR(AVERAGE(EBITDA_MARGIN!D42:D45),"")</f>
        <v>0.24978233975497466</v>
      </c>
      <c r="E159" s="13">
        <f>IFERROR(AVERAGE(EBITDA_MARGIN!E42:E45),"")</f>
        <v>0.37175262819414234</v>
      </c>
      <c r="F159" s="13" t="str">
        <f>IFERROR(AVERAGE(EBITDA_MARGIN!F42:F45),"")</f>
        <v/>
      </c>
      <c r="G159" s="13" t="str">
        <f>IFERROR(AVERAGE(EBITDA_MARGIN!G42:G45),"")</f>
        <v/>
      </c>
      <c r="H159" s="13" t="str">
        <f>IFERROR(AVERAGE(EBITDA_MARGIN!H42:H45),"")</f>
        <v/>
      </c>
      <c r="I159" s="13" t="str">
        <f>IFERROR(AVERAGE(EBITDA_MARGIN!I42:I45),"")</f>
        <v/>
      </c>
      <c r="J159" s="13" t="str">
        <f>IFERROR(AVERAGE(EBITDA_MARGIN!J42:J45),"")</f>
        <v/>
      </c>
      <c r="K159" s="13"/>
      <c r="L159" s="13" t="str">
        <f>IFERROR(AVERAGE(EBITDA_MARGIN!L42:L45),"")</f>
        <v/>
      </c>
      <c r="M159" s="13" t="str">
        <f>IFERROR(AVERAGE(EBITDA_MARGIN!M42:M45),"")</f>
        <v/>
      </c>
      <c r="N159" s="13" t="str">
        <f>IFERROR(AVERAGE(EBITDA_MARGIN!N42:N45),"")</f>
        <v/>
      </c>
      <c r="O159" s="13">
        <f>IFERROR(AVERAGE(EBITDA_MARGIN!O42:O45),"")</f>
        <v>0.28894925018119477</v>
      </c>
      <c r="P159" s="13" t="str">
        <f>IFERROR(AVERAGE(EBITDA_MARGIN!P42:P45),"")</f>
        <v/>
      </c>
      <c r="Q159" s="13" t="str">
        <f>IFERROR(AVERAGE(EBITDA_MARGIN!Q42:Q45),"")</f>
        <v/>
      </c>
      <c r="R159" s="13" t="str">
        <f>IFERROR(AVERAGE(EBITDA_MARGIN!R42:R45),"")</f>
        <v/>
      </c>
      <c r="S159" s="13" t="str">
        <f>IFERROR(AVERAGE(EBITDA_MARGIN!S42:S45),"")</f>
        <v/>
      </c>
      <c r="T159" s="13" t="str">
        <f>IFERROR(AVERAGE(EBITDA_MARGIN!T42:T45),"")</f>
        <v/>
      </c>
      <c r="U159" s="13">
        <f>IFERROR(AVERAGE(EBITDA_MARGIN!U42:U45),"")</f>
        <v>-4.7729918509895226E-2</v>
      </c>
      <c r="V159" s="13" t="str">
        <f>IFERROR(AVERAGE(EBITDA_MARGIN!V42:V45),"")</f>
        <v/>
      </c>
      <c r="W159" s="16">
        <f>IFERROR(AVERAGE(EBITDA_MARGIN!W42:W45),"")</f>
        <v>0.11461928965830399</v>
      </c>
      <c r="X159" s="16" t="str">
        <f>IFERROR(AVERAGE(EBITDA_MARGIN!X42:X45),"")</f>
        <v/>
      </c>
      <c r="Y159" s="16" t="str">
        <f>IFERROR(AVERAGE(EBITDA_MARGIN!Y42:Y45),"")</f>
        <v/>
      </c>
      <c r="Z159" s="16" t="str">
        <f>IFERROR(AVERAGE(EBITDA_MARGIN!Z42:Z45),"")</f>
        <v/>
      </c>
      <c r="AA159" s="16" t="str">
        <f>IFERROR(AVERAGE(EBITDA_MARGIN!AA42:AA45),"")</f>
        <v/>
      </c>
      <c r="AB159" s="16" t="str">
        <f>IFERROR(AVERAGE(EBITDA_MARGIN!AB42:AB45),"")</f>
        <v/>
      </c>
      <c r="AC159" s="11"/>
    </row>
    <row r="160" spans="1:29" ht="14">
      <c r="A160" s="14" t="s">
        <v>71</v>
      </c>
      <c r="B160" s="13" t="str">
        <f>IFERROR(AVERAGE(EBITDA_MARGIN!B43:B46),"")</f>
        <v/>
      </c>
      <c r="C160" s="13">
        <f>IFERROR(AVERAGE(EBITDA_MARGIN!C43:C46),"")</f>
        <v>0.16374593890063141</v>
      </c>
      <c r="D160" s="13">
        <f>IFERROR(AVERAGE(EBITDA_MARGIN!D43:D46),"")</f>
        <v>0.24993659326492909</v>
      </c>
      <c r="E160" s="13">
        <f>IFERROR(AVERAGE(EBITDA_MARGIN!E43:E46),"")</f>
        <v>0.37742838376008192</v>
      </c>
      <c r="F160" s="13" t="str">
        <f>IFERROR(AVERAGE(EBITDA_MARGIN!F43:F46),"")</f>
        <v/>
      </c>
      <c r="G160" s="13" t="str">
        <f>IFERROR(AVERAGE(EBITDA_MARGIN!G43:G46),"")</f>
        <v/>
      </c>
      <c r="H160" s="13" t="str">
        <f>IFERROR(AVERAGE(EBITDA_MARGIN!H43:H46),"")</f>
        <v/>
      </c>
      <c r="I160" s="13" t="str">
        <f>IFERROR(AVERAGE(EBITDA_MARGIN!I43:I46),"")</f>
        <v/>
      </c>
      <c r="J160" s="13" t="str">
        <f>IFERROR(AVERAGE(EBITDA_MARGIN!J43:J46),"")</f>
        <v/>
      </c>
      <c r="K160" s="13"/>
      <c r="L160" s="13" t="str">
        <f>IFERROR(AVERAGE(EBITDA_MARGIN!L43:L46),"")</f>
        <v/>
      </c>
      <c r="M160" s="13" t="str">
        <f>IFERROR(AVERAGE(EBITDA_MARGIN!M43:M46),"")</f>
        <v/>
      </c>
      <c r="N160" s="13" t="str">
        <f>IFERROR(AVERAGE(EBITDA_MARGIN!N43:N46),"")</f>
        <v/>
      </c>
      <c r="O160" s="13">
        <f>IFERROR(AVERAGE(EBITDA_MARGIN!O43:O46),"")</f>
        <v>0.30992659780671772</v>
      </c>
      <c r="P160" s="13" t="str">
        <f>IFERROR(AVERAGE(EBITDA_MARGIN!P43:P46),"")</f>
        <v/>
      </c>
      <c r="Q160" s="13" t="str">
        <f>IFERROR(AVERAGE(EBITDA_MARGIN!Q43:Q46),"")</f>
        <v/>
      </c>
      <c r="R160" s="13" t="str">
        <f>IFERROR(AVERAGE(EBITDA_MARGIN!R43:R46),"")</f>
        <v/>
      </c>
      <c r="S160" s="13" t="str">
        <f>IFERROR(AVERAGE(EBITDA_MARGIN!S43:S46),"")</f>
        <v/>
      </c>
      <c r="T160" s="13" t="str">
        <f>IFERROR(AVERAGE(EBITDA_MARGIN!T43:T46),"")</f>
        <v/>
      </c>
      <c r="U160" s="13">
        <f>IFERROR(AVERAGE(EBITDA_MARGIN!U43:U46),"")</f>
        <v>-4.7729918509895226E-2</v>
      </c>
      <c r="V160" s="13" t="str">
        <f>IFERROR(AVERAGE(EBITDA_MARGIN!V43:V46),"")</f>
        <v/>
      </c>
      <c r="W160" s="16">
        <f>IFERROR(AVERAGE(EBITDA_MARGIN!W43:W46),"")</f>
        <v>0.1151157129866795</v>
      </c>
      <c r="X160" s="16" t="str">
        <f>IFERROR(AVERAGE(EBITDA_MARGIN!X43:X46),"")</f>
        <v/>
      </c>
      <c r="Y160" s="16" t="str">
        <f>IFERROR(AVERAGE(EBITDA_MARGIN!Y43:Y46),"")</f>
        <v/>
      </c>
      <c r="Z160" s="16" t="str">
        <f>IFERROR(AVERAGE(EBITDA_MARGIN!Z43:Z46),"")</f>
        <v/>
      </c>
      <c r="AA160" s="16" t="str">
        <f>IFERROR(AVERAGE(EBITDA_MARGIN!AA43:AA46),"")</f>
        <v/>
      </c>
      <c r="AB160" s="16" t="str">
        <f>IFERROR(AVERAGE(EBITDA_MARGIN!AB43:AB46),"")</f>
        <v/>
      </c>
      <c r="AC160" s="11"/>
    </row>
    <row r="161" spans="1:29" ht="14">
      <c r="A161" s="14" t="s">
        <v>72</v>
      </c>
      <c r="B161" s="13" t="str">
        <f>IFERROR(AVERAGE(EBITDA_MARGIN!B44:B47),"")</f>
        <v/>
      </c>
      <c r="C161" s="13">
        <f>IFERROR(AVERAGE(EBITDA_MARGIN!C44:C47),"")</f>
        <v>0.16691770722645069</v>
      </c>
      <c r="D161" s="13">
        <f>IFERROR(AVERAGE(EBITDA_MARGIN!D44:D47),"")</f>
        <v>0.2481674468911465</v>
      </c>
      <c r="E161" s="13">
        <f>IFERROR(AVERAGE(EBITDA_MARGIN!E44:E47),"")</f>
        <v>0.37324240282464166</v>
      </c>
      <c r="F161" s="13" t="str">
        <f>IFERROR(AVERAGE(EBITDA_MARGIN!F44:F47),"")</f>
        <v/>
      </c>
      <c r="G161" s="13" t="str">
        <f>IFERROR(AVERAGE(EBITDA_MARGIN!G44:G47),"")</f>
        <v/>
      </c>
      <c r="H161" s="13" t="str">
        <f>IFERROR(AVERAGE(EBITDA_MARGIN!H44:H47),"")</f>
        <v/>
      </c>
      <c r="I161" s="13" t="str">
        <f>IFERROR(AVERAGE(EBITDA_MARGIN!I44:I47),"")</f>
        <v/>
      </c>
      <c r="J161" s="13" t="str">
        <f>IFERROR(AVERAGE(EBITDA_MARGIN!J44:J47),"")</f>
        <v/>
      </c>
      <c r="K161" s="13"/>
      <c r="L161" s="13" t="str">
        <f>IFERROR(AVERAGE(EBITDA_MARGIN!L44:L47),"")</f>
        <v/>
      </c>
      <c r="M161" s="13" t="str">
        <f>IFERROR(AVERAGE(EBITDA_MARGIN!M44:M47),"")</f>
        <v/>
      </c>
      <c r="N161" s="13" t="str">
        <f>IFERROR(AVERAGE(EBITDA_MARGIN!N44:N47),"")</f>
        <v/>
      </c>
      <c r="O161" s="13">
        <f>IFERROR(AVERAGE(EBITDA_MARGIN!O44:O47),"")</f>
        <v>0.33090394543224072</v>
      </c>
      <c r="P161" s="13" t="str">
        <f>IFERROR(AVERAGE(EBITDA_MARGIN!P44:P47),"")</f>
        <v/>
      </c>
      <c r="Q161" s="13" t="str">
        <f>IFERROR(AVERAGE(EBITDA_MARGIN!Q44:Q47),"")</f>
        <v/>
      </c>
      <c r="R161" s="13" t="str">
        <f>IFERROR(AVERAGE(EBITDA_MARGIN!R44:R47),"")</f>
        <v/>
      </c>
      <c r="S161" s="13" t="str">
        <f>IFERROR(AVERAGE(EBITDA_MARGIN!S44:S47),"")</f>
        <v/>
      </c>
      <c r="T161" s="13" t="str">
        <f>IFERROR(AVERAGE(EBITDA_MARGIN!T44:T47),"")</f>
        <v/>
      </c>
      <c r="U161" s="13">
        <f>IFERROR(AVERAGE(EBITDA_MARGIN!U44:U47),"")</f>
        <v>-0.12229169175598464</v>
      </c>
      <c r="V161" s="13" t="str">
        <f>IFERROR(AVERAGE(EBITDA_MARGIN!V44:V47),"")</f>
        <v/>
      </c>
      <c r="W161" s="16">
        <f>IFERROR(AVERAGE(EBITDA_MARGIN!W44:W47),"")</f>
        <v>0.11561213631505499</v>
      </c>
      <c r="X161" s="16" t="str">
        <f>IFERROR(AVERAGE(EBITDA_MARGIN!X44:X47),"")</f>
        <v/>
      </c>
      <c r="Y161" s="16" t="str">
        <f>IFERROR(AVERAGE(EBITDA_MARGIN!Y44:Y47),"")</f>
        <v/>
      </c>
      <c r="Z161" s="16" t="str">
        <f>IFERROR(AVERAGE(EBITDA_MARGIN!Z44:Z47),"")</f>
        <v/>
      </c>
      <c r="AA161" s="16" t="str">
        <f>IFERROR(AVERAGE(EBITDA_MARGIN!AA44:AA47),"")</f>
        <v/>
      </c>
      <c r="AB161" s="16" t="str">
        <f>IFERROR(AVERAGE(EBITDA_MARGIN!AB44:AB47),"")</f>
        <v/>
      </c>
      <c r="AC161" s="11"/>
    </row>
    <row r="162" spans="1:29" ht="14">
      <c r="A162" s="14" t="s">
        <v>73</v>
      </c>
      <c r="B162" s="13" t="str">
        <f>IFERROR(AVERAGE(EBITDA_MARGIN!B45:B48),"")</f>
        <v/>
      </c>
      <c r="C162" s="13">
        <f>IFERROR(AVERAGE(EBITDA_MARGIN!C45:C48),"")</f>
        <v>0.17008947555226997</v>
      </c>
      <c r="D162" s="13">
        <f>IFERROR(AVERAGE(EBITDA_MARGIN!D45:D48),"")</f>
        <v>0.24639830051736392</v>
      </c>
      <c r="E162" s="13">
        <f>IFERROR(AVERAGE(EBITDA_MARGIN!E45:E48),"")</f>
        <v>0.36905642188920146</v>
      </c>
      <c r="F162" s="13" t="str">
        <f>IFERROR(AVERAGE(EBITDA_MARGIN!F45:F48),"")</f>
        <v/>
      </c>
      <c r="G162" s="13" t="str">
        <f>IFERROR(AVERAGE(EBITDA_MARGIN!G45:G48),"")</f>
        <v/>
      </c>
      <c r="H162" s="13" t="str">
        <f>IFERROR(AVERAGE(EBITDA_MARGIN!H45:H48),"")</f>
        <v/>
      </c>
      <c r="I162" s="13" t="str">
        <f>IFERROR(AVERAGE(EBITDA_MARGIN!I45:I48),"")</f>
        <v/>
      </c>
      <c r="J162" s="13"/>
      <c r="K162" s="13"/>
      <c r="L162" s="13" t="str">
        <f>IFERROR(AVERAGE(EBITDA_MARGIN!L45:L48),"")</f>
        <v/>
      </c>
      <c r="M162" s="13" t="str">
        <f>IFERROR(AVERAGE(EBITDA_MARGIN!M45:M48),"")</f>
        <v/>
      </c>
      <c r="N162" s="13" t="str">
        <f>IFERROR(AVERAGE(EBITDA_MARGIN!N45:N48),"")</f>
        <v/>
      </c>
      <c r="O162" s="13">
        <f>IFERROR(AVERAGE(EBITDA_MARGIN!O45:O48),"")</f>
        <v>0.35188129305776367</v>
      </c>
      <c r="P162" s="13" t="str">
        <f>IFERROR(AVERAGE(EBITDA_MARGIN!P45:P48),"")</f>
        <v/>
      </c>
      <c r="Q162" s="13" t="str">
        <f>IFERROR(AVERAGE(EBITDA_MARGIN!Q45:Q48),"")</f>
        <v/>
      </c>
      <c r="R162" s="13" t="str">
        <f>IFERROR(AVERAGE(EBITDA_MARGIN!R45:R48),"")</f>
        <v/>
      </c>
      <c r="S162" s="13" t="str">
        <f>IFERROR(AVERAGE(EBITDA_MARGIN!S45:S48),"")</f>
        <v/>
      </c>
      <c r="T162" s="13" t="str">
        <f>IFERROR(AVERAGE(EBITDA_MARGIN!T45:T48),"")</f>
        <v/>
      </c>
      <c r="U162" s="13">
        <f>IFERROR(AVERAGE(EBITDA_MARGIN!U45:U48),"")</f>
        <v>-0.19685346500207404</v>
      </c>
      <c r="V162" s="13" t="str">
        <f>IFERROR(AVERAGE(EBITDA_MARGIN!V45:V48),"")</f>
        <v/>
      </c>
      <c r="W162" s="16">
        <f>IFERROR(AVERAGE(EBITDA_MARGIN!W45:W48),"")</f>
        <v>0.11610855964343049</v>
      </c>
      <c r="X162" s="16" t="str">
        <f>IFERROR(AVERAGE(EBITDA_MARGIN!X45:X48),"")</f>
        <v/>
      </c>
      <c r="Y162" s="16" t="str">
        <f>IFERROR(AVERAGE(EBITDA_MARGIN!Y45:Y48),"")</f>
        <v/>
      </c>
      <c r="Z162" s="16" t="str">
        <f>IFERROR(AVERAGE(EBITDA_MARGIN!Z45:Z48),"")</f>
        <v/>
      </c>
      <c r="AA162" s="16" t="str">
        <f>IFERROR(AVERAGE(EBITDA_MARGIN!AA45:AA48),"")</f>
        <v/>
      </c>
      <c r="AB162" s="16" t="str">
        <f>IFERROR(AVERAGE(EBITDA_MARGIN!AB45:AB48),"")</f>
        <v/>
      </c>
      <c r="AC162" s="11"/>
    </row>
    <row r="163" spans="1:29" ht="14">
      <c r="A163" s="14" t="s">
        <v>74</v>
      </c>
      <c r="B163" s="13" t="str">
        <f>IFERROR(AVERAGE(EBITDA_MARGIN!B46:B49),"")</f>
        <v/>
      </c>
      <c r="C163" s="13">
        <f>IFERROR(AVERAGE(EBITDA_MARGIN!C46:C49),"")</f>
        <v>0.17326124387808925</v>
      </c>
      <c r="D163" s="13">
        <f>IFERROR(AVERAGE(EBITDA_MARGIN!D46:D49),"")</f>
        <v>0.24462915414358136</v>
      </c>
      <c r="E163" s="13">
        <f>IFERROR(AVERAGE(EBITDA_MARGIN!E46:E49),"")</f>
        <v>0.36487044095376125</v>
      </c>
      <c r="F163" s="13" t="str">
        <f>IFERROR(AVERAGE(EBITDA_MARGIN!F46:F49),"")</f>
        <v/>
      </c>
      <c r="G163" s="13" t="str">
        <f>IFERROR(AVERAGE(EBITDA_MARGIN!G46:G49),"")</f>
        <v/>
      </c>
      <c r="H163" s="13" t="str">
        <f>IFERROR(AVERAGE(EBITDA_MARGIN!H46:H49),"")</f>
        <v/>
      </c>
      <c r="I163" s="13" t="str">
        <f>IFERROR(AVERAGE(EBITDA_MARGIN!I46:I49),"")</f>
        <v/>
      </c>
      <c r="J163" s="13"/>
      <c r="K163" s="13"/>
      <c r="L163" s="13" t="str">
        <f>IFERROR(AVERAGE(EBITDA_MARGIN!L46:L49),"")</f>
        <v/>
      </c>
      <c r="M163" s="13" t="str">
        <f>IFERROR(AVERAGE(EBITDA_MARGIN!M46:M49),"")</f>
        <v/>
      </c>
      <c r="N163" s="13" t="str">
        <f>IFERROR(AVERAGE(EBITDA_MARGIN!N46:N49),"")</f>
        <v/>
      </c>
      <c r="O163" s="13">
        <f>IFERROR(AVERAGE(EBITDA_MARGIN!O46:O49),"")</f>
        <v>0.34924818769130944</v>
      </c>
      <c r="P163" s="13" t="str">
        <f>IFERROR(AVERAGE(EBITDA_MARGIN!P46:P49),"")</f>
        <v/>
      </c>
      <c r="Q163" s="13" t="str">
        <f>IFERROR(AVERAGE(EBITDA_MARGIN!Q46:Q49),"")</f>
        <v/>
      </c>
      <c r="R163" s="13" t="str">
        <f>IFERROR(AVERAGE(EBITDA_MARGIN!R46:R49),"")</f>
        <v/>
      </c>
      <c r="S163" s="13" t="str">
        <f>IFERROR(AVERAGE(EBITDA_MARGIN!S46:S49),"")</f>
        <v/>
      </c>
      <c r="T163" s="13" t="str">
        <f>IFERROR(AVERAGE(EBITDA_MARGIN!T46:T49),"")</f>
        <v/>
      </c>
      <c r="U163" s="13">
        <f>IFERROR(AVERAGE(EBITDA_MARGIN!U46:U49),"")</f>
        <v>-0.27141523824816344</v>
      </c>
      <c r="V163" s="13" t="str">
        <f>IFERROR(AVERAGE(EBITDA_MARGIN!V46:V49),"")</f>
        <v/>
      </c>
      <c r="W163" s="16">
        <f>IFERROR(AVERAGE(EBITDA_MARGIN!W46:W49),"")</f>
        <v>0.12819321004196815</v>
      </c>
      <c r="X163" s="16" t="str">
        <f>IFERROR(AVERAGE(EBITDA_MARGIN!X46:X49),"")</f>
        <v/>
      </c>
      <c r="Y163" s="16" t="str">
        <f>IFERROR(AVERAGE(EBITDA_MARGIN!Y46:Y49),"")</f>
        <v/>
      </c>
      <c r="Z163" s="16" t="str">
        <f>IFERROR(AVERAGE(EBITDA_MARGIN!Z46:Z49),"")</f>
        <v/>
      </c>
      <c r="AA163" s="16" t="str">
        <f>IFERROR(AVERAGE(EBITDA_MARGIN!AA46:AA49),"")</f>
        <v/>
      </c>
      <c r="AB163" s="16" t="str">
        <f>IFERROR(AVERAGE(EBITDA_MARGIN!AB46:AB49),"")</f>
        <v/>
      </c>
      <c r="AC163" s="11"/>
    </row>
    <row r="164" spans="1:29" ht="14">
      <c r="A164" s="14" t="s">
        <v>75</v>
      </c>
      <c r="B164" s="13" t="str">
        <f>IFERROR(AVERAGE(EBITDA_MARGIN!B47:B50),"")</f>
        <v/>
      </c>
      <c r="C164" s="13">
        <f>IFERROR(AVERAGE(EBITDA_MARGIN!C47:C50),"")</f>
        <v>0.17643301220390853</v>
      </c>
      <c r="D164" s="13">
        <f>IFERROR(AVERAGE(EBITDA_MARGIN!D47:D50),"")</f>
        <v>0.24286000776979877</v>
      </c>
      <c r="E164" s="13">
        <f>IFERROR(AVERAGE(EBITDA_MARGIN!E47:E50),"")</f>
        <v>0.36068446001832105</v>
      </c>
      <c r="F164" s="13" t="str">
        <f>IFERROR(AVERAGE(EBITDA_MARGIN!F47:F50),"")</f>
        <v/>
      </c>
      <c r="G164" s="13" t="str">
        <f>IFERROR(AVERAGE(EBITDA_MARGIN!G47:G50),"")</f>
        <v/>
      </c>
      <c r="H164" s="13" t="str">
        <f>IFERROR(AVERAGE(EBITDA_MARGIN!H47:H50),"")</f>
        <v/>
      </c>
      <c r="I164" s="13" t="str">
        <f>IFERROR(AVERAGE(EBITDA_MARGIN!I47:I50),"")</f>
        <v/>
      </c>
      <c r="J164" s="13"/>
      <c r="K164" s="13"/>
      <c r="L164" s="13" t="str">
        <f>IFERROR(AVERAGE(EBITDA_MARGIN!L47:L50),"")</f>
        <v/>
      </c>
      <c r="M164" s="13" t="str">
        <f>IFERROR(AVERAGE(EBITDA_MARGIN!M47:M50),"")</f>
        <v/>
      </c>
      <c r="N164" s="13" t="str">
        <f>IFERROR(AVERAGE(EBITDA_MARGIN!N47:N50),"")</f>
        <v/>
      </c>
      <c r="O164" s="13">
        <f>IFERROR(AVERAGE(EBITDA_MARGIN!O47:O50),"")</f>
        <v>0.34661508232485522</v>
      </c>
      <c r="P164" s="13" t="str">
        <f>IFERROR(AVERAGE(EBITDA_MARGIN!P47:P50),"")</f>
        <v/>
      </c>
      <c r="Q164" s="13" t="str">
        <f>IFERROR(AVERAGE(EBITDA_MARGIN!Q47:Q50),"")</f>
        <v/>
      </c>
      <c r="R164" s="13" t="str">
        <f>IFERROR(AVERAGE(EBITDA_MARGIN!R47:R50),"")</f>
        <v/>
      </c>
      <c r="S164" s="13" t="str">
        <f>IFERROR(AVERAGE(EBITDA_MARGIN!S47:S50),"")</f>
        <v/>
      </c>
      <c r="T164" s="13" t="str">
        <f>IFERROR(AVERAGE(EBITDA_MARGIN!T47:T50),"")</f>
        <v/>
      </c>
      <c r="U164" s="13">
        <f>IFERROR(AVERAGE(EBITDA_MARGIN!U47:U50),"")</f>
        <v>-0.34597701149425286</v>
      </c>
      <c r="V164" s="13" t="str">
        <f>IFERROR(AVERAGE(EBITDA_MARGIN!V47:V50),"")</f>
        <v/>
      </c>
      <c r="W164" s="16">
        <f>IFERROR(AVERAGE(EBITDA_MARGIN!W47:W50),"")</f>
        <v>0.1402778604405058</v>
      </c>
      <c r="X164" s="16" t="str">
        <f>IFERROR(AVERAGE(EBITDA_MARGIN!X47:X50),"")</f>
        <v/>
      </c>
      <c r="Y164" s="16" t="str">
        <f>IFERROR(AVERAGE(EBITDA_MARGIN!Y47:Y50),"")</f>
        <v/>
      </c>
      <c r="Z164" s="16" t="str">
        <f>IFERROR(AVERAGE(EBITDA_MARGIN!Z47:Z50),"")</f>
        <v/>
      </c>
      <c r="AA164" s="16" t="str">
        <f>IFERROR(AVERAGE(EBITDA_MARGIN!AA47:AA50),"")</f>
        <v/>
      </c>
      <c r="AB164" s="16" t="str">
        <f>IFERROR(AVERAGE(EBITDA_MARGIN!AB47:AB50),"")</f>
        <v/>
      </c>
      <c r="AC164" s="11"/>
    </row>
    <row r="165" spans="1:29" ht="14">
      <c r="A165" s="14" t="s">
        <v>76</v>
      </c>
      <c r="B165" s="13" t="str">
        <f>IFERROR(AVERAGE(EBITDA_MARGIN!B48:B51),"")</f>
        <v/>
      </c>
      <c r="C165" s="13">
        <f>IFERROR(AVERAGE(EBITDA_MARGIN!C48:C51),"")</f>
        <v>0.18685659801099902</v>
      </c>
      <c r="D165" s="13">
        <f>IFERROR(AVERAGE(EBITDA_MARGIN!D48:D51),"")</f>
        <v>0.23839961064512316</v>
      </c>
      <c r="E165" s="13">
        <f>IFERROR(AVERAGE(EBITDA_MARGIN!E48:E51),"")</f>
        <v>0.36831421886518606</v>
      </c>
      <c r="F165" s="13"/>
      <c r="G165" s="13" t="str">
        <f>IFERROR(AVERAGE(EBITDA_MARGIN!G48:G51),"")</f>
        <v/>
      </c>
      <c r="H165" s="13" t="str">
        <f>IFERROR(AVERAGE(EBITDA_MARGIN!H48:H51),"")</f>
        <v/>
      </c>
      <c r="I165" s="13" t="str">
        <f>IFERROR(AVERAGE(EBITDA_MARGIN!I48:I51),"")</f>
        <v/>
      </c>
      <c r="J165" s="13">
        <f>IFERROR(AVERAGE(EBITDA_MARGIN!J48:J51),"")</f>
        <v>-0.12867604154510445</v>
      </c>
      <c r="K165" s="13"/>
      <c r="L165" s="13" t="str">
        <f>IFERROR(AVERAGE(EBITDA_MARGIN!L48:L51),"")</f>
        <v/>
      </c>
      <c r="M165" s="13" t="str">
        <f>IFERROR(AVERAGE(EBITDA_MARGIN!M48:M51),"")</f>
        <v/>
      </c>
      <c r="N165" s="13" t="str">
        <f>IFERROR(AVERAGE(EBITDA_MARGIN!N48:N51),"")</f>
        <v/>
      </c>
      <c r="O165" s="13">
        <f>IFERROR(AVERAGE(EBITDA_MARGIN!O48:O51),"")</f>
        <v>0.34398197695840099</v>
      </c>
      <c r="P165" s="13" t="str">
        <f>IFERROR(AVERAGE(EBITDA_MARGIN!P48:P51),"")</f>
        <v/>
      </c>
      <c r="Q165" s="13" t="str">
        <f>IFERROR(AVERAGE(EBITDA_MARGIN!Q48:Q51),"")</f>
        <v/>
      </c>
      <c r="R165" s="13" t="str">
        <f>IFERROR(AVERAGE(EBITDA_MARGIN!R48:R51),"")</f>
        <v/>
      </c>
      <c r="S165" s="13" t="str">
        <f>IFERROR(AVERAGE(EBITDA_MARGIN!S48:S51),"")</f>
        <v/>
      </c>
      <c r="T165" s="13" t="str">
        <f>IFERROR(AVERAGE(EBITDA_MARGIN!T48:T51),"")</f>
        <v/>
      </c>
      <c r="U165" s="13">
        <f>IFERROR(AVERAGE(EBITDA_MARGIN!U48:U51),"")</f>
        <v>-0.37059386973180075</v>
      </c>
      <c r="V165" s="13" t="str">
        <f>IFERROR(AVERAGE(EBITDA_MARGIN!V48:V51),"")</f>
        <v/>
      </c>
      <c r="W165" s="16">
        <f>IFERROR(AVERAGE(EBITDA_MARGIN!W48:W51),"")</f>
        <v>0.15236251083904345</v>
      </c>
      <c r="X165" s="16" t="str">
        <f>IFERROR(AVERAGE(EBITDA_MARGIN!X48:X51),"")</f>
        <v/>
      </c>
      <c r="Y165" s="16" t="str">
        <f>IFERROR(AVERAGE(EBITDA_MARGIN!Y48:Y51),"")</f>
        <v/>
      </c>
      <c r="Z165" s="16" t="str">
        <f>IFERROR(AVERAGE(EBITDA_MARGIN!Z48:Z51),"")</f>
        <v/>
      </c>
      <c r="AA165" s="16" t="str">
        <f>IFERROR(AVERAGE(EBITDA_MARGIN!AA48:AA51),"")</f>
        <v/>
      </c>
      <c r="AB165" s="16" t="str">
        <f>IFERROR(AVERAGE(EBITDA_MARGIN!AB48:AB51),"")</f>
        <v/>
      </c>
      <c r="AC165" s="11"/>
    </row>
    <row r="166" spans="1:29" ht="14">
      <c r="A166" s="14" t="s">
        <v>77</v>
      </c>
      <c r="B166" s="13" t="str">
        <f>IFERROR(AVERAGE(EBITDA_MARGIN!B49:B52),"")</f>
        <v/>
      </c>
      <c r="C166" s="13">
        <f>IFERROR(AVERAGE(EBITDA_MARGIN!C49:C52),"")</f>
        <v>0.19728018381808948</v>
      </c>
      <c r="D166" s="13">
        <f>IFERROR(AVERAGE(EBITDA_MARGIN!D49:D52),"")</f>
        <v>0.23393921352044755</v>
      </c>
      <c r="E166" s="13">
        <f>IFERROR(AVERAGE(EBITDA_MARGIN!E49:E52),"")</f>
        <v>0.37594397771205107</v>
      </c>
      <c r="F166" s="13"/>
      <c r="G166" s="13" t="str">
        <f>IFERROR(AVERAGE(EBITDA_MARGIN!G49:G52),"")</f>
        <v/>
      </c>
      <c r="H166" s="13" t="str">
        <f>IFERROR(AVERAGE(EBITDA_MARGIN!H49:H52),"")</f>
        <v/>
      </c>
      <c r="I166" s="13" t="str">
        <f>IFERROR(AVERAGE(EBITDA_MARGIN!I49:I52),"")</f>
        <v/>
      </c>
      <c r="J166" s="13">
        <f>IFERROR(AVERAGE(EBITDA_MARGIN!J49:J52),"")</f>
        <v>-0.10971311062268664</v>
      </c>
      <c r="K166" s="13"/>
      <c r="L166" s="13" t="str">
        <f>IFERROR(AVERAGE(EBITDA_MARGIN!L49:L52),"")</f>
        <v/>
      </c>
      <c r="M166" s="13" t="str">
        <f>IFERROR(AVERAGE(EBITDA_MARGIN!M49:M52),"")</f>
        <v/>
      </c>
      <c r="N166" s="13" t="str">
        <f>IFERROR(AVERAGE(EBITDA_MARGIN!N49:N52),"")</f>
        <v/>
      </c>
      <c r="O166" s="13">
        <f>IFERROR(AVERAGE(EBITDA_MARGIN!O49:O52),"")</f>
        <v>0.34134887159194677</v>
      </c>
      <c r="P166" s="13" t="str">
        <f>IFERROR(AVERAGE(EBITDA_MARGIN!P49:P52),"")</f>
        <v/>
      </c>
      <c r="Q166" s="13" t="str">
        <f>IFERROR(AVERAGE(EBITDA_MARGIN!Q49:Q52),"")</f>
        <v/>
      </c>
      <c r="R166" s="13" t="str">
        <f>IFERROR(AVERAGE(EBITDA_MARGIN!R49:R52),"")</f>
        <v/>
      </c>
      <c r="S166" s="13" t="str">
        <f>IFERROR(AVERAGE(EBITDA_MARGIN!S49:S52),"")</f>
        <v/>
      </c>
      <c r="T166" s="13" t="str">
        <f>IFERROR(AVERAGE(EBITDA_MARGIN!T49:T52),"")</f>
        <v/>
      </c>
      <c r="U166" s="13">
        <f>IFERROR(AVERAGE(EBITDA_MARGIN!U49:U52),"")</f>
        <v>-0.39521072796934864</v>
      </c>
      <c r="V166" s="13" t="str">
        <f>IFERROR(AVERAGE(EBITDA_MARGIN!V49:V52),"")</f>
        <v/>
      </c>
      <c r="W166" s="16">
        <f>IFERROR(AVERAGE(EBITDA_MARGIN!W49:W52),"")</f>
        <v>0.1644471612375811</v>
      </c>
      <c r="X166" s="16" t="str">
        <f>IFERROR(AVERAGE(EBITDA_MARGIN!X49:X52),"")</f>
        <v/>
      </c>
      <c r="Y166" s="16" t="str">
        <f>IFERROR(AVERAGE(EBITDA_MARGIN!Y49:Y52),"")</f>
        <v/>
      </c>
      <c r="Z166" s="16" t="str">
        <f>IFERROR(AVERAGE(EBITDA_MARGIN!Z49:Z52),"")</f>
        <v/>
      </c>
      <c r="AA166" s="16" t="str">
        <f>IFERROR(AVERAGE(EBITDA_MARGIN!AA49:AA52),"")</f>
        <v/>
      </c>
      <c r="AB166" s="16" t="str">
        <f>IFERROR(AVERAGE(EBITDA_MARGIN!AB49:AB52),"")</f>
        <v/>
      </c>
      <c r="AC166" s="11"/>
    </row>
    <row r="167" spans="1:29" ht="14">
      <c r="A167" s="14" t="s">
        <v>78</v>
      </c>
      <c r="B167" s="13" t="str">
        <f>IFERROR(AVERAGE(EBITDA_MARGIN!B50:B53),"")</f>
        <v/>
      </c>
      <c r="C167" s="13">
        <f>IFERROR(AVERAGE(EBITDA_MARGIN!C50:C53),"")</f>
        <v>0.20770376962517997</v>
      </c>
      <c r="D167" s="13">
        <f>IFERROR(AVERAGE(EBITDA_MARGIN!D50:D53),"")</f>
        <v>0.22947881639577195</v>
      </c>
      <c r="E167" s="13">
        <f>IFERROR(AVERAGE(EBITDA_MARGIN!E50:E53),"")</f>
        <v>0.38357373655891602</v>
      </c>
      <c r="F167" s="13"/>
      <c r="G167" s="13" t="str">
        <f>IFERROR(AVERAGE(EBITDA_MARGIN!G50:G53),"")</f>
        <v/>
      </c>
      <c r="H167" s="13" t="str">
        <f>IFERROR(AVERAGE(EBITDA_MARGIN!H50:H53),"")</f>
        <v/>
      </c>
      <c r="I167" s="13" t="str">
        <f>IFERROR(AVERAGE(EBITDA_MARGIN!I50:I53),"")</f>
        <v/>
      </c>
      <c r="J167" s="13">
        <f>IFERROR(AVERAGE(EBITDA_MARGIN!J50:J53),"")</f>
        <v>-9.0750179700268843E-2</v>
      </c>
      <c r="K167" s="13"/>
      <c r="L167" s="13" t="str">
        <f>IFERROR(AVERAGE(EBITDA_MARGIN!L50:L53),"")</f>
        <v/>
      </c>
      <c r="M167" s="13" t="str">
        <f>IFERROR(AVERAGE(EBITDA_MARGIN!M50:M53),"")</f>
        <v/>
      </c>
      <c r="N167" s="13" t="str">
        <f>IFERROR(AVERAGE(EBITDA_MARGIN!N50:N53),"")</f>
        <v/>
      </c>
      <c r="O167" s="13">
        <f>IFERROR(AVERAGE(EBITDA_MARGIN!O50:O53),"")</f>
        <v>0.34408387433655319</v>
      </c>
      <c r="P167" s="13" t="str">
        <f>IFERROR(AVERAGE(EBITDA_MARGIN!P50:P53),"")</f>
        <v/>
      </c>
      <c r="Q167" s="13" t="str">
        <f>IFERROR(AVERAGE(EBITDA_MARGIN!Q50:Q53),"")</f>
        <v/>
      </c>
      <c r="R167" s="13" t="str">
        <f>IFERROR(AVERAGE(EBITDA_MARGIN!R50:R53),"")</f>
        <v/>
      </c>
      <c r="S167" s="13" t="str">
        <f>IFERROR(AVERAGE(EBITDA_MARGIN!S50:S53),"")</f>
        <v/>
      </c>
      <c r="T167" s="13" t="str">
        <f>IFERROR(AVERAGE(EBITDA_MARGIN!T50:T53),"")</f>
        <v/>
      </c>
      <c r="U167" s="13">
        <f>IFERROR(AVERAGE(EBITDA_MARGIN!U50:U53),"")</f>
        <v>-0.41982758620689653</v>
      </c>
      <c r="V167" s="13" t="str">
        <f>IFERROR(AVERAGE(EBITDA_MARGIN!V50:V53),"")</f>
        <v/>
      </c>
      <c r="W167" s="16">
        <f>IFERROR(AVERAGE(EBITDA_MARGIN!W50:W53),"")</f>
        <v>0.13871186272579364</v>
      </c>
      <c r="X167" s="16" t="str">
        <f>IFERROR(AVERAGE(EBITDA_MARGIN!X50:X53),"")</f>
        <v/>
      </c>
      <c r="Y167" s="16" t="str">
        <f>IFERROR(AVERAGE(EBITDA_MARGIN!Y50:Y53),"")</f>
        <v/>
      </c>
      <c r="Z167" s="16" t="str">
        <f>IFERROR(AVERAGE(EBITDA_MARGIN!Z50:Z53),"")</f>
        <v/>
      </c>
      <c r="AA167" s="16" t="str">
        <f>IFERROR(AVERAGE(EBITDA_MARGIN!AA50:AA53),"")</f>
        <v/>
      </c>
      <c r="AB167" s="16" t="str">
        <f>IFERROR(AVERAGE(EBITDA_MARGIN!AB50:AB53),"")</f>
        <v/>
      </c>
      <c r="AC167" s="11"/>
    </row>
    <row r="168" spans="1:29" ht="14">
      <c r="A168" s="14" t="s">
        <v>79</v>
      </c>
      <c r="B168" s="13" t="str">
        <f>IFERROR(AVERAGE(EBITDA_MARGIN!B51:B54),"")</f>
        <v/>
      </c>
      <c r="C168" s="13">
        <f>IFERROR(AVERAGE(EBITDA_MARGIN!C51:C54),"")</f>
        <v>0.21812735543227046</v>
      </c>
      <c r="D168" s="13">
        <f>IFERROR(AVERAGE(EBITDA_MARGIN!D51:D54),"")</f>
        <v>0.22501841927109631</v>
      </c>
      <c r="E168" s="13">
        <f>IFERROR(AVERAGE(EBITDA_MARGIN!E51:E54),"")</f>
        <v>0.39120349540578103</v>
      </c>
      <c r="F168" s="13">
        <f>IFERROR(AVERAGE(EBITDA_MARGIN!F51:F54),"")</f>
        <v>0.54336829608422865</v>
      </c>
      <c r="G168" s="13" t="str">
        <f>IFERROR(AVERAGE(EBITDA_MARGIN!G51:G54),"")</f>
        <v/>
      </c>
      <c r="H168" s="13" t="str">
        <f>IFERROR(AVERAGE(EBITDA_MARGIN!H51:H54),"")</f>
        <v/>
      </c>
      <c r="I168" s="13" t="str">
        <f>IFERROR(AVERAGE(EBITDA_MARGIN!I51:I54),"")</f>
        <v/>
      </c>
      <c r="J168" s="13">
        <f>IFERROR(AVERAGE(EBITDA_MARGIN!J51:J54),"")</f>
        <v>-7.1787248777851032E-2</v>
      </c>
      <c r="K168" s="13"/>
      <c r="L168" s="13" t="str">
        <f>IFERROR(AVERAGE(EBITDA_MARGIN!L51:L54),"")</f>
        <v/>
      </c>
      <c r="M168" s="13" t="str">
        <f>IFERROR(AVERAGE(EBITDA_MARGIN!M51:M54),"")</f>
        <v/>
      </c>
      <c r="N168" s="13" t="str">
        <f>IFERROR(AVERAGE(EBITDA_MARGIN!N51:N54),"")</f>
        <v/>
      </c>
      <c r="O168" s="13">
        <f>IFERROR(AVERAGE(EBITDA_MARGIN!O51:O54),"")</f>
        <v>0.34681887708115966</v>
      </c>
      <c r="P168" s="13" t="str">
        <f>IFERROR(AVERAGE(EBITDA_MARGIN!P51:P54),"")</f>
        <v/>
      </c>
      <c r="Q168" s="13" t="str">
        <f>IFERROR(AVERAGE(EBITDA_MARGIN!Q51:Q54),"")</f>
        <v/>
      </c>
      <c r="R168" s="13" t="str">
        <f>IFERROR(AVERAGE(EBITDA_MARGIN!R51:R54),"")</f>
        <v/>
      </c>
      <c r="S168" s="13" t="str">
        <f>IFERROR(AVERAGE(EBITDA_MARGIN!S51:S54),"")</f>
        <v/>
      </c>
      <c r="T168" s="13" t="str">
        <f>IFERROR(AVERAGE(EBITDA_MARGIN!T51:T54),"")</f>
        <v/>
      </c>
      <c r="U168" s="13">
        <f>IFERROR(AVERAGE(EBITDA_MARGIN!U51:U54),"")</f>
        <v>-0.44444444444444442</v>
      </c>
      <c r="V168" s="13" t="str">
        <f>IFERROR(AVERAGE(EBITDA_MARGIN!V51:V54),"")</f>
        <v/>
      </c>
      <c r="W168" s="16">
        <f>IFERROR(AVERAGE(EBITDA_MARGIN!W51:W54),"")</f>
        <v>0.11297656421400616</v>
      </c>
      <c r="X168" s="16" t="str">
        <f>IFERROR(AVERAGE(EBITDA_MARGIN!X51:X54),"")</f>
        <v/>
      </c>
      <c r="Y168" s="16" t="str">
        <f>IFERROR(AVERAGE(EBITDA_MARGIN!Y51:Y54),"")</f>
        <v/>
      </c>
      <c r="Z168" s="16" t="str">
        <f>IFERROR(AVERAGE(EBITDA_MARGIN!Z51:Z54),"")</f>
        <v/>
      </c>
      <c r="AA168" s="16" t="str">
        <f>IFERROR(AVERAGE(EBITDA_MARGIN!AA51:AA54),"")</f>
        <v/>
      </c>
      <c r="AB168" s="16" t="str">
        <f>IFERROR(AVERAGE(EBITDA_MARGIN!AB51:AB54),"")</f>
        <v/>
      </c>
      <c r="AC168" s="11"/>
    </row>
    <row r="169" spans="1:29" ht="14">
      <c r="A169" s="14" t="s">
        <v>80</v>
      </c>
      <c r="B169" s="13" t="str">
        <f>IFERROR(AVERAGE(EBITDA_MARGIN!B52:B55),"")</f>
        <v/>
      </c>
      <c r="C169" s="13">
        <f>IFERROR(AVERAGE(EBITDA_MARGIN!C52:C55),"")</f>
        <v>0.23144695770448076</v>
      </c>
      <c r="D169" s="13">
        <f>IFERROR(AVERAGE(EBITDA_MARGIN!D52:D55),"")</f>
        <v>0.22245533076455837</v>
      </c>
      <c r="E169" s="13">
        <f>IFERROR(AVERAGE(EBITDA_MARGIN!E52:E55),"")</f>
        <v>0.39623628192397942</v>
      </c>
      <c r="F169" s="13">
        <f>IFERROR(AVERAGE(EBITDA_MARGIN!F52:F55),"")</f>
        <v>0.53843917717371859</v>
      </c>
      <c r="G169" s="13" t="str">
        <f>IFERROR(AVERAGE(EBITDA_MARGIN!G52:G55),"")</f>
        <v/>
      </c>
      <c r="H169" s="13" t="str">
        <f>IFERROR(AVERAGE(EBITDA_MARGIN!H52:H55),"")</f>
        <v/>
      </c>
      <c r="I169" s="13" t="str">
        <f>IFERROR(AVERAGE(EBITDA_MARGIN!I52:I55),"")</f>
        <v/>
      </c>
      <c r="J169" s="13">
        <f>IFERROR(AVERAGE(EBITDA_MARGIN!J52:J55),"")</f>
        <v>-5.282431785543322E-2</v>
      </c>
      <c r="K169" s="13"/>
      <c r="L169" s="13" t="str">
        <f>IFERROR(AVERAGE(EBITDA_MARGIN!L52:L55),"")</f>
        <v/>
      </c>
      <c r="M169" s="13" t="str">
        <f>IFERROR(AVERAGE(EBITDA_MARGIN!M52:M55),"")</f>
        <v/>
      </c>
      <c r="N169" s="13" t="str">
        <f>IFERROR(AVERAGE(EBITDA_MARGIN!N52:N55),"")</f>
        <v/>
      </c>
      <c r="O169" s="13">
        <f>IFERROR(AVERAGE(EBITDA_MARGIN!O52:O55),"")</f>
        <v>0.34955387982576608</v>
      </c>
      <c r="P169" s="13" t="str">
        <f>IFERROR(AVERAGE(EBITDA_MARGIN!P52:P55),"")</f>
        <v/>
      </c>
      <c r="Q169" s="13" t="str">
        <f>IFERROR(AVERAGE(EBITDA_MARGIN!Q52:Q55),"")</f>
        <v/>
      </c>
      <c r="R169" s="13" t="str">
        <f>IFERROR(AVERAGE(EBITDA_MARGIN!R52:R55),"")</f>
        <v/>
      </c>
      <c r="S169" s="13" t="str">
        <f>IFERROR(AVERAGE(EBITDA_MARGIN!S52:S55),"")</f>
        <v/>
      </c>
      <c r="T169" s="13" t="str">
        <f>IFERROR(AVERAGE(EBITDA_MARGIN!T52:T55),"")</f>
        <v/>
      </c>
      <c r="U169" s="13">
        <f>IFERROR(AVERAGE(EBITDA_MARGIN!U52:U55),"")</f>
        <v>-0.35176797313573255</v>
      </c>
      <c r="V169" s="13" t="str">
        <f>IFERROR(AVERAGE(EBITDA_MARGIN!V52:V55),"")</f>
        <v/>
      </c>
      <c r="W169" s="16">
        <f>IFERROR(AVERAGE(EBITDA_MARGIN!W52:W55),"")</f>
        <v>8.7241265702218684E-2</v>
      </c>
      <c r="X169" s="16" t="str">
        <f>IFERROR(AVERAGE(EBITDA_MARGIN!X52:X55),"")</f>
        <v/>
      </c>
      <c r="Y169" s="16" t="str">
        <f>IFERROR(AVERAGE(EBITDA_MARGIN!Y52:Y55),"")</f>
        <v/>
      </c>
      <c r="Z169" s="16" t="str">
        <f>IFERROR(AVERAGE(EBITDA_MARGIN!Z52:Z55),"")</f>
        <v/>
      </c>
      <c r="AA169" s="16" t="str">
        <f>IFERROR(AVERAGE(EBITDA_MARGIN!AA52:AA55),"")</f>
        <v/>
      </c>
      <c r="AB169" s="16" t="str">
        <f>IFERROR(AVERAGE(EBITDA_MARGIN!AB52:AB55),"")</f>
        <v/>
      </c>
      <c r="AC169" s="11"/>
    </row>
    <row r="170" spans="1:29" ht="14">
      <c r="A170" s="14" t="s">
        <v>81</v>
      </c>
      <c r="B170" s="13" t="str">
        <f>IFERROR(AVERAGE(EBITDA_MARGIN!B53:B56),"")</f>
        <v/>
      </c>
      <c r="C170" s="13">
        <f>IFERROR(AVERAGE(EBITDA_MARGIN!C53:C56),"")</f>
        <v>0.24476655997669106</v>
      </c>
      <c r="D170" s="13">
        <f>IFERROR(AVERAGE(EBITDA_MARGIN!D53:D56),"")</f>
        <v>0.21989224225802045</v>
      </c>
      <c r="E170" s="13">
        <f>IFERROR(AVERAGE(EBITDA_MARGIN!E53:E56),"")</f>
        <v>0.4012690684421778</v>
      </c>
      <c r="F170" s="13">
        <f>IFERROR(AVERAGE(EBITDA_MARGIN!F53:F56),"")</f>
        <v>0.53351005826320863</v>
      </c>
      <c r="G170" s="13" t="str">
        <f>IFERROR(AVERAGE(EBITDA_MARGIN!G53:G56),"")</f>
        <v/>
      </c>
      <c r="H170" s="13" t="str">
        <f>IFERROR(AVERAGE(EBITDA_MARGIN!H53:H56),"")</f>
        <v/>
      </c>
      <c r="I170" s="13" t="str">
        <f>IFERROR(AVERAGE(EBITDA_MARGIN!I53:I56),"")</f>
        <v/>
      </c>
      <c r="J170" s="13">
        <f>IFERROR(AVERAGE(EBITDA_MARGIN!J53:J56),"")</f>
        <v>-2.7477139458756863E-2</v>
      </c>
      <c r="K170" s="13"/>
      <c r="L170" s="13" t="str">
        <f>IFERROR(AVERAGE(EBITDA_MARGIN!L53:L56),"")</f>
        <v/>
      </c>
      <c r="M170" s="13" t="str">
        <f>IFERROR(AVERAGE(EBITDA_MARGIN!M53:M56),"")</f>
        <v/>
      </c>
      <c r="N170" s="13" t="str">
        <f>IFERROR(AVERAGE(EBITDA_MARGIN!N53:N56),"")</f>
        <v/>
      </c>
      <c r="O170" s="13">
        <f>IFERROR(AVERAGE(EBITDA_MARGIN!O53:O56),"")</f>
        <v>0.3522888825703725</v>
      </c>
      <c r="P170" s="13" t="str">
        <f>IFERROR(AVERAGE(EBITDA_MARGIN!P53:P56),"")</f>
        <v/>
      </c>
      <c r="Q170" s="13" t="str">
        <f>IFERROR(AVERAGE(EBITDA_MARGIN!Q53:Q56),"")</f>
        <v/>
      </c>
      <c r="R170" s="13" t="str">
        <f>IFERROR(AVERAGE(EBITDA_MARGIN!R53:R56),"")</f>
        <v/>
      </c>
      <c r="S170" s="13" t="str">
        <f>IFERROR(AVERAGE(EBITDA_MARGIN!S53:S56),"")</f>
        <v/>
      </c>
      <c r="T170" s="13" t="str">
        <f>IFERROR(AVERAGE(EBITDA_MARGIN!T53:T56),"")</f>
        <v/>
      </c>
      <c r="U170" s="13">
        <f>IFERROR(AVERAGE(EBITDA_MARGIN!U53:U56),"")</f>
        <v>-0.25909150182702073</v>
      </c>
      <c r="V170" s="13" t="str">
        <f>IFERROR(AVERAGE(EBITDA_MARGIN!V53:V56),"")</f>
        <v/>
      </c>
      <c r="W170" s="16">
        <f>IFERROR(AVERAGE(EBITDA_MARGIN!W53:W56),"")</f>
        <v>6.1505967190431207E-2</v>
      </c>
      <c r="X170" s="16" t="str">
        <f>IFERROR(AVERAGE(EBITDA_MARGIN!X53:X56),"")</f>
        <v/>
      </c>
      <c r="Y170" s="16" t="str">
        <f>IFERROR(AVERAGE(EBITDA_MARGIN!Y53:Y56),"")</f>
        <v/>
      </c>
      <c r="Z170" s="16" t="str">
        <f>IFERROR(AVERAGE(EBITDA_MARGIN!Z53:Z56),"")</f>
        <v/>
      </c>
      <c r="AA170" s="16" t="str">
        <f>IFERROR(AVERAGE(EBITDA_MARGIN!AA53:AA56),"")</f>
        <v/>
      </c>
      <c r="AB170" s="16" t="str">
        <f>IFERROR(AVERAGE(EBITDA_MARGIN!AB53:AB56),"")</f>
        <v/>
      </c>
      <c r="AC170" s="11"/>
    </row>
    <row r="171" spans="1:29" ht="14">
      <c r="A171" s="14" t="s">
        <v>82</v>
      </c>
      <c r="B171" s="13" t="str">
        <f>IFERROR(AVERAGE(EBITDA_MARGIN!B54:B57),"")</f>
        <v/>
      </c>
      <c r="C171" s="13">
        <f>IFERROR(AVERAGE(EBITDA_MARGIN!C54:C57),"")</f>
        <v>0.25808616224890135</v>
      </c>
      <c r="D171" s="13">
        <f>IFERROR(AVERAGE(EBITDA_MARGIN!D54:D57),"")</f>
        <v>0.21732915375148254</v>
      </c>
      <c r="E171" s="13">
        <f>IFERROR(AVERAGE(EBITDA_MARGIN!E54:E57),"")</f>
        <v>0.40630185496037619</v>
      </c>
      <c r="F171" s="13">
        <f>IFERROR(AVERAGE(EBITDA_MARGIN!F54:F57),"")</f>
        <v>0.52858093935269856</v>
      </c>
      <c r="G171" s="13" t="str">
        <f>IFERROR(AVERAGE(EBITDA_MARGIN!G54:G57),"")</f>
        <v/>
      </c>
      <c r="H171" s="13" t="str">
        <f>IFERROR(AVERAGE(EBITDA_MARGIN!H54:H57),"")</f>
        <v/>
      </c>
      <c r="I171" s="13" t="str">
        <f>IFERROR(AVERAGE(EBITDA_MARGIN!I54:I57),"")</f>
        <v/>
      </c>
      <c r="J171" s="13">
        <f>IFERROR(AVERAGE(EBITDA_MARGIN!J54:J57),"")</f>
        <v>-2.1299610620805105E-3</v>
      </c>
      <c r="K171" s="13"/>
      <c r="L171" s="13" t="str">
        <f>IFERROR(AVERAGE(EBITDA_MARGIN!L54:L57),"")</f>
        <v/>
      </c>
      <c r="M171" s="13" t="str">
        <f>IFERROR(AVERAGE(EBITDA_MARGIN!M54:M57),"")</f>
        <v/>
      </c>
      <c r="N171" s="13" t="str">
        <f>IFERROR(AVERAGE(EBITDA_MARGIN!N54:N57),"")</f>
        <v/>
      </c>
      <c r="O171" s="13">
        <f>IFERROR(AVERAGE(EBITDA_MARGIN!O54:O57),"")</f>
        <v>0.34260159970308623</v>
      </c>
      <c r="P171" s="13" t="str">
        <f>IFERROR(AVERAGE(EBITDA_MARGIN!P54:P57),"")</f>
        <v/>
      </c>
      <c r="Q171" s="13" t="str">
        <f>IFERROR(AVERAGE(EBITDA_MARGIN!Q54:Q57),"")</f>
        <v/>
      </c>
      <c r="R171" s="13" t="str">
        <f>IFERROR(AVERAGE(EBITDA_MARGIN!R54:R57),"")</f>
        <v/>
      </c>
      <c r="S171" s="13" t="str">
        <f>IFERROR(AVERAGE(EBITDA_MARGIN!S54:S57),"")</f>
        <v/>
      </c>
      <c r="T171" s="13" t="str">
        <f>IFERROR(AVERAGE(EBITDA_MARGIN!T54:T57),"")</f>
        <v/>
      </c>
      <c r="U171" s="13">
        <f>IFERROR(AVERAGE(EBITDA_MARGIN!U54:U57),"")</f>
        <v>-0.16641503051830889</v>
      </c>
      <c r="V171" s="13" t="str">
        <f>IFERROR(AVERAGE(EBITDA_MARGIN!V54:V57),"")</f>
        <v/>
      </c>
      <c r="W171" s="16">
        <f>IFERROR(AVERAGE(EBITDA_MARGIN!W54:W57),"")</f>
        <v>7.3892166692918551E-2</v>
      </c>
      <c r="X171" s="16" t="str">
        <f>IFERROR(AVERAGE(EBITDA_MARGIN!X54:X57),"")</f>
        <v/>
      </c>
      <c r="Y171" s="16" t="str">
        <f>IFERROR(AVERAGE(EBITDA_MARGIN!Y54:Y57),"")</f>
        <v/>
      </c>
      <c r="Z171" s="16" t="str">
        <f>IFERROR(AVERAGE(EBITDA_MARGIN!Z54:Z57),"")</f>
        <v/>
      </c>
      <c r="AA171" s="16" t="str">
        <f>IFERROR(AVERAGE(EBITDA_MARGIN!AA54:AA57),"")</f>
        <v/>
      </c>
      <c r="AB171" s="16" t="str">
        <f>IFERROR(AVERAGE(EBITDA_MARGIN!AB54:AB57),"")</f>
        <v/>
      </c>
      <c r="AC171" s="11"/>
    </row>
    <row r="172" spans="1:29" ht="14">
      <c r="A172" s="14" t="s">
        <v>83</v>
      </c>
      <c r="B172" s="13" t="str">
        <f>IFERROR(AVERAGE(EBITDA_MARGIN!B55:B58),"")</f>
        <v/>
      </c>
      <c r="C172" s="13">
        <f>IFERROR(AVERAGE(EBITDA_MARGIN!C55:C58),"")</f>
        <v>0.27140576452111165</v>
      </c>
      <c r="D172" s="13">
        <f>IFERROR(AVERAGE(EBITDA_MARGIN!D55:D58),"")</f>
        <v>0.21476606524494463</v>
      </c>
      <c r="E172" s="13">
        <f>IFERROR(AVERAGE(EBITDA_MARGIN!E55:E58),"")</f>
        <v>0.41133464147857451</v>
      </c>
      <c r="F172" s="13">
        <f>IFERROR(AVERAGE(EBITDA_MARGIN!F55:F58),"")</f>
        <v>0.5236518204421885</v>
      </c>
      <c r="G172" s="13" t="str">
        <f>IFERROR(AVERAGE(EBITDA_MARGIN!G55:G58),"")</f>
        <v/>
      </c>
      <c r="H172" s="13" t="str">
        <f>IFERROR(AVERAGE(EBITDA_MARGIN!H55:H58),"")</f>
        <v/>
      </c>
      <c r="I172" s="13" t="str">
        <f>IFERROR(AVERAGE(EBITDA_MARGIN!I55:I58),"")</f>
        <v/>
      </c>
      <c r="J172" s="13">
        <f>IFERROR(AVERAGE(EBITDA_MARGIN!J55:J58),"")</f>
        <v>2.3217217334595842E-2</v>
      </c>
      <c r="K172" s="13"/>
      <c r="L172" s="13" t="str">
        <f>IFERROR(AVERAGE(EBITDA_MARGIN!L55:L58),"")</f>
        <v/>
      </c>
      <c r="M172" s="13" t="str">
        <f>IFERROR(AVERAGE(EBITDA_MARGIN!M55:M58),"")</f>
        <v/>
      </c>
      <c r="N172" s="13" t="str">
        <f>IFERROR(AVERAGE(EBITDA_MARGIN!N55:N58),"")</f>
        <v/>
      </c>
      <c r="O172" s="13">
        <f>IFERROR(AVERAGE(EBITDA_MARGIN!O55:O58),"")</f>
        <v>0.33291431683579997</v>
      </c>
      <c r="P172" s="13" t="str">
        <f>IFERROR(AVERAGE(EBITDA_MARGIN!P55:P58),"")</f>
        <v/>
      </c>
      <c r="Q172" s="13" t="str">
        <f>IFERROR(AVERAGE(EBITDA_MARGIN!Q55:Q58),"")</f>
        <v/>
      </c>
      <c r="R172" s="13" t="str">
        <f>IFERROR(AVERAGE(EBITDA_MARGIN!R55:R58),"")</f>
        <v/>
      </c>
      <c r="S172" s="13" t="str">
        <f>IFERROR(AVERAGE(EBITDA_MARGIN!S55:S58),"")</f>
        <v/>
      </c>
      <c r="T172" s="13" t="str">
        <f>IFERROR(AVERAGE(EBITDA_MARGIN!T55:T58),"")</f>
        <v/>
      </c>
      <c r="U172" s="13">
        <f>IFERROR(AVERAGE(EBITDA_MARGIN!U55:U58),"")</f>
        <v>-7.3738559209597002E-2</v>
      </c>
      <c r="V172" s="13" t="str">
        <f>IFERROR(AVERAGE(EBITDA_MARGIN!V55:V58),"")</f>
        <v/>
      </c>
      <c r="W172" s="16">
        <f>IFERROR(AVERAGE(EBITDA_MARGIN!W55:W58),"")</f>
        <v>8.6278366195405895E-2</v>
      </c>
      <c r="X172" s="16" t="str">
        <f>IFERROR(AVERAGE(EBITDA_MARGIN!X55:X58),"")</f>
        <v/>
      </c>
      <c r="Y172" s="16" t="str">
        <f>IFERROR(AVERAGE(EBITDA_MARGIN!Y55:Y58),"")</f>
        <v/>
      </c>
      <c r="Z172" s="16" t="str">
        <f>IFERROR(AVERAGE(EBITDA_MARGIN!Z55:Z58),"")</f>
        <v/>
      </c>
      <c r="AA172" s="16" t="str">
        <f>IFERROR(AVERAGE(EBITDA_MARGIN!AA55:AA58),"")</f>
        <v/>
      </c>
      <c r="AB172" s="16" t="str">
        <f>IFERROR(AVERAGE(EBITDA_MARGIN!AB55:AB58),"")</f>
        <v/>
      </c>
      <c r="AC172" s="11"/>
    </row>
    <row r="173" spans="1:29" ht="14">
      <c r="A173" s="14" t="s">
        <v>84</v>
      </c>
      <c r="B173" s="13" t="str">
        <f>IFERROR(AVERAGE(EBITDA_MARGIN!B56:B59),"")</f>
        <v/>
      </c>
      <c r="C173" s="13">
        <f>IFERROR(AVERAGE(EBITDA_MARGIN!C56:C59),"")</f>
        <v>0.28693793670791218</v>
      </c>
      <c r="D173" s="13">
        <f>IFERROR(AVERAGE(EBITDA_MARGIN!D56:D59),"")</f>
        <v>0.20858080362889775</v>
      </c>
      <c r="E173" s="13">
        <f>IFERROR(AVERAGE(EBITDA_MARGIN!E56:E59),"")</f>
        <v>0.39655383556313412</v>
      </c>
      <c r="F173" s="13">
        <f>IFERROR(AVERAGE(EBITDA_MARGIN!F56:F59),"")</f>
        <v>0.51265400716219811</v>
      </c>
      <c r="G173" s="13" t="str">
        <f>IFERROR(AVERAGE(EBITDA_MARGIN!G56:G59),"")</f>
        <v/>
      </c>
      <c r="H173" s="13" t="str">
        <f>IFERROR(AVERAGE(EBITDA_MARGIN!H56:H59),"")</f>
        <v/>
      </c>
      <c r="I173" s="13" t="str">
        <f>IFERROR(AVERAGE(EBITDA_MARGIN!I56:I59),"")</f>
        <v/>
      </c>
      <c r="J173" s="13">
        <f>IFERROR(AVERAGE(EBITDA_MARGIN!J56:J59),"")</f>
        <v>4.8564395731272199E-2</v>
      </c>
      <c r="K173" s="13"/>
      <c r="L173" s="13" t="str">
        <f>IFERROR(AVERAGE(EBITDA_MARGIN!L56:L59),"")</f>
        <v/>
      </c>
      <c r="M173" s="13" t="str">
        <f>IFERROR(AVERAGE(EBITDA_MARGIN!M56:M59),"")</f>
        <v/>
      </c>
      <c r="N173" s="13" t="str">
        <f>IFERROR(AVERAGE(EBITDA_MARGIN!N56:N59),"")</f>
        <v/>
      </c>
      <c r="O173" s="13">
        <f>IFERROR(AVERAGE(EBITDA_MARGIN!O56:O59),"")</f>
        <v>0.32322703396851371</v>
      </c>
      <c r="P173" s="13" t="str">
        <f>IFERROR(AVERAGE(EBITDA_MARGIN!P56:P59),"")</f>
        <v/>
      </c>
      <c r="Q173" s="13" t="str">
        <f>IFERROR(AVERAGE(EBITDA_MARGIN!Q56:Q59),"")</f>
        <v/>
      </c>
      <c r="R173" s="13" t="str">
        <f>IFERROR(AVERAGE(EBITDA_MARGIN!R56:R59),"")</f>
        <v/>
      </c>
      <c r="S173" s="13" t="str">
        <f>IFERROR(AVERAGE(EBITDA_MARGIN!S56:S59),"")</f>
        <v/>
      </c>
      <c r="T173" s="13" t="str">
        <f>IFERROR(AVERAGE(EBITDA_MARGIN!T56:T59),"")</f>
        <v/>
      </c>
      <c r="U173" s="13">
        <f>IFERROR(AVERAGE(EBITDA_MARGIN!U56:U59),"")</f>
        <v>-6.6773419380498758E-2</v>
      </c>
      <c r="V173" s="13" t="str">
        <f>IFERROR(AVERAGE(EBITDA_MARGIN!V56:V59),"")</f>
        <v/>
      </c>
      <c r="W173" s="16">
        <f>IFERROR(AVERAGE(EBITDA_MARGIN!W56:W59),"")</f>
        <v>9.8664565697893239E-2</v>
      </c>
      <c r="X173" s="16" t="str">
        <f>IFERROR(AVERAGE(EBITDA_MARGIN!X56:X59),"")</f>
        <v/>
      </c>
      <c r="Y173" s="16" t="str">
        <f>IFERROR(AVERAGE(EBITDA_MARGIN!Y56:Y59),"")</f>
        <v/>
      </c>
      <c r="Z173" s="16" t="str">
        <f>IFERROR(AVERAGE(EBITDA_MARGIN!Z56:Z59),"")</f>
        <v/>
      </c>
      <c r="AA173" s="16" t="str">
        <f>IFERROR(AVERAGE(EBITDA_MARGIN!AA56:AA59),"")</f>
        <v/>
      </c>
      <c r="AB173" s="16" t="str">
        <f>IFERROR(AVERAGE(EBITDA_MARGIN!AB56:AB59),"")</f>
        <v/>
      </c>
      <c r="AC173" s="11"/>
    </row>
    <row r="174" spans="1:29" ht="14">
      <c r="A174" s="14" t="s">
        <v>85</v>
      </c>
      <c r="B174" s="13" t="str">
        <f>IFERROR(AVERAGE(EBITDA_MARGIN!B57:B60),"")</f>
        <v/>
      </c>
      <c r="C174" s="13">
        <f>IFERROR(AVERAGE(EBITDA_MARGIN!C57:C60),"")</f>
        <v>0.30247010889471271</v>
      </c>
      <c r="D174" s="13">
        <f>IFERROR(AVERAGE(EBITDA_MARGIN!D57:D60),"")</f>
        <v>0.20239554201285084</v>
      </c>
      <c r="E174" s="13">
        <f>IFERROR(AVERAGE(EBITDA_MARGIN!E57:E60),"")</f>
        <v>0.38177302964769377</v>
      </c>
      <c r="F174" s="13">
        <f>IFERROR(AVERAGE(EBITDA_MARGIN!F57:F60),"")</f>
        <v>0.50165619388220783</v>
      </c>
      <c r="G174" s="13" t="str">
        <f>IFERROR(AVERAGE(EBITDA_MARGIN!G57:G60),"")</f>
        <v/>
      </c>
      <c r="H174" s="13"/>
      <c r="I174" s="13" t="str">
        <f>IFERROR(AVERAGE(EBITDA_MARGIN!I57:I60),"")</f>
        <v/>
      </c>
      <c r="J174" s="13">
        <f>IFERROR(AVERAGE(EBITDA_MARGIN!J57:J60),"")</f>
        <v>4.5154266945809936E-2</v>
      </c>
      <c r="K174" s="13"/>
      <c r="L174" s="13" t="str">
        <f>IFERROR(AVERAGE(EBITDA_MARGIN!L57:L60),"")</f>
        <v/>
      </c>
      <c r="M174" s="13" t="str">
        <f>IFERROR(AVERAGE(EBITDA_MARGIN!M57:M60),"")</f>
        <v/>
      </c>
      <c r="N174" s="13" t="str">
        <f>IFERROR(AVERAGE(EBITDA_MARGIN!N57:N60),"")</f>
        <v/>
      </c>
      <c r="O174" s="13">
        <f>IFERROR(AVERAGE(EBITDA_MARGIN!O57:O60),"")</f>
        <v>0.31353975110122739</v>
      </c>
      <c r="P174" s="13" t="str">
        <f>IFERROR(AVERAGE(EBITDA_MARGIN!P57:P60),"")</f>
        <v/>
      </c>
      <c r="Q174" s="13" t="str">
        <f>IFERROR(AVERAGE(EBITDA_MARGIN!Q57:Q60),"")</f>
        <v/>
      </c>
      <c r="R174" s="13" t="str">
        <f>IFERROR(AVERAGE(EBITDA_MARGIN!R57:R60),"")</f>
        <v/>
      </c>
      <c r="S174" s="13" t="str">
        <f>IFERROR(AVERAGE(EBITDA_MARGIN!S57:S60),"")</f>
        <v/>
      </c>
      <c r="T174" s="13" t="str">
        <f>IFERROR(AVERAGE(EBITDA_MARGIN!T57:T60),"")</f>
        <v/>
      </c>
      <c r="U174" s="13">
        <f>IFERROR(AVERAGE(EBITDA_MARGIN!U57:U60),"")</f>
        <v>-5.9808279551400501E-2</v>
      </c>
      <c r="V174" s="13" t="str">
        <f>IFERROR(AVERAGE(EBITDA_MARGIN!V57:V60),"")</f>
        <v/>
      </c>
      <c r="W174" s="16">
        <f>IFERROR(AVERAGE(EBITDA_MARGIN!W57:W60),"")</f>
        <v>0.11105076520038058</v>
      </c>
      <c r="X174" s="16" t="str">
        <f>IFERROR(AVERAGE(EBITDA_MARGIN!X57:X60),"")</f>
        <v/>
      </c>
      <c r="Y174" s="16" t="str">
        <f>IFERROR(AVERAGE(EBITDA_MARGIN!Y57:Y60),"")</f>
        <v/>
      </c>
      <c r="Z174" s="16" t="str">
        <f>IFERROR(AVERAGE(EBITDA_MARGIN!Z57:Z60),"")</f>
        <v/>
      </c>
      <c r="AA174" s="16" t="str">
        <f>IFERROR(AVERAGE(EBITDA_MARGIN!AA57:AA60),"")</f>
        <v/>
      </c>
      <c r="AB174" s="16" t="str">
        <f>IFERROR(AVERAGE(EBITDA_MARGIN!AB57:AB60),"")</f>
        <v/>
      </c>
      <c r="AC174" s="11"/>
    </row>
    <row r="175" spans="1:29" ht="14">
      <c r="A175" s="14" t="s">
        <v>86</v>
      </c>
      <c r="B175" s="13" t="str">
        <f>IFERROR(AVERAGE(EBITDA_MARGIN!B58:B61),"")</f>
        <v/>
      </c>
      <c r="C175" s="13">
        <f>IFERROR(AVERAGE(EBITDA_MARGIN!C58:C61),"")</f>
        <v>0.31800228108151324</v>
      </c>
      <c r="D175" s="13">
        <f>IFERROR(AVERAGE(EBITDA_MARGIN!D58:D61),"")</f>
        <v>0.19621028039680394</v>
      </c>
      <c r="E175" s="13">
        <f>IFERROR(AVERAGE(EBITDA_MARGIN!E58:E61),"")</f>
        <v>0.36699222373225338</v>
      </c>
      <c r="F175" s="13">
        <f>IFERROR(AVERAGE(EBITDA_MARGIN!F58:F61),"")</f>
        <v>0.4906583806022175</v>
      </c>
      <c r="G175" s="13" t="str">
        <f>IFERROR(AVERAGE(EBITDA_MARGIN!G58:G61),"")</f>
        <v/>
      </c>
      <c r="H175" s="13"/>
      <c r="I175" s="13" t="str">
        <f>IFERROR(AVERAGE(EBITDA_MARGIN!I58:I61),"")</f>
        <v/>
      </c>
      <c r="J175" s="13">
        <f>IFERROR(AVERAGE(EBITDA_MARGIN!J58:J61),"")</f>
        <v>4.1744138160347666E-2</v>
      </c>
      <c r="K175" s="13"/>
      <c r="L175" s="13" t="str">
        <f>IFERROR(AVERAGE(EBITDA_MARGIN!L58:L61),"")</f>
        <v/>
      </c>
      <c r="M175" s="13" t="str">
        <f>IFERROR(AVERAGE(EBITDA_MARGIN!M58:M61),"")</f>
        <v/>
      </c>
      <c r="N175" s="13" t="str">
        <f>IFERROR(AVERAGE(EBITDA_MARGIN!N58:N61),"")</f>
        <v/>
      </c>
      <c r="O175" s="13">
        <f>IFERROR(AVERAGE(EBITDA_MARGIN!O58:O61),"")</f>
        <v>0.31415345208719331</v>
      </c>
      <c r="P175" s="13" t="str">
        <f>IFERROR(AVERAGE(EBITDA_MARGIN!P58:P61),"")</f>
        <v/>
      </c>
      <c r="Q175" s="13" t="str">
        <f>IFERROR(AVERAGE(EBITDA_MARGIN!Q58:Q61),"")</f>
        <v/>
      </c>
      <c r="R175" s="13" t="str">
        <f>IFERROR(AVERAGE(EBITDA_MARGIN!R58:R61),"")</f>
        <v/>
      </c>
      <c r="S175" s="13" t="str">
        <f>IFERROR(AVERAGE(EBITDA_MARGIN!S58:S61),"")</f>
        <v/>
      </c>
      <c r="T175" s="13" t="str">
        <f>IFERROR(AVERAGE(EBITDA_MARGIN!T58:T61),"")</f>
        <v/>
      </c>
      <c r="U175" s="13">
        <f>IFERROR(AVERAGE(EBITDA_MARGIN!U58:U61),"")</f>
        <v>-5.2843139722302257E-2</v>
      </c>
      <c r="V175" s="13" t="str">
        <f>IFERROR(AVERAGE(EBITDA_MARGIN!V58:V61),"")</f>
        <v/>
      </c>
      <c r="W175" s="16">
        <f>IFERROR(AVERAGE(EBITDA_MARGIN!W58:W61),"")</f>
        <v>0.12579736613685863</v>
      </c>
      <c r="X175" s="16" t="str">
        <f>IFERROR(AVERAGE(EBITDA_MARGIN!X58:X61),"")</f>
        <v/>
      </c>
      <c r="Y175" s="16" t="str">
        <f>IFERROR(AVERAGE(EBITDA_MARGIN!Y58:Y61),"")</f>
        <v/>
      </c>
      <c r="Z175" s="16" t="str">
        <f>IFERROR(AVERAGE(EBITDA_MARGIN!Z58:Z61),"")</f>
        <v/>
      </c>
      <c r="AA175" s="16" t="str">
        <f>IFERROR(AVERAGE(EBITDA_MARGIN!AA58:AA61),"")</f>
        <v/>
      </c>
      <c r="AB175" s="16" t="str">
        <f>IFERROR(AVERAGE(EBITDA_MARGIN!AB58:AB61),"")</f>
        <v/>
      </c>
      <c r="AC175" s="11"/>
    </row>
    <row r="176" spans="1:29" ht="14">
      <c r="A176" s="14" t="s">
        <v>87</v>
      </c>
      <c r="B176" s="13" t="str">
        <f>IFERROR(AVERAGE(EBITDA_MARGIN!B59:B62),"")</f>
        <v/>
      </c>
      <c r="C176" s="13">
        <f>IFERROR(AVERAGE(EBITDA_MARGIN!C59:C62),"")</f>
        <v>0.33353445326831371</v>
      </c>
      <c r="D176" s="13">
        <f>IFERROR(AVERAGE(EBITDA_MARGIN!D59:D62),"")</f>
        <v>0.19002501878075703</v>
      </c>
      <c r="E176" s="13">
        <f>IFERROR(AVERAGE(EBITDA_MARGIN!E59:E62),"")</f>
        <v>0.35221141781681303</v>
      </c>
      <c r="F176" s="13">
        <f>IFERROR(AVERAGE(EBITDA_MARGIN!F59:F62),"")</f>
        <v>0.47966056732222717</v>
      </c>
      <c r="G176" s="13" t="str">
        <f>IFERROR(AVERAGE(EBITDA_MARGIN!G59:G62),"")</f>
        <v/>
      </c>
      <c r="H176" s="13"/>
      <c r="I176" s="13" t="str">
        <f>IFERROR(AVERAGE(EBITDA_MARGIN!I59:I62),"")</f>
        <v/>
      </c>
      <c r="J176" s="13">
        <f>IFERROR(AVERAGE(EBITDA_MARGIN!J59:J62),"")</f>
        <v>3.8334009374885403E-2</v>
      </c>
      <c r="K176" s="13"/>
      <c r="L176" s="13" t="str">
        <f>IFERROR(AVERAGE(EBITDA_MARGIN!L59:L62),"")</f>
        <v/>
      </c>
      <c r="M176" s="13" t="str">
        <f>IFERROR(AVERAGE(EBITDA_MARGIN!M59:M62),"")</f>
        <v/>
      </c>
      <c r="N176" s="13" t="str">
        <f>IFERROR(AVERAGE(EBITDA_MARGIN!N59:N62),"")</f>
        <v/>
      </c>
      <c r="O176" s="13">
        <f>IFERROR(AVERAGE(EBITDA_MARGIN!O59:O62),"")</f>
        <v>0.31476715307315922</v>
      </c>
      <c r="P176" s="13" t="str">
        <f>IFERROR(AVERAGE(EBITDA_MARGIN!P59:P62),"")</f>
        <v/>
      </c>
      <c r="Q176" s="13" t="str">
        <f>IFERROR(AVERAGE(EBITDA_MARGIN!Q59:Q62),"")</f>
        <v/>
      </c>
      <c r="R176" s="13" t="str">
        <f>IFERROR(AVERAGE(EBITDA_MARGIN!R59:R62),"")</f>
        <v/>
      </c>
      <c r="S176" s="13" t="str">
        <f>IFERROR(AVERAGE(EBITDA_MARGIN!S59:S62),"")</f>
        <v/>
      </c>
      <c r="T176" s="13" t="str">
        <f>IFERROR(AVERAGE(EBITDA_MARGIN!T59:T62),"")</f>
        <v/>
      </c>
      <c r="U176" s="13">
        <f>IFERROR(AVERAGE(EBITDA_MARGIN!U59:U62),"")</f>
        <v>-4.5877999893204E-2</v>
      </c>
      <c r="V176" s="13" t="str">
        <f>IFERROR(AVERAGE(EBITDA_MARGIN!V59:V62),"")</f>
        <v/>
      </c>
      <c r="W176" s="16">
        <f>IFERROR(AVERAGE(EBITDA_MARGIN!W59:W62),"")</f>
        <v>0.14054396707333666</v>
      </c>
      <c r="X176" s="16" t="str">
        <f>IFERROR(AVERAGE(EBITDA_MARGIN!X59:X62),"")</f>
        <v/>
      </c>
      <c r="Y176" s="16" t="str">
        <f>IFERROR(AVERAGE(EBITDA_MARGIN!Y59:Y62),"")</f>
        <v/>
      </c>
      <c r="Z176" s="16" t="str">
        <f>IFERROR(AVERAGE(EBITDA_MARGIN!Z59:Z62),"")</f>
        <v/>
      </c>
      <c r="AA176" s="16" t="str">
        <f>IFERROR(AVERAGE(EBITDA_MARGIN!AA59:AA62),"")</f>
        <v/>
      </c>
      <c r="AB176" s="16" t="str">
        <f>IFERROR(AVERAGE(EBITDA_MARGIN!AB59:AB62),"")</f>
        <v/>
      </c>
      <c r="AC176" s="11"/>
    </row>
    <row r="177" spans="1:29" ht="14">
      <c r="A177" s="14" t="s">
        <v>88</v>
      </c>
      <c r="B177" s="13" t="str">
        <f>IFERROR(AVERAGE(EBITDA_MARGIN!B60:B63),"")</f>
        <v/>
      </c>
      <c r="C177" s="13">
        <f>IFERROR(AVERAGE(EBITDA_MARGIN!C60:C63),"")</f>
        <v>0.34019787702966742</v>
      </c>
      <c r="D177" s="13">
        <f>IFERROR(AVERAGE(EBITDA_MARGIN!D60:D63),"")</f>
        <v>0.18871211914903996</v>
      </c>
      <c r="E177" s="13">
        <f>IFERROR(AVERAGE(EBITDA_MARGIN!E60:E63),"")</f>
        <v>0.3156787295961932</v>
      </c>
      <c r="F177" s="13">
        <f>IFERROR(AVERAGE(EBITDA_MARGIN!F60:F63),"")</f>
        <v>0.46525001264763366</v>
      </c>
      <c r="G177" s="13" t="str">
        <f>IFERROR(AVERAGE(EBITDA_MARGIN!G60:G63),"")</f>
        <v/>
      </c>
      <c r="H177" s="13">
        <f>IFERROR(AVERAGE(EBITDA_MARGIN!H60:H63),"")</f>
        <v>0.21235707568182943</v>
      </c>
      <c r="I177" s="13" t="str">
        <f>IFERROR(AVERAGE(EBITDA_MARGIN!I60:I63),"")</f>
        <v/>
      </c>
      <c r="J177" s="13">
        <f>IFERROR(AVERAGE(EBITDA_MARGIN!J60:J63),"")</f>
        <v>3.492388058942314E-2</v>
      </c>
      <c r="K177" s="13"/>
      <c r="L177" s="13" t="str">
        <f>IFERROR(AVERAGE(EBITDA_MARGIN!L60:L63),"")</f>
        <v/>
      </c>
      <c r="M177" s="13" t="str">
        <f>IFERROR(AVERAGE(EBITDA_MARGIN!M60:M63),"")</f>
        <v/>
      </c>
      <c r="N177" s="13" t="str">
        <f>IFERROR(AVERAGE(EBITDA_MARGIN!N60:N63),"")</f>
        <v/>
      </c>
      <c r="O177" s="13">
        <f>IFERROR(AVERAGE(EBITDA_MARGIN!O60:O63),"")</f>
        <v>0.31538085405912514</v>
      </c>
      <c r="P177" s="13" t="str">
        <f>IFERROR(AVERAGE(EBITDA_MARGIN!P60:P63),"")</f>
        <v/>
      </c>
      <c r="Q177" s="13" t="str">
        <f>IFERROR(AVERAGE(EBITDA_MARGIN!Q60:Q63),"")</f>
        <v/>
      </c>
      <c r="R177" s="13"/>
      <c r="S177" s="13" t="str">
        <f>IFERROR(AVERAGE(EBITDA_MARGIN!S60:S63),"")</f>
        <v/>
      </c>
      <c r="T177" s="13" t="str">
        <f>IFERROR(AVERAGE(EBITDA_MARGIN!T60:T63),"")</f>
        <v/>
      </c>
      <c r="U177" s="13">
        <f>IFERROR(AVERAGE(EBITDA_MARGIN!U60:U63),"")</f>
        <v>-0.13025035067414414</v>
      </c>
      <c r="V177" s="13" t="str">
        <f>IFERROR(AVERAGE(EBITDA_MARGIN!V60:V63),"")</f>
        <v/>
      </c>
      <c r="W177" s="16">
        <f>IFERROR(AVERAGE(EBITDA_MARGIN!W60:W63),"")</f>
        <v>0.15529056800981472</v>
      </c>
      <c r="X177" s="16" t="str">
        <f>IFERROR(AVERAGE(EBITDA_MARGIN!X60:X63),"")</f>
        <v/>
      </c>
      <c r="Y177" s="16" t="str">
        <f>IFERROR(AVERAGE(EBITDA_MARGIN!Y60:Y63),"")</f>
        <v/>
      </c>
      <c r="Z177" s="16" t="str">
        <f>IFERROR(AVERAGE(EBITDA_MARGIN!Z60:Z63),"")</f>
        <v/>
      </c>
      <c r="AA177" s="16" t="str">
        <f>IFERROR(AVERAGE(EBITDA_MARGIN!AA60:AA63),"")</f>
        <v/>
      </c>
      <c r="AB177" s="16" t="str">
        <f>IFERROR(AVERAGE(EBITDA_MARGIN!AB60:AB63),"")</f>
        <v/>
      </c>
      <c r="AC177" s="11"/>
    </row>
    <row r="178" spans="1:29" ht="14">
      <c r="A178" s="14" t="s">
        <v>89</v>
      </c>
      <c r="B178" s="13" t="str">
        <f>IFERROR(AVERAGE(EBITDA_MARGIN!B61:B64),"")</f>
        <v/>
      </c>
      <c r="C178" s="13">
        <f>IFERROR(AVERAGE(EBITDA_MARGIN!C61:C64),"")</f>
        <v>0.34686130079102112</v>
      </c>
      <c r="D178" s="13">
        <f>IFERROR(AVERAGE(EBITDA_MARGIN!D61:D64),"")</f>
        <v>0.18739921951732291</v>
      </c>
      <c r="E178" s="13">
        <f>IFERROR(AVERAGE(EBITDA_MARGIN!E61:E64),"")</f>
        <v>0.27914604137557331</v>
      </c>
      <c r="F178" s="13">
        <f>IFERROR(AVERAGE(EBITDA_MARGIN!F61:F64),"")</f>
        <v>0.45083945797304026</v>
      </c>
      <c r="G178" s="13" t="str">
        <f>IFERROR(AVERAGE(EBITDA_MARGIN!G61:G64),"")</f>
        <v/>
      </c>
      <c r="H178" s="13">
        <f>IFERROR(AVERAGE(EBITDA_MARGIN!H61:H64),"")</f>
        <v>0.21160974887480344</v>
      </c>
      <c r="I178" s="13" t="str">
        <f>IFERROR(AVERAGE(EBITDA_MARGIN!I61:I64),"")</f>
        <v/>
      </c>
      <c r="J178" s="13">
        <f>IFERROR(AVERAGE(EBITDA_MARGIN!J61:J64),"")</f>
        <v>1.0636058391128196E-2</v>
      </c>
      <c r="K178" s="13"/>
      <c r="L178" s="13" t="str">
        <f>IFERROR(AVERAGE(EBITDA_MARGIN!L61:L64),"")</f>
        <v/>
      </c>
      <c r="M178" s="13" t="str">
        <f>IFERROR(AVERAGE(EBITDA_MARGIN!M61:M64),"")</f>
        <v/>
      </c>
      <c r="N178" s="13" t="str">
        <f>IFERROR(AVERAGE(EBITDA_MARGIN!N61:N64),"")</f>
        <v/>
      </c>
      <c r="O178" s="13">
        <f>IFERROR(AVERAGE(EBITDA_MARGIN!O61:O64),"")</f>
        <v>0.31599455504509105</v>
      </c>
      <c r="P178" s="13" t="str">
        <f>IFERROR(AVERAGE(EBITDA_MARGIN!P61:P64),"")</f>
        <v/>
      </c>
      <c r="Q178" s="13" t="str">
        <f>IFERROR(AVERAGE(EBITDA_MARGIN!Q61:Q64),"")</f>
        <v/>
      </c>
      <c r="R178" s="13"/>
      <c r="S178" s="13" t="str">
        <f>IFERROR(AVERAGE(EBITDA_MARGIN!S61:S64),"")</f>
        <v/>
      </c>
      <c r="T178" s="13" t="str">
        <f>IFERROR(AVERAGE(EBITDA_MARGIN!T61:T64),"")</f>
        <v/>
      </c>
      <c r="U178" s="13">
        <f>IFERROR(AVERAGE(EBITDA_MARGIN!U61:U64),"")</f>
        <v>-0.21462270145508433</v>
      </c>
      <c r="V178" s="13" t="str">
        <f>IFERROR(AVERAGE(EBITDA_MARGIN!V61:V64),"")</f>
        <v/>
      </c>
      <c r="W178" s="16">
        <f>IFERROR(AVERAGE(EBITDA_MARGIN!W61:W64),"")</f>
        <v>0.17003716894629278</v>
      </c>
      <c r="X178" s="16" t="str">
        <f>IFERROR(AVERAGE(EBITDA_MARGIN!X61:X64),"")</f>
        <v/>
      </c>
      <c r="Y178" s="16" t="str">
        <f>IFERROR(AVERAGE(EBITDA_MARGIN!Y61:Y64),"")</f>
        <v/>
      </c>
      <c r="Z178" s="16" t="str">
        <f>IFERROR(AVERAGE(EBITDA_MARGIN!Z61:Z64),"")</f>
        <v/>
      </c>
      <c r="AA178" s="16" t="str">
        <f>IFERROR(AVERAGE(EBITDA_MARGIN!AA61:AA64),"")</f>
        <v/>
      </c>
      <c r="AB178" s="16" t="str">
        <f>IFERROR(AVERAGE(EBITDA_MARGIN!AB61:AB64),"")</f>
        <v/>
      </c>
      <c r="AC178" s="11"/>
    </row>
    <row r="179" spans="1:29" ht="14">
      <c r="A179" s="14" t="s">
        <v>90</v>
      </c>
      <c r="B179" s="13" t="str">
        <f>IFERROR(AVERAGE(EBITDA_MARGIN!B62:B65),"")</f>
        <v/>
      </c>
      <c r="C179" s="13">
        <f>IFERROR(AVERAGE(EBITDA_MARGIN!C62:C65),"")</f>
        <v>0.35352472455237482</v>
      </c>
      <c r="D179" s="13">
        <f>IFERROR(AVERAGE(EBITDA_MARGIN!D62:D65),"")</f>
        <v>0.18608631988560587</v>
      </c>
      <c r="E179" s="13">
        <f>IFERROR(AVERAGE(EBITDA_MARGIN!E62:E65),"")</f>
        <v>0.24261335315495347</v>
      </c>
      <c r="F179" s="13">
        <f>IFERROR(AVERAGE(EBITDA_MARGIN!F62:F65),"")</f>
        <v>0.43642890329844675</v>
      </c>
      <c r="G179" s="13" t="str">
        <f>IFERROR(AVERAGE(EBITDA_MARGIN!G62:G65),"")</f>
        <v/>
      </c>
      <c r="H179" s="13">
        <f>IFERROR(AVERAGE(EBITDA_MARGIN!H62:H65),"")</f>
        <v>0.21086242206777742</v>
      </c>
      <c r="I179" s="13" t="str">
        <f>IFERROR(AVERAGE(EBITDA_MARGIN!I62:I65),"")</f>
        <v/>
      </c>
      <c r="J179" s="13">
        <f>IFERROR(AVERAGE(EBITDA_MARGIN!J62:J65),"")</f>
        <v>-1.3651763807166747E-2</v>
      </c>
      <c r="K179" s="13"/>
      <c r="L179" s="13" t="str">
        <f>IFERROR(AVERAGE(EBITDA_MARGIN!L62:L65),"")</f>
        <v/>
      </c>
      <c r="M179" s="13" t="str">
        <f>IFERROR(AVERAGE(EBITDA_MARGIN!M62:M65),"")</f>
        <v/>
      </c>
      <c r="N179" s="13" t="str">
        <f>IFERROR(AVERAGE(EBITDA_MARGIN!N62:N65),"")</f>
        <v/>
      </c>
      <c r="O179" s="13">
        <f>IFERROR(AVERAGE(EBITDA_MARGIN!O62:O65),"")</f>
        <v>0.27726330447417319</v>
      </c>
      <c r="P179" s="13" t="str">
        <f>IFERROR(AVERAGE(EBITDA_MARGIN!P62:P65),"")</f>
        <v/>
      </c>
      <c r="Q179" s="13" t="str">
        <f>IFERROR(AVERAGE(EBITDA_MARGIN!Q62:Q65),"")</f>
        <v/>
      </c>
      <c r="R179" s="13"/>
      <c r="S179" s="15"/>
      <c r="T179" s="13" t="str">
        <f>IFERROR(AVERAGE(EBITDA_MARGIN!T62:T65),"")</f>
        <v/>
      </c>
      <c r="U179" s="13">
        <f>IFERROR(AVERAGE(EBITDA_MARGIN!U62:U65),"")</f>
        <v>-0.29899505223602452</v>
      </c>
      <c r="V179" s="13" t="str">
        <f>IFERROR(AVERAGE(EBITDA_MARGIN!V62:V65),"")</f>
        <v/>
      </c>
      <c r="W179" s="16">
        <f>IFERROR(AVERAGE(EBITDA_MARGIN!W62:W65),"")</f>
        <v>0.17435184498129713</v>
      </c>
      <c r="X179" s="16" t="str">
        <f>IFERROR(AVERAGE(EBITDA_MARGIN!X62:X65),"")</f>
        <v/>
      </c>
      <c r="Y179" s="16" t="str">
        <f>IFERROR(AVERAGE(EBITDA_MARGIN!Y62:Y65),"")</f>
        <v/>
      </c>
      <c r="Z179" s="16" t="str">
        <f>IFERROR(AVERAGE(EBITDA_MARGIN!Z62:Z65),"")</f>
        <v/>
      </c>
      <c r="AA179" s="16" t="str">
        <f>IFERROR(AVERAGE(EBITDA_MARGIN!AA62:AA65),"")</f>
        <v/>
      </c>
      <c r="AB179" s="16" t="str">
        <f>IFERROR(AVERAGE(EBITDA_MARGIN!AB62:AB65),"")</f>
        <v/>
      </c>
      <c r="AC179" s="11"/>
    </row>
    <row r="180" spans="1:29" ht="14">
      <c r="A180" s="14" t="s">
        <v>91</v>
      </c>
      <c r="B180" s="13" t="str">
        <f>IFERROR(AVERAGE(EBITDA_MARGIN!B63:B66),"")</f>
        <v/>
      </c>
      <c r="C180" s="13">
        <f>IFERROR(AVERAGE(EBITDA_MARGIN!C63:C66),"")</f>
        <v>0.36018814831372853</v>
      </c>
      <c r="D180" s="13">
        <f>IFERROR(AVERAGE(EBITDA_MARGIN!D63:D66),"")</f>
        <v>0.18477342025388882</v>
      </c>
      <c r="E180" s="13">
        <f>IFERROR(AVERAGE(EBITDA_MARGIN!E63:E66),"")</f>
        <v>0.20608066493433363</v>
      </c>
      <c r="F180" s="13">
        <f>IFERROR(AVERAGE(EBITDA_MARGIN!F63:F66),"")</f>
        <v>0.42201834862385323</v>
      </c>
      <c r="G180" s="13" t="str">
        <f>IFERROR(AVERAGE(EBITDA_MARGIN!G63:G66),"")</f>
        <v/>
      </c>
      <c r="H180" s="13">
        <f>IFERROR(AVERAGE(EBITDA_MARGIN!H63:H66),"")</f>
        <v>0.21011509526075142</v>
      </c>
      <c r="I180" s="13" t="str">
        <f>IFERROR(AVERAGE(EBITDA_MARGIN!I63:I66),"")</f>
        <v/>
      </c>
      <c r="J180" s="13">
        <f>IFERROR(AVERAGE(EBITDA_MARGIN!J63:J66),"")</f>
        <v>-3.7939586005461691E-2</v>
      </c>
      <c r="K180" s="13"/>
      <c r="L180" s="13" t="str">
        <f>IFERROR(AVERAGE(EBITDA_MARGIN!L63:L66),"")</f>
        <v/>
      </c>
      <c r="M180" s="13" t="str">
        <f>IFERROR(AVERAGE(EBITDA_MARGIN!M63:M66),"")</f>
        <v/>
      </c>
      <c r="N180" s="13" t="str">
        <f>IFERROR(AVERAGE(EBITDA_MARGIN!N63:N66),"")</f>
        <v/>
      </c>
      <c r="O180" s="13">
        <f>IFERROR(AVERAGE(EBITDA_MARGIN!O63:O66),"")</f>
        <v>0.23853205390325538</v>
      </c>
      <c r="P180" s="13" t="str">
        <f>IFERROR(AVERAGE(EBITDA_MARGIN!P63:P66),"")</f>
        <v/>
      </c>
      <c r="Q180" s="13" t="str">
        <f>IFERROR(AVERAGE(EBITDA_MARGIN!Q63:Q66),"")</f>
        <v/>
      </c>
      <c r="R180" s="13">
        <f>IFERROR(AVERAGE(EBITDA_MARGIN!R63:R66),"")</f>
        <v>0.15083702932886109</v>
      </c>
      <c r="S180" s="13" t="str">
        <f>IFERROR(AVERAGE(EBITDA_MARGIN!S63:S66),"")</f>
        <v/>
      </c>
      <c r="T180" s="13" t="str">
        <f>IFERROR(AVERAGE(EBITDA_MARGIN!T63:T66),"")</f>
        <v/>
      </c>
      <c r="U180" s="13">
        <f>IFERROR(AVERAGE(EBITDA_MARGIN!U63:U66),"")</f>
        <v>-0.38336740301696465</v>
      </c>
      <c r="V180" s="13" t="str">
        <f>IFERROR(AVERAGE(EBITDA_MARGIN!V63:V66),"")</f>
        <v/>
      </c>
      <c r="W180" s="16">
        <f>IFERROR(AVERAGE(EBITDA_MARGIN!W63:W66),"")</f>
        <v>0.17866652101630148</v>
      </c>
      <c r="X180" s="16" t="str">
        <f>IFERROR(AVERAGE(EBITDA_MARGIN!X63:X66),"")</f>
        <v/>
      </c>
      <c r="Y180" s="16" t="str">
        <f>IFERROR(AVERAGE(EBITDA_MARGIN!Y63:Y66),"")</f>
        <v/>
      </c>
      <c r="Z180" s="16" t="str">
        <f>IFERROR(AVERAGE(EBITDA_MARGIN!Z63:Z66),"")</f>
        <v/>
      </c>
      <c r="AA180" s="16" t="str">
        <f>IFERROR(AVERAGE(EBITDA_MARGIN!AA63:AA66),"")</f>
        <v/>
      </c>
      <c r="AB180" s="16" t="str">
        <f>IFERROR(AVERAGE(EBITDA_MARGIN!AB63:AB66),"")</f>
        <v/>
      </c>
      <c r="AC180" s="11"/>
    </row>
    <row r="181" spans="1:29" ht="14">
      <c r="A181" s="14" t="s">
        <v>92</v>
      </c>
      <c r="B181" s="13" t="str">
        <f>IFERROR(AVERAGE(EBITDA_MARGIN!B64:B67),"")</f>
        <v/>
      </c>
      <c r="C181" s="13">
        <f>IFERROR(AVERAGE(EBITDA_MARGIN!C64:C67),"")</f>
        <v>0.36326178767766482</v>
      </c>
      <c r="D181" s="13">
        <f>IFERROR(AVERAGE(EBITDA_MARGIN!D64:D67),"")</f>
        <v>0.18017946274984484</v>
      </c>
      <c r="E181" s="13">
        <f>IFERROR(AVERAGE(EBITDA_MARGIN!E64:E67),"")</f>
        <v>0.2051294652038026</v>
      </c>
      <c r="F181" s="13">
        <f>IFERROR(AVERAGE(EBITDA_MARGIN!F64:F67),"")</f>
        <v>0.40381534876947722</v>
      </c>
      <c r="G181" s="13" t="str">
        <f>IFERROR(AVERAGE(EBITDA_MARGIN!G64:G67),"")</f>
        <v/>
      </c>
      <c r="H181" s="13">
        <f>IFERROR(AVERAGE(EBITDA_MARGIN!H64:H67),"")</f>
        <v>0.20936776845372543</v>
      </c>
      <c r="I181" s="13" t="str">
        <f>IFERROR(AVERAGE(EBITDA_MARGIN!I64:I67),"")</f>
        <v/>
      </c>
      <c r="J181" s="13">
        <f>IFERROR(AVERAGE(EBITDA_MARGIN!J64:J67),"")</f>
        <v>-6.2227408203756635E-2</v>
      </c>
      <c r="K181" s="13"/>
      <c r="L181" s="13" t="str">
        <f>IFERROR(AVERAGE(EBITDA_MARGIN!L64:L67),"")</f>
        <v/>
      </c>
      <c r="M181" s="13" t="str">
        <f>IFERROR(AVERAGE(EBITDA_MARGIN!M64:M67),"")</f>
        <v/>
      </c>
      <c r="N181" s="13" t="str">
        <f>IFERROR(AVERAGE(EBITDA_MARGIN!N64:N67),"")</f>
        <v/>
      </c>
      <c r="O181" s="13">
        <f>IFERROR(AVERAGE(EBITDA_MARGIN!O64:O67),"")</f>
        <v>0.19980080333233752</v>
      </c>
      <c r="P181" s="13" t="str">
        <f>IFERROR(AVERAGE(EBITDA_MARGIN!P64:P67),"")</f>
        <v/>
      </c>
      <c r="Q181" s="13" t="str">
        <f>IFERROR(AVERAGE(EBITDA_MARGIN!Q64:Q67),"")</f>
        <v/>
      </c>
      <c r="R181" s="13">
        <f>IFERROR(AVERAGE(EBITDA_MARGIN!R64:R67),"")</f>
        <v>0.15575122460814902</v>
      </c>
      <c r="S181" s="13" t="str">
        <f>IFERROR(AVERAGE(EBITDA_MARGIN!S64:S67),"")</f>
        <v/>
      </c>
      <c r="T181" s="13" t="str">
        <f>IFERROR(AVERAGE(EBITDA_MARGIN!T64:T67),"")</f>
        <v/>
      </c>
      <c r="U181" s="13">
        <f>IFERROR(AVERAGE(EBITDA_MARGIN!U64:U67),"")</f>
        <v>-0.28750193959547199</v>
      </c>
      <c r="V181" s="13" t="str">
        <f>IFERROR(AVERAGE(EBITDA_MARGIN!V64:V67),"")</f>
        <v/>
      </c>
      <c r="W181" s="16">
        <f>IFERROR(AVERAGE(EBITDA_MARGIN!W64:W67),"")</f>
        <v>0.18298119705130583</v>
      </c>
      <c r="X181" s="16" t="str">
        <f>IFERROR(AVERAGE(EBITDA_MARGIN!X64:X67),"")</f>
        <v/>
      </c>
      <c r="Y181" s="16" t="str">
        <f>IFERROR(AVERAGE(EBITDA_MARGIN!Y64:Y67),"")</f>
        <v/>
      </c>
      <c r="Z181" s="16" t="str">
        <f>IFERROR(AVERAGE(EBITDA_MARGIN!Z64:Z67),"")</f>
        <v/>
      </c>
      <c r="AA181" s="16" t="str">
        <f>IFERROR(AVERAGE(EBITDA_MARGIN!AA64:AA67),"")</f>
        <v/>
      </c>
      <c r="AB181" s="16" t="str">
        <f>IFERROR(AVERAGE(EBITDA_MARGIN!AB64:AB67),"")</f>
        <v/>
      </c>
      <c r="AC181" s="11"/>
    </row>
    <row r="182" spans="1:29" ht="14">
      <c r="A182" s="14" t="s">
        <v>93</v>
      </c>
      <c r="B182" s="13" t="str">
        <f>IFERROR(AVERAGE(EBITDA_MARGIN!B65:B68),"")</f>
        <v/>
      </c>
      <c r="C182" s="13">
        <f>IFERROR(AVERAGE(EBITDA_MARGIN!C65:C68),"")</f>
        <v>0.3663354270416011</v>
      </c>
      <c r="D182" s="13">
        <f>IFERROR(AVERAGE(EBITDA_MARGIN!D65:D68),"")</f>
        <v>0.17558550524580088</v>
      </c>
      <c r="E182" s="13">
        <f>IFERROR(AVERAGE(EBITDA_MARGIN!E65:E68),"")</f>
        <v>0.20417826547327156</v>
      </c>
      <c r="F182" s="13">
        <f>IFERROR(AVERAGE(EBITDA_MARGIN!F65:F68),"")</f>
        <v>0.38561234891510121</v>
      </c>
      <c r="G182" s="13" t="str">
        <f>IFERROR(AVERAGE(EBITDA_MARGIN!G65:G68),"")</f>
        <v/>
      </c>
      <c r="H182" s="13">
        <f>IFERROR(AVERAGE(EBITDA_MARGIN!H65:H68),"")</f>
        <v>0.20050250702974245</v>
      </c>
      <c r="I182" s="13" t="str">
        <f>IFERROR(AVERAGE(EBITDA_MARGIN!I65:I68),"")</f>
        <v/>
      </c>
      <c r="J182" s="13">
        <f>IFERROR(AVERAGE(EBITDA_MARGIN!J65:J68),"")</f>
        <v>-5.6132907493528388E-2</v>
      </c>
      <c r="K182" s="13"/>
      <c r="L182" s="13" t="str">
        <f>IFERROR(AVERAGE(EBITDA_MARGIN!L65:L68),"")</f>
        <v/>
      </c>
      <c r="M182" s="13" t="str">
        <f>IFERROR(AVERAGE(EBITDA_MARGIN!M65:M68),"")</f>
        <v/>
      </c>
      <c r="N182" s="13" t="str">
        <f>IFERROR(AVERAGE(EBITDA_MARGIN!N65:N68),"")</f>
        <v/>
      </c>
      <c r="O182" s="13">
        <f>IFERROR(AVERAGE(EBITDA_MARGIN!O65:O68),"")</f>
        <v>0.16106955276141971</v>
      </c>
      <c r="P182" s="13" t="str">
        <f>IFERROR(AVERAGE(EBITDA_MARGIN!P65:P68),"")</f>
        <v/>
      </c>
      <c r="Q182" s="13" t="str">
        <f>IFERROR(AVERAGE(EBITDA_MARGIN!Q65:Q68),"")</f>
        <v/>
      </c>
      <c r="R182" s="13">
        <f>IFERROR(AVERAGE(EBITDA_MARGIN!R65:R68),"")</f>
        <v>0.16066541988743696</v>
      </c>
      <c r="S182" s="13" t="str">
        <f>IFERROR(AVERAGE(EBITDA_MARGIN!S65:S68),"")</f>
        <v/>
      </c>
      <c r="T182" s="13" t="str">
        <f>IFERROR(AVERAGE(EBITDA_MARGIN!T65:T68),"")</f>
        <v/>
      </c>
      <c r="U182" s="13">
        <f>IFERROR(AVERAGE(EBITDA_MARGIN!U65:U68),"")</f>
        <v>-0.19163647617397936</v>
      </c>
      <c r="V182" s="13" t="str">
        <f>IFERROR(AVERAGE(EBITDA_MARGIN!V65:V68),"")</f>
        <v/>
      </c>
      <c r="W182" s="16">
        <f>IFERROR(AVERAGE(EBITDA_MARGIN!W65:W68),"")</f>
        <v>0.18729587308631018</v>
      </c>
      <c r="X182" s="16" t="str">
        <f>IFERROR(AVERAGE(EBITDA_MARGIN!X65:X68),"")</f>
        <v/>
      </c>
      <c r="Y182" s="16" t="str">
        <f>IFERROR(AVERAGE(EBITDA_MARGIN!Y65:Y68),"")</f>
        <v/>
      </c>
      <c r="Z182" s="16" t="str">
        <f>IFERROR(AVERAGE(EBITDA_MARGIN!Z65:Z68),"")</f>
        <v/>
      </c>
      <c r="AA182" s="16" t="str">
        <f>IFERROR(AVERAGE(EBITDA_MARGIN!AA65:AA68),"")</f>
        <v/>
      </c>
      <c r="AB182" s="16" t="str">
        <f>IFERROR(AVERAGE(EBITDA_MARGIN!AB65:AB68),"")</f>
        <v/>
      </c>
      <c r="AC182" s="11"/>
    </row>
    <row r="183" spans="1:29" ht="14">
      <c r="A183" s="14" t="s">
        <v>94</v>
      </c>
      <c r="B183" s="13" t="str">
        <f>IFERROR(AVERAGE(EBITDA_MARGIN!B66:B69),"")</f>
        <v/>
      </c>
      <c r="C183" s="13">
        <f>IFERROR(AVERAGE(EBITDA_MARGIN!C66:C69),"")</f>
        <v>0.36940906640553739</v>
      </c>
      <c r="D183" s="13">
        <f>IFERROR(AVERAGE(EBITDA_MARGIN!D66:D69),"")</f>
        <v>0.17099154774175693</v>
      </c>
      <c r="E183" s="13">
        <f>IFERROR(AVERAGE(EBITDA_MARGIN!E66:E69),"")</f>
        <v>0.20322706574274052</v>
      </c>
      <c r="F183" s="13">
        <f>IFERROR(AVERAGE(EBITDA_MARGIN!F66:F69),"")</f>
        <v>0.3674093490607252</v>
      </c>
      <c r="G183" s="13" t="str">
        <f>IFERROR(AVERAGE(EBITDA_MARGIN!G66:G69),"")</f>
        <v/>
      </c>
      <c r="H183" s="13">
        <f>IFERROR(AVERAGE(EBITDA_MARGIN!H66:H69),"")</f>
        <v>0.19163724560575948</v>
      </c>
      <c r="I183" s="13" t="str">
        <f>IFERROR(AVERAGE(EBITDA_MARGIN!I66:I69),"")</f>
        <v/>
      </c>
      <c r="J183" s="13">
        <f>IFERROR(AVERAGE(EBITDA_MARGIN!J66:J69),"")</f>
        <v>-5.0038406783300141E-2</v>
      </c>
      <c r="K183" s="13"/>
      <c r="L183" s="13" t="str">
        <f>IFERROR(AVERAGE(EBITDA_MARGIN!L66:L69),"")</f>
        <v/>
      </c>
      <c r="M183" s="13" t="str">
        <f>IFERROR(AVERAGE(EBITDA_MARGIN!M66:M69),"")</f>
        <v/>
      </c>
      <c r="N183" s="13" t="str">
        <f>IFERROR(AVERAGE(EBITDA_MARGIN!N66:N69),"")</f>
        <v/>
      </c>
      <c r="O183" s="13">
        <f>IFERROR(AVERAGE(EBITDA_MARGIN!O66:O69),"")</f>
        <v>0.18137920147258541</v>
      </c>
      <c r="P183" s="13" t="str">
        <f>IFERROR(AVERAGE(EBITDA_MARGIN!P66:P69),"")</f>
        <v/>
      </c>
      <c r="Q183" s="13" t="str">
        <f>IFERROR(AVERAGE(EBITDA_MARGIN!Q66:Q69),"")</f>
        <v/>
      </c>
      <c r="R183" s="13">
        <f>IFERROR(AVERAGE(EBITDA_MARGIN!R66:R69),"")</f>
        <v>0.1655796151667249</v>
      </c>
      <c r="S183" s="13" t="str">
        <f>IFERROR(AVERAGE(EBITDA_MARGIN!S66:S69),"")</f>
        <v/>
      </c>
      <c r="T183" s="13" t="str">
        <f>IFERROR(AVERAGE(EBITDA_MARGIN!T66:T69),"")</f>
        <v/>
      </c>
      <c r="U183" s="13">
        <f>IFERROR(AVERAGE(EBITDA_MARGIN!U66:U69),"")</f>
        <v>-9.5771012752486756E-2</v>
      </c>
      <c r="V183" s="13" t="str">
        <f>IFERROR(AVERAGE(EBITDA_MARGIN!V66:V69),"")</f>
        <v/>
      </c>
      <c r="W183" s="16">
        <f>IFERROR(AVERAGE(EBITDA_MARGIN!W66:W69),"")</f>
        <v>0.18241602499581583</v>
      </c>
      <c r="X183" s="16" t="str">
        <f>IFERROR(AVERAGE(EBITDA_MARGIN!X66:X69),"")</f>
        <v/>
      </c>
      <c r="Y183" s="16" t="str">
        <f>IFERROR(AVERAGE(EBITDA_MARGIN!Y66:Y69),"")</f>
        <v/>
      </c>
      <c r="Z183" s="16" t="str">
        <f>IFERROR(AVERAGE(EBITDA_MARGIN!Z66:Z69),"")</f>
        <v/>
      </c>
      <c r="AA183" s="16" t="str">
        <f>IFERROR(AVERAGE(EBITDA_MARGIN!AA66:AA69),"")</f>
        <v/>
      </c>
      <c r="AB183" s="16" t="str">
        <f>IFERROR(AVERAGE(EBITDA_MARGIN!AB66:AB69),"")</f>
        <v/>
      </c>
      <c r="AC183" s="11"/>
    </row>
    <row r="184" spans="1:29" ht="14">
      <c r="A184" s="14" t="s">
        <v>95</v>
      </c>
      <c r="B184" s="13" t="str">
        <f>IFERROR(AVERAGE(EBITDA_MARGIN!B67:B70),"")</f>
        <v/>
      </c>
      <c r="C184" s="13">
        <f>IFERROR(AVERAGE(EBITDA_MARGIN!C67:C70),"")</f>
        <v>0.37248270576947368</v>
      </c>
      <c r="D184" s="13">
        <f>IFERROR(AVERAGE(EBITDA_MARGIN!D67:D70),"")</f>
        <v>0.16639759023771294</v>
      </c>
      <c r="E184" s="13">
        <f>IFERROR(AVERAGE(EBITDA_MARGIN!E67:E70),"")</f>
        <v>0.20227586601220951</v>
      </c>
      <c r="F184" s="13">
        <f>IFERROR(AVERAGE(EBITDA_MARGIN!F67:F70),"")</f>
        <v>0.34920634920634919</v>
      </c>
      <c r="G184" s="13" t="str">
        <f>IFERROR(AVERAGE(EBITDA_MARGIN!G67:G70),"")</f>
        <v/>
      </c>
      <c r="H184" s="13">
        <f>IFERROR(AVERAGE(EBITDA_MARGIN!H67:H70),"")</f>
        <v>0.18277198418177651</v>
      </c>
      <c r="I184" s="13" t="str">
        <f>IFERROR(AVERAGE(EBITDA_MARGIN!I67:I70),"")</f>
        <v/>
      </c>
      <c r="J184" s="13">
        <f>IFERROR(AVERAGE(EBITDA_MARGIN!J67:J70),"")</f>
        <v>-4.3943906073071894E-2</v>
      </c>
      <c r="K184" s="13"/>
      <c r="L184" s="13" t="str">
        <f>IFERROR(AVERAGE(EBITDA_MARGIN!L67:L70),"")</f>
        <v/>
      </c>
      <c r="M184" s="13" t="str">
        <f>IFERROR(AVERAGE(EBITDA_MARGIN!M67:M70),"")</f>
        <v/>
      </c>
      <c r="N184" s="13" t="str">
        <f>IFERROR(AVERAGE(EBITDA_MARGIN!N67:N70),"")</f>
        <v/>
      </c>
      <c r="O184" s="13">
        <f>IFERROR(AVERAGE(EBITDA_MARGIN!O67:O70),"")</f>
        <v>0.20168885018375107</v>
      </c>
      <c r="P184" s="13" t="str">
        <f>IFERROR(AVERAGE(EBITDA_MARGIN!P67:P70),"")</f>
        <v/>
      </c>
      <c r="Q184" s="13" t="str">
        <f>IFERROR(AVERAGE(EBITDA_MARGIN!Q67:Q70),"")</f>
        <v/>
      </c>
      <c r="R184" s="13">
        <f>IFERROR(AVERAGE(EBITDA_MARGIN!R67:R70),"")</f>
        <v>0.17049381044601283</v>
      </c>
      <c r="S184" s="13" t="str">
        <f>IFERROR(AVERAGE(EBITDA_MARGIN!S67:S70),"")</f>
        <v/>
      </c>
      <c r="T184" s="13" t="str">
        <f>IFERROR(AVERAGE(EBITDA_MARGIN!T67:T70),"")</f>
        <v/>
      </c>
      <c r="U184" s="13">
        <f>IFERROR(AVERAGE(EBITDA_MARGIN!U67:U70),"")</f>
        <v>9.4450669005894904E-5</v>
      </c>
      <c r="V184" s="13" t="str">
        <f>IFERROR(AVERAGE(EBITDA_MARGIN!V67:V70),"")</f>
        <v/>
      </c>
      <c r="W184" s="16">
        <f>IFERROR(AVERAGE(EBITDA_MARGIN!W67:W70),"")</f>
        <v>0.17753617690532147</v>
      </c>
      <c r="X184" s="16" t="str">
        <f>IFERROR(AVERAGE(EBITDA_MARGIN!X67:X70),"")</f>
        <v/>
      </c>
      <c r="Y184" s="16" t="str">
        <f>IFERROR(AVERAGE(EBITDA_MARGIN!Y67:Y70),"")</f>
        <v/>
      </c>
      <c r="Z184" s="16" t="str">
        <f>IFERROR(AVERAGE(EBITDA_MARGIN!Z67:Z70),"")</f>
        <v/>
      </c>
      <c r="AA184" s="16" t="str">
        <f>IFERROR(AVERAGE(EBITDA_MARGIN!AA67:AA70),"")</f>
        <v/>
      </c>
      <c r="AB184" s="16" t="str">
        <f>IFERROR(AVERAGE(EBITDA_MARGIN!AB67:AB70),"")</f>
        <v/>
      </c>
      <c r="AC184" s="11"/>
    </row>
    <row r="185" spans="1:29" ht="14">
      <c r="A185" s="14" t="s">
        <v>96</v>
      </c>
      <c r="B185" s="13" t="str">
        <f>IFERROR(AVERAGE(EBITDA_MARGIN!B68:B71),"")</f>
        <v/>
      </c>
      <c r="C185" s="13">
        <f>IFERROR(AVERAGE(EBITDA_MARGIN!C68:C71),"")</f>
        <v>0.37652926669382919</v>
      </c>
      <c r="D185" s="13">
        <f>IFERROR(AVERAGE(EBITDA_MARGIN!D68:D71),"")</f>
        <v>0.16515420123907737</v>
      </c>
      <c r="E185" s="13">
        <f>IFERROR(AVERAGE(EBITDA_MARGIN!E68:E71),"")</f>
        <v>0.15277276007235793</v>
      </c>
      <c r="F185" s="13">
        <f>IFERROR(AVERAGE(EBITDA_MARGIN!F68:F71),"")</f>
        <v>0.34396736222578916</v>
      </c>
      <c r="G185" s="13"/>
      <c r="H185" s="13">
        <f>IFERROR(AVERAGE(EBITDA_MARGIN!H68:H71),"")</f>
        <v>0.17390672275779354</v>
      </c>
      <c r="I185" s="13" t="str">
        <f>IFERROR(AVERAGE(EBITDA_MARGIN!I68:I71),"")</f>
        <v/>
      </c>
      <c r="J185" s="13">
        <f>IFERROR(AVERAGE(EBITDA_MARGIN!J68:J71),"")</f>
        <v>-3.7849405362843654E-2</v>
      </c>
      <c r="K185" s="13"/>
      <c r="L185" s="13" t="str">
        <f>IFERROR(AVERAGE(EBITDA_MARGIN!L68:L71),"")</f>
        <v/>
      </c>
      <c r="M185" s="13" t="str">
        <f>IFERROR(AVERAGE(EBITDA_MARGIN!M68:M71),"")</f>
        <v/>
      </c>
      <c r="N185" s="13" t="str">
        <f>IFERROR(AVERAGE(EBITDA_MARGIN!N68:N71),"")</f>
        <v/>
      </c>
      <c r="O185" s="13">
        <f>IFERROR(AVERAGE(EBITDA_MARGIN!O68:O71),"")</f>
        <v>0.22199849889491677</v>
      </c>
      <c r="P185" s="13" t="str">
        <f>IFERROR(AVERAGE(EBITDA_MARGIN!P68:P71),"")</f>
        <v/>
      </c>
      <c r="Q185" s="13" t="str">
        <f>IFERROR(AVERAGE(EBITDA_MARGIN!Q68:Q71),"")</f>
        <v/>
      </c>
      <c r="R185" s="13">
        <f>IFERROR(AVERAGE(EBITDA_MARGIN!R68:R71),"")</f>
        <v>0.16844175598644537</v>
      </c>
      <c r="S185" s="13" t="str">
        <f>IFERROR(AVERAGE(EBITDA_MARGIN!S68:S71),"")</f>
        <v/>
      </c>
      <c r="T185" s="13" t="str">
        <f>IFERROR(AVERAGE(EBITDA_MARGIN!T68:T71),"")</f>
        <v/>
      </c>
      <c r="U185" s="13">
        <f>IFERROR(AVERAGE(EBITDA_MARGIN!U68:U71),"")</f>
        <v>1.2023806166156619E-2</v>
      </c>
      <c r="V185" s="13" t="str">
        <f>IFERROR(AVERAGE(EBITDA_MARGIN!V68:V71),"")</f>
        <v/>
      </c>
      <c r="W185" s="16">
        <f>IFERROR(AVERAGE(EBITDA_MARGIN!W68:W71),"")</f>
        <v>0.17265632881482712</v>
      </c>
      <c r="X185" s="16">
        <f>IFERROR(AVERAGE(EBITDA_MARGIN!X68:X71),"")</f>
        <v>0.14231511907584946</v>
      </c>
      <c r="Y185" s="16" t="str">
        <f>IFERROR(AVERAGE(EBITDA_MARGIN!Y68:Y71),"")</f>
        <v/>
      </c>
      <c r="Z185" s="16">
        <f>IFERROR(AVERAGE(EBITDA_MARGIN!Z68:Z71),"")</f>
        <v>5.7683139996821862E-2</v>
      </c>
      <c r="AA185" s="16" t="str">
        <f>IFERROR(AVERAGE(EBITDA_MARGIN!AA68:AA71),"")</f>
        <v/>
      </c>
      <c r="AB185" s="16" t="str">
        <f>IFERROR(AVERAGE(EBITDA_MARGIN!AB68:AB71),"")</f>
        <v/>
      </c>
      <c r="AC185" s="11"/>
    </row>
    <row r="186" spans="1:29" ht="14">
      <c r="A186" s="14" t="s">
        <v>97</v>
      </c>
      <c r="B186" s="13" t="str">
        <f>IFERROR(AVERAGE(EBITDA_MARGIN!B69:B72),"")</f>
        <v/>
      </c>
      <c r="C186" s="13">
        <f>IFERROR(AVERAGE(EBITDA_MARGIN!C69:C72),"")</f>
        <v>0.38057582761818476</v>
      </c>
      <c r="D186" s="13">
        <f>IFERROR(AVERAGE(EBITDA_MARGIN!D69:D72),"")</f>
        <v>0.16391081224044177</v>
      </c>
      <c r="E186" s="13">
        <f>IFERROR(AVERAGE(EBITDA_MARGIN!E69:E72),"")</f>
        <v>0.10326965413250637</v>
      </c>
      <c r="F186" s="13">
        <f>IFERROR(AVERAGE(EBITDA_MARGIN!F69:F72),"")</f>
        <v>0.3387283752452292</v>
      </c>
      <c r="G186" s="13"/>
      <c r="H186" s="13">
        <f>IFERROR(AVERAGE(EBITDA_MARGIN!H69:H72),"")</f>
        <v>0.31567377533285462</v>
      </c>
      <c r="I186" s="13" t="str">
        <f>IFERROR(AVERAGE(EBITDA_MARGIN!I69:I72),"")</f>
        <v/>
      </c>
      <c r="J186" s="13">
        <f>IFERROR(AVERAGE(EBITDA_MARGIN!J69:J72),"")</f>
        <v>-3.3781127529278809E-2</v>
      </c>
      <c r="K186" s="13"/>
      <c r="L186" s="13" t="str">
        <f>IFERROR(AVERAGE(EBITDA_MARGIN!L69:L72),"")</f>
        <v/>
      </c>
      <c r="M186" s="13" t="str">
        <f>IFERROR(AVERAGE(EBITDA_MARGIN!M69:M72),"")</f>
        <v/>
      </c>
      <c r="N186" s="13" t="str">
        <f>IFERROR(AVERAGE(EBITDA_MARGIN!N69:N72),"")</f>
        <v/>
      </c>
      <c r="O186" s="13">
        <f>IFERROR(AVERAGE(EBITDA_MARGIN!O69:O72),"")</f>
        <v>0.24230814760608246</v>
      </c>
      <c r="P186" s="13" t="str">
        <f>IFERROR(AVERAGE(EBITDA_MARGIN!P69:P72),"")</f>
        <v/>
      </c>
      <c r="Q186" s="13" t="str">
        <f>IFERROR(AVERAGE(EBITDA_MARGIN!Q69:Q72),"")</f>
        <v/>
      </c>
      <c r="R186" s="13">
        <f>IFERROR(AVERAGE(EBITDA_MARGIN!R69:R72),"")</f>
        <v>0.16638970152687793</v>
      </c>
      <c r="S186" s="13" t="str">
        <f>IFERROR(AVERAGE(EBITDA_MARGIN!S69:S72),"")</f>
        <v/>
      </c>
      <c r="T186" s="13" t="str">
        <f>IFERROR(AVERAGE(EBITDA_MARGIN!T69:T72),"")</f>
        <v/>
      </c>
      <c r="U186" s="13">
        <f>IFERROR(AVERAGE(EBITDA_MARGIN!U69:U72),"")</f>
        <v>2.3953161663307344E-2</v>
      </c>
      <c r="V186" s="13" t="str">
        <f>IFERROR(AVERAGE(EBITDA_MARGIN!V69:V72),"")</f>
        <v/>
      </c>
      <c r="W186" s="16">
        <f>IFERROR(AVERAGE(EBITDA_MARGIN!W69:W72),"")</f>
        <v>0.16777648072433277</v>
      </c>
      <c r="X186" s="16">
        <f>IFERROR(AVERAGE(EBITDA_MARGIN!X69:X72),"")</f>
        <v>0.14231511907584946</v>
      </c>
      <c r="Y186" s="16" t="str">
        <f>IFERROR(AVERAGE(EBITDA_MARGIN!Y69:Y72),"")</f>
        <v/>
      </c>
      <c r="Z186" s="16">
        <f>IFERROR(AVERAGE(EBITDA_MARGIN!Z69:Z72),"")</f>
        <v>5.7683139996821862E-2</v>
      </c>
      <c r="AA186" s="16" t="str">
        <f>IFERROR(AVERAGE(EBITDA_MARGIN!AA69:AA72),"")</f>
        <v/>
      </c>
      <c r="AB186" s="16" t="str">
        <f>IFERROR(AVERAGE(EBITDA_MARGIN!AB69:AB72),"")</f>
        <v/>
      </c>
      <c r="AC186" s="11"/>
    </row>
    <row r="187" spans="1:29" ht="14">
      <c r="A187" s="14" t="s">
        <v>98</v>
      </c>
      <c r="B187" s="13" t="str">
        <f>IFERROR(AVERAGE(EBITDA_MARGIN!B70:B73),"")</f>
        <v/>
      </c>
      <c r="C187" s="13">
        <f>IFERROR(AVERAGE(EBITDA_MARGIN!C70:C73),"")</f>
        <v>0.38462238854254027</v>
      </c>
      <c r="D187" s="13">
        <f>IFERROR(AVERAGE(EBITDA_MARGIN!D70:D73),"")</f>
        <v>0.16266742324180616</v>
      </c>
      <c r="E187" s="13">
        <f>IFERROR(AVERAGE(EBITDA_MARGIN!E70:E73),"")</f>
        <v>5.3766548192654799E-2</v>
      </c>
      <c r="F187" s="13">
        <f>IFERROR(AVERAGE(EBITDA_MARGIN!F70:F73),"")</f>
        <v>0.33348938826466917</v>
      </c>
      <c r="G187" s="13"/>
      <c r="H187" s="13">
        <f>IFERROR(AVERAGE(EBITDA_MARGIN!H70:H73),"")</f>
        <v>0.45744082790791574</v>
      </c>
      <c r="I187" s="13" t="str">
        <f>IFERROR(AVERAGE(EBITDA_MARGIN!I70:I73),"")</f>
        <v/>
      </c>
      <c r="J187" s="13">
        <f>IFERROR(AVERAGE(EBITDA_MARGIN!J70:J73),"")</f>
        <v>-2.9712849695713958E-2</v>
      </c>
      <c r="K187" s="13"/>
      <c r="L187" s="13" t="str">
        <f>IFERROR(AVERAGE(EBITDA_MARGIN!L70:L73),"")</f>
        <v/>
      </c>
      <c r="M187" s="13" t="str">
        <f>IFERROR(AVERAGE(EBITDA_MARGIN!M70:M73),"")</f>
        <v/>
      </c>
      <c r="N187" s="13" t="str">
        <f>IFERROR(AVERAGE(EBITDA_MARGIN!N70:N73),"")</f>
        <v/>
      </c>
      <c r="O187" s="13">
        <f>IFERROR(AVERAGE(EBITDA_MARGIN!O70:O73),"")</f>
        <v>0.24354123507342812</v>
      </c>
      <c r="P187" s="13" t="str">
        <f>IFERROR(AVERAGE(EBITDA_MARGIN!P70:P73),"")</f>
        <v/>
      </c>
      <c r="Q187" s="13" t="str">
        <f>IFERROR(AVERAGE(EBITDA_MARGIN!Q70:Q73),"")</f>
        <v/>
      </c>
      <c r="R187" s="13">
        <f>IFERROR(AVERAGE(EBITDA_MARGIN!R70:R73),"")</f>
        <v>0.16433764706731047</v>
      </c>
      <c r="S187" s="13" t="str">
        <f>IFERROR(AVERAGE(EBITDA_MARGIN!S70:S73),"")</f>
        <v/>
      </c>
      <c r="T187" s="13" t="str">
        <f>IFERROR(AVERAGE(EBITDA_MARGIN!T70:T73),"")</f>
        <v/>
      </c>
      <c r="U187" s="13">
        <f>IFERROR(AVERAGE(EBITDA_MARGIN!U70:U73),"")</f>
        <v>3.5882517160458066E-2</v>
      </c>
      <c r="V187" s="13" t="str">
        <f>IFERROR(AVERAGE(EBITDA_MARGIN!V70:V73),"")</f>
        <v/>
      </c>
      <c r="W187" s="16">
        <f>IFERROR(AVERAGE(EBITDA_MARGIN!W70:W73),"")</f>
        <v>0.18415222467230716</v>
      </c>
      <c r="X187" s="16">
        <f>IFERROR(AVERAGE(EBITDA_MARGIN!X70:X73),"")</f>
        <v>0.14231511907584946</v>
      </c>
      <c r="Y187" s="16" t="str">
        <f>IFERROR(AVERAGE(EBITDA_MARGIN!Y70:Y73),"")</f>
        <v/>
      </c>
      <c r="Z187" s="16">
        <f>IFERROR(AVERAGE(EBITDA_MARGIN!Z70:Z73),"")</f>
        <v>5.7683139996821862E-2</v>
      </c>
      <c r="AA187" s="16" t="str">
        <f>IFERROR(AVERAGE(EBITDA_MARGIN!AA70:AA73),"")</f>
        <v/>
      </c>
      <c r="AB187" s="16" t="str">
        <f>IFERROR(AVERAGE(EBITDA_MARGIN!AB70:AB73),"")</f>
        <v/>
      </c>
      <c r="AC187" s="11"/>
    </row>
    <row r="188" spans="1:29" ht="14">
      <c r="A188" s="14" t="s">
        <v>99</v>
      </c>
      <c r="B188" s="13" t="str">
        <f>IFERROR(AVERAGE(EBITDA_MARGIN!B71:B74),"")</f>
        <v/>
      </c>
      <c r="C188" s="13">
        <f>IFERROR(AVERAGE(EBITDA_MARGIN!C71:C74),"")</f>
        <v>0.38866894946689584</v>
      </c>
      <c r="D188" s="13">
        <f>IFERROR(AVERAGE(EBITDA_MARGIN!D71:D74),"")</f>
        <v>0.16142403424317059</v>
      </c>
      <c r="E188" s="13">
        <f>IFERROR(AVERAGE(EBITDA_MARGIN!E71:E74),"")</f>
        <v>4.2634422528032194E-3</v>
      </c>
      <c r="F188" s="13">
        <f>IFERROR(AVERAGE(EBITDA_MARGIN!F71:F74),"")</f>
        <v>0.32825040128410915</v>
      </c>
      <c r="G188" s="13">
        <f>IFERROR(AVERAGE(EBITDA_MARGIN!G71:G74),"")</f>
        <v>-8.7069975503248484E-4</v>
      </c>
      <c r="H188" s="13">
        <f>IFERROR(AVERAGE(EBITDA_MARGIN!H71:H74),"")</f>
        <v>0.57236979937835375</v>
      </c>
      <c r="I188" s="13" t="str">
        <f>IFERROR(AVERAGE(EBITDA_MARGIN!I71:I74),"")</f>
        <v/>
      </c>
      <c r="J188" s="13">
        <f>IFERROR(AVERAGE(EBITDA_MARGIN!J71:J74),"")</f>
        <v>-2.5644571862149114E-2</v>
      </c>
      <c r="K188" s="13"/>
      <c r="L188" s="13" t="str">
        <f>IFERROR(AVERAGE(EBITDA_MARGIN!L71:L74),"")</f>
        <v/>
      </c>
      <c r="M188" s="13" t="str">
        <f>IFERROR(AVERAGE(EBITDA_MARGIN!M71:M74),"")</f>
        <v/>
      </c>
      <c r="N188" s="13" t="str">
        <f>IFERROR(AVERAGE(EBITDA_MARGIN!N71:N74),"")</f>
        <v/>
      </c>
      <c r="O188" s="13">
        <f>IFERROR(AVERAGE(EBITDA_MARGIN!O71:O74),"")</f>
        <v>0.24477432254077375</v>
      </c>
      <c r="P188" s="13" t="str">
        <f>IFERROR(AVERAGE(EBITDA_MARGIN!P71:P74),"")</f>
        <v/>
      </c>
      <c r="Q188" s="13" t="str">
        <f>IFERROR(AVERAGE(EBITDA_MARGIN!Q71:Q74),"")</f>
        <v/>
      </c>
      <c r="R188" s="13">
        <f>IFERROR(AVERAGE(EBITDA_MARGIN!R71:R74),"")</f>
        <v>0.16228559260774303</v>
      </c>
      <c r="S188" s="13" t="str">
        <f>IFERROR(AVERAGE(EBITDA_MARGIN!S71:S74),"")</f>
        <v/>
      </c>
      <c r="T188" s="13" t="str">
        <f>IFERROR(AVERAGE(EBITDA_MARGIN!T71:T74),"")</f>
        <v/>
      </c>
      <c r="U188" s="13">
        <f>IFERROR(AVERAGE(EBITDA_MARGIN!U71:U74),"")</f>
        <v>4.7811872657608792E-2</v>
      </c>
      <c r="V188" s="13" t="str">
        <f>IFERROR(AVERAGE(EBITDA_MARGIN!V71:V74),"")</f>
        <v/>
      </c>
      <c r="W188" s="16">
        <f>IFERROR(AVERAGE(EBITDA_MARGIN!W71:W74),"")</f>
        <v>0.20052796862028152</v>
      </c>
      <c r="X188" s="16">
        <f>IFERROR(AVERAGE(EBITDA_MARGIN!X71:X74),"")</f>
        <v>0.14231511907584946</v>
      </c>
      <c r="Y188" s="16" t="str">
        <f>IFERROR(AVERAGE(EBITDA_MARGIN!Y71:Y74),"")</f>
        <v/>
      </c>
      <c r="Z188" s="16">
        <f>IFERROR(AVERAGE(EBITDA_MARGIN!Z71:Z74),"")</f>
        <v>5.7683139996821862E-2</v>
      </c>
      <c r="AA188" s="16" t="str">
        <f>IFERROR(AVERAGE(EBITDA_MARGIN!AA71:AA74),"")</f>
        <v/>
      </c>
      <c r="AB188" s="16" t="str">
        <f>IFERROR(AVERAGE(EBITDA_MARGIN!AB71:AB74),"")</f>
        <v/>
      </c>
      <c r="AC188" s="11"/>
    </row>
    <row r="189" spans="1:29" ht="14">
      <c r="A189" s="14" t="s">
        <v>100</v>
      </c>
      <c r="B189" s="13"/>
      <c r="C189" s="13">
        <f>IFERROR(AVERAGE(EBITDA_MARGIN!C72:C75),"")</f>
        <v>0.38721414643035906</v>
      </c>
      <c r="D189" s="13">
        <f>IFERROR(AVERAGE(EBITDA_MARGIN!D72:D75),"")</f>
        <v>0.15532130681395487</v>
      </c>
      <c r="E189" s="13">
        <f>IFERROR(AVERAGE(EBITDA_MARGIN!E72:E75),"")</f>
        <v>1.919332017027606E-2</v>
      </c>
      <c r="F189" s="13">
        <f>IFERROR(AVERAGE(EBITDA_MARGIN!F72:F75),"")</f>
        <v>0.30064490552072259</v>
      </c>
      <c r="G189" s="13">
        <f>IFERROR(AVERAGE(EBITDA_MARGIN!G72:G75),"")</f>
        <v>-8.2743087127087299E-3</v>
      </c>
      <c r="H189" s="13">
        <f>IFERROR(AVERAGE(EBITDA_MARGIN!H72:H75),"")</f>
        <v>0.68729877084879187</v>
      </c>
      <c r="I189" s="13"/>
      <c r="J189" s="13">
        <f>IFERROR(AVERAGE(EBITDA_MARGIN!J72:J75),"")</f>
        <v>-2.1576294028584263E-2</v>
      </c>
      <c r="K189" s="13"/>
      <c r="L189" s="13" t="str">
        <f>IFERROR(AVERAGE(EBITDA_MARGIN!L72:L75),"")</f>
        <v/>
      </c>
      <c r="M189" s="13" t="str">
        <f>IFERROR(AVERAGE(EBITDA_MARGIN!M72:M75),"")</f>
        <v/>
      </c>
      <c r="N189" s="13" t="str">
        <f>IFERROR(AVERAGE(EBITDA_MARGIN!N72:N75),"")</f>
        <v/>
      </c>
      <c r="O189" s="13">
        <f>IFERROR(AVERAGE(EBITDA_MARGIN!O72:O75),"")</f>
        <v>0.24600741000811938</v>
      </c>
      <c r="P189" s="13" t="str">
        <f>IFERROR(AVERAGE(EBITDA_MARGIN!P72:P75),"")</f>
        <v/>
      </c>
      <c r="Q189" s="13" t="str">
        <f>IFERROR(AVERAGE(EBITDA_MARGIN!Q72:Q75),"")</f>
        <v/>
      </c>
      <c r="R189" s="13">
        <f>IFERROR(AVERAGE(EBITDA_MARGIN!R72:R75),"")</f>
        <v>0.11077289507419256</v>
      </c>
      <c r="S189" s="13" t="str">
        <f>IFERROR(AVERAGE(EBITDA_MARGIN!S72:S75),"")</f>
        <v/>
      </c>
      <c r="T189" s="13" t="str">
        <f>IFERROR(AVERAGE(EBITDA_MARGIN!T72:T75),"")</f>
        <v/>
      </c>
      <c r="U189" s="13">
        <f>IFERROR(AVERAGE(EBITDA_MARGIN!U72:U75),"")</f>
        <v>4.7811872657608799E-2</v>
      </c>
      <c r="V189" s="13" t="str">
        <f>IFERROR(AVERAGE(EBITDA_MARGIN!V72:V75),"")</f>
        <v/>
      </c>
      <c r="W189" s="16">
        <f>IFERROR(AVERAGE(EBITDA_MARGIN!W72:W75),"")</f>
        <v>0.21690371256825589</v>
      </c>
      <c r="X189" s="16">
        <f>IFERROR(AVERAGE(EBITDA_MARGIN!X72:X75),"")</f>
        <v>0.13173679406731928</v>
      </c>
      <c r="Y189" s="16">
        <f>IFERROR(AVERAGE(EBITDA_MARGIN!Y72:Y75),"")</f>
        <v>0.32803180914512925</v>
      </c>
      <c r="Z189" s="16">
        <f>IFERROR(AVERAGE(EBITDA_MARGIN!Z72:Z75),"")</f>
        <v>4.9084674946041518E-2</v>
      </c>
      <c r="AA189" s="16" t="str">
        <f>IFERROR(AVERAGE(EBITDA_MARGIN!AA72:AA75),"")</f>
        <v/>
      </c>
      <c r="AB189" s="16" t="str">
        <f>IFERROR(AVERAGE(EBITDA_MARGIN!AB72:AB75),"")</f>
        <v/>
      </c>
      <c r="AC189" s="11"/>
    </row>
    <row r="190" spans="1:29" ht="14">
      <c r="A190" s="14" t="s">
        <v>101</v>
      </c>
      <c r="B190" s="13"/>
      <c r="C190" s="13">
        <f>IFERROR(AVERAGE(EBITDA_MARGIN!C73:C76),"")</f>
        <v>0.38575934339382223</v>
      </c>
      <c r="D190" s="13">
        <f>IFERROR(AVERAGE(EBITDA_MARGIN!D73:D76),"")</f>
        <v>0.14921857938473918</v>
      </c>
      <c r="E190" s="13">
        <f>IFERROR(AVERAGE(EBITDA_MARGIN!E73:E76),"")</f>
        <v>3.4123198087748899E-2</v>
      </c>
      <c r="F190" s="13">
        <f>IFERROR(AVERAGE(EBITDA_MARGIN!F73:F76),"")</f>
        <v>0.27303940975733609</v>
      </c>
      <c r="G190" s="13">
        <f>IFERROR(AVERAGE(EBITDA_MARGIN!G73:G76),"")</f>
        <v>-1.5677917670384976E-2</v>
      </c>
      <c r="H190" s="13">
        <f>IFERROR(AVERAGE(EBITDA_MARGIN!H73:H76),"")</f>
        <v>0.54860368229737411</v>
      </c>
      <c r="I190" s="13"/>
      <c r="J190" s="13">
        <f>IFERROR(AVERAGE(EBITDA_MARGIN!J73:J76),"")</f>
        <v>-5.7363821860040493E-2</v>
      </c>
      <c r="K190" s="13"/>
      <c r="L190" s="13" t="str">
        <f>IFERROR(AVERAGE(EBITDA_MARGIN!L73:L76),"")</f>
        <v/>
      </c>
      <c r="M190" s="13" t="str">
        <f>IFERROR(AVERAGE(EBITDA_MARGIN!M73:M76),"")</f>
        <v/>
      </c>
      <c r="N190" s="13" t="str">
        <f>IFERROR(AVERAGE(EBITDA_MARGIN!N73:N76),"")</f>
        <v/>
      </c>
      <c r="O190" s="13">
        <f>IFERROR(AVERAGE(EBITDA_MARGIN!O73:O76),"")</f>
        <v>0.247240497475465</v>
      </c>
      <c r="P190" s="13" t="str">
        <f>IFERROR(AVERAGE(EBITDA_MARGIN!P73:P76),"")</f>
        <v/>
      </c>
      <c r="Q190" s="13" t="str">
        <f>IFERROR(AVERAGE(EBITDA_MARGIN!Q73:Q76),"")</f>
        <v/>
      </c>
      <c r="R190" s="13">
        <f>IFERROR(AVERAGE(EBITDA_MARGIN!R73:R76),"")</f>
        <v>5.9260197540642087E-2</v>
      </c>
      <c r="S190" s="13" t="str">
        <f>IFERROR(AVERAGE(EBITDA_MARGIN!S73:S76),"")</f>
        <v/>
      </c>
      <c r="T190" s="13" t="str">
        <f>IFERROR(AVERAGE(EBITDA_MARGIN!T73:T76),"")</f>
        <v/>
      </c>
      <c r="U190" s="13">
        <f>IFERROR(AVERAGE(EBITDA_MARGIN!U73:U76),"")</f>
        <v>4.7811872657608792E-2</v>
      </c>
      <c r="V190" s="13" t="str">
        <f>IFERROR(AVERAGE(EBITDA_MARGIN!V73:V76),"")</f>
        <v/>
      </c>
      <c r="W190" s="16">
        <f>IFERROR(AVERAGE(EBITDA_MARGIN!W73:W76),"")</f>
        <v>0.23327945651623025</v>
      </c>
      <c r="X190" s="16">
        <f>IFERROR(AVERAGE(EBITDA_MARGIN!X73:X76),"")</f>
        <v>0.12115846905878914</v>
      </c>
      <c r="Y190" s="16">
        <f>IFERROR(AVERAGE(EBITDA_MARGIN!Y73:Y76),"")</f>
        <v>0.32803180914512925</v>
      </c>
      <c r="Z190" s="16">
        <f>IFERROR(AVERAGE(EBITDA_MARGIN!Z73:Z76),"")</f>
        <v>4.048620989526118E-2</v>
      </c>
      <c r="AA190" s="16" t="str">
        <f>IFERROR(AVERAGE(EBITDA_MARGIN!AA73:AA76),"")</f>
        <v/>
      </c>
      <c r="AB190" s="16" t="str">
        <f>IFERROR(AVERAGE(EBITDA_MARGIN!AB73:AB76),"")</f>
        <v/>
      </c>
      <c r="AC190" s="11"/>
    </row>
    <row r="191" spans="1:29" ht="14">
      <c r="A191" s="14" t="s">
        <v>102</v>
      </c>
      <c r="B191" s="13"/>
      <c r="C191" s="13">
        <f>IFERROR(AVERAGE(EBITDA_MARGIN!C74:C77),"")</f>
        <v>0.38430454035728545</v>
      </c>
      <c r="D191" s="13">
        <f>IFERROR(AVERAGE(EBITDA_MARGIN!D74:D77),"")</f>
        <v>0.14311585195552345</v>
      </c>
      <c r="E191" s="13">
        <f>IFERROR(AVERAGE(EBITDA_MARGIN!E74:E77),"")</f>
        <v>4.9053076005221741E-2</v>
      </c>
      <c r="F191" s="13">
        <f>IFERROR(AVERAGE(EBITDA_MARGIN!F74:F77),"")</f>
        <v>0.24543391399394954</v>
      </c>
      <c r="G191" s="13">
        <f>IFERROR(AVERAGE(EBITDA_MARGIN!G74:G77),"")</f>
        <v>-2.3081526628061223E-2</v>
      </c>
      <c r="H191" s="13">
        <f>IFERROR(AVERAGE(EBITDA_MARGIN!H74:H77),"")</f>
        <v>0.40990859374595634</v>
      </c>
      <c r="I191" s="13"/>
      <c r="J191" s="13">
        <f>IFERROR(AVERAGE(EBITDA_MARGIN!J74:J77),"")</f>
        <v>-9.3151349691496729E-2</v>
      </c>
      <c r="K191" s="13"/>
      <c r="L191" s="13" t="str">
        <f>IFERROR(AVERAGE(EBITDA_MARGIN!L74:L77),"")</f>
        <v/>
      </c>
      <c r="M191" s="13" t="str">
        <f>IFERROR(AVERAGE(EBITDA_MARGIN!M74:M77),"")</f>
        <v/>
      </c>
      <c r="N191" s="13" t="str">
        <f>IFERROR(AVERAGE(EBITDA_MARGIN!N74:N77),"")</f>
        <v/>
      </c>
      <c r="O191" s="13">
        <f>IFERROR(AVERAGE(EBITDA_MARGIN!O74:O77),"")</f>
        <v>0.24491422157427389</v>
      </c>
      <c r="P191" s="13" t="str">
        <f>IFERROR(AVERAGE(EBITDA_MARGIN!P74:P77),"")</f>
        <v/>
      </c>
      <c r="Q191" s="13" t="str">
        <f>IFERROR(AVERAGE(EBITDA_MARGIN!Q74:Q77),"")</f>
        <v/>
      </c>
      <c r="R191" s="13">
        <f>IFERROR(AVERAGE(EBITDA_MARGIN!R74:R77),"")</f>
        <v>7.747500007091606E-3</v>
      </c>
      <c r="S191" s="13" t="str">
        <f>IFERROR(AVERAGE(EBITDA_MARGIN!S74:S77),"")</f>
        <v/>
      </c>
      <c r="T191" s="13" t="str">
        <f>IFERROR(AVERAGE(EBITDA_MARGIN!T74:T77),"")</f>
        <v/>
      </c>
      <c r="U191" s="13">
        <f>IFERROR(AVERAGE(EBITDA_MARGIN!U74:U77),"")</f>
        <v>4.7811872657608792E-2</v>
      </c>
      <c r="V191" s="13" t="str">
        <f>IFERROR(AVERAGE(EBITDA_MARGIN!V74:V77),"")</f>
        <v/>
      </c>
      <c r="W191" s="16">
        <f>IFERROR(AVERAGE(EBITDA_MARGIN!W74:W77),"")</f>
        <v>0.21522945147477615</v>
      </c>
      <c r="X191" s="16">
        <f>IFERROR(AVERAGE(EBITDA_MARGIN!X74:X77),"")</f>
        <v>0.11058014405025898</v>
      </c>
      <c r="Y191" s="16">
        <f>IFERROR(AVERAGE(EBITDA_MARGIN!Y74:Y77),"")</f>
        <v>0.32803180914512925</v>
      </c>
      <c r="Z191" s="16">
        <f>IFERROR(AVERAGE(EBITDA_MARGIN!Z74:Z77),"")</f>
        <v>3.1887744844480835E-2</v>
      </c>
      <c r="AA191" s="16" t="str">
        <f>IFERROR(AVERAGE(EBITDA_MARGIN!AA74:AA77),"")</f>
        <v/>
      </c>
      <c r="AB191" s="16" t="str">
        <f>IFERROR(AVERAGE(EBITDA_MARGIN!AB74:AB77),"")</f>
        <v/>
      </c>
      <c r="AC191" s="11"/>
    </row>
    <row r="192" spans="1:29" ht="14">
      <c r="A192" s="14" t="s">
        <v>103</v>
      </c>
      <c r="B192" s="13">
        <f>IFERROR(AVERAGE(EBITDA_MARGIN!B75:B78),"")</f>
        <v>-0.13459356002615769</v>
      </c>
      <c r="C192" s="13">
        <f>IFERROR(AVERAGE(EBITDA_MARGIN!C75:C78),"")</f>
        <v>0.38284973732074862</v>
      </c>
      <c r="D192" s="13">
        <f>IFERROR(AVERAGE(EBITDA_MARGIN!D75:D78),"")</f>
        <v>0.13701312452630773</v>
      </c>
      <c r="E192" s="13">
        <f>IFERROR(AVERAGE(EBITDA_MARGIN!E75:E78),"")</f>
        <v>6.3982953922694583E-2</v>
      </c>
      <c r="F192" s="13">
        <f>IFERROR(AVERAGE(EBITDA_MARGIN!F75:F78),"")</f>
        <v>0.21782841823056301</v>
      </c>
      <c r="G192" s="13">
        <f>IFERROR(AVERAGE(EBITDA_MARGIN!G75:G78),"")</f>
        <v>-3.0485135585737465E-2</v>
      </c>
      <c r="H192" s="13">
        <f>IFERROR(AVERAGE(EBITDA_MARGIN!H75:H78),"")</f>
        <v>0.29805158629916173</v>
      </c>
      <c r="I192" s="13">
        <f>IFERROR(AVERAGE(EBITDA_MARGIN!I75:I78),"")</f>
        <v>-9.468095449253161E-2</v>
      </c>
      <c r="J192" s="13">
        <f>IFERROR(AVERAGE(EBITDA_MARGIN!J75:J78),"")</f>
        <v>-0.12893887752295297</v>
      </c>
      <c r="K192" s="13"/>
      <c r="L192" s="13" t="str">
        <f>IFERROR(AVERAGE(EBITDA_MARGIN!L75:L78),"")</f>
        <v/>
      </c>
      <c r="M192" s="13" t="str">
        <f>IFERROR(AVERAGE(EBITDA_MARGIN!M75:M78),"")</f>
        <v/>
      </c>
      <c r="N192" s="13" t="str">
        <f>IFERROR(AVERAGE(EBITDA_MARGIN!N75:N78),"")</f>
        <v/>
      </c>
      <c r="O192" s="13">
        <f>IFERROR(AVERAGE(EBITDA_MARGIN!O75:O78),"")</f>
        <v>0.24258794567308278</v>
      </c>
      <c r="P192" s="13" t="str">
        <f>IFERROR(AVERAGE(EBITDA_MARGIN!P75:P78),"")</f>
        <v/>
      </c>
      <c r="Q192" s="13" t="str">
        <f>IFERROR(AVERAGE(EBITDA_MARGIN!Q75:Q78),"")</f>
        <v/>
      </c>
      <c r="R192" s="13">
        <f>IFERROR(AVERAGE(EBITDA_MARGIN!R75:R78),"")</f>
        <v>-4.3765197526458868E-2</v>
      </c>
      <c r="S192" s="13" t="str">
        <f>IFERROR(AVERAGE(EBITDA_MARGIN!S75:S78),"")</f>
        <v/>
      </c>
      <c r="T192" s="13" t="str">
        <f>IFERROR(AVERAGE(EBITDA_MARGIN!T75:T78),"")</f>
        <v/>
      </c>
      <c r="U192" s="13" t="str">
        <f>IFERROR(AVERAGE(EBITDA_MARGIN!U75:U78),"")</f>
        <v/>
      </c>
      <c r="V192" s="13" t="str">
        <f>IFERROR(AVERAGE(EBITDA_MARGIN!V75:V78),"")</f>
        <v/>
      </c>
      <c r="W192" s="16">
        <f>IFERROR(AVERAGE(EBITDA_MARGIN!W75:W78),"")</f>
        <v>0.19717944643332205</v>
      </c>
      <c r="X192" s="16">
        <f>IFERROR(AVERAGE(EBITDA_MARGIN!X75:X78),"")</f>
        <v>0.10000181904172882</v>
      </c>
      <c r="Y192" s="16">
        <f>IFERROR(AVERAGE(EBITDA_MARGIN!Y75:Y78),"")</f>
        <v>0.32803180914512925</v>
      </c>
      <c r="Z192" s="16">
        <f>IFERROR(AVERAGE(EBITDA_MARGIN!Z75:Z78),"")</f>
        <v>2.3289279793700497E-2</v>
      </c>
      <c r="AA192" s="16" t="str">
        <f>IFERROR(AVERAGE(EBITDA_MARGIN!AA75:AA78),"")</f>
        <v/>
      </c>
      <c r="AB192" s="16" t="str">
        <f>IFERROR(AVERAGE(EBITDA_MARGIN!AB75:AB78),"")</f>
        <v/>
      </c>
      <c r="AC192" s="11"/>
    </row>
    <row r="193" spans="1:29" ht="14">
      <c r="A193" s="14" t="s">
        <v>104</v>
      </c>
      <c r="B193" s="13">
        <f>IFERROR(AVERAGE(EBITDA_MARGIN!B76:B79),"")</f>
        <v>-0.12102775759034894</v>
      </c>
      <c r="C193" s="13">
        <f ca="1">IFERROR(AVERAGE(EBITDA_MARGIN!C76:C79),"")</f>
        <v>0.34073285699428585</v>
      </c>
      <c r="D193" s="13">
        <f ca="1">IFERROR(AVERAGE(EBITDA_MARGIN!D76:D79),"")</f>
        <v>8.0307112302293815E-2</v>
      </c>
      <c r="E193" s="13">
        <f ca="1">IFERROR(AVERAGE(EBITDA_MARGIN!E76:E79),"")</f>
        <v>-3.5957066082905748E-2</v>
      </c>
      <c r="F193" s="13">
        <f ca="1">IFERROR(AVERAGE(EBITDA_MARGIN!F76:F79),"")</f>
        <v>0.19035995003655862</v>
      </c>
      <c r="G193" s="13">
        <f ca="1">IFERROR(AVERAGE(EBITDA_MARGIN!G76:G79),"")</f>
        <v>-2.2429410033092307E-2</v>
      </c>
      <c r="H193" s="13">
        <f>IFERROR(AVERAGE(EBITDA_MARGIN!H76:H79),"")</f>
        <v>0.18619457885236701</v>
      </c>
      <c r="I193" s="13">
        <f ca="1">IFERROR(AVERAGE(EBITDA_MARGIN!I76:I79),"")</f>
        <v>-6.5981768500977658E-2</v>
      </c>
      <c r="J193" s="13">
        <f ca="1">IFERROR(AVERAGE(EBITDA_MARGIN!J76:J79),"")</f>
        <v>-0.26513571310671602</v>
      </c>
      <c r="K193" s="13"/>
      <c r="L193" s="13">
        <f ca="1">IFERROR(AVERAGE(EBITDA_MARGIN!L76:L79),"")</f>
        <v>0.37474075489502207</v>
      </c>
      <c r="M193" s="13" t="str">
        <f>IFERROR(AVERAGE(EBITDA_MARGIN!M76:M79),"")</f>
        <v/>
      </c>
      <c r="N193" s="13">
        <f ca="1">IFERROR(AVERAGE(EBITDA_MARGIN!N76:N79),"")</f>
        <v>-1.0603415559772296</v>
      </c>
      <c r="O193" s="13">
        <f>IFERROR(AVERAGE(EBITDA_MARGIN!O76:O79),"")</f>
        <v>0.24026166977189167</v>
      </c>
      <c r="P193" s="13" t="str">
        <f>IFERROR(AVERAGE(EBITDA_MARGIN!P76:P79),"")</f>
        <v/>
      </c>
      <c r="Q193" s="13" t="str">
        <f>IFERROR(AVERAGE(EBITDA_MARGIN!Q76:Q79),"")</f>
        <v/>
      </c>
      <c r="R193" s="13">
        <f>IFERROR(AVERAGE(EBITDA_MARGIN!R76:R79),"")</f>
        <v>-1.0332404322251458E-2</v>
      </c>
      <c r="S193" s="13"/>
      <c r="T193" s="13" t="str">
        <f>IFERROR(AVERAGE(EBITDA_MARGIN!T76:T79),"")</f>
        <v/>
      </c>
      <c r="U193" s="13" t="str">
        <f>IFERROR(AVERAGE(EBITDA_MARGIN!U76:U79),"")</f>
        <v/>
      </c>
      <c r="V193" s="13" t="str">
        <f>IFERROR(AVERAGE(EBITDA_MARGIN!V76:V79),"")</f>
        <v/>
      </c>
      <c r="W193" s="16">
        <f>IFERROR(AVERAGE(EBITDA_MARGIN!W76:W79),"")</f>
        <v>0.17912944139186798</v>
      </c>
      <c r="X193" s="16">
        <f>IFERROR(AVERAGE(EBITDA_MARGIN!X76:X79),"")</f>
        <v>0.10179446533407444</v>
      </c>
      <c r="Y193" s="16">
        <f>IFERROR(AVERAGE(EBITDA_MARGIN!Y76:Y79),"")</f>
        <v>0.33178535692629602</v>
      </c>
      <c r="Z193" s="16">
        <f>IFERROR(AVERAGE(EBITDA_MARGIN!Z76:Z79),"")</f>
        <v>2.2219846231987354E-2</v>
      </c>
      <c r="AA193" s="16" t="str">
        <f>IFERROR(AVERAGE(EBITDA_MARGIN!AA76:AA79),"")</f>
        <v/>
      </c>
      <c r="AB193" s="16">
        <f>IFERROR(AVERAGE(EBITDA_MARGIN!AB76:AB79),"")</f>
        <v>-0.71414929472493627</v>
      </c>
      <c r="AC193" s="11"/>
    </row>
    <row r="194" spans="1:29" ht="14">
      <c r="A194" s="14" t="s">
        <v>105</v>
      </c>
      <c r="B194" s="13">
        <f>IFERROR(AVERAGE(EBITDA_MARGIN!B77:B80),"")</f>
        <v>-0.10746195515454018</v>
      </c>
      <c r="C194" s="13">
        <f ca="1">IFERROR(AVERAGE(EBITDA_MARGIN!C77:C80),"")</f>
        <v>0.31275790310228335</v>
      </c>
      <c r="D194" s="13">
        <f ca="1">IFERROR(AVERAGE(EBITDA_MARGIN!D77:D80),"")</f>
        <v>4.466551149858574E-2</v>
      </c>
      <c r="E194" s="13">
        <f ca="1">IFERROR(AVERAGE(EBITDA_MARGIN!E77:E80),"")</f>
        <v>-7.6075611581123248E-2</v>
      </c>
      <c r="F194" s="13">
        <f ca="1">IFERROR(AVERAGE(EBITDA_MARGIN!F77:F80),"")</f>
        <v>0.16467522399554191</v>
      </c>
      <c r="G194" s="13">
        <f ca="1">IFERROR(AVERAGE(EBITDA_MARGIN!G77:G80),"")</f>
        <v>-8.4640528371294807E-2</v>
      </c>
      <c r="H194" s="13">
        <f>IFERROR(AVERAGE(EBITDA_MARGIN!H77:H80),"")</f>
        <v>0.1910536064097175</v>
      </c>
      <c r="I194" s="13">
        <f ca="1">IFERROR(AVERAGE(EBITDA_MARGIN!I77:I80),"")</f>
        <v>-3.6359509675824554E-2</v>
      </c>
      <c r="J194" s="13">
        <f ca="1">IFERROR(AVERAGE(EBITDA_MARGIN!J77:J80),"")</f>
        <v>-0.25349956631356824</v>
      </c>
      <c r="K194" s="13"/>
      <c r="L194" s="13">
        <f ca="1">IFERROR(AVERAGE(EBITDA_MARGIN!L77:L80),"")</f>
        <v>0.43679411354001774</v>
      </c>
      <c r="M194" s="13" t="str">
        <f>IFERROR(AVERAGE(EBITDA_MARGIN!M77:M80),"")</f>
        <v/>
      </c>
      <c r="N194" s="13">
        <f ca="1">IFERROR(AVERAGE(EBITDA_MARGIN!N77:N80),"")</f>
        <v>-0.80601196237623252</v>
      </c>
      <c r="O194" s="13">
        <f>IFERROR(AVERAGE(EBITDA_MARGIN!O77:O80),"")</f>
        <v>0.23793539387070056</v>
      </c>
      <c r="P194" s="13" t="str">
        <f>IFERROR(AVERAGE(EBITDA_MARGIN!P77:P80),"")</f>
        <v/>
      </c>
      <c r="Q194" s="13" t="str">
        <f>IFERROR(AVERAGE(EBITDA_MARGIN!Q77:Q80),"")</f>
        <v/>
      </c>
      <c r="R194" s="13">
        <f>IFERROR(AVERAGE(EBITDA_MARGIN!R77:R80),"")</f>
        <v>2.3100388881955959E-2</v>
      </c>
      <c r="S194" s="13"/>
      <c r="T194" s="13" t="str">
        <f>IFERROR(AVERAGE(EBITDA_MARGIN!T77:T80),"")</f>
        <v/>
      </c>
      <c r="U194" s="13" t="str">
        <f>IFERROR(AVERAGE(EBITDA_MARGIN!U77:U80),"")</f>
        <v/>
      </c>
      <c r="V194" s="13" t="str">
        <f>IFERROR(AVERAGE(EBITDA_MARGIN!V77:V80),"")</f>
        <v/>
      </c>
      <c r="W194" s="16">
        <f>IFERROR(AVERAGE(EBITDA_MARGIN!W77:W80),"")</f>
        <v>0.16107943635041388</v>
      </c>
      <c r="X194" s="16">
        <f>IFERROR(AVERAGE(EBITDA_MARGIN!X77:X80),"")</f>
        <v>0.10358711162642006</v>
      </c>
      <c r="Y194" s="16">
        <f>IFERROR(AVERAGE(EBITDA_MARGIN!Y77:Y80),"")</f>
        <v>0.33553890470746278</v>
      </c>
      <c r="Z194" s="16">
        <f>IFERROR(AVERAGE(EBITDA_MARGIN!Z77:Z80),"")</f>
        <v>2.1150412670274212E-2</v>
      </c>
      <c r="AA194" s="16" t="str">
        <f>IFERROR(AVERAGE(EBITDA_MARGIN!AA77:AA80),"")</f>
        <v/>
      </c>
      <c r="AB194" s="16">
        <f>IFERROR(AVERAGE(EBITDA_MARGIN!AB77:AB80),"")</f>
        <v>-0.71414929472493627</v>
      </c>
      <c r="AC194" s="11"/>
    </row>
    <row r="195" spans="1:29" ht="14">
      <c r="A195" s="14" t="s">
        <v>106</v>
      </c>
      <c r="B195" s="13">
        <f>IFERROR(AVERAGE(EBITDA_MARGIN!B78:B81),"")</f>
        <v>-9.3896152718731432E-2</v>
      </c>
      <c r="C195" s="13">
        <f ca="1">IFERROR(AVERAGE(EBITDA_MARGIN!C78:C81),"")</f>
        <v>0.2710642983575744</v>
      </c>
      <c r="D195" s="13">
        <f ca="1">IFERROR(AVERAGE(EBITDA_MARGIN!D78:D81),"")</f>
        <v>4.3302098635121952E-2</v>
      </c>
      <c r="E195" s="13">
        <f ca="1">IFERROR(AVERAGE(EBITDA_MARGIN!E78:E81),"")</f>
        <v>-7.7659585355914551E-2</v>
      </c>
      <c r="F195" s="13">
        <f ca="1">IFERROR(AVERAGE(EBITDA_MARGIN!F78:F81),"")</f>
        <v>0.14762904580369687</v>
      </c>
      <c r="G195" s="13">
        <f ca="1">IFERROR(AVERAGE(EBITDA_MARGIN!G78:G81),"")</f>
        <v>-7.7318839616560844E-2</v>
      </c>
      <c r="H195" s="13">
        <f>IFERROR(AVERAGE(EBITDA_MARGIN!H78:H81),"")</f>
        <v>0.19591263396706798</v>
      </c>
      <c r="I195" s="13">
        <f ca="1">IFERROR(AVERAGE(EBITDA_MARGIN!I78:I81),"")</f>
        <v>3.0754125173723449E-2</v>
      </c>
      <c r="J195" s="13">
        <f ca="1">IFERROR(AVERAGE(EBITDA_MARGIN!J78:J81),"")</f>
        <v>-0.33099266377014669</v>
      </c>
      <c r="K195" s="13"/>
      <c r="L195" s="13">
        <f ca="1">IFERROR(AVERAGE(EBITDA_MARGIN!L78:L81),"")</f>
        <v>0.41624266812192873</v>
      </c>
      <c r="M195" s="13" t="str">
        <f>IFERROR(AVERAGE(EBITDA_MARGIN!M78:M81),"")</f>
        <v/>
      </c>
      <c r="N195" s="13">
        <f ca="1">IFERROR(AVERAGE(EBITDA_MARGIN!N78:N81),"")</f>
        <v>-0.67124444215395551</v>
      </c>
      <c r="O195" s="13">
        <f>IFERROR(AVERAGE(EBITDA_MARGIN!O78:O81),"")</f>
        <v>0.23020290239807548</v>
      </c>
      <c r="P195" s="13" t="str">
        <f>IFERROR(AVERAGE(EBITDA_MARGIN!P78:P81),"")</f>
        <v/>
      </c>
      <c r="Q195" s="13" t="str">
        <f>IFERROR(AVERAGE(EBITDA_MARGIN!Q78:Q81),"")</f>
        <v/>
      </c>
      <c r="R195" s="13">
        <f>IFERROR(AVERAGE(EBITDA_MARGIN!R78:R81),"")</f>
        <v>5.6533182086163376E-2</v>
      </c>
      <c r="S195" s="13"/>
      <c r="T195" s="13" t="str">
        <f>IFERROR(AVERAGE(EBITDA_MARGIN!T78:T81),"")</f>
        <v/>
      </c>
      <c r="U195" s="13" t="str">
        <f>IFERROR(AVERAGE(EBITDA_MARGIN!U78:U81),"")</f>
        <v/>
      </c>
      <c r="V195" s="13" t="str">
        <f>IFERROR(AVERAGE(EBITDA_MARGIN!V78:V81),"")</f>
        <v/>
      </c>
      <c r="W195" s="16">
        <f>IFERROR(AVERAGE(EBITDA_MARGIN!W78:W81),"")</f>
        <v>0.15962745561729716</v>
      </c>
      <c r="X195" s="16">
        <f>IFERROR(AVERAGE(EBITDA_MARGIN!X78:X81),"")</f>
        <v>0.10537975791876569</v>
      </c>
      <c r="Y195" s="16">
        <f>IFERROR(AVERAGE(EBITDA_MARGIN!Y78:Y81),"")</f>
        <v>0.33929245248862955</v>
      </c>
      <c r="Z195" s="16">
        <f>IFERROR(AVERAGE(EBITDA_MARGIN!Z78:Z81),"")</f>
        <v>2.0080979108561069E-2</v>
      </c>
      <c r="AA195" s="16" t="str">
        <f>IFERROR(AVERAGE(EBITDA_MARGIN!AA78:AA81),"")</f>
        <v/>
      </c>
      <c r="AB195" s="16">
        <f>IFERROR(AVERAGE(EBITDA_MARGIN!AB78:AB81),"")</f>
        <v>-0.71414929472493627</v>
      </c>
      <c r="AC195" s="11"/>
    </row>
    <row r="196" spans="1:29" ht="14">
      <c r="A196" s="14" t="s">
        <v>107</v>
      </c>
      <c r="B196" s="13">
        <f>IFERROR(AVERAGE(EBITDA_MARGIN!B79:B82),"")</f>
        <v>-8.033035028292268E-2</v>
      </c>
      <c r="C196" s="13">
        <f ca="1">IFERROR(AVERAGE(EBITDA_MARGIN!C79:C82),"")</f>
        <v>0.25659121666793239</v>
      </c>
      <c r="D196" s="13">
        <f ca="1">IFERROR(AVERAGE(EBITDA_MARGIN!D79:D82),"")</f>
        <v>2.2785081239808751E-2</v>
      </c>
      <c r="E196" s="13">
        <f ca="1">IFERROR(AVERAGE(EBITDA_MARGIN!E79:E82),"")</f>
        <v>-0.10203333992237909</v>
      </c>
      <c r="F196" s="13">
        <f ca="1">IFERROR(AVERAGE(EBITDA_MARGIN!F79:F82),"")</f>
        <v>9.6336498208081447E-2</v>
      </c>
      <c r="G196" s="13">
        <f ca="1">IFERROR(AVERAGE(EBITDA_MARGIN!G79:G82),"")</f>
        <v>-6.2005248027818788E-2</v>
      </c>
      <c r="H196" s="13">
        <f>IFERROR(AVERAGE(EBITDA_MARGIN!H79:H82),"")</f>
        <v>0.20077166152441847</v>
      </c>
      <c r="I196" s="13">
        <f ca="1">IFERROR(AVERAGE(EBITDA_MARGIN!I79:I82),"")</f>
        <v>6.7036976409468957E-2</v>
      </c>
      <c r="J196" s="13">
        <f ca="1">IFERROR(AVERAGE(EBITDA_MARGIN!J79:J82),"")</f>
        <v>-0.25605496487056878</v>
      </c>
      <c r="K196" s="13"/>
      <c r="L196" s="13">
        <f ca="1">IFERROR(AVERAGE(EBITDA_MARGIN!L79:L82),"")</f>
        <v>0.38726794286917837</v>
      </c>
      <c r="M196" s="13" t="str">
        <f>IFERROR(AVERAGE(EBITDA_MARGIN!M79:M82),"")</f>
        <v/>
      </c>
      <c r="N196" s="13">
        <f ca="1">IFERROR(AVERAGE(EBITDA_MARGIN!N79:N82),"")</f>
        <v>-0.62895644597069778</v>
      </c>
      <c r="O196" s="13">
        <f>IFERROR(AVERAGE(EBITDA_MARGIN!O79:O82),"")</f>
        <v>0.22247041092545036</v>
      </c>
      <c r="P196" s="13" t="str">
        <f>IFERROR(AVERAGE(EBITDA_MARGIN!P79:P82),"")</f>
        <v/>
      </c>
      <c r="Q196" s="13" t="str">
        <f>IFERROR(AVERAGE(EBITDA_MARGIN!Q79:Q82),"")</f>
        <v/>
      </c>
      <c r="R196" s="13">
        <f>IFERROR(AVERAGE(EBITDA_MARGIN!R79:R82),"")</f>
        <v>8.9965975290370787E-2</v>
      </c>
      <c r="S196" s="13"/>
      <c r="T196" s="13" t="str">
        <f>IFERROR(AVERAGE(EBITDA_MARGIN!T79:T82),"")</f>
        <v/>
      </c>
      <c r="U196" s="13" t="str">
        <f>IFERROR(AVERAGE(EBITDA_MARGIN!U79:U82),"")</f>
        <v/>
      </c>
      <c r="V196" s="13" t="str">
        <f>IFERROR(AVERAGE(EBITDA_MARGIN!V79:V82),"")</f>
        <v/>
      </c>
      <c r="W196" s="16">
        <f>IFERROR(AVERAGE(EBITDA_MARGIN!W79:W82),"")</f>
        <v>0.15817547488418043</v>
      </c>
      <c r="X196" s="16">
        <f>IFERROR(AVERAGE(EBITDA_MARGIN!X79:X82),"")</f>
        <v>0.10717240421111132</v>
      </c>
      <c r="Y196" s="16">
        <f>IFERROR(AVERAGE(EBITDA_MARGIN!Y79:Y82),"")</f>
        <v>0.34304600026979631</v>
      </c>
      <c r="Z196" s="16">
        <f>IFERROR(AVERAGE(EBITDA_MARGIN!Z79:Z82),"")</f>
        <v>1.9011545546847926E-2</v>
      </c>
      <c r="AA196" s="16" t="str">
        <f>IFERROR(AVERAGE(EBITDA_MARGIN!AA79:AA82),"")</f>
        <v/>
      </c>
      <c r="AB196" s="16">
        <f>IFERROR(AVERAGE(EBITDA_MARGIN!AB79:AB82),"")</f>
        <v>-0.71414929472493627</v>
      </c>
      <c r="AC196" s="11"/>
    </row>
    <row r="197" spans="1:29" ht="14">
      <c r="A197" s="14" t="s">
        <v>108</v>
      </c>
      <c r="B197" s="13">
        <f>IFERROR(AVERAGE(EBITDA_MARGIN!B80:B83),"")</f>
        <v>-6.0444895811385874E-2</v>
      </c>
      <c r="C197" s="13">
        <f ca="1">IFERROR(AVERAGE(EBITDA_MARGIN!C80:C83),"")</f>
        <v>0.25751425484641483</v>
      </c>
      <c r="D197" s="13">
        <f ca="1">IFERROR(AVERAGE(EBITDA_MARGIN!D80:D83),"")</f>
        <v>3.0276642848463178E-2</v>
      </c>
      <c r="E197" s="13">
        <f ca="1">IFERROR(AVERAGE(EBITDA_MARGIN!E80:E83),"")</f>
        <v>-1.0232717207777865E-2</v>
      </c>
      <c r="F197" s="13">
        <f ca="1">IFERROR(AVERAGE(EBITDA_MARGIN!F80:F83),"")</f>
        <v>8.6148937113262283E-2</v>
      </c>
      <c r="G197" s="13">
        <f ca="1">IFERROR(AVERAGE(EBITDA_MARGIN!G80:G83),"")</f>
        <v>-5.0894502793981604E-2</v>
      </c>
      <c r="H197" s="13">
        <f>IFERROR(AVERAGE(EBITDA_MARGIN!H80:H83),"")</f>
        <v>0.20563068908176899</v>
      </c>
      <c r="I197" s="13">
        <f ca="1">IFERROR(AVERAGE(EBITDA_MARGIN!I80:I83),"")</f>
        <v>9.7768315123336558E-2</v>
      </c>
      <c r="J197" s="13">
        <f ca="1">IFERROR(AVERAGE(EBITDA_MARGIN!J80:J83),"")</f>
        <v>-0.26668052958269717</v>
      </c>
      <c r="K197" s="13"/>
      <c r="L197" s="13">
        <f ca="1">IFERROR(AVERAGE(EBITDA_MARGIN!L80:L83),"")</f>
        <v>0.36966302918216004</v>
      </c>
      <c r="M197" s="13" t="str">
        <f>IFERROR(AVERAGE(EBITDA_MARGIN!M80:M83),"")</f>
        <v/>
      </c>
      <c r="N197" s="13">
        <f ca="1">IFERROR(AVERAGE(EBITDA_MARGIN!N80:N83),"")</f>
        <v>-0.38855102685590853</v>
      </c>
      <c r="O197" s="13">
        <f>IFERROR(AVERAGE(EBITDA_MARGIN!O80:O83),"")</f>
        <v>0.21473791945282525</v>
      </c>
      <c r="P197" s="13" t="str">
        <f>IFERROR(AVERAGE(EBITDA_MARGIN!P80:P83),"")</f>
        <v/>
      </c>
      <c r="Q197" s="13" t="str">
        <f>IFERROR(AVERAGE(EBITDA_MARGIN!Q80:Q83),"")</f>
        <v/>
      </c>
      <c r="R197" s="13">
        <f>IFERROR(AVERAGE(EBITDA_MARGIN!R80:R83),"")</f>
        <v>7.5680431566839027E-2</v>
      </c>
      <c r="S197" s="13">
        <f>IFERROR(AVERAGE(EBITDA_MARGIN!S80:S83),"")</f>
        <v>0.17935058346017249</v>
      </c>
      <c r="T197" s="13" t="str">
        <f>IFERROR(AVERAGE(EBITDA_MARGIN!T80:T83),"")</f>
        <v/>
      </c>
      <c r="U197" s="13" t="str">
        <f>IFERROR(AVERAGE(EBITDA_MARGIN!U80:U83),"")</f>
        <v/>
      </c>
      <c r="V197" s="13" t="str">
        <f>IFERROR(AVERAGE(EBITDA_MARGIN!V80:V83),"")</f>
        <v/>
      </c>
      <c r="W197" s="16">
        <f>IFERROR(AVERAGE(EBITDA_MARGIN!W80:W83),"")</f>
        <v>0.15672349415106371</v>
      </c>
      <c r="X197" s="16">
        <f>IFERROR(AVERAGE(EBITDA_MARGIN!X80:X83),"")</f>
        <v>0.10847064641683127</v>
      </c>
      <c r="Y197" s="16">
        <f>IFERROR(AVERAGE(EBITDA_MARGIN!Y80:Y83),"")</f>
        <v>0.33987594884575806</v>
      </c>
      <c r="Z197" s="16">
        <f>IFERROR(AVERAGE(EBITDA_MARGIN!Z80:Z83),"")</f>
        <v>1.7503625369290825E-2</v>
      </c>
      <c r="AA197" s="16">
        <f>IFERROR(AVERAGE(EBITDA_MARGIN!AA80:AA83),"")</f>
        <v>-0.11607919479766392</v>
      </c>
      <c r="AB197" s="16">
        <f>IFERROR(AVERAGE(EBITDA_MARGIN!AB80:AB83),"")</f>
        <v>-0.96280203799209019</v>
      </c>
      <c r="AC197" s="11"/>
    </row>
    <row r="198" spans="1:29" ht="14">
      <c r="A198" s="14" t="s">
        <v>109</v>
      </c>
      <c r="B198" s="13">
        <f>IFERROR(AVERAGE(EBITDA_MARGIN!B81:B84),"")</f>
        <v>-4.0559441339849067E-2</v>
      </c>
      <c r="C198" s="13">
        <f ca="1">IFERROR(AVERAGE(EBITDA_MARGIN!C81:C84),"")</f>
        <v>0.26111922930078302</v>
      </c>
      <c r="D198" s="13">
        <f ca="1">IFERROR(AVERAGE(EBITDA_MARGIN!D81:D84),"")</f>
        <v>3.7175403355861142E-2</v>
      </c>
      <c r="E198" s="13">
        <f ca="1">IFERROR(AVERAGE(EBITDA_MARGIN!E81:E84),"")</f>
        <v>4.904224091154983E-2</v>
      </c>
      <c r="F198" s="13">
        <f ca="1">IFERROR(AVERAGE(EBITDA_MARGIN!F81:F84),"")</f>
        <v>8.3319954823053349E-2</v>
      </c>
      <c r="G198" s="13">
        <f ca="1">IFERROR(AVERAGE(EBITDA_MARGIN!G81:G84),"")</f>
        <v>1.6368648663008585E-2</v>
      </c>
      <c r="H198" s="13">
        <f ca="1">IFERROR(AVERAGE(EBITDA_MARGIN!H81:H84),"")</f>
        <v>0.20195704355724056</v>
      </c>
      <c r="I198" s="13">
        <f ca="1">IFERROR(AVERAGE(EBITDA_MARGIN!I81:I84),"")</f>
        <v>0.10642898667111177</v>
      </c>
      <c r="J198" s="13">
        <f ca="1">IFERROR(AVERAGE(EBITDA_MARGIN!J81:J84),"")</f>
        <v>-0.32619113160407731</v>
      </c>
      <c r="K198" s="13"/>
      <c r="L198" s="13">
        <f ca="1">IFERROR(AVERAGE(EBITDA_MARGIN!L81:L84),"")</f>
        <v>0.33632147359233694</v>
      </c>
      <c r="M198" s="13" t="str">
        <f>IFERROR(AVERAGE(EBITDA_MARGIN!M81:M84),"")</f>
        <v/>
      </c>
      <c r="N198" s="13">
        <f ca="1">IFERROR(AVERAGE(EBITDA_MARGIN!N81:N84),"")</f>
        <v>-0.41913757514698841</v>
      </c>
      <c r="O198" s="13">
        <f>IFERROR(AVERAGE(EBITDA_MARGIN!O81:O84),"")</f>
        <v>0.20700542798020014</v>
      </c>
      <c r="P198" s="13" t="str">
        <f>IFERROR(AVERAGE(EBITDA_MARGIN!P81:P84),"")</f>
        <v/>
      </c>
      <c r="Q198" s="13" t="str">
        <f>IFERROR(AVERAGE(EBITDA_MARGIN!Q81:Q84),"")</f>
        <v/>
      </c>
      <c r="R198" s="13">
        <f>IFERROR(AVERAGE(EBITDA_MARGIN!R81:R84),"")</f>
        <v>6.1394887843307266E-2</v>
      </c>
      <c r="S198" s="13">
        <f>IFERROR(AVERAGE(EBITDA_MARGIN!S81:S84),"")</f>
        <v>0.1499728606184032</v>
      </c>
      <c r="T198" s="13" t="str">
        <f>IFERROR(AVERAGE(EBITDA_MARGIN!T81:T84),"")</f>
        <v/>
      </c>
      <c r="U198" s="13" t="str">
        <f>IFERROR(AVERAGE(EBITDA_MARGIN!U81:U84),"")</f>
        <v/>
      </c>
      <c r="V198" s="13" t="str">
        <f>IFERROR(AVERAGE(EBITDA_MARGIN!V81:V84),"")</f>
        <v/>
      </c>
      <c r="W198" s="16">
        <f>IFERROR(AVERAGE(EBITDA_MARGIN!W81:W84),"")</f>
        <v>0.15527151341794698</v>
      </c>
      <c r="X198" s="16">
        <f>IFERROR(AVERAGE(EBITDA_MARGIN!X81:X84),"")</f>
        <v>0.10976888862255121</v>
      </c>
      <c r="Y198" s="16">
        <f>IFERROR(AVERAGE(EBITDA_MARGIN!Y81:Y84),"")</f>
        <v>0.33670589742171986</v>
      </c>
      <c r="Z198" s="16">
        <f>IFERROR(AVERAGE(EBITDA_MARGIN!Z81:Z84),"")</f>
        <v>1.5995705191733725E-2</v>
      </c>
      <c r="AA198" s="16">
        <f>IFERROR(AVERAGE(EBITDA_MARGIN!AA81:AA84),"")</f>
        <v>-0.11607919479766392</v>
      </c>
      <c r="AB198" s="16">
        <f>IFERROR(AVERAGE(EBITDA_MARGIN!AB81:AB84),"")</f>
        <v>-1.2114547812592442</v>
      </c>
      <c r="AC198" s="11"/>
    </row>
    <row r="199" spans="1:29" ht="14">
      <c r="A199" s="14" t="s">
        <v>110</v>
      </c>
      <c r="B199" s="13">
        <f>IFERROR(AVERAGE(EBITDA_MARGIN!B82:B85),"")</f>
        <v>-2.0673986868312261E-2</v>
      </c>
      <c r="C199" s="13">
        <f ca="1">IFERROR(AVERAGE(EBITDA_MARGIN!C82:C85),"")</f>
        <v>0.32363352342739599</v>
      </c>
      <c r="D199" s="13">
        <f ca="1">IFERROR(AVERAGE(EBITDA_MARGIN!D82:D85),"")</f>
        <v>3.9265305822744637E-2</v>
      </c>
      <c r="E199" s="13">
        <f ca="1">IFERROR(AVERAGE(EBITDA_MARGIN!E82:E85),"")</f>
        <v>8.3125459483259445E-2</v>
      </c>
      <c r="F199" s="13">
        <f ca="1">IFERROR(AVERAGE(EBITDA_MARGIN!F82:F85),"")</f>
        <v>6.7549119573430738E-2</v>
      </c>
      <c r="G199" s="13">
        <f ca="1">IFERROR(AVERAGE(EBITDA_MARGIN!G82:G85),"")</f>
        <v>4.5026077316179022E-3</v>
      </c>
      <c r="H199" s="13">
        <f ca="1">IFERROR(AVERAGE(EBITDA_MARGIN!H82:H85),"")</f>
        <v>0.20801841153447631</v>
      </c>
      <c r="I199" s="13">
        <f ca="1">IFERROR(AVERAGE(EBITDA_MARGIN!I82:I85),"")</f>
        <v>9.2264578487414289E-2</v>
      </c>
      <c r="J199" s="13">
        <f ca="1">IFERROR(AVERAGE(EBITDA_MARGIN!J82:J85),"")</f>
        <v>-0.30932166048142484</v>
      </c>
      <c r="K199" s="13"/>
      <c r="L199" s="13">
        <f ca="1">IFERROR(AVERAGE(EBITDA_MARGIN!L82:L85),"")</f>
        <v>0.31359626612771163</v>
      </c>
      <c r="M199" s="13" t="str">
        <f>IFERROR(AVERAGE(EBITDA_MARGIN!M82:M85),"")</f>
        <v/>
      </c>
      <c r="N199" s="13">
        <f ca="1">IFERROR(AVERAGE(EBITDA_MARGIN!N82:N85),"")</f>
        <v>-0.35799923672333139</v>
      </c>
      <c r="O199" s="13">
        <f>IFERROR(AVERAGE(EBITDA_MARGIN!O82:O85),"")</f>
        <v>0.18423415059562739</v>
      </c>
      <c r="P199" s="13" t="str">
        <f>IFERROR(AVERAGE(EBITDA_MARGIN!P82:P85),"")</f>
        <v/>
      </c>
      <c r="Q199" s="13" t="str">
        <f>IFERROR(AVERAGE(EBITDA_MARGIN!Q82:Q85),"")</f>
        <v/>
      </c>
      <c r="R199" s="13">
        <f>IFERROR(AVERAGE(EBITDA_MARGIN!R82:R85),"")</f>
        <v>4.7109344119775506E-2</v>
      </c>
      <c r="S199" s="13">
        <f>IFERROR(AVERAGE(EBITDA_MARGIN!S82:S85),"")</f>
        <v>0.12059513777663393</v>
      </c>
      <c r="T199" s="13" t="str">
        <f>IFERROR(AVERAGE(EBITDA_MARGIN!T82:T85),"")</f>
        <v/>
      </c>
      <c r="U199" s="13" t="str">
        <f>IFERROR(AVERAGE(EBITDA_MARGIN!U82:U85),"")</f>
        <v/>
      </c>
      <c r="V199" s="13" t="str">
        <f>IFERROR(AVERAGE(EBITDA_MARGIN!V82:V85),"")</f>
        <v/>
      </c>
      <c r="W199" s="16">
        <f>IFERROR(AVERAGE(EBITDA_MARGIN!W82:W85),"")</f>
        <v>0.15261285461987084</v>
      </c>
      <c r="X199" s="16">
        <f>IFERROR(AVERAGE(EBITDA_MARGIN!X82:X85),"")</f>
        <v>0.11106713082827116</v>
      </c>
      <c r="Y199" s="16">
        <f>IFERROR(AVERAGE(EBITDA_MARGIN!Y82:Y85),"")</f>
        <v>0.3335358459976816</v>
      </c>
      <c r="Z199" s="16">
        <f>IFERROR(AVERAGE(EBITDA_MARGIN!Z82:Z85),"")</f>
        <v>1.4487785014176625E-2</v>
      </c>
      <c r="AA199" s="16">
        <f>IFERROR(AVERAGE(EBITDA_MARGIN!AA82:AA85),"")</f>
        <v>-0.11607919479766392</v>
      </c>
      <c r="AB199" s="16">
        <f>IFERROR(AVERAGE(EBITDA_MARGIN!AB82:AB85),"")</f>
        <v>-1.4601075245263981</v>
      </c>
      <c r="AC199" s="11"/>
    </row>
    <row r="200" spans="1:29" ht="14">
      <c r="A200" s="14" t="s">
        <v>111</v>
      </c>
      <c r="B200" s="13">
        <f>IFERROR(AVERAGE(EBITDA_MARGIN!B83:B86),"")</f>
        <v>-7.8853239677544897E-4</v>
      </c>
      <c r="C200" s="13">
        <f ca="1">IFERROR(AVERAGE(EBITDA_MARGIN!C83:C86),"")</f>
        <v>0.32641129529630497</v>
      </c>
      <c r="D200" s="13">
        <f ca="1">IFERROR(AVERAGE(EBITDA_MARGIN!D83:D86),"")</f>
        <v>3.3722228804894006E-2</v>
      </c>
      <c r="E200" s="13">
        <f ca="1">IFERROR(AVERAGE(EBITDA_MARGIN!E83:E86),"")</f>
        <v>0.12490428528564954</v>
      </c>
      <c r="F200" s="13">
        <f ca="1">IFERROR(AVERAGE(EBITDA_MARGIN!F83:F86),"")</f>
        <v>6.672101120953626E-2</v>
      </c>
      <c r="G200" s="13">
        <f ca="1">IFERROR(AVERAGE(EBITDA_MARGIN!G83:G86),"")</f>
        <v>-2.1228126118679906E-2</v>
      </c>
      <c r="H200" s="13">
        <f ca="1">IFERROR(AVERAGE(EBITDA_MARGIN!H83:H86),"")</f>
        <v>0.21762917648967059</v>
      </c>
      <c r="I200" s="13">
        <f ca="1">IFERROR(AVERAGE(EBITDA_MARGIN!I83:I86),"")</f>
        <v>0.10372998769257948</v>
      </c>
      <c r="J200" s="13">
        <f ca="1">IFERROR(AVERAGE(EBITDA_MARGIN!J83:J86),"")</f>
        <v>-0.40893001660441158</v>
      </c>
      <c r="K200" s="13"/>
      <c r="L200" s="13">
        <f ca="1">IFERROR(AVERAGE(EBITDA_MARGIN!L83:L86),"")</f>
        <v>0.25130455740172886</v>
      </c>
      <c r="M200" s="13" t="str">
        <f>IFERROR(AVERAGE(EBITDA_MARGIN!M83:M86),"")</f>
        <v/>
      </c>
      <c r="N200" s="13">
        <f ca="1">IFERROR(AVERAGE(EBITDA_MARGIN!N83:N86),"")</f>
        <v>-0.43594858216967397</v>
      </c>
      <c r="O200" s="13">
        <f>IFERROR(AVERAGE(EBITDA_MARGIN!O83:O86),"")</f>
        <v>0.16146287321105468</v>
      </c>
      <c r="P200" s="13" t="str">
        <f>IFERROR(AVERAGE(EBITDA_MARGIN!P83:P86),"")</f>
        <v/>
      </c>
      <c r="Q200" s="13" t="str">
        <f>IFERROR(AVERAGE(EBITDA_MARGIN!Q83:Q86),"")</f>
        <v/>
      </c>
      <c r="R200" s="13">
        <f>IFERROR(AVERAGE(EBITDA_MARGIN!R83:R86),"")</f>
        <v>3.2823800396243739E-2</v>
      </c>
      <c r="S200" s="13">
        <f>IFERROR(AVERAGE(EBITDA_MARGIN!S83:S86),"")</f>
        <v>9.1217414934864641E-2</v>
      </c>
      <c r="T200" s="13" t="str">
        <f>IFERROR(AVERAGE(EBITDA_MARGIN!T83:T86),"")</f>
        <v/>
      </c>
      <c r="U200" s="13" t="str">
        <f>IFERROR(AVERAGE(EBITDA_MARGIN!U83:U86),"")</f>
        <v/>
      </c>
      <c r="V200" s="13" t="str">
        <f>IFERROR(AVERAGE(EBITDA_MARGIN!V83:V86),"")</f>
        <v/>
      </c>
      <c r="W200" s="16">
        <f>IFERROR(AVERAGE(EBITDA_MARGIN!W83:W86),"")</f>
        <v>0.14995419582179467</v>
      </c>
      <c r="X200" s="16">
        <f>IFERROR(AVERAGE(EBITDA_MARGIN!X83:X86),"")</f>
        <v>0.11236537303399111</v>
      </c>
      <c r="Y200" s="16">
        <f>IFERROR(AVERAGE(EBITDA_MARGIN!Y83:Y86),"")</f>
        <v>0.3303657945736434</v>
      </c>
      <c r="Z200" s="16">
        <f>IFERROR(AVERAGE(EBITDA_MARGIN!Z83:Z86),"")</f>
        <v>1.2979864836619523E-2</v>
      </c>
      <c r="AA200" s="16">
        <f>IFERROR(AVERAGE(EBITDA_MARGIN!AA83:AA86),"")</f>
        <v>-0.11607919479766392</v>
      </c>
      <c r="AB200" s="16">
        <f>IFERROR(AVERAGE(EBITDA_MARGIN!AB83:AB86),"")</f>
        <v>-1.7087602677935521</v>
      </c>
      <c r="AC200" s="11"/>
    </row>
    <row r="201" spans="1:29" ht="14">
      <c r="A201" s="14" t="s">
        <v>112</v>
      </c>
      <c r="B201" s="13">
        <f>IFERROR(AVERAGE(EBITDA_MARGIN!B84:B87),"")</f>
        <v>6.332574924656457E-3</v>
      </c>
      <c r="C201" s="13">
        <f ca="1">IFERROR(AVERAGE(EBITDA_MARGIN!C84:C87),"")</f>
        <v>0.33621009457732076</v>
      </c>
      <c r="D201" s="13">
        <f ca="1">IFERROR(AVERAGE(EBITDA_MARGIN!D84:D87),"")</f>
        <v>3.1837305784689317E-2</v>
      </c>
      <c r="E201" s="13">
        <f ca="1">IFERROR(AVERAGE(EBITDA_MARGIN!E84:E87),"")</f>
        <v>0.15968001082442729</v>
      </c>
      <c r="F201" s="13">
        <f ca="1">IFERROR(AVERAGE(EBITDA_MARGIN!F84:F87),"")</f>
        <v>6.3808824829607952E-2</v>
      </c>
      <c r="G201" s="13">
        <f ca="1">IFERROR(AVERAGE(EBITDA_MARGIN!G84:G87),"")</f>
        <v>-6.0853540025584504E-2</v>
      </c>
      <c r="H201" s="13">
        <f ca="1">IFERROR(AVERAGE(EBITDA_MARGIN!H84:H87),"")</f>
        <v>0.21365374387686031</v>
      </c>
      <c r="I201" s="13">
        <f ca="1">IFERROR(AVERAGE(EBITDA_MARGIN!I84:I87),"")</f>
        <v>0.10261635387520235</v>
      </c>
      <c r="J201" s="13">
        <f ca="1">IFERROR(AVERAGE(EBITDA_MARGIN!J84:J87),"")</f>
        <v>-0.32646849508455722</v>
      </c>
      <c r="K201" s="13" t="str">
        <f>IFERROR(AVERAGE(EBITDA_MARGIN!K84:K87),"")</f>
        <v/>
      </c>
      <c r="L201" s="13">
        <f ca="1">IFERROR(AVERAGE(EBITDA_MARGIN!L84:L87),"")</f>
        <v>0.22284193798187985</v>
      </c>
      <c r="M201" s="13" t="str">
        <f>IFERROR(AVERAGE(EBITDA_MARGIN!M84:M87),"")</f>
        <v/>
      </c>
      <c r="N201" s="13">
        <f ca="1">IFERROR(AVERAGE(EBITDA_MARGIN!N84:N87),"")</f>
        <v>-0.39628228707881824</v>
      </c>
      <c r="O201" s="13">
        <f>IFERROR(AVERAGE(EBITDA_MARGIN!O84:O87),"")</f>
        <v>0.13869159582648194</v>
      </c>
      <c r="P201" s="13" t="str">
        <f>IFERROR(AVERAGE(EBITDA_MARGIN!P84:P87),"")</f>
        <v/>
      </c>
      <c r="Q201" s="13" t="str">
        <f>IFERROR(AVERAGE(EBITDA_MARGIN!Q84:Q87),"")</f>
        <v/>
      </c>
      <c r="R201" s="13">
        <f>IFERROR(AVERAGE(EBITDA_MARGIN!R84:R87),"")</f>
        <v>4.8380268149468525E-2</v>
      </c>
      <c r="S201" s="13">
        <f>IFERROR(AVERAGE(EBITDA_MARGIN!S84:S87),"")</f>
        <v>6.1839692093095346E-2</v>
      </c>
      <c r="T201" s="13" t="str">
        <f>IFERROR(AVERAGE(EBITDA_MARGIN!T84:T87),"")</f>
        <v/>
      </c>
      <c r="U201" s="13" t="str">
        <f>IFERROR(AVERAGE(EBITDA_MARGIN!U84:U87),"")</f>
        <v/>
      </c>
      <c r="V201" s="13" t="str">
        <f>IFERROR(AVERAGE(EBITDA_MARGIN!V84:V87),"")</f>
        <v/>
      </c>
      <c r="W201" s="16">
        <f>IFERROR(AVERAGE(EBITDA_MARGIN!W84:W87),"")</f>
        <v>0.1472955370237185</v>
      </c>
      <c r="X201" s="16">
        <f>IFERROR(AVERAGE(EBITDA_MARGIN!X84:X87),"")</f>
        <v>0.12538122303236476</v>
      </c>
      <c r="Y201" s="16">
        <f>IFERROR(AVERAGE(EBITDA_MARGIN!Y84:Y87),"")</f>
        <v>0.29602461506128042</v>
      </c>
      <c r="Z201" s="16">
        <f>IFERROR(AVERAGE(EBITDA_MARGIN!Z84:Z87),"")</f>
        <v>1.1638433445707507E-2</v>
      </c>
      <c r="AA201" s="16">
        <f>IFERROR(AVERAGE(EBITDA_MARGIN!AA84:AA87),"")</f>
        <v>-9.4899696205429068E-2</v>
      </c>
      <c r="AB201" s="16">
        <f>IFERROR(AVERAGE(EBITDA_MARGIN!AB84:AB87),"")</f>
        <v>-1.5400511318527701</v>
      </c>
      <c r="AC201" s="11"/>
    </row>
    <row r="202" spans="1:29" ht="14">
      <c r="A202" s="14" t="s">
        <v>113</v>
      </c>
      <c r="B202" s="13">
        <f>IFERROR(AVERAGE(EBITDA_MARGIN!B85:B88),"")</f>
        <v>1.3453682246088363E-2</v>
      </c>
      <c r="C202" s="13">
        <f ca="1">IFERROR(AVERAGE(EBITDA_MARGIN!C85:C88),"")</f>
        <v>0.35031285261945388</v>
      </c>
      <c r="D202" s="13">
        <f ca="1">IFERROR(AVERAGE(EBITDA_MARGIN!D85:D88),"")</f>
        <v>2.511158717164472E-2</v>
      </c>
      <c r="E202" s="13">
        <f ca="1">IFERROR(AVERAGE(EBITDA_MARGIN!E85:E88),"")</f>
        <v>0.22434800360753554</v>
      </c>
      <c r="F202" s="13">
        <f ca="1">IFERROR(AVERAGE(EBITDA_MARGIN!F85:F88),"")</f>
        <v>6.2114851235987312E-2</v>
      </c>
      <c r="G202" s="13">
        <f ca="1">IFERROR(AVERAGE(EBITDA_MARGIN!G85:G88),"")</f>
        <v>-8.730781700763042E-2</v>
      </c>
      <c r="H202" s="13">
        <f ca="1">IFERROR(AVERAGE(EBITDA_MARGIN!H85:H88),"")</f>
        <v>0.21365374387686031</v>
      </c>
      <c r="I202" s="13">
        <f ca="1">IFERROR(AVERAGE(EBITDA_MARGIN!I85:I88),"")</f>
        <v>9.1338710737979972E-2</v>
      </c>
      <c r="J202" s="13">
        <f ca="1">IFERROR(AVERAGE(EBITDA_MARGIN!J85:J88),"")</f>
        <v>-0.33055704225835275</v>
      </c>
      <c r="K202" s="13"/>
      <c r="L202" s="13">
        <f ca="1">IFERROR(AVERAGE(EBITDA_MARGIN!L85:L88),"")</f>
        <v>0.2190749629624722</v>
      </c>
      <c r="M202" s="13" t="str">
        <f>IFERROR(AVERAGE(EBITDA_MARGIN!M85:M88),"")</f>
        <v/>
      </c>
      <c r="N202" s="13">
        <f ca="1">IFERROR(AVERAGE(EBITDA_MARGIN!N85:N88),"")</f>
        <v>-0.25121012933270975</v>
      </c>
      <c r="O202" s="13">
        <f>IFERROR(AVERAGE(EBITDA_MARGIN!O85:O88),"")</f>
        <v>0.11592031844190923</v>
      </c>
      <c r="P202" s="13" t="str">
        <f>IFERROR(AVERAGE(EBITDA_MARGIN!P85:P88),"")</f>
        <v/>
      </c>
      <c r="Q202" s="13" t="str">
        <f>IFERROR(AVERAGE(EBITDA_MARGIN!Q85:Q88),"")</f>
        <v/>
      </c>
      <c r="R202" s="13">
        <f>IFERROR(AVERAGE(EBITDA_MARGIN!R85:R88),"")</f>
        <v>6.3936735902693317E-2</v>
      </c>
      <c r="S202" s="13">
        <f>IFERROR(AVERAGE(EBITDA_MARGIN!S85:S88),"")</f>
        <v>8.885819077142447E-2</v>
      </c>
      <c r="T202" s="13" t="str">
        <f>IFERROR(AVERAGE(EBITDA_MARGIN!T85:T88),"")</f>
        <v/>
      </c>
      <c r="U202" s="13" t="str">
        <f>IFERROR(AVERAGE(EBITDA_MARGIN!U85:U88),"")</f>
        <v/>
      </c>
      <c r="V202" s="13" t="str">
        <f>IFERROR(AVERAGE(EBITDA_MARGIN!V85:V88),"")</f>
        <v/>
      </c>
      <c r="W202" s="16">
        <f>IFERROR(AVERAGE(EBITDA_MARGIN!W85:W88),"")</f>
        <v>0.14463687822564236</v>
      </c>
      <c r="X202" s="16">
        <f>IFERROR(AVERAGE(EBITDA_MARGIN!X85:X88),"")</f>
        <v>0.13839707303073845</v>
      </c>
      <c r="Y202" s="16">
        <f>IFERROR(AVERAGE(EBITDA_MARGIN!Y85:Y88),"")</f>
        <v>0.26168343554891743</v>
      </c>
      <c r="Z202" s="16">
        <f>IFERROR(AVERAGE(EBITDA_MARGIN!Z85:Z88),"")</f>
        <v>1.0297002054795492E-2</v>
      </c>
      <c r="AA202" s="16">
        <f>IFERROR(AVERAGE(EBITDA_MARGIN!AA85:AA88),"")</f>
        <v>-7.3720197613194233E-2</v>
      </c>
      <c r="AB202" s="16">
        <f>IFERROR(AVERAGE(EBITDA_MARGIN!AB85:AB88),"")</f>
        <v>-1.3713419959119884</v>
      </c>
      <c r="AC202" s="11"/>
    </row>
    <row r="203" spans="1:29" ht="14">
      <c r="A203" s="14" t="s">
        <v>114</v>
      </c>
      <c r="B203" s="13">
        <f>IFERROR(AVERAGE(EBITDA_MARGIN!B86:B89),"")</f>
        <v>2.057478956752027E-2</v>
      </c>
      <c r="C203" s="13">
        <f ca="1">IFERROR(AVERAGE(EBITDA_MARGIN!C86:C89),"")</f>
        <v>0.34930893129378987</v>
      </c>
      <c r="D203" s="13">
        <f ca="1">IFERROR(AVERAGE(EBITDA_MARGIN!D86:D89),"")</f>
        <v>3.6835113139944795E-2</v>
      </c>
      <c r="E203" s="13">
        <f ca="1">IFERROR(AVERAGE(EBITDA_MARGIN!E86:E89),"")</f>
        <v>0.14880623670421256</v>
      </c>
      <c r="F203" s="13">
        <f ca="1">IFERROR(AVERAGE(EBITDA_MARGIN!F86:F89),"")</f>
        <v>8.7963843089246499E-2</v>
      </c>
      <c r="G203" s="13">
        <f ca="1">IFERROR(AVERAGE(EBITDA_MARGIN!G86:G89),"")</f>
        <v>-5.8322431254831053E-2</v>
      </c>
      <c r="H203" s="13">
        <f ca="1">IFERROR(AVERAGE(EBITDA_MARGIN!H86:H89),"")</f>
        <v>0.20471743500615747</v>
      </c>
      <c r="I203" s="13">
        <f ca="1">IFERROR(AVERAGE(EBITDA_MARGIN!I86:I89),"")</f>
        <v>5.7987456989719119E-2</v>
      </c>
      <c r="J203" s="13">
        <f ca="1">IFERROR(AVERAGE(EBITDA_MARGIN!J86:J89),"")</f>
        <v>-0.34214688644251656</v>
      </c>
      <c r="K203" s="13"/>
      <c r="L203" s="13">
        <f ca="1">IFERROR(AVERAGE(EBITDA_MARGIN!L86:L89),"")</f>
        <v>-2.0721041073296753E-2</v>
      </c>
      <c r="M203" s="13" t="str">
        <f>IFERROR(AVERAGE(EBITDA_MARGIN!M86:M89),"")</f>
        <v/>
      </c>
      <c r="N203" s="13">
        <f ca="1">IFERROR(AVERAGE(EBITDA_MARGIN!N86:N89),"")</f>
        <v>-0.23050094103126897</v>
      </c>
      <c r="O203" s="13">
        <f ca="1">IFERROR(AVERAGE(EBITDA_MARGIN!O86:O89),"")</f>
        <v>0.13401077352995297</v>
      </c>
      <c r="P203" s="13" t="str">
        <f>IFERROR(AVERAGE(EBITDA_MARGIN!P86:P89),"")</f>
        <v/>
      </c>
      <c r="Q203" s="13" t="str">
        <f>IFERROR(AVERAGE(EBITDA_MARGIN!Q86:Q89),"")</f>
        <v/>
      </c>
      <c r="R203" s="13">
        <f>IFERROR(AVERAGE(EBITDA_MARGIN!R86:R89),"")</f>
        <v>7.949320365591811E-2</v>
      </c>
      <c r="S203" s="13">
        <f>IFERROR(AVERAGE(EBITDA_MARGIN!S86:S89),"")</f>
        <v>0.11587668944975359</v>
      </c>
      <c r="T203" s="13" t="str">
        <f>IFERROR(AVERAGE(EBITDA_MARGIN!T86:T89),"")</f>
        <v/>
      </c>
      <c r="U203" s="13" t="str">
        <f>IFERROR(AVERAGE(EBITDA_MARGIN!U86:U89),"")</f>
        <v/>
      </c>
      <c r="V203" s="13" t="str">
        <f>IFERROR(AVERAGE(EBITDA_MARGIN!V86:V89),"")</f>
        <v/>
      </c>
      <c r="W203" s="16">
        <f>IFERROR(AVERAGE(EBITDA_MARGIN!W86:W89),"")</f>
        <v>0.14800833170678468</v>
      </c>
      <c r="X203" s="16">
        <f>IFERROR(AVERAGE(EBITDA_MARGIN!X86:X89),"")</f>
        <v>0.15141292302911211</v>
      </c>
      <c r="Y203" s="16">
        <f>IFERROR(AVERAGE(EBITDA_MARGIN!Y86:Y89),"")</f>
        <v>0.22734225603655445</v>
      </c>
      <c r="Z203" s="16">
        <f>IFERROR(AVERAGE(EBITDA_MARGIN!Z86:Z89),"")</f>
        <v>8.9555706638834789E-3</v>
      </c>
      <c r="AA203" s="16">
        <f>IFERROR(AVERAGE(EBITDA_MARGIN!AA86:AA89),"")</f>
        <v>-5.2540699020959383E-2</v>
      </c>
      <c r="AB203" s="16">
        <f>IFERROR(AVERAGE(EBITDA_MARGIN!AB86:AB89),"")</f>
        <v>-1.2026328599712064</v>
      </c>
      <c r="AC203" s="11"/>
    </row>
    <row r="204" spans="1:29" ht="14">
      <c r="A204" s="14" t="s">
        <v>115</v>
      </c>
      <c r="B204" s="13">
        <f>IFERROR(AVERAGE(EBITDA_MARGIN!B87:B90),"")</f>
        <v>2.7695896888952173E-2</v>
      </c>
      <c r="C204" s="13">
        <f ca="1">IFERROR(AVERAGE(EBITDA_MARGIN!C87:C90),"")</f>
        <v>0.31446703243014962</v>
      </c>
      <c r="D204" s="13">
        <f ca="1">IFERROR(AVERAGE(EBITDA_MARGIN!D87:D90),"")</f>
        <v>3.411281348679155E-2</v>
      </c>
      <c r="E204" s="13">
        <f ca="1">IFERROR(AVERAGE(EBITDA_MARGIN!E87:E90),"")</f>
        <v>7.7327457812636058E-2</v>
      </c>
      <c r="F204" s="13">
        <f ca="1">IFERROR(AVERAGE(EBITDA_MARGIN!F87:F90),"")</f>
        <v>0.10152334824834108</v>
      </c>
      <c r="G204" s="13">
        <f ca="1">IFERROR(AVERAGE(EBITDA_MARGIN!G87:G90),"")</f>
        <v>-1.051239253403289E-2</v>
      </c>
      <c r="H204" s="13">
        <f ca="1">IFERROR(AVERAGE(EBITDA_MARGIN!H87:H90),"")</f>
        <v>0.19764636620157358</v>
      </c>
      <c r="I204" s="13">
        <f ca="1">IFERROR(AVERAGE(EBITDA_MARGIN!I87:I90),"")</f>
        <v>4.5028931078065146E-2</v>
      </c>
      <c r="J204" s="13">
        <f ca="1">IFERROR(AVERAGE(EBITDA_MARGIN!J87:J90),"")</f>
        <v>-0.33536805655494351</v>
      </c>
      <c r="K204" s="13"/>
      <c r="L204" s="13">
        <f ca="1">IFERROR(AVERAGE(EBITDA_MARGIN!L87:L90),"")</f>
        <v>-3.5816412087504669E-2</v>
      </c>
      <c r="M204" s="13" t="str">
        <f>IFERROR(AVERAGE(EBITDA_MARGIN!M87:M90),"")</f>
        <v/>
      </c>
      <c r="N204" s="13">
        <f ca="1">IFERROR(AVERAGE(EBITDA_MARGIN!N87:N90),"")</f>
        <v>-2.2753118910854676E-2</v>
      </c>
      <c r="O204" s="13">
        <f ca="1">IFERROR(AVERAGE(EBITDA_MARGIN!O87:O90),"")</f>
        <v>0.15210122861799671</v>
      </c>
      <c r="P204" s="13" t="str">
        <f>IFERROR(AVERAGE(EBITDA_MARGIN!P87:P90),"")</f>
        <v/>
      </c>
      <c r="Q204" s="13" t="str">
        <f>IFERROR(AVERAGE(EBITDA_MARGIN!Q87:Q90),"")</f>
        <v/>
      </c>
      <c r="R204" s="13">
        <f>IFERROR(AVERAGE(EBITDA_MARGIN!R87:R90),"")</f>
        <v>9.5049671409142902E-2</v>
      </c>
      <c r="S204" s="13">
        <f>IFERROR(AVERAGE(EBITDA_MARGIN!S87:S90),"")</f>
        <v>0.14289518812808272</v>
      </c>
      <c r="T204" s="13" t="str">
        <f>IFERROR(AVERAGE(EBITDA_MARGIN!T87:T90),"")</f>
        <v/>
      </c>
      <c r="U204" s="13" t="str">
        <f>IFERROR(AVERAGE(EBITDA_MARGIN!U87:U90),"")</f>
        <v/>
      </c>
      <c r="V204" s="13" t="str">
        <f>IFERROR(AVERAGE(EBITDA_MARGIN!V87:V90),"")</f>
        <v/>
      </c>
      <c r="W204" s="16">
        <f>IFERROR(AVERAGE(EBITDA_MARGIN!W87:W90),"")</f>
        <v>0.15137978518792702</v>
      </c>
      <c r="X204" s="16">
        <f>IFERROR(AVERAGE(EBITDA_MARGIN!X87:X90),"")</f>
        <v>0.16442877302748576</v>
      </c>
      <c r="Y204" s="16">
        <f>IFERROR(AVERAGE(EBITDA_MARGIN!Y87:Y90),"")</f>
        <v>0.19300107652419146</v>
      </c>
      <c r="Z204" s="16">
        <f>IFERROR(AVERAGE(EBITDA_MARGIN!Z87:Z90),"")</f>
        <v>7.6141392729714638E-3</v>
      </c>
      <c r="AA204" s="16">
        <f>IFERROR(AVERAGE(EBITDA_MARGIN!AA87:AA90),"")</f>
        <v>-3.1361200428724548E-2</v>
      </c>
      <c r="AB204" s="16">
        <f>IFERROR(AVERAGE(EBITDA_MARGIN!AB87:AB90),"")</f>
        <v>-1.0339237240304244</v>
      </c>
      <c r="AC204" s="11"/>
    </row>
    <row r="205" spans="1:29" ht="14">
      <c r="A205" s="14" t="s">
        <v>116</v>
      </c>
      <c r="B205" s="13">
        <f ca="1">IFERROR(AVERAGE(EBITDA_MARGIN!B88:B91),"")</f>
        <v>-28.546048697118746</v>
      </c>
      <c r="C205" s="13">
        <f ca="1">IFERROR(AVERAGE(EBITDA_MARGIN!C88:C91),"")</f>
        <v>0.33545101565850255</v>
      </c>
      <c r="D205" s="13">
        <f ca="1">IFERROR(AVERAGE(EBITDA_MARGIN!D88:D91),"")</f>
        <v>3.7447982265213439E-2</v>
      </c>
      <c r="E205" s="13">
        <f ca="1">IFERROR(AVERAGE(EBITDA_MARGIN!E88:E91),"")</f>
        <v>0.20444087548484058</v>
      </c>
      <c r="F205" s="13">
        <f ca="1">IFERROR(AVERAGE(EBITDA_MARGIN!F88:F91),"")</f>
        <v>0.10957594872115434</v>
      </c>
      <c r="G205" s="13">
        <f ca="1">IFERROR(AVERAGE(EBITDA_MARGIN!G88:G91),"")</f>
        <v>3.3479970776851303E-2</v>
      </c>
      <c r="H205" s="13">
        <f ca="1">IFERROR(AVERAGE(EBITDA_MARGIN!H88:H91),"")</f>
        <v>0.21692482667604202</v>
      </c>
      <c r="I205" s="13">
        <f ca="1">IFERROR(AVERAGE(EBITDA_MARGIN!I88:I91),"")</f>
        <v>1.489016761856307E-2</v>
      </c>
      <c r="J205" s="13">
        <f ca="1">IFERROR(AVERAGE(EBITDA_MARGIN!J88:J91),"")</f>
        <v>-0.35077707075453163</v>
      </c>
      <c r="K205" s="13" t="str">
        <f>IFERROR(AVERAGE(EBITDA_MARGIN!K88:K91),"")</f>
        <v/>
      </c>
      <c r="L205" s="13">
        <f ca="1">IFERROR(AVERAGE(EBITDA_MARGIN!L88:L91),"")</f>
        <v>-3.4656242871805312E-2</v>
      </c>
      <c r="M205" s="13" t="str">
        <f>IFERROR(AVERAGE(EBITDA_MARGIN!M88:M91),"")</f>
        <v/>
      </c>
      <c r="N205" s="13">
        <f ca="1">IFERROR(AVERAGE(EBITDA_MARGIN!N88:N91),"")</f>
        <v>-4.4000749828490629E-2</v>
      </c>
      <c r="O205" s="13">
        <f ca="1">IFERROR(AVERAGE(EBITDA_MARGIN!O88:O91),"")</f>
        <v>0.17740089848559884</v>
      </c>
      <c r="P205" s="13" t="str">
        <f>IFERROR(AVERAGE(EBITDA_MARGIN!P88:P91),"")</f>
        <v/>
      </c>
      <c r="Q205" s="13" t="str">
        <f>IFERROR(AVERAGE(EBITDA_MARGIN!Q88:Q91),"")</f>
        <v/>
      </c>
      <c r="R205" s="13">
        <f>IFERROR(AVERAGE(EBITDA_MARGIN!R88:R91),"")</f>
        <v>0.11094579847723789</v>
      </c>
      <c r="S205" s="13">
        <f>IFERROR(AVERAGE(EBITDA_MARGIN!S88:S91),"")</f>
        <v>0.16991368680641183</v>
      </c>
      <c r="T205" s="13" t="str">
        <f ca="1">IFERROR(AVERAGE(EBITDA_MARGIN!T88:T91),"")</f>
        <v/>
      </c>
      <c r="U205" s="13" t="str">
        <f>IFERROR(AVERAGE(EBITDA_MARGIN!U88:U91),"")</f>
        <v/>
      </c>
      <c r="V205" s="13" t="str">
        <f>IFERROR(AVERAGE(EBITDA_MARGIN!V88:V91),"")</f>
        <v/>
      </c>
      <c r="W205" s="16">
        <f>IFERROR(AVERAGE(EBITDA_MARGIN!W88:W91),"")</f>
        <v>0.15475123866906937</v>
      </c>
      <c r="X205" s="16">
        <f>IFERROR(AVERAGE(EBITDA_MARGIN!X88:X91),"")</f>
        <v>0.16235843935224298</v>
      </c>
      <c r="Y205" s="16">
        <f>IFERROR(AVERAGE(EBITDA_MARGIN!Y88:Y91),"")</f>
        <v>0.21798027062125608</v>
      </c>
      <c r="Z205" s="16">
        <f>IFERROR(AVERAGE(EBITDA_MARGIN!Z88:Z91),"")</f>
        <v>5.4908469409477882E-3</v>
      </c>
      <c r="AA205" s="16">
        <f>IFERROR(AVERAGE(EBITDA_MARGIN!AA88:AA91),"")</f>
        <v>-2.3722036435837483E-2</v>
      </c>
      <c r="AB205" s="16">
        <f>IFERROR(AVERAGE(EBITDA_MARGIN!AB88:AB91),"")</f>
        <v>-1.0485481181246847</v>
      </c>
      <c r="AC205" s="11"/>
    </row>
    <row r="206" spans="1:29" ht="14">
      <c r="A206" s="14" t="s">
        <v>117</v>
      </c>
      <c r="B206" s="13">
        <f ca="1">IFERROR(AVERAGE(EBITDA_MARGIN!B89:B92),"")</f>
        <v>-48.295610644981842</v>
      </c>
      <c r="C206" s="13">
        <f ca="1">IFERROR(AVERAGE(EBITDA_MARGIN!C89:C92),"")</f>
        <v>0.32838242610043999</v>
      </c>
      <c r="D206" s="13">
        <f ca="1">IFERROR(AVERAGE(EBITDA_MARGIN!D89:D92),"")</f>
        <v>5.7296307933888777E-2</v>
      </c>
      <c r="E206" s="13">
        <f ca="1">IFERROR(AVERAGE(EBITDA_MARGIN!E89:E92),"")</f>
        <v>0.10619926356522079</v>
      </c>
      <c r="F206" s="13">
        <f ca="1">IFERROR(AVERAGE(EBITDA_MARGIN!F89:F92),"")</f>
        <v>0.12561088627793332</v>
      </c>
      <c r="G206" s="13">
        <f ca="1">IFERROR(AVERAGE(EBITDA_MARGIN!G89:G92),"")</f>
        <v>7.4573234790455398E-2</v>
      </c>
      <c r="H206" s="13">
        <f ca="1">IFERROR(AVERAGE(EBITDA_MARGIN!H89:H92),"")</f>
        <v>0.20346641830468651</v>
      </c>
      <c r="I206" s="13">
        <f ca="1">IFERROR(AVERAGE(EBITDA_MARGIN!I89:I92),"")</f>
        <v>-2.7883969512853053E-2</v>
      </c>
      <c r="J206" s="13">
        <f ca="1">IFERROR(AVERAGE(EBITDA_MARGIN!J89:J92),"")</f>
        <v>-0.33281396514071376</v>
      </c>
      <c r="K206" s="13" t="str">
        <f>IFERROR(AVERAGE(EBITDA_MARGIN!K89:K92),"")</f>
        <v/>
      </c>
      <c r="L206" s="13">
        <f ca="1">IFERROR(AVERAGE(EBITDA_MARGIN!L89:L92),"")</f>
        <v>-6.7894982994084502E-2</v>
      </c>
      <c r="M206" s="13" t="str">
        <f>IFERROR(AVERAGE(EBITDA_MARGIN!M89:M92),"")</f>
        <v/>
      </c>
      <c r="N206" s="13">
        <f ca="1">IFERROR(AVERAGE(EBITDA_MARGIN!N89:N92),"")</f>
        <v>-2.3704659720722138E-2</v>
      </c>
      <c r="O206" s="13">
        <f ca="1">IFERROR(AVERAGE(EBITDA_MARGIN!O89:O92),"")</f>
        <v>0.20270056835320094</v>
      </c>
      <c r="P206" s="13" t="str">
        <f>IFERROR(AVERAGE(EBITDA_MARGIN!P89:P92),"")</f>
        <v/>
      </c>
      <c r="Q206" s="13" t="str">
        <f>IFERROR(AVERAGE(EBITDA_MARGIN!Q89:Q92),"")</f>
        <v/>
      </c>
      <c r="R206" s="13">
        <f>IFERROR(AVERAGE(EBITDA_MARGIN!R89:R92),"")</f>
        <v>0.12684192554533286</v>
      </c>
      <c r="S206" s="13">
        <f>IFERROR(AVERAGE(EBITDA_MARGIN!S89:S92),"")</f>
        <v>0.19313564129423133</v>
      </c>
      <c r="T206" s="13" t="str">
        <f ca="1">IFERROR(AVERAGE(EBITDA_MARGIN!T89:T92),"")</f>
        <v/>
      </c>
      <c r="U206" s="13" t="str">
        <f>IFERROR(AVERAGE(EBITDA_MARGIN!U89:U92),"")</f>
        <v/>
      </c>
      <c r="V206" s="13" t="str">
        <f>IFERROR(AVERAGE(EBITDA_MARGIN!V89:V92),"")</f>
        <v/>
      </c>
      <c r="W206" s="16">
        <f>IFERROR(AVERAGE(EBITDA_MARGIN!W89:W92),"")</f>
        <v>0.15812269215021169</v>
      </c>
      <c r="X206" s="16">
        <f>IFERROR(AVERAGE(EBITDA_MARGIN!X89:X92),"")</f>
        <v>0.16028810567700019</v>
      </c>
      <c r="Y206" s="16">
        <f>IFERROR(AVERAGE(EBITDA_MARGIN!Y89:Y92),"")</f>
        <v>0.24295946471832067</v>
      </c>
      <c r="Z206" s="16">
        <f>IFERROR(AVERAGE(EBITDA_MARGIN!Z89:Z92),"")</f>
        <v>3.3675546089241126E-3</v>
      </c>
      <c r="AA206" s="16">
        <f>IFERROR(AVERAGE(EBITDA_MARGIN!AA89:AA92),"")</f>
        <v>-1.6082872442950417E-2</v>
      </c>
      <c r="AB206" s="16">
        <f>IFERROR(AVERAGE(EBITDA_MARGIN!AB89:AB92),"")</f>
        <v>-1.0631725122189453</v>
      </c>
      <c r="AC206" s="11"/>
    </row>
    <row r="207" spans="1:29" ht="14">
      <c r="A207" s="14" t="s">
        <v>118</v>
      </c>
      <c r="B207" s="13">
        <f ca="1">IFERROR(AVERAGE(EBITDA_MARGIN!B90:B93),"")</f>
        <v>-62.863629698183423</v>
      </c>
      <c r="C207" s="13">
        <f ca="1">IFERROR(AVERAGE(EBITDA_MARGIN!C90:C93),"")</f>
        <v>0.33006552530131444</v>
      </c>
      <c r="D207" s="13">
        <f ca="1">IFERROR(AVERAGE(EBITDA_MARGIN!D90:D93),"")</f>
        <v>5.0011223709512817E-2</v>
      </c>
      <c r="E207" s="13">
        <f ca="1">IFERROR(AVERAGE(EBITDA_MARGIN!E90:E93),"")</f>
        <v>0.1565612275857782</v>
      </c>
      <c r="F207" s="13">
        <f ca="1">IFERROR(AVERAGE(EBITDA_MARGIN!F90:F93),"")</f>
        <v>0.12076199022438887</v>
      </c>
      <c r="G207" s="13">
        <f ca="1">IFERROR(AVERAGE(EBITDA_MARGIN!G90:G93),"")</f>
        <v>6.0348295489988615E-2</v>
      </c>
      <c r="H207" s="13">
        <f ca="1">IFERROR(AVERAGE(EBITDA_MARGIN!H90:H93),"")</f>
        <v>0.20432524025627255</v>
      </c>
      <c r="I207" s="13">
        <f ca="1">IFERROR(AVERAGE(EBITDA_MARGIN!I90:I93),"")</f>
        <v>-3.1008673504279521E-2</v>
      </c>
      <c r="J207" s="13">
        <f ca="1">IFERROR(AVERAGE(EBITDA_MARGIN!J90:J93),"")</f>
        <v>-0.29698317518335793</v>
      </c>
      <c r="K207" s="13" t="str">
        <f>IFERROR(AVERAGE(EBITDA_MARGIN!K90:K93),"")</f>
        <v/>
      </c>
      <c r="L207" s="13">
        <f ca="1">IFERROR(AVERAGE(EBITDA_MARGIN!L90:L93),"")</f>
        <v>0.15280841280702273</v>
      </c>
      <c r="M207" s="13" t="str">
        <f>IFERROR(AVERAGE(EBITDA_MARGIN!M90:M93),"")</f>
        <v/>
      </c>
      <c r="N207" s="13">
        <f ca="1">IFERROR(AVERAGE(EBITDA_MARGIN!N90:N93),"")</f>
        <v>2.7515782548116693E-3</v>
      </c>
      <c r="O207" s="13">
        <f ca="1">IFERROR(AVERAGE(EBITDA_MARGIN!O90:O93),"")</f>
        <v>0.16949346170234261</v>
      </c>
      <c r="P207" s="13" t="str">
        <f>IFERROR(AVERAGE(EBITDA_MARGIN!P90:P93),"")</f>
        <v/>
      </c>
      <c r="Q207" s="13" t="str">
        <f>IFERROR(AVERAGE(EBITDA_MARGIN!Q90:Q93),"")</f>
        <v/>
      </c>
      <c r="R207" s="13">
        <f>IFERROR(AVERAGE(EBITDA_MARGIN!R90:R93),"")</f>
        <v>0.14273805261342784</v>
      </c>
      <c r="S207" s="13">
        <f>IFERROR(AVERAGE(EBITDA_MARGIN!S90:S93),"")</f>
        <v>0.21635759578205077</v>
      </c>
      <c r="T207" s="13" t="str">
        <f ca="1">IFERROR(AVERAGE(EBITDA_MARGIN!T90:T93),"")</f>
        <v/>
      </c>
      <c r="U207" s="13" t="str">
        <f>IFERROR(AVERAGE(EBITDA_MARGIN!U90:U93),"")</f>
        <v/>
      </c>
      <c r="V207" s="13" t="str">
        <f>IFERROR(AVERAGE(EBITDA_MARGIN!V90:V93),"")</f>
        <v/>
      </c>
      <c r="W207" s="16">
        <f>IFERROR(AVERAGE(EBITDA_MARGIN!W90:W93),"")</f>
        <v>0.17436847276908468</v>
      </c>
      <c r="X207" s="16">
        <f>IFERROR(AVERAGE(EBITDA_MARGIN!X90:X93),"")</f>
        <v>0.15821777200175741</v>
      </c>
      <c r="Y207" s="16">
        <f>IFERROR(AVERAGE(EBITDA_MARGIN!Y90:Y93),"")</f>
        <v>0.26793865881538526</v>
      </c>
      <c r="Z207" s="16">
        <f>IFERROR(AVERAGE(EBITDA_MARGIN!Z90:Z93),"")</f>
        <v>1.2442622769004363E-3</v>
      </c>
      <c r="AA207" s="16">
        <f>IFERROR(AVERAGE(EBITDA_MARGIN!AA90:AA93),"")</f>
        <v>-8.4437084500633575E-3</v>
      </c>
      <c r="AB207" s="16">
        <f>IFERROR(AVERAGE(EBITDA_MARGIN!AB90:AB93),"")</f>
        <v>-1.0777969063132056</v>
      </c>
      <c r="AC207" s="11"/>
    </row>
    <row r="208" spans="1:29" ht="14">
      <c r="A208" s="14" t="s">
        <v>119</v>
      </c>
      <c r="B208" s="13">
        <f ca="1">IFERROR(AVERAGE(EBITDA_MARGIN!B91:B94),"")</f>
        <v>-62.94778944476338</v>
      </c>
      <c r="C208" s="13">
        <f ca="1">IFERROR(AVERAGE(EBITDA_MARGIN!C91:C94),"")</f>
        <v>0.38720955691815406</v>
      </c>
      <c r="D208" s="13">
        <f ca="1">IFERROR(AVERAGE(EBITDA_MARGIN!D91:D94),"")</f>
        <v>5.5461341376688331E-2</v>
      </c>
      <c r="E208" s="13">
        <f ca="1">IFERROR(AVERAGE(EBITDA_MARGIN!E91:E94),"")</f>
        <v>0.26681310980423378</v>
      </c>
      <c r="F208" s="13">
        <f ca="1">IFERROR(AVERAGE(EBITDA_MARGIN!F91:F94),"")</f>
        <v>0.1197914096014918</v>
      </c>
      <c r="G208" s="13">
        <f ca="1">IFERROR(AVERAGE(EBITDA_MARGIN!G91:G94),"")</f>
        <v>4.8206908007566426E-2</v>
      </c>
      <c r="H208" s="13">
        <f ca="1">IFERROR(AVERAGE(EBITDA_MARGIN!H91:H94),"")</f>
        <v>0.19935281488761172</v>
      </c>
      <c r="I208" s="13">
        <f ca="1">IFERROR(AVERAGE(EBITDA_MARGIN!I91:I94),"")</f>
        <v>-5.363229028952423E-2</v>
      </c>
      <c r="J208" s="13">
        <f ca="1">IFERROR(AVERAGE(EBITDA_MARGIN!J91:J94),"")</f>
        <v>-0.28828622126196463</v>
      </c>
      <c r="K208" s="13" t="str">
        <f>IFERROR(AVERAGE(EBITDA_MARGIN!K91:K94),"")</f>
        <v/>
      </c>
      <c r="L208" s="13">
        <f ca="1">IFERROR(AVERAGE(EBITDA_MARGIN!L91:L94),"")</f>
        <v>0.1642794923987356</v>
      </c>
      <c r="M208" s="13" t="str">
        <f>IFERROR(AVERAGE(EBITDA_MARGIN!M91:M94),"")</f>
        <v/>
      </c>
      <c r="N208" s="13">
        <f ca="1">IFERROR(AVERAGE(EBITDA_MARGIN!N91:N94),"")</f>
        <v>-6.5489096921696145E-3</v>
      </c>
      <c r="O208" s="13">
        <f ca="1">IFERROR(AVERAGE(EBITDA_MARGIN!O91:O94),"")</f>
        <v>0.13628635505148426</v>
      </c>
      <c r="P208" s="13" t="str">
        <f>IFERROR(AVERAGE(EBITDA_MARGIN!P91:P94),"")</f>
        <v/>
      </c>
      <c r="Q208" s="13" t="str">
        <f>IFERROR(AVERAGE(EBITDA_MARGIN!Q91:Q94),"")</f>
        <v/>
      </c>
      <c r="R208" s="13">
        <f>IFERROR(AVERAGE(EBITDA_MARGIN!R91:R94),"")</f>
        <v>0.15863417968152282</v>
      </c>
      <c r="S208" s="13">
        <f>IFERROR(AVERAGE(EBITDA_MARGIN!S91:S94),"")</f>
        <v>0.23957955026987027</v>
      </c>
      <c r="T208" s="13" t="str">
        <f ca="1">IFERROR(AVERAGE(EBITDA_MARGIN!T91:T94),"")</f>
        <v/>
      </c>
      <c r="U208" s="13" t="str">
        <f>IFERROR(AVERAGE(EBITDA_MARGIN!U91:U94),"")</f>
        <v/>
      </c>
      <c r="V208" s="13" t="str">
        <f>IFERROR(AVERAGE(EBITDA_MARGIN!V91:V94),"")</f>
        <v/>
      </c>
      <c r="W208" s="16">
        <f>IFERROR(AVERAGE(EBITDA_MARGIN!W91:W94),"")</f>
        <v>0.19061425338795768</v>
      </c>
      <c r="X208" s="16">
        <f>IFERROR(AVERAGE(EBITDA_MARGIN!X91:X94),"")</f>
        <v>0.15614743832651462</v>
      </c>
      <c r="Y208" s="16">
        <f>IFERROR(AVERAGE(EBITDA_MARGIN!Y91:Y94),"")</f>
        <v>0.29291785291244987</v>
      </c>
      <c r="Z208" s="16">
        <f>IFERROR(AVERAGE(EBITDA_MARGIN!Z91:Z94),"")</f>
        <v>-8.7903005512323935E-4</v>
      </c>
      <c r="AA208" s="16">
        <f>IFERROR(AVERAGE(EBITDA_MARGIN!AA91:AA94),"")</f>
        <v>-8.0454445717629273E-4</v>
      </c>
      <c r="AB208" s="16">
        <f>IFERROR(AVERAGE(EBITDA_MARGIN!AB91:AB94),"")</f>
        <v>-1.0924213004074661</v>
      </c>
      <c r="AC208" s="11"/>
    </row>
    <row r="209" spans="1:29" ht="14">
      <c r="A209" s="14" t="s">
        <v>120</v>
      </c>
      <c r="B209" s="13">
        <f ca="1">IFERROR(AVERAGE(EBITDA_MARGIN!B92:B95),"")</f>
        <v>-34.487014582434895</v>
      </c>
      <c r="C209" s="13">
        <f ca="1">IFERROR(AVERAGE(EBITDA_MARGIN!C92:C95),"")</f>
        <v>0.22301832208671829</v>
      </c>
      <c r="D209" s="13">
        <f ca="1">IFERROR(AVERAGE(EBITDA_MARGIN!D92:D95),"")</f>
        <v>-9.8411166314677057E-2</v>
      </c>
      <c r="E209" s="13">
        <f ca="1">IFERROR(AVERAGE(EBITDA_MARGIN!E92:E95),"")</f>
        <v>-0.1805855883482915</v>
      </c>
      <c r="F209" s="13">
        <f ca="1">IFERROR(AVERAGE(EBITDA_MARGIN!F92:F95),"")</f>
        <v>7.356934470022132E-2</v>
      </c>
      <c r="G209" s="13">
        <f ca="1">IFERROR(AVERAGE(EBITDA_MARGIN!G92:G95),"")</f>
        <v>-0.35325601512480159</v>
      </c>
      <c r="H209" s="13">
        <f ca="1">IFERROR(AVERAGE(EBITDA_MARGIN!H92:H95),"")</f>
        <v>0.19292733515309124</v>
      </c>
      <c r="I209" s="13">
        <f ca="1">IFERROR(AVERAGE(EBITDA_MARGIN!I92:I95),"")</f>
        <v>-0.10577487029072871</v>
      </c>
      <c r="J209" s="13">
        <f ca="1">IFERROR(AVERAGE(EBITDA_MARGIN!J92:J95),"")</f>
        <v>-1.0100277109185412</v>
      </c>
      <c r="K209" s="13" t="str">
        <f>IFERROR(AVERAGE(EBITDA_MARGIN!K92:K95),"")</f>
        <v/>
      </c>
      <c r="L209" s="13">
        <f ca="1">IFERROR(AVERAGE(EBITDA_MARGIN!L92:L95),"")</f>
        <v>1.6255299399281489</v>
      </c>
      <c r="M209" s="13" t="str">
        <f>IFERROR(AVERAGE(EBITDA_MARGIN!M92:M95),"")</f>
        <v/>
      </c>
      <c r="N209" s="13">
        <f ca="1">IFERROR(AVERAGE(EBITDA_MARGIN!N92:N95),"")</f>
        <v>-9.5320406235168409E-2</v>
      </c>
      <c r="O209" s="13">
        <f ca="1">IFERROR(AVERAGE(EBITDA_MARGIN!O92:O95),"")</f>
        <v>-0.79530345602824337</v>
      </c>
      <c r="P209" s="13" t="str">
        <f>IFERROR(AVERAGE(EBITDA_MARGIN!P92:P95),"")</f>
        <v/>
      </c>
      <c r="Q209" s="13" t="str">
        <f>IFERROR(AVERAGE(EBITDA_MARGIN!Q92:Q95),"")</f>
        <v/>
      </c>
      <c r="R209" s="13">
        <f>IFERROR(AVERAGE(EBITDA_MARGIN!R92:R95),"")</f>
        <v>1.2084860208297854E-2</v>
      </c>
      <c r="S209" s="13">
        <f>IFERROR(AVERAGE(EBITDA_MARGIN!S92:S95),"")</f>
        <v>0.26280150475768976</v>
      </c>
      <c r="T209" s="13" t="str">
        <f ca="1">IFERROR(AVERAGE(EBITDA_MARGIN!T92:T95),"")</f>
        <v/>
      </c>
      <c r="U209" s="13" t="str">
        <f>IFERROR(AVERAGE(EBITDA_MARGIN!U92:U95),"")</f>
        <v/>
      </c>
      <c r="V209" s="13" t="str">
        <f>IFERROR(AVERAGE(EBITDA_MARGIN!V92:V95),"")</f>
        <v/>
      </c>
      <c r="W209" s="16">
        <f>IFERROR(AVERAGE(EBITDA_MARGIN!W92:W95),"")</f>
        <v>0.20686003400683067</v>
      </c>
      <c r="X209" s="16">
        <f>IFERROR(AVERAGE(EBITDA_MARGIN!X92:X95),"")</f>
        <v>-0.13846408127148008</v>
      </c>
      <c r="Y209" s="16">
        <f>IFERROR(AVERAGE(EBITDA_MARGIN!Y92:Y95),"")</f>
        <v>0.10999031335474169</v>
      </c>
      <c r="Z209" s="16">
        <f>IFERROR(AVERAGE(EBITDA_MARGIN!Z92:Z95),"")</f>
        <v>-2.0035329297208845E-2</v>
      </c>
      <c r="AA209" s="16">
        <f>IFERROR(AVERAGE(EBITDA_MARGIN!AA92:AA95),"")</f>
        <v>-1.3056431916507091E-2</v>
      </c>
      <c r="AB209" s="16">
        <f>IFERROR(AVERAGE(EBITDA_MARGIN!AB92:AB95),"")</f>
        <v>-1.0699527523019039</v>
      </c>
      <c r="AC209" s="11"/>
    </row>
    <row r="210" spans="1:29" ht="14">
      <c r="A210" s="14" t="s">
        <v>121</v>
      </c>
      <c r="B210" s="13">
        <f ca="1">IFERROR(AVERAGE(EBITDA_MARGIN!B93:B96),"")</f>
        <v>-15.221861419442414</v>
      </c>
      <c r="C210" s="13">
        <f ca="1">IFERROR(AVERAGE(EBITDA_MARGIN!C93:C96),"")</f>
        <v>0.22757820664660283</v>
      </c>
      <c r="D210" s="13">
        <f ca="1">IFERROR(AVERAGE(EBITDA_MARGIN!D93:D96),"")</f>
        <v>-0.53798060996529196</v>
      </c>
      <c r="E210" s="13">
        <f ca="1">IFERROR(AVERAGE(EBITDA_MARGIN!E93:E96),"")</f>
        <v>-8.5623941742135223E-2</v>
      </c>
      <c r="F210" s="13">
        <f ca="1">IFERROR(AVERAGE(EBITDA_MARGIN!F93:F96),"")</f>
        <v>-0.72518959176053854</v>
      </c>
      <c r="G210" s="13">
        <f ca="1">IFERROR(AVERAGE(EBITDA_MARGIN!G93:G96),"")</f>
        <v>-0.78458040976380616</v>
      </c>
      <c r="H210" s="13">
        <f ca="1">IFERROR(AVERAGE(EBITDA_MARGIN!H93:H96),"")</f>
        <v>-7.6288042257611599E-2</v>
      </c>
      <c r="I210" s="13">
        <f ca="1">IFERROR(AVERAGE(EBITDA_MARGIN!I93:I96),"")</f>
        <v>1.6114992697745061</v>
      </c>
      <c r="J210" s="13">
        <f ca="1">IFERROR(AVERAGE(EBITDA_MARGIN!J93:J96),"")</f>
        <v>-2.2987827007653179</v>
      </c>
      <c r="K210" s="13" t="str">
        <f>IFERROR(AVERAGE(EBITDA_MARGIN!K93:K96),"")</f>
        <v/>
      </c>
      <c r="L210" s="13">
        <f ca="1">IFERROR(AVERAGE(EBITDA_MARGIN!L93:L96),"")</f>
        <v>3.098291204792325E-3</v>
      </c>
      <c r="M210" s="13" t="str">
        <f>IFERROR(AVERAGE(EBITDA_MARGIN!M93:M96),"")</f>
        <v/>
      </c>
      <c r="N210" s="13">
        <f ca="1">IFERROR(AVERAGE(EBITDA_MARGIN!N93:N96),"")</f>
        <v>-4.7462555876782302</v>
      </c>
      <c r="O210" s="13">
        <f ca="1">IFERROR(AVERAGE(EBITDA_MARGIN!O93:O96),"")</f>
        <v>-1.7268932671079711</v>
      </c>
      <c r="P210" s="13" t="str">
        <f>IFERROR(AVERAGE(EBITDA_MARGIN!P93:P96),"")</f>
        <v/>
      </c>
      <c r="Q210" s="13" t="str">
        <f>IFERROR(AVERAGE(EBITDA_MARGIN!Q93:Q96),"")</f>
        <v/>
      </c>
      <c r="R210" s="13">
        <f>IFERROR(AVERAGE(EBITDA_MARGIN!R93:R96),"")</f>
        <v>-0.13446445926492712</v>
      </c>
      <c r="S210" s="13">
        <f>IFERROR(AVERAGE(EBITDA_MARGIN!S93:S96),"")</f>
        <v>0.33760373095510293</v>
      </c>
      <c r="T210" s="13">
        <f ca="1">IFERROR(AVERAGE(EBITDA_MARGIN!T93:T96),"")</f>
        <v>0.29499999999999976</v>
      </c>
      <c r="U210" s="13" t="str">
        <f>IFERROR(AVERAGE(EBITDA_MARGIN!U93:U96),"")</f>
        <v/>
      </c>
      <c r="V210" s="13" t="str">
        <f>IFERROR(AVERAGE(EBITDA_MARGIN!V93:V96),"")</f>
        <v/>
      </c>
      <c r="W210" s="16">
        <f>IFERROR(AVERAGE(EBITDA_MARGIN!W93:W96),"")</f>
        <v>0.22310581462570364</v>
      </c>
      <c r="X210" s="16">
        <f>IFERROR(AVERAGE(EBITDA_MARGIN!X93:X96),"")</f>
        <v>-0.43307560086947472</v>
      </c>
      <c r="Y210" s="16">
        <f>IFERROR(AVERAGE(EBITDA_MARGIN!Y93:Y96),"")</f>
        <v>-7.2937226202966499E-2</v>
      </c>
      <c r="Z210" s="16">
        <f>IFERROR(AVERAGE(EBITDA_MARGIN!Z93:Z96),"")</f>
        <v>-3.9191628539294456E-2</v>
      </c>
      <c r="AA210" s="16">
        <f>IFERROR(AVERAGE(EBITDA_MARGIN!AA93:AA96),"")</f>
        <v>-2.5308319375837891E-2</v>
      </c>
      <c r="AB210" s="16">
        <f>IFERROR(AVERAGE(EBITDA_MARGIN!AB93:AB96),"")</f>
        <v>-1.0474842041963417</v>
      </c>
      <c r="AC210" s="11"/>
    </row>
    <row r="211" spans="1:29" ht="14">
      <c r="A211" s="14" t="s">
        <v>122</v>
      </c>
      <c r="B211" s="13">
        <f ca="1">IFERROR(AVERAGE(EBITDA_MARGIN!B94:B97),"")</f>
        <v>-0.60356589336918032</v>
      </c>
      <c r="C211" s="13">
        <f ca="1">IFERROR(AVERAGE(EBITDA_MARGIN!C94:C97),"")</f>
        <v>0.18943787475627097</v>
      </c>
      <c r="D211" s="13">
        <f ca="1">IFERROR(AVERAGE(EBITDA_MARGIN!D94:D97),"")</f>
        <v>-0.61463286499740422</v>
      </c>
      <c r="E211" s="13">
        <f ca="1">IFERROR(AVERAGE(EBITDA_MARGIN!E94:E97),"")</f>
        <v>-1.6081979279818776E-2</v>
      </c>
      <c r="F211" s="13">
        <f ca="1">IFERROR(AVERAGE(EBITDA_MARGIN!F94:F97),"")</f>
        <v>-0.86385626874265165</v>
      </c>
      <c r="G211" s="13">
        <f ca="1">IFERROR(AVERAGE(EBITDA_MARGIN!G94:G97),"")</f>
        <v>-0.79460096271730518</v>
      </c>
      <c r="H211" s="13">
        <f ca="1">IFERROR(AVERAGE(EBITDA_MARGIN!H94:H97),"")</f>
        <v>-0.15184238628384722</v>
      </c>
      <c r="I211" s="13">
        <f ca="1">IFERROR(AVERAGE(EBITDA_MARGIN!I94:I97),"")</f>
        <v>0.60160222237745864</v>
      </c>
      <c r="J211" s="13">
        <f ca="1">IFERROR(AVERAGE(EBITDA_MARGIN!J94:J97),"")</f>
        <v>-2.4524459026977463</v>
      </c>
      <c r="K211" s="13" t="str">
        <f>IFERROR(AVERAGE(EBITDA_MARGIN!K94:K97),"")</f>
        <v/>
      </c>
      <c r="L211" s="13">
        <f ca="1">IFERROR(AVERAGE(EBITDA_MARGIN!L94:L97),"")</f>
        <v>-1.5189308524070748</v>
      </c>
      <c r="M211" s="13" t="str">
        <f>IFERROR(AVERAGE(EBITDA_MARGIN!M94:M97),"")</f>
        <v/>
      </c>
      <c r="N211" s="13">
        <f ca="1">IFERROR(AVERAGE(EBITDA_MARGIN!N94:N97),"")</f>
        <v>-5.450603228878764</v>
      </c>
      <c r="O211" s="13">
        <f ca="1">IFERROR(AVERAGE(EBITDA_MARGIN!O94:O97),"")</f>
        <v>-3.324817830526813</v>
      </c>
      <c r="P211" s="13" t="str">
        <f>IFERROR(AVERAGE(EBITDA_MARGIN!P94:P97),"")</f>
        <v/>
      </c>
      <c r="Q211" s="13" t="str">
        <f>IFERROR(AVERAGE(EBITDA_MARGIN!Q94:Q97),"")</f>
        <v/>
      </c>
      <c r="R211" s="13">
        <f>IFERROR(AVERAGE(EBITDA_MARGIN!R94:R97),"")</f>
        <v>-0.28101377873815209</v>
      </c>
      <c r="S211" s="13">
        <f>IFERROR(AVERAGE(EBITDA_MARGIN!S94:S97),"")</f>
        <v>0.4124059571525161</v>
      </c>
      <c r="T211" s="13">
        <f ca="1">IFERROR(AVERAGE(EBITDA_MARGIN!T94:T97),"")</f>
        <v>0.29499999999999976</v>
      </c>
      <c r="U211" s="13" t="str">
        <f>IFERROR(AVERAGE(EBITDA_MARGIN!U94:U97),"")</f>
        <v/>
      </c>
      <c r="V211" s="13" t="str">
        <f>IFERROR(AVERAGE(EBITDA_MARGIN!V94:V97),"")</f>
        <v/>
      </c>
      <c r="W211" s="16">
        <f>IFERROR(AVERAGE(EBITDA_MARGIN!W94:W97),"")</f>
        <v>3.63720881232312E-2</v>
      </c>
      <c r="X211" s="16">
        <f>IFERROR(AVERAGE(EBITDA_MARGIN!X94:X97),"")</f>
        <v>-0.72768712046746942</v>
      </c>
      <c r="Y211" s="16">
        <f>IFERROR(AVERAGE(EBITDA_MARGIN!Y94:Y97),"")</f>
        <v>-0.25586476576067468</v>
      </c>
      <c r="Z211" s="16">
        <f>IFERROR(AVERAGE(EBITDA_MARGIN!Z94:Z97),"")</f>
        <v>-5.8347927781380066E-2</v>
      </c>
      <c r="AA211" s="16">
        <f>IFERROR(AVERAGE(EBITDA_MARGIN!AA94:AA97),"")</f>
        <v>-3.756020683516869E-2</v>
      </c>
      <c r="AB211" s="16">
        <f>IFERROR(AVERAGE(EBITDA_MARGIN!AB94:AB97),"")</f>
        <v>-1.0250156560907795</v>
      </c>
      <c r="AC211" s="11"/>
    </row>
    <row r="212" spans="1:29" ht="14">
      <c r="A212" s="14" t="s">
        <v>123</v>
      </c>
      <c r="B212" s="13">
        <f ca="1">IFERROR(AVERAGE(EBITDA_MARGIN!B95:B98),"")</f>
        <v>-1.6884372222920154</v>
      </c>
      <c r="C212" s="13">
        <f ca="1">IFERROR(AVERAGE(EBITDA_MARGIN!C95:C98),"")</f>
        <v>0.13259357710589537</v>
      </c>
      <c r="D212" s="13">
        <f ca="1">IFERROR(AVERAGE(EBITDA_MARGIN!D95:D98),"")</f>
        <v>-0.76006473929505702</v>
      </c>
      <c r="E212" s="13">
        <f ca="1">IFERROR(AVERAGE(EBITDA_MARGIN!E95:E98),"")</f>
        <v>-4.7520018473099924E-2</v>
      </c>
      <c r="F212" s="13">
        <f ca="1">IFERROR(AVERAGE(EBITDA_MARGIN!F95:F98),"")</f>
        <v>-1.1029195729114627</v>
      </c>
      <c r="G212" s="13">
        <f ca="1">IFERROR(AVERAGE(EBITDA_MARGIN!G95:G98),"")</f>
        <v>-0.87921261194629785</v>
      </c>
      <c r="H212" s="13">
        <f ca="1">IFERROR(AVERAGE(EBITDA_MARGIN!H95:H98),"")</f>
        <v>-0.300817329336239</v>
      </c>
      <c r="I212" s="13">
        <f ca="1">IFERROR(AVERAGE(EBITDA_MARGIN!I95:I98),"")</f>
        <v>0.43875052310107487</v>
      </c>
      <c r="J212" s="13">
        <f ca="1">IFERROR(AVERAGE(EBITDA_MARGIN!J95:J98),"")</f>
        <v>-2.4177763955185494</v>
      </c>
      <c r="K212" s="13" t="str">
        <f>IFERROR(AVERAGE(EBITDA_MARGIN!K95:K98),"")</f>
        <v/>
      </c>
      <c r="L212" s="13">
        <f ca="1">IFERROR(AVERAGE(EBITDA_MARGIN!L95:L98),"")</f>
        <v>-4.3617374204157535</v>
      </c>
      <c r="M212" s="13" t="str">
        <f>IFERROR(AVERAGE(EBITDA_MARGIN!M95:M98),"")</f>
        <v/>
      </c>
      <c r="N212" s="13">
        <f ca="1">IFERROR(AVERAGE(EBITDA_MARGIN!N95:N98),"")</f>
        <v>-5.4167779835618139</v>
      </c>
      <c r="O212" s="13">
        <f ca="1">IFERROR(AVERAGE(EBITDA_MARGIN!O95:O98),"")</f>
        <v>-4.9227423939456552</v>
      </c>
      <c r="P212" s="13" t="str">
        <f>IFERROR(AVERAGE(EBITDA_MARGIN!P95:P98),"")</f>
        <v/>
      </c>
      <c r="Q212" s="13" t="str">
        <f>IFERROR(AVERAGE(EBITDA_MARGIN!Q95:Q98),"")</f>
        <v/>
      </c>
      <c r="R212" s="13">
        <f>IFERROR(AVERAGE(EBITDA_MARGIN!R95:R98),"")</f>
        <v>-0.42756309821137706</v>
      </c>
      <c r="S212" s="13">
        <f>IFERROR(AVERAGE(EBITDA_MARGIN!S95:S98),"")</f>
        <v>0.48720818334992921</v>
      </c>
      <c r="T212" s="13">
        <f ca="1">IFERROR(AVERAGE(EBITDA_MARGIN!T95:T98),"")</f>
        <v>0.29499999999999976</v>
      </c>
      <c r="U212" s="13" t="str">
        <f>IFERROR(AVERAGE(EBITDA_MARGIN!U95:U98),"")</f>
        <v/>
      </c>
      <c r="V212" s="13" t="str">
        <f>IFERROR(AVERAGE(EBITDA_MARGIN!V95:V98),"")</f>
        <v/>
      </c>
      <c r="W212" s="16">
        <f>IFERROR(AVERAGE(EBITDA_MARGIN!W95:W98),"")</f>
        <v>-0.15036163837924121</v>
      </c>
      <c r="X212" s="16">
        <f>IFERROR(AVERAGE(EBITDA_MARGIN!X95:X98),"")</f>
        <v>-1.0222986400654641</v>
      </c>
      <c r="Y212" s="16">
        <f>IFERROR(AVERAGE(EBITDA_MARGIN!Y95:Y98),"")</f>
        <v>-0.43879230531838287</v>
      </c>
      <c r="Z212" s="16">
        <f>IFERROR(AVERAGE(EBITDA_MARGIN!Z95:Z98),"")</f>
        <v>-7.7504227023465669E-2</v>
      </c>
      <c r="AA212" s="16">
        <f>IFERROR(AVERAGE(EBITDA_MARGIN!AA95:AA98),"")</f>
        <v>-4.9812094294499489E-2</v>
      </c>
      <c r="AB212" s="16">
        <f>IFERROR(AVERAGE(EBITDA_MARGIN!AB95:AB98),"")</f>
        <v>-1.0025471079852173</v>
      </c>
      <c r="AC212" s="11"/>
    </row>
    <row r="213" spans="1:29" ht="14">
      <c r="A213" s="14" t="s">
        <v>124</v>
      </c>
      <c r="B213" s="13">
        <f ca="1">IFERROR(AVERAGE(EBITDA_MARGIN!B96:B99),"")</f>
        <v>-1.911023406711349</v>
      </c>
      <c r="C213" s="13">
        <f ca="1">IFERROR(AVERAGE(EBITDA_MARGIN!C96:C99),"")</f>
        <v>0.15057195608887558</v>
      </c>
      <c r="D213" s="13">
        <f ca="1">IFERROR(AVERAGE(EBITDA_MARGIN!D96:D99),"")</f>
        <v>-0.74316284880910533</v>
      </c>
      <c r="E213" s="13">
        <f ca="1">IFERROR(AVERAGE(EBITDA_MARGIN!E96:E99),"")</f>
        <v>0.33602491502399146</v>
      </c>
      <c r="F213" s="13">
        <f ca="1">IFERROR(AVERAGE(EBITDA_MARGIN!F96:F99),"")</f>
        <v>-1.2737609485914065</v>
      </c>
      <c r="G213" s="13">
        <f ca="1">IFERROR(AVERAGE(EBITDA_MARGIN!G96:G99),"")</f>
        <v>-0.54601784605036574</v>
      </c>
      <c r="H213" s="13">
        <f ca="1">IFERROR(AVERAGE(EBITDA_MARGIN!H96:H99),"")</f>
        <v>-0.47572048993315452</v>
      </c>
      <c r="I213" s="13">
        <f ca="1">IFERROR(AVERAGE(EBITDA_MARGIN!I96:I99),"")</f>
        <v>0.30667933194392871</v>
      </c>
      <c r="J213" s="13">
        <f ca="1">IFERROR(AVERAGE(EBITDA_MARGIN!J96:J99),"")</f>
        <v>-1.6139225292354265</v>
      </c>
      <c r="K213" s="13" t="str">
        <f>IFERROR(AVERAGE(EBITDA_MARGIN!K96:K99),"")</f>
        <v/>
      </c>
      <c r="L213" s="13">
        <f ca="1">IFERROR(AVERAGE(EBITDA_MARGIN!L96:L99),"")</f>
        <v>-6.3993157721875606</v>
      </c>
      <c r="M213" s="13" t="str">
        <f>IFERROR(AVERAGE(EBITDA_MARGIN!M96:M99),"")</f>
        <v/>
      </c>
      <c r="N213" s="13">
        <f ca="1">IFERROR(AVERAGE(EBITDA_MARGIN!N96:N99),"")</f>
        <v>-5.4794188973246012</v>
      </c>
      <c r="O213" s="13">
        <f ca="1">IFERROR(AVERAGE(EBITDA_MARGIN!O96:O99),"")</f>
        <v>-4.5596728386731202</v>
      </c>
      <c r="P213" s="13">
        <f ca="1">IFERROR(AVERAGE(EBITDA_MARGIN!P96:P99),"")</f>
        <v>8.771929824561403E-2</v>
      </c>
      <c r="Q213" s="13" t="str">
        <f>IFERROR(AVERAGE(EBITDA_MARGIN!Q96:Q99),"")</f>
        <v/>
      </c>
      <c r="R213" s="13">
        <f>IFERROR(AVERAGE(EBITDA_MARGIN!R96:R99),"")</f>
        <v>-0.34564778282688025</v>
      </c>
      <c r="S213" s="13">
        <f>IFERROR(AVERAGE(EBITDA_MARGIN!S96:S99),"")</f>
        <v>0.56201040954734238</v>
      </c>
      <c r="T213" s="13">
        <f ca="1">IFERROR(AVERAGE(EBITDA_MARGIN!T96:T99),"")</f>
        <v>0.29499999999999976</v>
      </c>
      <c r="U213" s="13" t="str">
        <f>IFERROR(AVERAGE(EBITDA_MARGIN!U96:U99),"")</f>
        <v/>
      </c>
      <c r="V213" s="13" t="str">
        <f>IFERROR(AVERAGE(EBITDA_MARGIN!V96:V99),"")</f>
        <v/>
      </c>
      <c r="W213" s="16">
        <f>IFERROR(AVERAGE(EBITDA_MARGIN!W96:W99),"")</f>
        <v>-0.33709536488171365</v>
      </c>
      <c r="X213" s="16">
        <f>IFERROR(AVERAGE(EBITDA_MARGIN!X96:X99),"")</f>
        <v>-0.96761942127973788</v>
      </c>
      <c r="Y213" s="16">
        <f>IFERROR(AVERAGE(EBITDA_MARGIN!Y96:Y99),"")</f>
        <v>-0.38041978879850985</v>
      </c>
      <c r="Z213" s="16">
        <f>IFERROR(AVERAGE(EBITDA_MARGIN!Z96:Z99),"")</f>
        <v>-5.9077791707082383E-2</v>
      </c>
      <c r="AA213" s="16">
        <f>IFERROR(AVERAGE(EBITDA_MARGIN!AA96:AA99),"")</f>
        <v>-0.6574662392499212</v>
      </c>
      <c r="AB213" s="16">
        <f>IFERROR(AVERAGE(EBITDA_MARGIN!AB96:AB99),"")</f>
        <v>-1.0284735905902742</v>
      </c>
      <c r="AC213" s="11"/>
    </row>
    <row r="214" spans="1:29" ht="14">
      <c r="A214" s="14" t="s">
        <v>125</v>
      </c>
      <c r="B214" s="13">
        <f ca="1">IFERROR(AVERAGE(EBITDA_MARGIN!B97:B100),"")</f>
        <v>-1.444208190639348</v>
      </c>
      <c r="C214" s="13">
        <f ca="1">IFERROR(AVERAGE(EBITDA_MARGIN!C97:C100),"")</f>
        <v>6.2890077781997247E-2</v>
      </c>
      <c r="D214" s="13">
        <f ca="1">IFERROR(AVERAGE(EBITDA_MARGIN!D97:D100),"")</f>
        <v>-0.34875416503422935</v>
      </c>
      <c r="E214" s="13">
        <f ca="1">IFERROR(AVERAGE(EBITDA_MARGIN!E97:E100),"")</f>
        <v>0.21974789434729974</v>
      </c>
      <c r="F214" s="13">
        <f ca="1">IFERROR(AVERAGE(EBITDA_MARGIN!F97:F100),"")</f>
        <v>-0.56422254253298609</v>
      </c>
      <c r="G214" s="13">
        <f ca="1">IFERROR(AVERAGE(EBITDA_MARGIN!G97:G100),"")</f>
        <v>-0.13535976893347129</v>
      </c>
      <c r="H214" s="13">
        <f ca="1">IFERROR(AVERAGE(EBITDA_MARGIN!H97:H100),"")</f>
        <v>-0.25613160808999241</v>
      </c>
      <c r="I214" s="13">
        <f ca="1">IFERROR(AVERAGE(EBITDA_MARGIN!I97:I100),"")</f>
        <v>-1.5208766601596306</v>
      </c>
      <c r="J214" s="13">
        <f ca="1">IFERROR(AVERAGE(EBITDA_MARGIN!J97:J100),"")</f>
        <v>-0.44031284661011505</v>
      </c>
      <c r="K214" s="16"/>
      <c r="L214" s="13">
        <f ca="1">IFERROR(AVERAGE(EBITDA_MARGIN!L97:L100),"")</f>
        <v>-4.9614810739955155</v>
      </c>
      <c r="M214" s="13" t="str">
        <f>IFERROR(AVERAGE(EBITDA_MARGIN!M97:M100),"")</f>
        <v/>
      </c>
      <c r="N214" s="13">
        <f ca="1">IFERROR(AVERAGE(EBITDA_MARGIN!N97:N100),"")</f>
        <v>-0.93005870692782666</v>
      </c>
      <c r="O214" s="13">
        <f ca="1">IFERROR(AVERAGE(EBITDA_MARGIN!O97:O100),"")</f>
        <v>-4.0113573910750633</v>
      </c>
      <c r="P214" s="13">
        <f ca="1">IFERROR(AVERAGE(EBITDA_MARGIN!P97:P100),"")</f>
        <v>8.771929824561403E-2</v>
      </c>
      <c r="Q214" s="13" t="str">
        <f>IFERROR(AVERAGE(EBITDA_MARGIN!Q97:Q100),"")</f>
        <v/>
      </c>
      <c r="R214" s="13">
        <f>IFERROR(AVERAGE(EBITDA_MARGIN!R97:R100),"")</f>
        <v>-0.26373246744238338</v>
      </c>
      <c r="S214" s="13">
        <f>IFERROR(AVERAGE(EBITDA_MARGIN!S97:S100),"")</f>
        <v>0.56544816653351559</v>
      </c>
      <c r="T214" s="13">
        <f ca="1">IFERROR(AVERAGE(EBITDA_MARGIN!T97:T100),"")</f>
        <v>0.60460431654676039</v>
      </c>
      <c r="U214" s="13" t="str">
        <f>IFERROR(AVERAGE(EBITDA_MARGIN!U97:U100),"")</f>
        <v/>
      </c>
      <c r="V214" s="13" t="str">
        <f>IFERROR(AVERAGE(EBITDA_MARGIN!V97:V100),"")</f>
        <v/>
      </c>
      <c r="W214" s="16">
        <f>IFERROR(AVERAGE(EBITDA_MARGIN!W97:W100),"")</f>
        <v>-0.5238290913841861</v>
      </c>
      <c r="X214" s="16">
        <f>IFERROR(AVERAGE(EBITDA_MARGIN!X97:X100),"")</f>
        <v>-0.91294020249401153</v>
      </c>
      <c r="Y214" s="16">
        <f>IFERROR(AVERAGE(EBITDA_MARGIN!Y97:Y100),"")</f>
        <v>-0.32204727227863683</v>
      </c>
      <c r="Z214" s="16">
        <f>IFERROR(AVERAGE(EBITDA_MARGIN!Z97:Z100),"")</f>
        <v>-4.0651356390699091E-2</v>
      </c>
      <c r="AA214" s="16">
        <f>IFERROR(AVERAGE(EBITDA_MARGIN!AA97:AA100),"")</f>
        <v>-1.2651203842053429</v>
      </c>
      <c r="AB214" s="16">
        <f>IFERROR(AVERAGE(EBITDA_MARGIN!AB97:AB100),"")</f>
        <v>-1.0544000731953309</v>
      </c>
      <c r="AC214" s="11"/>
    </row>
    <row r="215" spans="1:29" ht="14">
      <c r="A215" s="14" t="s">
        <v>126</v>
      </c>
      <c r="B215" s="13">
        <f ca="1">IFERROR(AVERAGE(EBITDA_MARGIN!B98:B101),"")</f>
        <v>-1.4063825095648734</v>
      </c>
      <c r="C215" s="13">
        <f ca="1">IFERROR(AVERAGE(EBITDA_MARGIN!C98:C101),"")</f>
        <v>3.5571743670998482E-2</v>
      </c>
      <c r="D215" s="13">
        <f ca="1">IFERROR(AVERAGE(EBITDA_MARGIN!D98:D101),"")</f>
        <v>-0.27227299216368467</v>
      </c>
      <c r="E215" s="13">
        <f ca="1">IFERROR(AVERAGE(EBITDA_MARGIN!E98:E101),"")</f>
        <v>8.0561028265126802E-2</v>
      </c>
      <c r="F215" s="13">
        <f ca="1">IFERROR(AVERAGE(EBITDA_MARGIN!F98:F101),"")</f>
        <v>-0.46572080494200846</v>
      </c>
      <c r="G215" s="13">
        <f ca="1">IFERROR(AVERAGE(EBITDA_MARGIN!G98:G101),"")</f>
        <v>-0.11206101048619799</v>
      </c>
      <c r="H215" s="13">
        <f ca="1">IFERROR(AVERAGE(EBITDA_MARGIN!H98:H101),"")</f>
        <v>-0.22821706564056626</v>
      </c>
      <c r="I215" s="13">
        <f ca="1">IFERROR(AVERAGE(EBITDA_MARGIN!I98:I101),"")</f>
        <v>-0.58054770879826856</v>
      </c>
      <c r="J215" s="13">
        <f ca="1">IFERROR(AVERAGE(EBITDA_MARGIN!J98:J101),"")</f>
        <v>-0.24091007861587027</v>
      </c>
      <c r="K215" s="16"/>
      <c r="L215" s="13">
        <f ca="1">IFERROR(AVERAGE(EBITDA_MARGIN!L98:L101),"")</f>
        <v>-3.5821127654752183</v>
      </c>
      <c r="M215" s="13" t="str">
        <f>IFERROR(AVERAGE(EBITDA_MARGIN!M98:M101),"")</f>
        <v/>
      </c>
      <c r="N215" s="13">
        <f ca="1">IFERROR(AVERAGE(EBITDA_MARGIN!N98:N101),"")</f>
        <v>-0.23625834927728251</v>
      </c>
      <c r="O215" s="13">
        <f ca="1">IFERROR(AVERAGE(EBITDA_MARGIN!O98:O101),"")</f>
        <v>-2.7562908697074748</v>
      </c>
      <c r="P215" s="13">
        <f ca="1">IFERROR(AVERAGE(EBITDA_MARGIN!P98:P101),"")</f>
        <v>8.771929824561403E-2</v>
      </c>
      <c r="Q215" s="13" t="str">
        <f>IFERROR(AVERAGE(EBITDA_MARGIN!Q98:Q101),"")</f>
        <v/>
      </c>
      <c r="R215" s="13">
        <f>IFERROR(AVERAGE(EBITDA_MARGIN!R98:R101),"")</f>
        <v>-0.18181715205788654</v>
      </c>
      <c r="S215" s="13">
        <f>IFERROR(AVERAGE(EBITDA_MARGIN!S98:S101),"")</f>
        <v>0.5688859235196887</v>
      </c>
      <c r="T215" s="13">
        <f ca="1">IFERROR(AVERAGE(EBITDA_MARGIN!T98:T101),"")</f>
        <v>0.60460431654676039</v>
      </c>
      <c r="U215" s="13" t="str">
        <f>IFERROR(AVERAGE(EBITDA_MARGIN!U98:U101),"")</f>
        <v/>
      </c>
      <c r="V215" s="13" t="str">
        <f>IFERROR(AVERAGE(EBITDA_MARGIN!V98:V101),"")</f>
        <v/>
      </c>
      <c r="W215" s="16">
        <f>IFERROR(AVERAGE(EBITDA_MARGIN!W98:W101),"")</f>
        <v>-0.50440717659067602</v>
      </c>
      <c r="X215" s="16">
        <f>IFERROR(AVERAGE(EBITDA_MARGIN!X98:X101),"")</f>
        <v>-0.85826098370828519</v>
      </c>
      <c r="Y215" s="16">
        <f>IFERROR(AVERAGE(EBITDA_MARGIN!Y98:Y101),"")</f>
        <v>-0.26367475575876381</v>
      </c>
      <c r="Z215" s="16">
        <f>IFERROR(AVERAGE(EBITDA_MARGIN!Z98:Z101),"")</f>
        <v>-2.2224921074315802E-2</v>
      </c>
      <c r="AA215" s="16">
        <f>IFERROR(AVERAGE(EBITDA_MARGIN!AA98:AA101),"")</f>
        <v>-1.8727745291607647</v>
      </c>
      <c r="AB215" s="16">
        <f>IFERROR(AVERAGE(EBITDA_MARGIN!AB98:AB101),"")</f>
        <v>-1.0803265558003878</v>
      </c>
      <c r="AC215" s="11"/>
    </row>
    <row r="216" spans="1:29" ht="14">
      <c r="A216" s="14" t="s">
        <v>127</v>
      </c>
      <c r="B216" s="13">
        <f ca="1">IFERROR(AVERAGE(EBITDA_MARGIN!B99:B102),"")</f>
        <v>-0.2324915046584077</v>
      </c>
      <c r="C216" s="13">
        <f ca="1">IFERROR(AVERAGE(EBITDA_MARGIN!C99:C102),"")</f>
        <v>5.4530195665563955E-2</v>
      </c>
      <c r="D216" s="13">
        <f ca="1">IFERROR(AVERAGE(EBITDA_MARGIN!D99:D102),"")</f>
        <v>-8.6094724616896434E-2</v>
      </c>
      <c r="E216" s="13">
        <f ca="1">IFERROR(AVERAGE(EBITDA_MARGIN!E99:E102),"")</f>
        <v>3.6937210200452264E-4</v>
      </c>
      <c r="F216" s="13">
        <f ca="1">IFERROR(AVERAGE(EBITDA_MARGIN!F99:F102),"")</f>
        <v>-0.29033806062951739</v>
      </c>
      <c r="G216" s="13">
        <f ca="1">IFERROR(AVERAGE(EBITDA_MARGIN!G99:G102),"")</f>
        <v>2.7132787156114363E-2</v>
      </c>
      <c r="H216" s="13">
        <f ca="1">IFERROR(AVERAGE(EBITDA_MARGIN!H99:H102),"")</f>
        <v>-0.13922335494874236</v>
      </c>
      <c r="I216" s="13">
        <f ca="1">IFERROR(AVERAGE(EBITDA_MARGIN!I99:I102),"")</f>
        <v>-0.41714278623099738</v>
      </c>
      <c r="J216" s="13">
        <f ca="1">IFERROR(AVERAGE(EBITDA_MARGIN!J99:J102),"")</f>
        <v>-0.24604242144081226</v>
      </c>
      <c r="K216" s="16"/>
      <c r="L216" s="13">
        <f ca="1">IFERROR(AVERAGE(EBITDA_MARGIN!L99:L102),"")</f>
        <v>-0.80238511344964003</v>
      </c>
      <c r="M216" s="13" t="str">
        <f>IFERROR(AVERAGE(EBITDA_MARGIN!M99:M102),"")</f>
        <v/>
      </c>
      <c r="N216" s="13">
        <f ca="1">IFERROR(AVERAGE(EBITDA_MARGIN!N99:N102),"")</f>
        <v>-0.21817939677427506</v>
      </c>
      <c r="O216" s="13">
        <f ca="1">IFERROR(AVERAGE(EBITDA_MARGIN!O99:O102),"")</f>
        <v>-1.2674104572278619</v>
      </c>
      <c r="P216" s="13">
        <f ca="1">IFERROR(AVERAGE(EBITDA_MARGIN!P99:P102),"")</f>
        <v>0.16264811242766603</v>
      </c>
      <c r="Q216" s="13" t="str">
        <f>IFERROR(AVERAGE(EBITDA_MARGIN!Q99:Q102),"")</f>
        <v/>
      </c>
      <c r="R216" s="13">
        <f>IFERROR(AVERAGE(EBITDA_MARGIN!R99:R102),"")</f>
        <v>-9.9901836673389699E-2</v>
      </c>
      <c r="S216" s="13">
        <f>IFERROR(AVERAGE(EBITDA_MARGIN!S99:S102),"")</f>
        <v>0.57232368050586191</v>
      </c>
      <c r="T216" s="13">
        <f ca="1">IFERROR(AVERAGE(EBITDA_MARGIN!T99:T102),"")</f>
        <v>0.60460431654676039</v>
      </c>
      <c r="U216" s="13" t="str">
        <f>IFERROR(AVERAGE(EBITDA_MARGIN!U99:U102),"")</f>
        <v/>
      </c>
      <c r="V216" s="13" t="str">
        <f>IFERROR(AVERAGE(EBITDA_MARGIN!V99:V102),"")</f>
        <v/>
      </c>
      <c r="W216" s="16">
        <f>IFERROR(AVERAGE(EBITDA_MARGIN!W99:W102),"")</f>
        <v>-0.48498526179716583</v>
      </c>
      <c r="X216" s="16">
        <f>IFERROR(AVERAGE(EBITDA_MARGIN!X99:X102),"")</f>
        <v>-0.80358176492255884</v>
      </c>
      <c r="Y216" s="16">
        <f>IFERROR(AVERAGE(EBITDA_MARGIN!Y99:Y102),"")</f>
        <v>-0.20530223923889082</v>
      </c>
      <c r="Z216" s="16">
        <f>IFERROR(AVERAGE(EBITDA_MARGIN!Z99:Z102),"")</f>
        <v>-3.7984857579325109E-3</v>
      </c>
      <c r="AA216" s="16">
        <f>IFERROR(AVERAGE(EBITDA_MARGIN!AA99:AA102),"")</f>
        <v>-2.4804286741161863</v>
      </c>
      <c r="AB216" s="16">
        <f>IFERROR(AVERAGE(EBITDA_MARGIN!AB99:AB102),"")</f>
        <v>-1.1062530384054448</v>
      </c>
      <c r="AC216" s="11"/>
    </row>
    <row r="217" spans="1:29" ht="14">
      <c r="A217" s="14" t="s">
        <v>128</v>
      </c>
      <c r="B217" s="13">
        <f ca="1">IFERROR(AVERAGE(EBITDA_MARGIN!B100:B103),"")</f>
        <v>9.480075239341211E-2</v>
      </c>
      <c r="C217" s="13">
        <f ca="1">IFERROR(AVERAGE(EBITDA_MARGIN!C100:C103),"")</f>
        <v>3.668471949405798E-2</v>
      </c>
      <c r="D217" s="13">
        <f ca="1">IFERROR(AVERAGE(EBITDA_MARGIN!D100:D103),"")</f>
        <v>4.1265429030845693E-2</v>
      </c>
      <c r="E217" s="13">
        <f ca="1">IFERROR(AVERAGE(EBITDA_MARGIN!E100:E103),"")</f>
        <v>-0.15482897322103042</v>
      </c>
      <c r="F217" s="13">
        <f ca="1">IFERROR(AVERAGE(EBITDA_MARGIN!F100:F103),"")</f>
        <v>-0.12670465902832578</v>
      </c>
      <c r="G217" s="13">
        <f ca="1">IFERROR(AVERAGE(EBITDA_MARGIN!G100:G103),"")</f>
        <v>6.8110189865184814E-2</v>
      </c>
      <c r="H217" s="13">
        <f ca="1">IFERROR(AVERAGE(EBITDA_MARGIN!H100:H103),"")</f>
        <v>-2.5025936196000582E-2</v>
      </c>
      <c r="I217" s="13">
        <f ca="1">IFERROR(AVERAGE(EBITDA_MARGIN!I100:I103),"")</f>
        <v>-0.26373478492490082</v>
      </c>
      <c r="J217" s="13">
        <f ca="1">IFERROR(AVERAGE(EBITDA_MARGIN!J100:J103),"")</f>
        <v>-0.25286812735033165</v>
      </c>
      <c r="K217" s="16">
        <f>IFERROR(AVERAGE(EBITDA_MARGIN!K100:K103),"")</f>
        <v>-2.8916814370780475E-2</v>
      </c>
      <c r="L217" s="13">
        <f ca="1">IFERROR(AVERAGE(EBITDA_MARGIN!L100:L103),"")</f>
        <v>-0.36510112792022181</v>
      </c>
      <c r="M217" s="13">
        <f ca="1">IFERROR(AVERAGE(EBITDA_MARGIN!M100:M103),"")</f>
        <v>-0.24060150375939848</v>
      </c>
      <c r="N217" s="13">
        <f ca="1">IFERROR(AVERAGE(EBITDA_MARGIN!N100:N103),"")</f>
        <v>-2.1717653284270944E-2</v>
      </c>
      <c r="O217" s="13">
        <f ca="1">IFERROR(AVERAGE(EBITDA_MARGIN!O100:O103),"")</f>
        <v>-0.8483506737903147</v>
      </c>
      <c r="P217" s="13">
        <f ca="1">IFERROR(AVERAGE(EBITDA_MARGIN!P100:P103),"")</f>
        <v>0.23757692660971802</v>
      </c>
      <c r="Q217" s="13" t="str">
        <f>IFERROR(AVERAGE(EBITDA_MARGIN!Q100:Q103),"")</f>
        <v/>
      </c>
      <c r="R217" s="13">
        <f>IFERROR(AVERAGE(EBITDA_MARGIN!R100:R103),"")</f>
        <v>-8.650155777555471E-2</v>
      </c>
      <c r="S217" s="13">
        <f>IFERROR(AVERAGE(EBITDA_MARGIN!S100:S103),"")</f>
        <v>0.57576143749203512</v>
      </c>
      <c r="T217" s="13">
        <f ca="1">IFERROR(AVERAGE(EBITDA_MARGIN!T100:T103),"")</f>
        <v>0.60460431654676039</v>
      </c>
      <c r="U217" s="13" t="str">
        <f>IFERROR(AVERAGE(EBITDA_MARGIN!U100:U103),"")</f>
        <v/>
      </c>
      <c r="V217" s="13" t="str">
        <f>IFERROR(AVERAGE(EBITDA_MARGIN!V100:V103),"")</f>
        <v/>
      </c>
      <c r="W217" s="16">
        <f>IFERROR(AVERAGE(EBITDA_MARGIN!W100:W103),"")</f>
        <v>-0.4655633470036557</v>
      </c>
      <c r="X217" s="16">
        <f>IFERROR(AVERAGE(EBITDA_MARGIN!X100:X103),"")</f>
        <v>-0.57488555227995342</v>
      </c>
      <c r="Y217" s="16">
        <f>IFERROR(AVERAGE(EBITDA_MARGIN!Y100:Y103),"")</f>
        <v>-6.6354008123190533E-2</v>
      </c>
      <c r="Z217" s="16">
        <f>IFERROR(AVERAGE(EBITDA_MARGIN!Z100:Z103),"")</f>
        <v>7.3449777224395864E-3</v>
      </c>
      <c r="AA217" s="16">
        <f>IFERROR(AVERAGE(EBITDA_MARGIN!AA100:AA103),"")</f>
        <v>-3.5207811275802667</v>
      </c>
      <c r="AB217" s="16">
        <f>IFERROR(AVERAGE(EBITDA_MARGIN!AB100:AB103),"")</f>
        <v>-0.93576506585412955</v>
      </c>
      <c r="AC217" s="11"/>
    </row>
    <row r="218" spans="1:29" ht="14">
      <c r="A218" s="14" t="s">
        <v>129</v>
      </c>
      <c r="B218" s="13">
        <f ca="1">IFERROR(AVERAGE(EBITDA_MARGIN!B101:B104),"")</f>
        <v>0.15098977635242011</v>
      </c>
      <c r="C218" s="13">
        <f ca="1">IFERROR(AVERAGE(EBITDA_MARGIN!C101:C104),"")</f>
        <v>0.10803465437304502</v>
      </c>
      <c r="D218" s="13">
        <f ca="1">IFERROR(AVERAGE(EBITDA_MARGIN!D101:D104),"")</f>
        <v>5.7812003008770943E-2</v>
      </c>
      <c r="E218" s="13">
        <f ca="1">IFERROR(AVERAGE(EBITDA_MARGIN!E101:E104),"")</f>
        <v>-0.10420732310241167</v>
      </c>
      <c r="F218" s="13">
        <f ca="1">IFERROR(AVERAGE(EBITDA_MARGIN!F101:F104),"")</f>
        <v>-4.5993908479828427E-2</v>
      </c>
      <c r="G218" s="13">
        <f ca="1">IFERROR(AVERAGE(EBITDA_MARGIN!G101:G104),"")</f>
        <v>-2.6112202541919927E-2</v>
      </c>
      <c r="H218" s="13">
        <f ca="1">IFERROR(AVERAGE(EBITDA_MARGIN!H101:H104),"")</f>
        <v>-1.2763597094987925E-2</v>
      </c>
      <c r="I218" s="13">
        <f ca="1">IFERROR(AVERAGE(EBITDA_MARGIN!I101:I104),"")</f>
        <v>-0.13614394308742742</v>
      </c>
      <c r="J218" s="13">
        <f ca="1">IFERROR(AVERAGE(EBITDA_MARGIN!J101:J104),"")</f>
        <v>-8.0271979943805416E-2</v>
      </c>
      <c r="K218" s="16">
        <f>IFERROR(AVERAGE(EBITDA_MARGIN!K101:K104),"")</f>
        <v>-2.1652608838109294E-3</v>
      </c>
      <c r="L218" s="13">
        <f ca="1">IFERROR(AVERAGE(EBITDA_MARGIN!L101:L104),"")</f>
        <v>-0.30538020254626563</v>
      </c>
      <c r="M218" s="13">
        <f ca="1">IFERROR(AVERAGE(EBITDA_MARGIN!M101:M104),"")</f>
        <v>-0.33655075187969929</v>
      </c>
      <c r="N218" s="13">
        <f ca="1">IFERROR(AVERAGE(EBITDA_MARGIN!N101:N104),"")</f>
        <v>0.15895015407913249</v>
      </c>
      <c r="O218" s="13">
        <f ca="1">IFERROR(AVERAGE(EBITDA_MARGIN!O101:O104),"")</f>
        <v>-0.51338336354099012</v>
      </c>
      <c r="P218" s="13">
        <f ca="1">IFERROR(AVERAGE(EBITDA_MARGIN!P101:P104),"")</f>
        <v>0.3189289553301678</v>
      </c>
      <c r="Q218" s="13" t="str">
        <f>IFERROR(AVERAGE(EBITDA_MARGIN!Q101:Q104),"")</f>
        <v/>
      </c>
      <c r="R218" s="13">
        <f>IFERROR(AVERAGE(EBITDA_MARGIN!R101:R104),"")</f>
        <v>-7.3101278877719722E-2</v>
      </c>
      <c r="S218" s="13">
        <f ca="1">IFERROR(AVERAGE(EBITDA_MARGIN!S101:S104),"")</f>
        <v>0.5600743641801994</v>
      </c>
      <c r="T218" s="13">
        <f ca="1">IFERROR(AVERAGE(EBITDA_MARGIN!T101:T104),"")</f>
        <v>1.9337259382965629E-3</v>
      </c>
      <c r="U218" s="13" t="str">
        <f>IFERROR(AVERAGE(EBITDA_MARGIN!U101:U104),"")</f>
        <v/>
      </c>
      <c r="V218" s="13" t="str">
        <f>IFERROR(AVERAGE(EBITDA_MARGIN!V101:V104),"")</f>
        <v/>
      </c>
      <c r="W218" s="16">
        <f>IFERROR(AVERAGE(EBITDA_MARGIN!W101:W104),"")</f>
        <v>-0.44614143221014563</v>
      </c>
      <c r="X218" s="16">
        <f>IFERROR(AVERAGE(EBITDA_MARGIN!X101:X104),"")</f>
        <v>-0.34618933963734805</v>
      </c>
      <c r="Y218" s="16">
        <f>IFERROR(AVERAGE(EBITDA_MARGIN!Y101:Y104),"")</f>
        <v>7.2594222992509769E-2</v>
      </c>
      <c r="Z218" s="16">
        <f>IFERROR(AVERAGE(EBITDA_MARGIN!Z101:Z104),"")</f>
        <v>1.8488441202811685E-2</v>
      </c>
      <c r="AA218" s="16">
        <f>IFERROR(AVERAGE(EBITDA_MARGIN!AA101:AA104),"")</f>
        <v>-4.5611335810443467</v>
      </c>
      <c r="AB218" s="16">
        <f>IFERROR(AVERAGE(EBITDA_MARGIN!AB101:AB104),"")</f>
        <v>-0.76527709330281435</v>
      </c>
      <c r="AC218" s="11"/>
    </row>
    <row r="219" spans="1:29" ht="14">
      <c r="A219" s="14" t="s">
        <v>130</v>
      </c>
      <c r="B219" s="13">
        <f ca="1">IFERROR(AVERAGE(EBITDA_MARGIN!B102:B105),"")</f>
        <v>0.16602939819879006</v>
      </c>
      <c r="C219" s="13">
        <f ca="1">IFERROR(AVERAGE(EBITDA_MARGIN!C102:C105),"")</f>
        <v>0.14616865923651229</v>
      </c>
      <c r="D219" s="13">
        <f ca="1">IFERROR(AVERAGE(EBITDA_MARGIN!D102:D105),"")</f>
        <v>6.6229973548008025E-2</v>
      </c>
      <c r="E219" s="13">
        <f ca="1">IFERROR(AVERAGE(EBITDA_MARGIN!E102:E105),"")</f>
        <v>-4.26557216524074E-2</v>
      </c>
      <c r="F219" s="13">
        <f ca="1">IFERROR(AVERAGE(EBITDA_MARGIN!F102:F105),"")</f>
        <v>-1.4700092823753015E-2</v>
      </c>
      <c r="G219" s="13">
        <f ca="1">IFERROR(AVERAGE(EBITDA_MARGIN!G102:G105),"")</f>
        <v>-0.14133197943834352</v>
      </c>
      <c r="H219" s="13">
        <f ca="1">IFERROR(AVERAGE(EBITDA_MARGIN!H102:H105),"")</f>
        <v>-9.4560327267117668E-3</v>
      </c>
      <c r="I219" s="13">
        <f ca="1">IFERROR(AVERAGE(EBITDA_MARGIN!I102:I105),"")</f>
        <v>-8.3510721636208513E-2</v>
      </c>
      <c r="J219" s="13">
        <f ca="1">IFERROR(AVERAGE(EBITDA_MARGIN!J102:J105),"")</f>
        <v>-6.2103990758425723E-2</v>
      </c>
      <c r="K219" s="16">
        <f>IFERROR(AVERAGE(EBITDA_MARGIN!K102:K105),"")</f>
        <v>2.4586292603158616E-2</v>
      </c>
      <c r="L219" s="13">
        <f ca="1">IFERROR(AVERAGE(EBITDA_MARGIN!L102:L105),"")</f>
        <v>-0.15585604436750031</v>
      </c>
      <c r="M219" s="13">
        <f ca="1">IFERROR(AVERAGE(EBITDA_MARGIN!M102:M105),"")</f>
        <v>-0.25062979418242581</v>
      </c>
      <c r="N219" s="13">
        <f ca="1">IFERROR(AVERAGE(EBITDA_MARGIN!N102:N105),"")</f>
        <v>0.23923064377468933</v>
      </c>
      <c r="O219" s="13">
        <f ca="1">IFERROR(AVERAGE(EBITDA_MARGIN!O102:O105),"")</f>
        <v>-0.17841605329166565</v>
      </c>
      <c r="P219" s="13">
        <f ca="1">IFERROR(AVERAGE(EBITDA_MARGIN!P102:P105),"")</f>
        <v>0.40028098405061757</v>
      </c>
      <c r="Q219" s="13" t="str">
        <f>IFERROR(AVERAGE(EBITDA_MARGIN!Q102:Q105),"")</f>
        <v/>
      </c>
      <c r="R219" s="13">
        <f>IFERROR(AVERAGE(EBITDA_MARGIN!R102:R105),"")</f>
        <v>-5.9700999979884734E-2</v>
      </c>
      <c r="S219" s="13">
        <f ca="1">IFERROR(AVERAGE(EBITDA_MARGIN!S102:S105),"")</f>
        <v>0.51165990166402675</v>
      </c>
      <c r="T219" s="13">
        <f ca="1">IFERROR(AVERAGE(EBITDA_MARGIN!T102:T105),"")</f>
        <v>-3.6617555157503374E-2</v>
      </c>
      <c r="U219" s="13" t="str">
        <f>IFERROR(AVERAGE(EBITDA_MARGIN!U102:U105),"")</f>
        <v/>
      </c>
      <c r="V219" s="13" t="str">
        <f>IFERROR(AVERAGE(EBITDA_MARGIN!V102:V105),"")</f>
        <v/>
      </c>
      <c r="W219" s="16">
        <f>IFERROR(AVERAGE(EBITDA_MARGIN!W102:W105),"")</f>
        <v>-0.35978497552965466</v>
      </c>
      <c r="X219" s="16">
        <f>IFERROR(AVERAGE(EBITDA_MARGIN!X102:X105),"")</f>
        <v>-0.11749312699474265</v>
      </c>
      <c r="Y219" s="16">
        <f>IFERROR(AVERAGE(EBITDA_MARGIN!Y102:Y105),"")</f>
        <v>0.21154245410821007</v>
      </c>
      <c r="Z219" s="16">
        <f>IFERROR(AVERAGE(EBITDA_MARGIN!Z102:Z105),"")</f>
        <v>2.9631904683183781E-2</v>
      </c>
      <c r="AA219" s="16">
        <f>IFERROR(AVERAGE(EBITDA_MARGIN!AA102:AA105),"")</f>
        <v>-5.6014860345084276</v>
      </c>
      <c r="AB219" s="16">
        <f>IFERROR(AVERAGE(EBITDA_MARGIN!AB102:AB105),"")</f>
        <v>-0.59478912075149926</v>
      </c>
      <c r="AC219" s="11"/>
    </row>
    <row r="220" spans="1:29" ht="14">
      <c r="A220" s="14" t="s">
        <v>131</v>
      </c>
      <c r="B220" s="13">
        <f ca="1">IFERROR(AVERAGE(EBITDA_MARGIN!B103:B106),"")</f>
        <v>0.19946105713860349</v>
      </c>
      <c r="C220" s="13">
        <f ca="1">IFERROR(AVERAGE(EBITDA_MARGIN!C103:C106),"")</f>
        <v>0.16738701349778456</v>
      </c>
      <c r="D220" s="13">
        <f ca="1">IFERROR(AVERAGE(EBITDA_MARGIN!D103:D106),"")</f>
        <v>3.2037747453373754E-2</v>
      </c>
      <c r="E220" s="13">
        <f ca="1">IFERROR(AVERAGE(EBITDA_MARGIN!E103:E106),"")</f>
        <v>0.12282745792079175</v>
      </c>
      <c r="F220" s="13">
        <f ca="1">IFERROR(AVERAGE(EBITDA_MARGIN!F103:F106),"")</f>
        <v>2.2755658869990106E-2</v>
      </c>
      <c r="G220" s="13">
        <f ca="1">IFERROR(AVERAGE(EBITDA_MARGIN!G103:G106),"")</f>
        <v>-0.17326367526327541</v>
      </c>
      <c r="H220" s="13">
        <f ca="1">IFERROR(AVERAGE(EBITDA_MARGIN!H103:H106),"")</f>
        <v>1.3619222098705714E-2</v>
      </c>
      <c r="I220" s="13">
        <f ca="1">IFERROR(AVERAGE(EBITDA_MARGIN!I103:I106),"")</f>
        <v>-8.8778510063008548E-2</v>
      </c>
      <c r="J220" s="13">
        <f ca="1">IFERROR(AVERAGE(EBITDA_MARGIN!J103:J106),"")</f>
        <v>-4.1568153143844773E-2</v>
      </c>
      <c r="K220" s="16">
        <f>IFERROR(AVERAGE(EBITDA_MARGIN!K103:K106),"")</f>
        <v>5.1337846090128161E-2</v>
      </c>
      <c r="L220" s="13">
        <f ca="1">IFERROR(AVERAGE(EBITDA_MARGIN!L103:L106),"")</f>
        <v>-9.4681627666175106E-2</v>
      </c>
      <c r="M220" s="13">
        <f ca="1">IFERROR(AVERAGE(EBITDA_MARGIN!M103:M106),"")</f>
        <v>-0.19384191085421063</v>
      </c>
      <c r="N220" s="13">
        <f ca="1">IFERROR(AVERAGE(EBITDA_MARGIN!N103:N106),"")</f>
        <v>0.19924058197106306</v>
      </c>
      <c r="O220" s="13">
        <f ca="1">IFERROR(AVERAGE(EBITDA_MARGIN!O103:O106),"")</f>
        <v>-6.3882202086207165E-2</v>
      </c>
      <c r="P220" s="13">
        <f ca="1">IFERROR(AVERAGE(EBITDA_MARGIN!P103:P106),"")</f>
        <v>0.40163663102144775</v>
      </c>
      <c r="Q220" s="13" t="str">
        <f>IFERROR(AVERAGE(EBITDA_MARGIN!Q103:Q106),"")</f>
        <v/>
      </c>
      <c r="R220" s="13">
        <f>IFERROR(AVERAGE(EBITDA_MARGIN!R103:R106),"")</f>
        <v>-4.6300721082049752E-2</v>
      </c>
      <c r="S220" s="13">
        <f ca="1">IFERROR(AVERAGE(EBITDA_MARGIN!S103:S106),"")</f>
        <v>0.48019262772474314</v>
      </c>
      <c r="T220" s="13">
        <f ca="1">IFERROR(AVERAGE(EBITDA_MARGIN!T103:T106),"")</f>
        <v>-9.9779069704794512E-2</v>
      </c>
      <c r="U220" s="13" t="str">
        <f>IFERROR(AVERAGE(EBITDA_MARGIN!U103:U106),"")</f>
        <v/>
      </c>
      <c r="V220" s="13" t="str">
        <f>IFERROR(AVERAGE(EBITDA_MARGIN!V103:V106),"")</f>
        <v/>
      </c>
      <c r="W220" s="16">
        <f>IFERROR(AVERAGE(EBITDA_MARGIN!W103:W106),"")</f>
        <v>-0.27342851884916369</v>
      </c>
      <c r="X220" s="16">
        <f>IFERROR(AVERAGE(EBITDA_MARGIN!X103:X106),"")</f>
        <v>0.11120308564786276</v>
      </c>
      <c r="Y220" s="16">
        <f>IFERROR(AVERAGE(EBITDA_MARGIN!Y103:Y106),"")</f>
        <v>0.35049068522391036</v>
      </c>
      <c r="Z220" s="16">
        <f>IFERROR(AVERAGE(EBITDA_MARGIN!Z103:Z106),"")</f>
        <v>4.0775368163555877E-2</v>
      </c>
      <c r="AA220" s="16">
        <f>IFERROR(AVERAGE(EBITDA_MARGIN!AA103:AA106),"")</f>
        <v>-6.6418384879725085</v>
      </c>
      <c r="AB220" s="16">
        <f>IFERROR(AVERAGE(EBITDA_MARGIN!AB103:AB106),"")</f>
        <v>-0.42430114820018411</v>
      </c>
      <c r="AC220" s="11"/>
    </row>
    <row r="221" spans="1:29" ht="14">
      <c r="A221" s="14" t="s">
        <v>132</v>
      </c>
      <c r="B221" s="13">
        <f ca="1">IFERROR(AVERAGE(EBITDA_MARGIN!B104:B107),"")</f>
        <v>0.21867752964185377</v>
      </c>
      <c r="C221" s="13">
        <f ca="1">IFERROR(AVERAGE(EBITDA_MARGIN!C104:C107),"")</f>
        <v>0.26619426198551405</v>
      </c>
      <c r="D221" s="13">
        <f ca="1">IFERROR(AVERAGE(EBITDA_MARGIN!D104:D107),"")</f>
        <v>4.9436808282576974E-2</v>
      </c>
      <c r="E221" s="13">
        <f ca="1">IFERROR(AVERAGE(EBITDA_MARGIN!E104:E107),"")</f>
        <v>0.27653378521374172</v>
      </c>
      <c r="F221" s="13">
        <f ca="1">IFERROR(AVERAGE(EBITDA_MARGIN!F104:F107),"")</f>
        <v>4.4136391776720421E-2</v>
      </c>
      <c r="G221" s="13">
        <f ca="1">IFERROR(AVERAGE(EBITDA_MARGIN!G104:G107),"")</f>
        <v>-0.12685137426038526</v>
      </c>
      <c r="H221" s="13">
        <f ca="1">IFERROR(AVERAGE(EBITDA_MARGIN!H104:H107),"")</f>
        <v>4.20210893147865E-2</v>
      </c>
      <c r="I221" s="13">
        <f ca="1">IFERROR(AVERAGE(EBITDA_MARGIN!I104:I107),"")</f>
        <v>-7.0887630597694595E-2</v>
      </c>
      <c r="J221" s="13">
        <f ca="1">IFERROR(AVERAGE(EBITDA_MARGIN!J104:J107),"")</f>
        <v>-2.2675418691836279E-2</v>
      </c>
      <c r="K221" s="16">
        <f>IFERROR(AVERAGE(EBITDA_MARGIN!K104:K107),"")</f>
        <v>7.8089399577097707E-2</v>
      </c>
      <c r="L221" s="13">
        <f ca="1">IFERROR(AVERAGE(EBITDA_MARGIN!L104:L107),"")</f>
        <v>4.6773390895370734E-2</v>
      </c>
      <c r="M221" s="13">
        <f ca="1">IFERROR(AVERAGE(EBITDA_MARGIN!M104:M107),"")</f>
        <v>-0.13322643284335506</v>
      </c>
      <c r="N221" s="13">
        <f ca="1">IFERROR(AVERAGE(EBITDA_MARGIN!N104:N107),"")</f>
        <v>0.1946319378628103</v>
      </c>
      <c r="O221" s="13">
        <f ca="1">IFERROR(AVERAGE(EBITDA_MARGIN!O104:O107),"")</f>
        <v>5.065164911925131E-2</v>
      </c>
      <c r="P221" s="13">
        <f ca="1">IFERROR(AVERAGE(EBITDA_MARGIN!P104:P107),"")</f>
        <v>0.40299227799227799</v>
      </c>
      <c r="Q221" s="13" t="str">
        <f>IFERROR(AVERAGE(EBITDA_MARGIN!Q104:Q107),"")</f>
        <v/>
      </c>
      <c r="R221" s="13">
        <f ca="1">IFERROR(AVERAGE(EBITDA_MARGIN!R104:R107),"")</f>
        <v>-8.6312647172612222E-3</v>
      </c>
      <c r="S221" s="13">
        <f ca="1">IFERROR(AVERAGE(EBITDA_MARGIN!S104:S107),"")</f>
        <v>0.4454835756129541</v>
      </c>
      <c r="T221" s="13">
        <f ca="1">IFERROR(AVERAGE(EBITDA_MARGIN!T104:T107),"")</f>
        <v>-6.9948196711188279E-2</v>
      </c>
      <c r="U221" s="13" t="str">
        <f>IFERROR(AVERAGE(EBITDA_MARGIN!U104:U107),"")</f>
        <v/>
      </c>
      <c r="V221" s="13" t="str">
        <f>IFERROR(AVERAGE(EBITDA_MARGIN!V104:V107),"")</f>
        <v/>
      </c>
      <c r="W221" s="16">
        <f>IFERROR(AVERAGE(EBITDA_MARGIN!W104:W107),"")</f>
        <v>-0.18707206216867275</v>
      </c>
      <c r="X221" s="16">
        <f>IFERROR(AVERAGE(EBITDA_MARGIN!X104:X107),"")</f>
        <v>0.15154718934750677</v>
      </c>
      <c r="Y221" s="16">
        <f>IFERROR(AVERAGE(EBITDA_MARGIN!Y104:Y107),"")</f>
        <v>0.35251320555304216</v>
      </c>
      <c r="Z221" s="16">
        <f>IFERROR(AVERAGE(EBITDA_MARGIN!Z104:Z107),"")</f>
        <v>5.5049363981156035E-2</v>
      </c>
      <c r="AA221" s="16">
        <f>IFERROR(AVERAGE(EBITDA_MARGIN!AA104:AA107),"")</f>
        <v>-6.6418384879725094</v>
      </c>
      <c r="AB221" s="16">
        <f>IFERROR(AVERAGE(EBITDA_MARGIN!AB104:AB107),"")</f>
        <v>-0.30827884701609959</v>
      </c>
      <c r="AC221" s="11"/>
    </row>
    <row r="222" spans="1:29" ht="14">
      <c r="A222" s="14" t="s">
        <v>133</v>
      </c>
      <c r="B222" s="13">
        <f ca="1">IFERROR(AVERAGE(EBITDA_MARGIN!B105:B108),"")</f>
        <v>0.24119352699030147</v>
      </c>
      <c r="C222" s="13">
        <f ca="1">IFERROR(AVERAGE(EBITDA_MARGIN!C105:C108),"")</f>
        <v>0.27364681941025509</v>
      </c>
      <c r="D222" s="13">
        <f ca="1">IFERROR(AVERAGE(EBITDA_MARGIN!D105:D108),"")</f>
        <v>9.3962317939284584E-2</v>
      </c>
      <c r="E222" s="13">
        <f ca="1">IFERROR(AVERAGE(EBITDA_MARGIN!E105:E108),"")</f>
        <v>0.26736712391853285</v>
      </c>
      <c r="F222" s="13">
        <f ca="1">IFERROR(AVERAGE(EBITDA_MARGIN!F105:F108),"")</f>
        <v>3.4629017918721798E-2</v>
      </c>
      <c r="G222" s="13">
        <f ca="1">IFERROR(AVERAGE(EBITDA_MARGIN!G105:G108),"")</f>
        <v>-4.2672200906911789E-3</v>
      </c>
      <c r="H222" s="13">
        <f ca="1">IFERROR(AVERAGE(EBITDA_MARGIN!H105:H108),"")</f>
        <v>8.4792167089295975E-2</v>
      </c>
      <c r="I222" s="13">
        <f ca="1">IFERROR(AVERAGE(EBITDA_MARGIN!I105:I108),"")</f>
        <v>-2.6476775008905992E-2</v>
      </c>
      <c r="J222" s="13">
        <f ca="1">IFERROR(AVERAGE(EBITDA_MARGIN!J105:J108),"")</f>
        <v>1.8675055140649141E-2</v>
      </c>
      <c r="K222" s="16">
        <f>IFERROR(AVERAGE(EBITDA_MARGIN!K105:K108),"")</f>
        <v>7.8511391055736082E-2</v>
      </c>
      <c r="L222" s="13">
        <f ca="1">IFERROR(AVERAGE(EBITDA_MARGIN!L105:L108),"")</f>
        <v>0.17122295996655743</v>
      </c>
      <c r="M222" s="13">
        <f ca="1">IFERROR(AVERAGE(EBITDA_MARGIN!M105:M108),"")</f>
        <v>2.5867391996556993E-3</v>
      </c>
      <c r="N222" s="13">
        <f ca="1">IFERROR(AVERAGE(EBITDA_MARGIN!N105:N108),"")</f>
        <v>0.14324504432423568</v>
      </c>
      <c r="O222" s="13">
        <f ca="1">IFERROR(AVERAGE(EBITDA_MARGIN!O105:O108),"")</f>
        <v>9.9382429356135088E-2</v>
      </c>
      <c r="P222" s="13">
        <f ca="1">IFERROR(AVERAGE(EBITDA_MARGIN!P105:P108),"")</f>
        <v>0.39124047935523348</v>
      </c>
      <c r="Q222" s="13" t="str">
        <f>IFERROR(AVERAGE(EBITDA_MARGIN!Q105:Q108),"")</f>
        <v/>
      </c>
      <c r="R222" s="13">
        <f ca="1">IFERROR(AVERAGE(EBITDA_MARGIN!R105:R108),"")</f>
        <v>4.5848205982294124E-2</v>
      </c>
      <c r="S222" s="13">
        <f ca="1">IFERROR(AVERAGE(EBITDA_MARGIN!S105:S108),"")</f>
        <v>0.40080622241413943</v>
      </c>
      <c r="T222" s="13">
        <f ca="1">IFERROR(AVERAGE(EBITDA_MARGIN!T105:T108),"")</f>
        <v>-7.2750565565901926E-2</v>
      </c>
      <c r="U222" s="13" t="str">
        <f>IFERROR(AVERAGE(EBITDA_MARGIN!U105:U108),"")</f>
        <v/>
      </c>
      <c r="V222" s="13" t="str">
        <f>IFERROR(AVERAGE(EBITDA_MARGIN!V105:V108),"")</f>
        <v/>
      </c>
      <c r="W222" s="16">
        <f>IFERROR(AVERAGE(EBITDA_MARGIN!W105:W108),"")</f>
        <v>-0.10071560548818177</v>
      </c>
      <c r="X222" s="16">
        <f>IFERROR(AVERAGE(EBITDA_MARGIN!X105:X108),"")</f>
        <v>0.1918912930471508</v>
      </c>
      <c r="Y222" s="16">
        <f>IFERROR(AVERAGE(EBITDA_MARGIN!Y105:Y108),"")</f>
        <v>0.35453572588217391</v>
      </c>
      <c r="Z222" s="16">
        <f>IFERROR(AVERAGE(EBITDA_MARGIN!Z105:Z108),"")</f>
        <v>6.9323359798756187E-2</v>
      </c>
      <c r="AA222" s="16">
        <f>IFERROR(AVERAGE(EBITDA_MARGIN!AA105:AA108),"")</f>
        <v>-6.6418384879725085</v>
      </c>
      <c r="AB222" s="16">
        <f>IFERROR(AVERAGE(EBITDA_MARGIN!AB105:AB108),"")</f>
        <v>-0.1922565458320151</v>
      </c>
      <c r="AC222" s="11"/>
    </row>
    <row r="223" spans="1:29" ht="14">
      <c r="A223" s="14" t="s">
        <v>134</v>
      </c>
      <c r="B223" s="13">
        <f ca="1">IFERROR(AVERAGE(EBITDA_MARGIN!B106:B109),"")</f>
        <v>0.25469268719046256</v>
      </c>
      <c r="C223" s="13">
        <f ca="1">IFERROR(AVERAGE(EBITDA_MARGIN!C106:C109),"")</f>
        <v>0.29099933697743585</v>
      </c>
      <c r="D223" s="13">
        <f ca="1">IFERROR(AVERAGE(EBITDA_MARGIN!D106:D109),"")</f>
        <v>7.4548680559406E-2</v>
      </c>
      <c r="E223" s="13">
        <f ca="1">IFERROR(AVERAGE(EBITDA_MARGIN!E106:E109),"")</f>
        <v>0.33344498044156928</v>
      </c>
      <c r="F223" s="13">
        <f ca="1">IFERROR(AVERAGE(EBITDA_MARGIN!F106:F109),"")</f>
        <v>3.0878716463972708E-2</v>
      </c>
      <c r="G223" s="13">
        <f ca="1">IFERROR(AVERAGE(EBITDA_MARGIN!G106:G109),"")</f>
        <v>-0.19411925295054858</v>
      </c>
      <c r="H223" s="13">
        <f ca="1">IFERROR(AVERAGE(EBITDA_MARGIN!H106:H109),"")</f>
        <v>9.7284473388147122E-2</v>
      </c>
      <c r="I223" s="13">
        <f ca="1">IFERROR(AVERAGE(EBITDA_MARGIN!I106:I109),"")</f>
        <v>1.4550072079941877E-2</v>
      </c>
      <c r="J223" s="13">
        <f ca="1">IFERROR(AVERAGE(EBITDA_MARGIN!J106:J109),"")</f>
        <v>3.5568488177281532E-2</v>
      </c>
      <c r="K223" s="16">
        <f>IFERROR(AVERAGE(EBITDA_MARGIN!K106:K109),"")</f>
        <v>7.8933382534374458E-2</v>
      </c>
      <c r="L223" s="13">
        <f ca="1">IFERROR(AVERAGE(EBITDA_MARGIN!L106:L109),"")</f>
        <v>0.13075569389700731</v>
      </c>
      <c r="M223" s="13">
        <f ca="1">IFERROR(AVERAGE(EBITDA_MARGIN!M106:M109),"")</f>
        <v>5.6135383537773725E-2</v>
      </c>
      <c r="N223" s="13">
        <f ca="1">IFERROR(AVERAGE(EBITDA_MARGIN!N106:N109),"")</f>
        <v>0.10075710532131672</v>
      </c>
      <c r="O223" s="13">
        <f ca="1">IFERROR(AVERAGE(EBITDA_MARGIN!O106:O109),"")</f>
        <v>0.14811320959301888</v>
      </c>
      <c r="P223" s="13">
        <f ca="1">IFERROR(AVERAGE(EBITDA_MARGIN!P106:P109),"")</f>
        <v>0.37948868071818892</v>
      </c>
      <c r="Q223" s="13" t="str">
        <f>IFERROR(AVERAGE(EBITDA_MARGIN!Q106:Q109),"")</f>
        <v/>
      </c>
      <c r="R223" s="13">
        <f ca="1">IFERROR(AVERAGE(EBITDA_MARGIN!R106:R109),"")</f>
        <v>9.576694453501515E-2</v>
      </c>
      <c r="S223" s="13">
        <f ca="1">IFERROR(AVERAGE(EBITDA_MARGIN!S106:S109),"")</f>
        <v>0.44551040143942344</v>
      </c>
      <c r="T223" s="13">
        <f ca="1">IFERROR(AVERAGE(EBITDA_MARGIN!T106:T109),"")</f>
        <v>-0.12346734378885404</v>
      </c>
      <c r="U223" s="13" t="str">
        <f>IFERROR(AVERAGE(EBITDA_MARGIN!U106:U109),"")</f>
        <v/>
      </c>
      <c r="V223" s="13" t="str">
        <f>IFERROR(AVERAGE(EBITDA_MARGIN!V106:V109),"")</f>
        <v/>
      </c>
      <c r="W223" s="16">
        <f>IFERROR(AVERAGE(EBITDA_MARGIN!W106:W109),"")</f>
        <v>-5.1295566730255884E-2</v>
      </c>
      <c r="X223" s="16">
        <f>IFERROR(AVERAGE(EBITDA_MARGIN!X106:X109),"")</f>
        <v>0.23223539674679478</v>
      </c>
      <c r="Y223" s="16">
        <f>IFERROR(AVERAGE(EBITDA_MARGIN!Y106:Y109),"")</f>
        <v>0.35655824621130572</v>
      </c>
      <c r="Z223" s="16">
        <f>IFERROR(AVERAGE(EBITDA_MARGIN!Z106:Z109),"")</f>
        <v>8.3597355616356339E-2</v>
      </c>
      <c r="AA223" s="16">
        <f>IFERROR(AVERAGE(EBITDA_MARGIN!AA106:AA109),"")</f>
        <v>-6.6418384879725085</v>
      </c>
      <c r="AB223" s="16">
        <f>IFERROR(AVERAGE(EBITDA_MARGIN!AB106:AB109),"")</f>
        <v>-7.6234244647930632E-2</v>
      </c>
      <c r="AC223" s="11"/>
    </row>
    <row r="224" spans="1:29" ht="14">
      <c r="A224" s="14" t="s">
        <v>135</v>
      </c>
      <c r="B224" s="13">
        <f ca="1">IFERROR(AVERAGE(EBITDA_MARGIN!B107:B110),"")</f>
        <v>0.16630760253276752</v>
      </c>
      <c r="C224" s="13">
        <f ca="1">IFERROR(AVERAGE(EBITDA_MARGIN!C107:C110),"")</f>
        <v>0.22282541391868482</v>
      </c>
      <c r="D224" s="13">
        <f ca="1">IFERROR(AVERAGE(EBITDA_MARGIN!D107:D110),"")</f>
        <v>7.188126759176279E-2</v>
      </c>
      <c r="E224" s="13">
        <f ca="1">IFERROR(AVERAGE(EBITDA_MARGIN!E107:E110),"")</f>
        <v>0.24107142933514145</v>
      </c>
      <c r="F224" s="13">
        <f ca="1">IFERROR(AVERAGE(EBITDA_MARGIN!F107:F110),"")</f>
        <v>6.2690972005041812E-2</v>
      </c>
      <c r="G224" s="13">
        <f ca="1">IFERROR(AVERAGE(EBITDA_MARGIN!G107:G110),"")</f>
        <v>-0.21967752966836418</v>
      </c>
      <c r="H224" s="13">
        <f ca="1">IFERROR(AVERAGE(EBITDA_MARGIN!H107:H110),"")</f>
        <v>0.1110307252622101</v>
      </c>
      <c r="I224" s="13">
        <f ca="1">IFERROR(AVERAGE(EBITDA_MARGIN!I107:I110),"")</f>
        <v>4.3904621789367951E-2</v>
      </c>
      <c r="J224" s="13">
        <f ca="1">IFERROR(AVERAGE(EBITDA_MARGIN!J107:J110),"")</f>
        <v>6.4078304091788787E-2</v>
      </c>
      <c r="K224" s="16">
        <f>IFERROR(AVERAGE(EBITDA_MARGIN!K107:K110),"")</f>
        <v>7.9355374013012833E-2</v>
      </c>
      <c r="L224" s="13">
        <f ca="1">IFERROR(AVERAGE(EBITDA_MARGIN!L107:L110),"")</f>
        <v>0.20413896948027627</v>
      </c>
      <c r="M224" s="13">
        <f ca="1">IFERROR(AVERAGE(EBITDA_MARGIN!M107:M110),"")</f>
        <v>6.4088961250232543E-2</v>
      </c>
      <c r="N224" s="13">
        <f ca="1">IFERROR(AVERAGE(EBITDA_MARGIN!N107:N110),"")</f>
        <v>0.11318971819175758</v>
      </c>
      <c r="O224" s="13">
        <f ca="1">IFERROR(AVERAGE(EBITDA_MARGIN!O107:O110),"")</f>
        <v>0.18955303282097724</v>
      </c>
      <c r="P224" s="13">
        <f ca="1">IFERROR(AVERAGE(EBITDA_MARGIN!P107:P110),"")</f>
        <v>0.42335772833723651</v>
      </c>
      <c r="Q224" s="13" t="str">
        <f>IFERROR(AVERAGE(EBITDA_MARGIN!Q107:Q110),"")</f>
        <v/>
      </c>
      <c r="R224" s="13">
        <f ca="1">IFERROR(AVERAGE(EBITDA_MARGIN!R107:R110),"")</f>
        <v>0.11695750942091221</v>
      </c>
      <c r="S224" s="13">
        <f ca="1">IFERROR(AVERAGE(EBITDA_MARGIN!S107:S110),"")</f>
        <v>0.46094372567534847</v>
      </c>
      <c r="T224" s="13">
        <f ca="1">IFERROR(AVERAGE(EBITDA_MARGIN!T107:T110),"")</f>
        <v>-7.3094571931619071E-2</v>
      </c>
      <c r="U224" s="13" t="str">
        <f>IFERROR(AVERAGE(EBITDA_MARGIN!U107:U110),"")</f>
        <v/>
      </c>
      <c r="V224" s="13" t="str">
        <f>IFERROR(AVERAGE(EBITDA_MARGIN!V107:V110),"")</f>
        <v/>
      </c>
      <c r="W224" s="16">
        <f>IFERROR(AVERAGE(EBITDA_MARGIN!W107:W110),"")</f>
        <v>-1.8755279723299961E-3</v>
      </c>
      <c r="X224" s="16">
        <f>IFERROR(AVERAGE(EBITDA_MARGIN!X107:X110),"")</f>
        <v>0.2725795004464388</v>
      </c>
      <c r="Y224" s="16">
        <f>IFERROR(AVERAGE(EBITDA_MARGIN!Y107:Y110),"")</f>
        <v>0.35858076654043752</v>
      </c>
      <c r="Z224" s="16">
        <f>IFERROR(AVERAGE(EBITDA_MARGIN!Z107:Z110),"")</f>
        <v>9.7871351433956491E-2</v>
      </c>
      <c r="AA224" s="16" t="str">
        <f>IFERROR(AVERAGE(EBITDA_MARGIN!AA107:AA110),"")</f>
        <v/>
      </c>
      <c r="AB224" s="16">
        <f>IFERROR(AVERAGE(EBITDA_MARGIN!AB107:AB110),"")</f>
        <v>3.978805653615388E-2</v>
      </c>
      <c r="AC224" s="11"/>
    </row>
    <row r="225" spans="1:29" ht="14">
      <c r="A225" s="14" t="s">
        <v>136</v>
      </c>
      <c r="B225" s="13">
        <f ca="1">IFERROR(AVERAGE(EBITDA_MARGIN!B108:B111),"")</f>
        <v>0.18262782699218827</v>
      </c>
      <c r="C225" s="13">
        <f ca="1">IFERROR(AVERAGE(EBITDA_MARGIN!C108:C111),"")</f>
        <v>0.25583288040373542</v>
      </c>
      <c r="D225" s="13">
        <f ca="1">IFERROR(AVERAGE(EBITDA_MARGIN!D108:D111),"")</f>
        <v>6.4190648389860244E-2</v>
      </c>
      <c r="E225" s="13">
        <f ca="1">IFERROR(AVERAGE(EBITDA_MARGIN!E108:E111),"")</f>
        <v>0.22404301774719912</v>
      </c>
      <c r="F225" s="13">
        <f ca="1">IFERROR(AVERAGE(EBITDA_MARGIN!F108:F111),"")</f>
        <v>6.2672206438151093E-2</v>
      </c>
      <c r="G225" s="13">
        <f ca="1">IFERROR(AVERAGE(EBITDA_MARGIN!G108:G111),"")</f>
        <v>-0.28112844599800707</v>
      </c>
      <c r="H225" s="13">
        <f ca="1">IFERROR(AVERAGE(EBITDA_MARGIN!H108:H111),"")</f>
        <v>0.12283560277063282</v>
      </c>
      <c r="I225" s="13">
        <f ca="1">IFERROR(AVERAGE(EBITDA_MARGIN!I108:I111),"")</f>
        <v>8.1207708575274068E-2</v>
      </c>
      <c r="J225" s="13">
        <f ca="1">IFERROR(AVERAGE(EBITDA_MARGIN!J108:J111),"")</f>
        <v>0.11420662523242342</v>
      </c>
      <c r="K225" s="16">
        <f ca="1">IFERROR(AVERAGE(EBITDA_MARGIN!K108:K111),"")</f>
        <v>8.3101850796040516E-2</v>
      </c>
      <c r="L225" s="13">
        <f ca="1">IFERROR(AVERAGE(EBITDA_MARGIN!L108:L111),"")</f>
        <v>0.19085569252665815</v>
      </c>
      <c r="M225" s="13">
        <f ca="1">IFERROR(AVERAGE(EBITDA_MARGIN!M108:M111),"")</f>
        <v>6.9700031723201633E-2</v>
      </c>
      <c r="N225" s="13">
        <f ca="1">IFERROR(AVERAGE(EBITDA_MARGIN!N108:N111),"")</f>
        <v>9.6124840341100734E-2</v>
      </c>
      <c r="O225" s="13">
        <f ca="1">IFERROR(AVERAGE(EBITDA_MARGIN!O108:O111),"")</f>
        <v>0.2309928560489356</v>
      </c>
      <c r="P225" s="13">
        <f ca="1">IFERROR(AVERAGE(EBITDA_MARGIN!P108:P111),"")</f>
        <v>0.46722677595628415</v>
      </c>
      <c r="Q225" s="13" t="str">
        <f>IFERROR(AVERAGE(EBITDA_MARGIN!Q108:Q111),"")</f>
        <v/>
      </c>
      <c r="R225" s="13">
        <f ca="1">IFERROR(AVERAGE(EBITDA_MARGIN!R108:R111),"")</f>
        <v>0.12051884557153406</v>
      </c>
      <c r="S225" s="13">
        <f ca="1">IFERROR(AVERAGE(EBITDA_MARGIN!S108:S111),"")</f>
        <v>0.46078902550236056</v>
      </c>
      <c r="T225" s="13">
        <f ca="1">IFERROR(AVERAGE(EBITDA_MARGIN!T108:T111),"")</f>
        <v>-7.6116165379697898E-2</v>
      </c>
      <c r="U225" s="13" t="str">
        <f>IFERROR(AVERAGE(EBITDA_MARGIN!U108:U111),"")</f>
        <v/>
      </c>
      <c r="V225" s="13" t="str">
        <f>IFERROR(AVERAGE(EBITDA_MARGIN!V108:V111),"")</f>
        <v/>
      </c>
      <c r="W225" s="16">
        <f>IFERROR(AVERAGE(EBITDA_MARGIN!W108:W111),"")</f>
        <v>4.7544510785595892E-2</v>
      </c>
      <c r="X225" s="16"/>
      <c r="Y225" s="16">
        <f>IFERROR(AVERAGE(EBITDA_MARGIN!Y108:Y111),"")</f>
        <v>0.35858076654043752</v>
      </c>
      <c r="Z225" s="16">
        <f>IFERROR(AVERAGE(EBITDA_MARGIN!Z108:Z111),"")</f>
        <v>9.7871351433956491E-2</v>
      </c>
      <c r="AA225" s="16" t="str">
        <f>IFERROR(AVERAGE(EBITDA_MARGIN!AA108:AA111),"")</f>
        <v/>
      </c>
      <c r="AB225" s="16">
        <f>IFERROR(AVERAGE(EBITDA_MARGIN!AB108:AB111),"")</f>
        <v>3.978805653615388E-2</v>
      </c>
      <c r="AC225" s="11"/>
    </row>
    <row r="226" spans="1:29" ht="14">
      <c r="A226" s="14" t="s">
        <v>137</v>
      </c>
      <c r="B226" s="13">
        <f ca="1">IFERROR(AVERAGE(EBITDA_MARGIN!B109:B112),"")</f>
        <v>0.17654654873272507</v>
      </c>
      <c r="C226" s="13">
        <f ca="1">IFERROR(AVERAGE(EBITDA_MARGIN!C109:C112),"")</f>
        <v>0.26378634048095961</v>
      </c>
      <c r="D226" s="13">
        <f ca="1">IFERROR(AVERAGE(EBITDA_MARGIN!D109:D112),"")</f>
        <v>6.393520310319406E-2</v>
      </c>
      <c r="E226" s="13">
        <f ca="1">IFERROR(AVERAGE(EBITDA_MARGIN!E109:E112),"")</f>
        <v>0.2705454509039813</v>
      </c>
      <c r="F226" s="13">
        <f ca="1">IFERROR(AVERAGE(EBITDA_MARGIN!F109:F112),"")</f>
        <v>5.9519688089190934E-2</v>
      </c>
      <c r="G226" s="13">
        <f ca="1">IFERROR(AVERAGE(EBITDA_MARGIN!G109:G112),"")</f>
        <v>-0.3173688240766821</v>
      </c>
      <c r="H226" s="13">
        <f ca="1">IFERROR(AVERAGE(EBITDA_MARGIN!H109:H112),"")</f>
        <v>0.11252806308809314</v>
      </c>
      <c r="I226" s="13">
        <f ca="1">IFERROR(AVERAGE(EBITDA_MARGIN!I109:I112),"")</f>
        <v>7.4704024557941534E-2</v>
      </c>
      <c r="J226" s="13">
        <f ca="1">IFERROR(AVERAGE(EBITDA_MARGIN!J109:J112),"")</f>
        <v>0.11958071549407877</v>
      </c>
      <c r="K226" s="16">
        <f ca="1">IFERROR(AVERAGE(EBITDA_MARGIN!K109:K112),"")</f>
        <v>8.5103732561829681E-2</v>
      </c>
      <c r="L226" s="13">
        <f ca="1">IFERROR(AVERAGE(EBITDA_MARGIN!L109:L112),"")</f>
        <v>0.17831758616484591</v>
      </c>
      <c r="M226" s="13">
        <f ca="1">IFERROR(AVERAGE(EBITDA_MARGIN!M109:M112),"")</f>
        <v>6.5160007828339028E-2</v>
      </c>
      <c r="N226" s="13">
        <f ca="1">IFERROR(AVERAGE(EBITDA_MARGIN!N109:N112),"")</f>
        <v>0.11526837801691411</v>
      </c>
      <c r="O226" s="13">
        <f ca="1">IFERROR(AVERAGE(EBITDA_MARGIN!O109:O112),"")</f>
        <v>0.23505250608842401</v>
      </c>
      <c r="P226" s="13">
        <f ca="1">IFERROR(AVERAGE(EBITDA_MARGIN!P109:P112),"")</f>
        <v>0.48600267944352049</v>
      </c>
      <c r="Q226" s="13" t="str">
        <f>IFERROR(AVERAGE(EBITDA_MARGIN!Q109:Q112),"")</f>
        <v/>
      </c>
      <c r="R226" s="13">
        <f ca="1">IFERROR(AVERAGE(EBITDA_MARGIN!R109:R112),"")</f>
        <v>0.11734773379678351</v>
      </c>
      <c r="S226" s="13">
        <f ca="1">IFERROR(AVERAGE(EBITDA_MARGIN!S109:S112),"")</f>
        <v>0.48231903315278535</v>
      </c>
      <c r="T226" s="13">
        <f ca="1">IFERROR(AVERAGE(EBITDA_MARGIN!T109:T112),"")</f>
        <v>-7.3063625027561405E-2</v>
      </c>
      <c r="U226" s="13" t="str">
        <f>IFERROR(AVERAGE(EBITDA_MARGIN!U109:U112),"")</f>
        <v/>
      </c>
      <c r="V226" s="13" t="str">
        <f>IFERROR(AVERAGE(EBITDA_MARGIN!V109:V112),"")</f>
        <v/>
      </c>
      <c r="W226" s="16">
        <f>IFERROR(AVERAGE(EBITDA_MARGIN!W109:W112),"")</f>
        <v>9.696454954352178E-2</v>
      </c>
      <c r="X226" s="16"/>
      <c r="Y226" s="16">
        <f>IFERROR(AVERAGE(EBITDA_MARGIN!Y109:Y112),"")</f>
        <v>0.35858076654043752</v>
      </c>
      <c r="Z226" s="16">
        <f>IFERROR(AVERAGE(EBITDA_MARGIN!Z109:Z112),"")</f>
        <v>9.7871351433956491E-2</v>
      </c>
      <c r="AA226" s="16" t="str">
        <f>IFERROR(AVERAGE(EBITDA_MARGIN!AA109:AA112),"")</f>
        <v/>
      </c>
      <c r="AB226" s="16">
        <f>IFERROR(AVERAGE(EBITDA_MARGIN!AB109:AB112),"")</f>
        <v>3.978805653615388E-2</v>
      </c>
      <c r="AC226" s="11"/>
    </row>
    <row r="227" spans="1:29" ht="14">
      <c r="A227" s="14" t="s">
        <v>138</v>
      </c>
      <c r="B227" s="13">
        <f ca="1">IFERROR(AVERAGE(EBITDA_MARGIN!B110:B113),"")</f>
        <v>0.16920618299800105</v>
      </c>
      <c r="C227" s="13">
        <f ca="1">IFERROR(AVERAGE(EBITDA_MARGIN!C110:C113),"")</f>
        <v>0.24626972512133338</v>
      </c>
      <c r="D227" s="13">
        <f ca="1">IFERROR(AVERAGE(EBITDA_MARGIN!D110:D113),"")</f>
        <v>8.9501473616630217E-2</v>
      </c>
      <c r="E227" s="13">
        <f ca="1">IFERROR(AVERAGE(EBITDA_MARGIN!E110:E113),"")</f>
        <v>0.29873798988665506</v>
      </c>
      <c r="F227" s="13">
        <f ca="1">IFERROR(AVERAGE(EBITDA_MARGIN!F110:F113),"")</f>
        <v>6.0515963957097095E-2</v>
      </c>
      <c r="G227" s="13">
        <f ca="1">IFERROR(AVERAGE(EBITDA_MARGIN!G110:G113),"")</f>
        <v>-5.9608488098637863E-2</v>
      </c>
      <c r="H227" s="13">
        <f ca="1">IFERROR(AVERAGE(EBITDA_MARGIN!H110:H113),"")</f>
        <v>0.12477381849996497</v>
      </c>
      <c r="I227" s="13">
        <f ca="1">IFERROR(AVERAGE(EBITDA_MARGIN!I110:I113),"")</f>
        <v>6.7206907258523782E-2</v>
      </c>
      <c r="J227" s="13">
        <f ca="1">IFERROR(AVERAGE(EBITDA_MARGIN!J110:J113),"")</f>
        <v>0.14661752529258784</v>
      </c>
      <c r="K227" s="16">
        <f ca="1">IFERROR(AVERAGE(EBITDA_MARGIN!K110:K113),"")</f>
        <v>8.8092408379195519E-2</v>
      </c>
      <c r="L227" s="13">
        <f ca="1">IFERROR(AVERAGE(EBITDA_MARGIN!L110:L113),"")</f>
        <v>0.19096389088819327</v>
      </c>
      <c r="M227" s="13">
        <f ca="1">IFERROR(AVERAGE(EBITDA_MARGIN!M110:M113),"")</f>
        <v>5.5218177783371562E-2</v>
      </c>
      <c r="N227" s="13">
        <f ca="1">IFERROR(AVERAGE(EBITDA_MARGIN!N110:N113),"")</f>
        <v>0.12588989269309936</v>
      </c>
      <c r="O227" s="13">
        <f ca="1">IFERROR(AVERAGE(EBITDA_MARGIN!O110:O113),"")</f>
        <v>0.24317180616740089</v>
      </c>
      <c r="P227" s="13">
        <f ca="1">IFERROR(AVERAGE(EBITDA_MARGIN!P110:P113),"")</f>
        <v>0.50477858293075684</v>
      </c>
      <c r="Q227" s="13" t="str">
        <f>IFERROR(AVERAGE(EBITDA_MARGIN!Q110:Q113),"")</f>
        <v/>
      </c>
      <c r="R227" s="13">
        <f ca="1">IFERROR(AVERAGE(EBITDA_MARGIN!R110:R113),"")</f>
        <v>0.11591305671411356</v>
      </c>
      <c r="S227" s="13">
        <f ca="1">IFERROR(AVERAGE(EBITDA_MARGIN!S110:S113),"")</f>
        <v>0.4285738718138884</v>
      </c>
      <c r="T227" s="13">
        <f ca="1">IFERROR(AVERAGE(EBITDA_MARGIN!T110:T113),"")</f>
        <v>-3.563497962434574E-3</v>
      </c>
      <c r="U227" s="13" t="str">
        <f>IFERROR(AVERAGE(EBITDA_MARGIN!U110:U113),"")</f>
        <v/>
      </c>
      <c r="V227" s="13" t="str">
        <f>IFERROR(AVERAGE(EBITDA_MARGIN!V110:V113),"")</f>
        <v/>
      </c>
      <c r="W227" s="16">
        <f>IFERROR(AVERAGE(EBITDA_MARGIN!W110:W113),"")</f>
        <v>9.696454954352178E-2</v>
      </c>
      <c r="X227" s="11"/>
      <c r="Y227" s="11"/>
      <c r="Z227" s="11"/>
      <c r="AA227" s="11"/>
      <c r="AB227" s="11"/>
      <c r="AC227" s="11"/>
    </row>
    <row r="228" spans="1:29" ht="13">
      <c r="A228" s="27" t="s">
        <v>139</v>
      </c>
      <c r="B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0.21457564575645757</v>
      </c>
      <c r="C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0.26631094915842446</v>
      </c>
      <c r="D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0.10288188741227415</v>
      </c>
      <c r="E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0.31482260552517177</v>
      </c>
      <c r="F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6.6152149944873215E-2</v>
      </c>
      <c r="G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-6.8816067422357463E-2</v>
      </c>
      <c r="H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0.12558284115635684</v>
      </c>
      <c r="I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6.577355491883588E-2</v>
      </c>
      <c r="J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0.14415685208159842</v>
      </c>
      <c r="K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8.8351333446909236E-2</v>
      </c>
      <c r="L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0.18746589833846697</v>
      </c>
      <c r="M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5.7483436482454908E-2</v>
      </c>
      <c r="N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0.13769950716643306</v>
      </c>
      <c r="O228" s="47"/>
      <c r="P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0.50368550368550369</v>
      </c>
      <c r="Q228" s="45"/>
      <c r="R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0.12246865959498554</v>
      </c>
      <c r="S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0.43310121047168409</v>
      </c>
      <c r="T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-2.9374487437560577E-3</v>
      </c>
      <c r="U228" s="45"/>
      <c r="V228" s="45"/>
      <c r="W228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9.696454954352178E-2</v>
      </c>
      <c r="X228" s="46"/>
      <c r="Y228" s="46"/>
      <c r="Z228" s="46"/>
      <c r="AA228" s="46"/>
      <c r="AB228" s="46"/>
      <c r="AC228" s="28"/>
    </row>
    <row r="229" spans="1:29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</sheetData>
  <conditionalFormatting sqref="B2:T227 U6:V114 W7:W114 X7:AB113 W117:W228 U120:V227 X120:AB226">
    <cfRule type="colorScale" priority="1">
      <colorScale>
        <cfvo type="formula" val="-50%"/>
        <cfvo type="formula" val="0"/>
        <cfvo type="formula" val="100%"/>
        <color rgb="FFE67C73"/>
        <color rgb="FFFFFFFF"/>
        <color rgb="FF57BB8A"/>
      </colorScale>
    </cfRule>
  </conditionalFormatting>
  <pageMargins left="0.7" right="0.7" top="0.75" bottom="0.75" header="0.3" footer="0.3"/>
  <pageSetup orientation="portrait" horizontalDpi="0" verticalDpi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B106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cols>
    <col min="2" max="2" width="80.33203125" customWidth="1"/>
    <col min="6" max="6" width="27" customWidth="1"/>
  </cols>
  <sheetData>
    <row r="1" spans="1:28" ht="30.75" customHeight="1">
      <c r="A1" s="6" t="s">
        <v>141</v>
      </c>
      <c r="B1" s="6" t="s">
        <v>142</v>
      </c>
      <c r="C1" s="6" t="s">
        <v>143</v>
      </c>
      <c r="D1" s="6" t="s">
        <v>144</v>
      </c>
      <c r="E1" s="6"/>
      <c r="F1" s="17" t="s">
        <v>145</v>
      </c>
      <c r="G1" s="6" t="s">
        <v>146</v>
      </c>
      <c r="H1" s="6"/>
      <c r="I1" s="6" t="s">
        <v>147</v>
      </c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4">
      <c r="A2" s="18" t="s">
        <v>148</v>
      </c>
      <c r="B2" s="18" t="s">
        <v>149</v>
      </c>
      <c r="C2" s="19" t="str">
        <f t="shared" ref="C2:C65" si="0">RIGHT(A2,4)</f>
        <v>1999</v>
      </c>
      <c r="D2" s="19">
        <f t="shared" ref="D2:D65" si="1">COUNTIF(C$2:C$64,C2)</f>
        <v>2</v>
      </c>
      <c r="E2" s="11" t="str">
        <f ca="1">IFERROR(__xludf.DUMMYFUNCTION("unique(C2:C64)"),"1999")</f>
        <v>1999</v>
      </c>
      <c r="F2" s="18" t="s">
        <v>150</v>
      </c>
      <c r="G2" s="20" t="s">
        <v>151</v>
      </c>
      <c r="H2" s="11"/>
      <c r="I2" s="11" t="s">
        <v>152</v>
      </c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</row>
    <row r="3" spans="1:28" ht="14">
      <c r="A3" s="18" t="s">
        <v>153</v>
      </c>
      <c r="B3" s="18" t="s">
        <v>154</v>
      </c>
      <c r="C3" s="19" t="str">
        <f t="shared" si="0"/>
        <v>1999</v>
      </c>
      <c r="D3" s="19">
        <f t="shared" si="1"/>
        <v>2</v>
      </c>
      <c r="E3" s="11" t="str">
        <f ca="1">IFERROR(__xludf.DUMMYFUNCTION("""COMPUTED_VALUE"""),"2000")</f>
        <v>2000</v>
      </c>
      <c r="F3" s="18" t="s">
        <v>155</v>
      </c>
      <c r="G3" s="20" t="s">
        <v>156</v>
      </c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  <c r="Z3" s="11"/>
      <c r="AA3" s="11"/>
      <c r="AB3" s="11"/>
    </row>
    <row r="4" spans="1:28" ht="14">
      <c r="A4" s="18" t="s">
        <v>157</v>
      </c>
      <c r="B4" s="21" t="s">
        <v>158</v>
      </c>
      <c r="C4" s="19" t="str">
        <f t="shared" si="0"/>
        <v>2000</v>
      </c>
      <c r="D4" s="19">
        <f t="shared" si="1"/>
        <v>5</v>
      </c>
      <c r="E4" s="11" t="str">
        <f ca="1">IFERROR(__xludf.DUMMYFUNCTION("""COMPUTED_VALUE"""),"2001")</f>
        <v>2001</v>
      </c>
      <c r="F4" s="18" t="s">
        <v>159</v>
      </c>
      <c r="G4" s="20" t="s">
        <v>160</v>
      </c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  <c r="Z4" s="11"/>
      <c r="AA4" s="11"/>
      <c r="AB4" s="11"/>
    </row>
    <row r="5" spans="1:28" ht="14">
      <c r="A5" s="18" t="s">
        <v>157</v>
      </c>
      <c r="B5" s="18" t="s">
        <v>161</v>
      </c>
      <c r="C5" s="19" t="str">
        <f t="shared" si="0"/>
        <v>2000</v>
      </c>
      <c r="D5" s="19">
        <f t="shared" si="1"/>
        <v>5</v>
      </c>
      <c r="E5" s="11" t="str">
        <f ca="1">IFERROR(__xludf.DUMMYFUNCTION("""COMPUTED_VALUE"""),"2002")</f>
        <v>2002</v>
      </c>
      <c r="F5" s="18" t="s">
        <v>162</v>
      </c>
      <c r="G5" s="20" t="s">
        <v>163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</row>
    <row r="6" spans="1:28" ht="14">
      <c r="A6" s="18" t="s">
        <v>157</v>
      </c>
      <c r="B6" s="18" t="s">
        <v>164</v>
      </c>
      <c r="C6" s="19" t="str">
        <f t="shared" si="0"/>
        <v>2000</v>
      </c>
      <c r="D6" s="19">
        <f t="shared" si="1"/>
        <v>5</v>
      </c>
      <c r="E6" s="11" t="str">
        <f ca="1">IFERROR(__xludf.DUMMYFUNCTION("""COMPUTED_VALUE"""),"2003")</f>
        <v>2003</v>
      </c>
      <c r="F6" s="18" t="s">
        <v>165</v>
      </c>
      <c r="G6" s="20" t="s">
        <v>166</v>
      </c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</row>
    <row r="7" spans="1:28" ht="14">
      <c r="A7" s="18" t="s">
        <v>167</v>
      </c>
      <c r="B7" s="18" t="s">
        <v>168</v>
      </c>
      <c r="C7" s="19" t="str">
        <f t="shared" si="0"/>
        <v>2000</v>
      </c>
      <c r="D7" s="19">
        <f t="shared" si="1"/>
        <v>5</v>
      </c>
      <c r="E7" s="11" t="str">
        <f ca="1">IFERROR(__xludf.DUMMYFUNCTION("""COMPUTED_VALUE"""),"2004")</f>
        <v>2004</v>
      </c>
      <c r="F7" s="18" t="s">
        <v>169</v>
      </c>
      <c r="G7" s="20" t="s">
        <v>170</v>
      </c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</row>
    <row r="8" spans="1:28" ht="14">
      <c r="A8" s="18" t="s">
        <v>171</v>
      </c>
      <c r="B8" s="21" t="s">
        <v>172</v>
      </c>
      <c r="C8" s="19" t="str">
        <f t="shared" si="0"/>
        <v>2000</v>
      </c>
      <c r="D8" s="19">
        <f t="shared" si="1"/>
        <v>5</v>
      </c>
      <c r="E8" s="11" t="str">
        <f ca="1">IFERROR(__xludf.DUMMYFUNCTION("""COMPUTED_VALUE"""),"2005")</f>
        <v>2005</v>
      </c>
      <c r="F8" s="18" t="s">
        <v>173</v>
      </c>
      <c r="G8" s="20" t="s">
        <v>174</v>
      </c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</row>
    <row r="9" spans="1:28" ht="14">
      <c r="A9" s="18" t="s">
        <v>175</v>
      </c>
      <c r="B9" s="18" t="s">
        <v>176</v>
      </c>
      <c r="C9" s="19" t="str">
        <f t="shared" si="0"/>
        <v>2001</v>
      </c>
      <c r="D9" s="19">
        <f t="shared" si="1"/>
        <v>2</v>
      </c>
      <c r="E9" s="11" t="str">
        <f ca="1">IFERROR(__xludf.DUMMYFUNCTION("""COMPUTED_VALUE"""),"2006")</f>
        <v>2006</v>
      </c>
      <c r="F9" s="22"/>
      <c r="G9" s="22"/>
      <c r="H9" s="22"/>
      <c r="I9" s="22" t="s">
        <v>177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</row>
    <row r="10" spans="1:28" ht="14">
      <c r="A10" s="18" t="s">
        <v>178</v>
      </c>
      <c r="B10" s="23" t="s">
        <v>179</v>
      </c>
      <c r="C10" s="19" t="str">
        <f t="shared" si="0"/>
        <v>2001</v>
      </c>
      <c r="D10" s="19">
        <f t="shared" si="1"/>
        <v>2</v>
      </c>
      <c r="E10" s="11" t="str">
        <f ca="1">IFERROR(__xludf.DUMMYFUNCTION("""COMPUTED_VALUE"""),"2007")</f>
        <v>2007</v>
      </c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</row>
    <row r="11" spans="1:28" ht="14">
      <c r="A11" s="18" t="s">
        <v>180</v>
      </c>
      <c r="B11" s="18" t="s">
        <v>181</v>
      </c>
      <c r="C11" s="19" t="str">
        <f t="shared" si="0"/>
        <v>2002</v>
      </c>
      <c r="D11" s="19">
        <f t="shared" si="1"/>
        <v>1</v>
      </c>
      <c r="E11" s="11" t="str">
        <f ca="1">IFERROR(__xludf.DUMMYFUNCTION("""COMPUTED_VALUE"""),"2008")</f>
        <v>2008</v>
      </c>
      <c r="F11" s="11"/>
      <c r="G11" s="11"/>
      <c r="H11" s="11"/>
      <c r="I11" s="11" t="s">
        <v>182</v>
      </c>
      <c r="J11" s="11"/>
      <c r="K11" s="11" t="s">
        <v>183</v>
      </c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</row>
    <row r="12" spans="1:28" ht="14">
      <c r="A12" s="18" t="s">
        <v>184</v>
      </c>
      <c r="B12" s="18" t="s">
        <v>185</v>
      </c>
      <c r="C12" s="19" t="str">
        <f t="shared" si="0"/>
        <v>2003</v>
      </c>
      <c r="D12" s="19">
        <f t="shared" si="1"/>
        <v>2</v>
      </c>
      <c r="E12" s="11" t="str">
        <f ca="1">IFERROR(__xludf.DUMMYFUNCTION("""COMPUTED_VALUE"""),"2010")</f>
        <v>2010</v>
      </c>
      <c r="F12" s="11"/>
      <c r="G12" s="11"/>
      <c r="H12" s="11"/>
      <c r="I12" s="11" t="s">
        <v>186</v>
      </c>
      <c r="J12" s="11"/>
      <c r="K12" s="11" t="s">
        <v>187</v>
      </c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</row>
    <row r="13" spans="1:28" ht="14">
      <c r="A13" s="18" t="s">
        <v>184</v>
      </c>
      <c r="B13" s="18" t="s">
        <v>188</v>
      </c>
      <c r="C13" s="19" t="str">
        <f t="shared" si="0"/>
        <v>2003</v>
      </c>
      <c r="D13" s="19">
        <f t="shared" si="1"/>
        <v>2</v>
      </c>
      <c r="E13" s="11" t="str">
        <f ca="1">IFERROR(__xludf.DUMMYFUNCTION("""COMPUTED_VALUE"""),"2011")</f>
        <v>2011</v>
      </c>
      <c r="F13" s="11"/>
      <c r="G13" s="11"/>
      <c r="H13" s="11"/>
      <c r="I13" s="11" t="s">
        <v>189</v>
      </c>
      <c r="J13" s="11"/>
      <c r="K13" s="11" t="s">
        <v>190</v>
      </c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</row>
    <row r="14" spans="1:28" ht="14">
      <c r="A14" s="18" t="s">
        <v>191</v>
      </c>
      <c r="B14" s="18" t="s">
        <v>192</v>
      </c>
      <c r="C14" s="19" t="str">
        <f t="shared" si="0"/>
        <v>2004</v>
      </c>
      <c r="D14" s="19">
        <f t="shared" si="1"/>
        <v>2</v>
      </c>
      <c r="E14" s="11" t="str">
        <f ca="1">IFERROR(__xludf.DUMMYFUNCTION("""COMPUTED_VALUE"""),"2012")</f>
        <v>2012</v>
      </c>
      <c r="F14" s="11"/>
      <c r="G14" s="11"/>
      <c r="H14" s="11"/>
      <c r="I14" s="11" t="s">
        <v>193</v>
      </c>
      <c r="J14" s="11"/>
      <c r="K14" s="11" t="s">
        <v>194</v>
      </c>
      <c r="L14" s="11"/>
      <c r="M14" s="11" t="s">
        <v>195</v>
      </c>
      <c r="N14" s="85" t="s">
        <v>196</v>
      </c>
      <c r="O14" s="86"/>
      <c r="P14" s="11" t="s">
        <v>197</v>
      </c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</row>
    <row r="15" spans="1:28" ht="14">
      <c r="A15" s="18" t="s">
        <v>191</v>
      </c>
      <c r="B15" s="18" t="s">
        <v>198</v>
      </c>
      <c r="C15" s="19" t="str">
        <f t="shared" si="0"/>
        <v>2004</v>
      </c>
      <c r="D15" s="19">
        <f t="shared" si="1"/>
        <v>2</v>
      </c>
      <c r="E15" s="11" t="str">
        <f ca="1">IFERROR(__xludf.DUMMYFUNCTION("""COMPUTED_VALUE"""),"2013")</f>
        <v>2013</v>
      </c>
      <c r="F15" s="11"/>
      <c r="G15" s="11"/>
      <c r="H15" s="11"/>
      <c r="I15" s="11"/>
      <c r="J15" s="11"/>
      <c r="K15" s="11"/>
      <c r="L15" s="11"/>
      <c r="M15" s="11"/>
      <c r="N15" s="24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</row>
    <row r="16" spans="1:28" ht="14">
      <c r="A16" s="18" t="s">
        <v>199</v>
      </c>
      <c r="B16" s="21" t="s">
        <v>200</v>
      </c>
      <c r="C16" s="19" t="str">
        <f t="shared" si="0"/>
        <v>2005</v>
      </c>
      <c r="D16" s="19">
        <f t="shared" si="1"/>
        <v>2</v>
      </c>
      <c r="E16" s="11" t="str">
        <f ca="1">IFERROR(__xludf.DUMMYFUNCTION("""COMPUTED_VALUE"""),"2014")</f>
        <v>2014</v>
      </c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</row>
    <row r="17" spans="1:28" ht="14">
      <c r="A17" s="18" t="s">
        <v>201</v>
      </c>
      <c r="B17" s="18" t="s">
        <v>202</v>
      </c>
      <c r="C17" s="19" t="str">
        <f t="shared" si="0"/>
        <v>2005</v>
      </c>
      <c r="D17" s="19">
        <f t="shared" si="1"/>
        <v>2</v>
      </c>
      <c r="E17" s="11" t="str">
        <f ca="1">IFERROR(__xludf.DUMMYFUNCTION("""COMPUTED_VALUE"""),"2015")</f>
        <v>2015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</row>
    <row r="18" spans="1:28" ht="14">
      <c r="A18" s="18" t="s">
        <v>203</v>
      </c>
      <c r="B18" s="18" t="s">
        <v>204</v>
      </c>
      <c r="C18" s="19" t="str">
        <f t="shared" si="0"/>
        <v>2006</v>
      </c>
      <c r="D18" s="19">
        <f t="shared" si="1"/>
        <v>1</v>
      </c>
      <c r="E18" s="11" t="str">
        <f ca="1">IFERROR(__xludf.DUMMYFUNCTION("""COMPUTED_VALUE"""),"2016")</f>
        <v>2016</v>
      </c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</row>
    <row r="19" spans="1:28" ht="14">
      <c r="A19" s="18" t="s">
        <v>205</v>
      </c>
      <c r="B19" s="18" t="s">
        <v>206</v>
      </c>
      <c r="C19" s="19" t="str">
        <f t="shared" si="0"/>
        <v>2007</v>
      </c>
      <c r="D19" s="19">
        <f t="shared" si="1"/>
        <v>2</v>
      </c>
      <c r="E19" s="11" t="str">
        <f ca="1">IFERROR(__xludf.DUMMYFUNCTION("""COMPUTED_VALUE"""),"2017")</f>
        <v>2017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</row>
    <row r="20" spans="1:28" ht="14">
      <c r="A20" s="18" t="s">
        <v>207</v>
      </c>
      <c r="B20" s="18" t="s">
        <v>208</v>
      </c>
      <c r="C20" s="19" t="str">
        <f t="shared" si="0"/>
        <v>2007</v>
      </c>
      <c r="D20" s="19">
        <f t="shared" si="1"/>
        <v>2</v>
      </c>
      <c r="E20" s="11" t="str">
        <f ca="1">IFERROR(__xludf.DUMMYFUNCTION("""COMPUTED_VALUE"""),"2018")</f>
        <v>2018</v>
      </c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</row>
    <row r="21" spans="1:28" ht="14">
      <c r="A21" s="18" t="s">
        <v>209</v>
      </c>
      <c r="B21" s="18" t="s">
        <v>210</v>
      </c>
      <c r="C21" s="19" t="str">
        <f t="shared" si="0"/>
        <v>2008</v>
      </c>
      <c r="D21" s="19">
        <f t="shared" si="1"/>
        <v>1</v>
      </c>
      <c r="E21" s="11" t="str">
        <f ca="1">IFERROR(__xludf.DUMMYFUNCTION("""COMPUTED_VALUE"""),"2019")</f>
        <v>2019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</row>
    <row r="22" spans="1:28" ht="14">
      <c r="A22" s="18" t="s">
        <v>211</v>
      </c>
      <c r="B22" s="18" t="s">
        <v>212</v>
      </c>
      <c r="C22" s="19" t="str">
        <f t="shared" si="0"/>
        <v>2010</v>
      </c>
      <c r="D22" s="19">
        <f t="shared" si="1"/>
        <v>2</v>
      </c>
      <c r="E22" s="11" t="str">
        <f ca="1">IFERROR(__xludf.DUMMYFUNCTION("""COMPUTED_VALUE"""),"2020")</f>
        <v>2020</v>
      </c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</row>
    <row r="23" spans="1:28" ht="14">
      <c r="A23" s="18" t="s">
        <v>213</v>
      </c>
      <c r="B23" s="18" t="s">
        <v>214</v>
      </c>
      <c r="C23" s="19" t="str">
        <f t="shared" si="0"/>
        <v>2010</v>
      </c>
      <c r="D23" s="19">
        <f t="shared" si="1"/>
        <v>2</v>
      </c>
      <c r="E23" s="11" t="str">
        <f ca="1">IFERROR(__xludf.DUMMYFUNCTION("""COMPUTED_VALUE"""),"2021")</f>
        <v>2021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</row>
    <row r="24" spans="1:28" ht="14">
      <c r="A24" s="18" t="s">
        <v>215</v>
      </c>
      <c r="B24" s="18" t="s">
        <v>216</v>
      </c>
      <c r="C24" s="19" t="str">
        <f t="shared" si="0"/>
        <v>2011</v>
      </c>
      <c r="D24" s="19">
        <f t="shared" si="1"/>
        <v>3</v>
      </c>
      <c r="E24" s="11" t="str">
        <f ca="1">IFERROR(__xludf.DUMMYFUNCTION("""COMPUTED_VALUE"""),"2023")</f>
        <v>2023</v>
      </c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</row>
    <row r="25" spans="1:28" ht="14">
      <c r="A25" s="18" t="s">
        <v>217</v>
      </c>
      <c r="B25" s="18" t="s">
        <v>218</v>
      </c>
      <c r="C25" s="19" t="str">
        <f t="shared" si="0"/>
        <v>2011</v>
      </c>
      <c r="D25" s="19">
        <f t="shared" si="1"/>
        <v>3</v>
      </c>
      <c r="E25" s="11" t="str">
        <f ca="1">IFERROR(__xludf.DUMMYFUNCTION("""COMPUTED_VALUE"""),"2024")</f>
        <v>2024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</row>
    <row r="26" spans="1:28" ht="14">
      <c r="A26" s="18" t="s">
        <v>219</v>
      </c>
      <c r="B26" s="18" t="s">
        <v>220</v>
      </c>
      <c r="C26" s="19" t="str">
        <f t="shared" si="0"/>
        <v>2011</v>
      </c>
      <c r="D26" s="19">
        <f t="shared" si="1"/>
        <v>3</v>
      </c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</row>
    <row r="27" spans="1:28" ht="14">
      <c r="A27" s="18" t="s">
        <v>221</v>
      </c>
      <c r="B27" s="18" t="s">
        <v>222</v>
      </c>
      <c r="C27" s="19" t="str">
        <f t="shared" si="0"/>
        <v>2012</v>
      </c>
      <c r="D27" s="19">
        <f t="shared" si="1"/>
        <v>3</v>
      </c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</row>
    <row r="28" spans="1:28" ht="14">
      <c r="A28" s="18" t="s">
        <v>223</v>
      </c>
      <c r="B28" s="18" t="s">
        <v>224</v>
      </c>
      <c r="C28" s="19" t="str">
        <f t="shared" si="0"/>
        <v>2012</v>
      </c>
      <c r="D28" s="19">
        <f t="shared" si="1"/>
        <v>3</v>
      </c>
      <c r="E28" s="11" t="s">
        <v>225</v>
      </c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</row>
    <row r="29" spans="1:28" ht="14">
      <c r="A29" s="18" t="s">
        <v>226</v>
      </c>
      <c r="B29" s="18" t="s">
        <v>227</v>
      </c>
      <c r="C29" s="19" t="str">
        <f t="shared" si="0"/>
        <v>2012</v>
      </c>
      <c r="D29" s="19">
        <f t="shared" si="1"/>
        <v>3</v>
      </c>
      <c r="E29" s="11">
        <v>2002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</row>
    <row r="30" spans="1:28" ht="14">
      <c r="A30" s="18" t="s">
        <v>228</v>
      </c>
      <c r="B30" s="21" t="s">
        <v>229</v>
      </c>
      <c r="C30" s="19" t="str">
        <f t="shared" si="0"/>
        <v>2013</v>
      </c>
      <c r="D30" s="19">
        <f t="shared" si="1"/>
        <v>1</v>
      </c>
      <c r="E30" s="11">
        <v>2022</v>
      </c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</row>
    <row r="31" spans="1:28" ht="14">
      <c r="A31" s="18" t="s">
        <v>230</v>
      </c>
      <c r="B31" s="18" t="s">
        <v>231</v>
      </c>
      <c r="C31" s="19" t="str">
        <f t="shared" si="0"/>
        <v>2014</v>
      </c>
      <c r="D31" s="19">
        <f t="shared" si="1"/>
        <v>5</v>
      </c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</row>
    <row r="32" spans="1:28" ht="14">
      <c r="A32" s="18" t="s">
        <v>230</v>
      </c>
      <c r="B32" s="18" t="s">
        <v>232</v>
      </c>
      <c r="C32" s="19" t="str">
        <f t="shared" si="0"/>
        <v>2014</v>
      </c>
      <c r="D32" s="19">
        <f t="shared" si="1"/>
        <v>5</v>
      </c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</row>
    <row r="33" spans="1:28" ht="14">
      <c r="A33" s="18" t="s">
        <v>230</v>
      </c>
      <c r="B33" s="21" t="s">
        <v>233</v>
      </c>
      <c r="C33" s="19" t="str">
        <f t="shared" si="0"/>
        <v>2014</v>
      </c>
      <c r="D33" s="19">
        <f t="shared" si="1"/>
        <v>5</v>
      </c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</row>
    <row r="34" spans="1:28" ht="14">
      <c r="A34" s="18" t="s">
        <v>234</v>
      </c>
      <c r="B34" s="18" t="s">
        <v>235</v>
      </c>
      <c r="C34" s="19" t="str">
        <f t="shared" si="0"/>
        <v>2014</v>
      </c>
      <c r="D34" s="19">
        <f t="shared" si="1"/>
        <v>5</v>
      </c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</row>
    <row r="35" spans="1:28" ht="14">
      <c r="A35" s="18" t="s">
        <v>236</v>
      </c>
      <c r="B35" s="18" t="s">
        <v>237</v>
      </c>
      <c r="C35" s="19" t="str">
        <f t="shared" si="0"/>
        <v>2014</v>
      </c>
      <c r="D35" s="19">
        <f t="shared" si="1"/>
        <v>5</v>
      </c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</row>
    <row r="36" spans="1:28" ht="14">
      <c r="A36" s="18" t="s">
        <v>238</v>
      </c>
      <c r="B36" s="18" t="s">
        <v>239</v>
      </c>
      <c r="C36" s="19" t="str">
        <f t="shared" si="0"/>
        <v>2015</v>
      </c>
      <c r="D36" s="19">
        <f t="shared" si="1"/>
        <v>5</v>
      </c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</row>
    <row r="37" spans="1:28" ht="14">
      <c r="A37" s="18" t="s">
        <v>240</v>
      </c>
      <c r="B37" s="18" t="s">
        <v>241</v>
      </c>
      <c r="C37" s="19" t="str">
        <f t="shared" si="0"/>
        <v>2015</v>
      </c>
      <c r="D37" s="19">
        <f t="shared" si="1"/>
        <v>5</v>
      </c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</row>
    <row r="38" spans="1:28" ht="14">
      <c r="A38" s="18" t="s">
        <v>242</v>
      </c>
      <c r="B38" s="18" t="s">
        <v>243</v>
      </c>
      <c r="C38" s="19" t="str">
        <f t="shared" si="0"/>
        <v>2015</v>
      </c>
      <c r="D38" s="19">
        <f t="shared" si="1"/>
        <v>5</v>
      </c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</row>
    <row r="39" spans="1:28" ht="14">
      <c r="A39" s="18" t="s">
        <v>244</v>
      </c>
      <c r="B39" s="18" t="s">
        <v>245</v>
      </c>
      <c r="C39" s="19" t="str">
        <f t="shared" si="0"/>
        <v>2015</v>
      </c>
      <c r="D39" s="19">
        <f t="shared" si="1"/>
        <v>5</v>
      </c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</row>
    <row r="40" spans="1:28" ht="14">
      <c r="A40" s="18" t="s">
        <v>246</v>
      </c>
      <c r="B40" s="18" t="s">
        <v>247</v>
      </c>
      <c r="C40" s="19" t="str">
        <f t="shared" si="0"/>
        <v>2015</v>
      </c>
      <c r="D40" s="19">
        <f t="shared" si="1"/>
        <v>5</v>
      </c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</row>
    <row r="41" spans="1:28" ht="14">
      <c r="A41" s="18" t="s">
        <v>248</v>
      </c>
      <c r="B41" s="18" t="s">
        <v>249</v>
      </c>
      <c r="C41" s="19" t="str">
        <f t="shared" si="0"/>
        <v>2016</v>
      </c>
      <c r="D41" s="19">
        <f t="shared" si="1"/>
        <v>5</v>
      </c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</row>
    <row r="42" spans="1:28" ht="14">
      <c r="A42" s="18" t="s">
        <v>250</v>
      </c>
      <c r="B42" s="21" t="s">
        <v>251</v>
      </c>
      <c r="C42" s="19" t="str">
        <f t="shared" si="0"/>
        <v>2016</v>
      </c>
      <c r="D42" s="19">
        <f t="shared" si="1"/>
        <v>5</v>
      </c>
      <c r="E42" s="11"/>
      <c r="F42" s="11"/>
      <c r="G42" s="11"/>
      <c r="H42" s="11"/>
      <c r="I42" s="11"/>
      <c r="J42" s="11"/>
      <c r="K42" s="11"/>
      <c r="L42" s="11"/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</row>
    <row r="43" spans="1:28" ht="14">
      <c r="A43" s="18" t="s">
        <v>252</v>
      </c>
      <c r="B43" s="18" t="s">
        <v>253</v>
      </c>
      <c r="C43" s="19" t="str">
        <f t="shared" si="0"/>
        <v>2016</v>
      </c>
      <c r="D43" s="19">
        <f t="shared" si="1"/>
        <v>5</v>
      </c>
      <c r="E43" s="11"/>
      <c r="F43" s="11"/>
      <c r="G43" s="11"/>
      <c r="H43" s="11"/>
      <c r="I43" s="11"/>
      <c r="J43" s="11"/>
      <c r="K43" s="11"/>
      <c r="L43" s="11"/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</row>
    <row r="44" spans="1:28" ht="14">
      <c r="A44" s="18" t="s">
        <v>254</v>
      </c>
      <c r="B44" s="18" t="s">
        <v>255</v>
      </c>
      <c r="C44" s="19" t="str">
        <f t="shared" si="0"/>
        <v>2016</v>
      </c>
      <c r="D44" s="19">
        <f t="shared" si="1"/>
        <v>5</v>
      </c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</row>
    <row r="45" spans="1:28" ht="14">
      <c r="A45" s="18" t="s">
        <v>256</v>
      </c>
      <c r="B45" s="18" t="s">
        <v>257</v>
      </c>
      <c r="C45" s="19" t="str">
        <f t="shared" si="0"/>
        <v>2016</v>
      </c>
      <c r="D45" s="19">
        <f t="shared" si="1"/>
        <v>5</v>
      </c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</row>
    <row r="46" spans="1:28" ht="14">
      <c r="A46" s="18" t="s">
        <v>258</v>
      </c>
      <c r="B46" s="18" t="s">
        <v>259</v>
      </c>
      <c r="C46" s="19" t="str">
        <f t="shared" si="0"/>
        <v>2017</v>
      </c>
      <c r="D46" s="19">
        <f t="shared" si="1"/>
        <v>4</v>
      </c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</row>
    <row r="47" spans="1:28" ht="14">
      <c r="A47" s="18" t="s">
        <v>258</v>
      </c>
      <c r="B47" s="21" t="s">
        <v>260</v>
      </c>
      <c r="C47" s="19" t="str">
        <f t="shared" si="0"/>
        <v>2017</v>
      </c>
      <c r="D47" s="19">
        <f t="shared" si="1"/>
        <v>4</v>
      </c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</row>
    <row r="48" spans="1:28" ht="14">
      <c r="A48" s="18" t="s">
        <v>261</v>
      </c>
      <c r="B48" s="18" t="s">
        <v>262</v>
      </c>
      <c r="C48" s="19" t="str">
        <f t="shared" si="0"/>
        <v>2017</v>
      </c>
      <c r="D48" s="19">
        <f t="shared" si="1"/>
        <v>4</v>
      </c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</row>
    <row r="49" spans="1:28" ht="14">
      <c r="A49" s="18" t="s">
        <v>263</v>
      </c>
      <c r="B49" s="18" t="s">
        <v>264</v>
      </c>
      <c r="C49" s="19" t="str">
        <f t="shared" si="0"/>
        <v>2017</v>
      </c>
      <c r="D49" s="19">
        <f t="shared" si="1"/>
        <v>4</v>
      </c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</row>
    <row r="50" spans="1:28" ht="14">
      <c r="A50" s="18" t="s">
        <v>265</v>
      </c>
      <c r="B50" s="18" t="s">
        <v>266</v>
      </c>
      <c r="C50" s="19" t="str">
        <f t="shared" si="0"/>
        <v>2018</v>
      </c>
      <c r="D50" s="19">
        <f t="shared" si="1"/>
        <v>2</v>
      </c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</row>
    <row r="51" spans="1:28" ht="14">
      <c r="A51" s="18" t="s">
        <v>267</v>
      </c>
      <c r="B51" s="18" t="s">
        <v>268</v>
      </c>
      <c r="C51" s="19" t="str">
        <f t="shared" si="0"/>
        <v>2018</v>
      </c>
      <c r="D51" s="19">
        <f t="shared" si="1"/>
        <v>2</v>
      </c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</row>
    <row r="52" spans="1:28" ht="14">
      <c r="A52" s="18" t="s">
        <v>269</v>
      </c>
      <c r="B52" s="18" t="s">
        <v>270</v>
      </c>
      <c r="C52" s="19" t="str">
        <f t="shared" si="0"/>
        <v>2019</v>
      </c>
      <c r="D52" s="19">
        <f t="shared" si="1"/>
        <v>5</v>
      </c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</row>
    <row r="53" spans="1:28" ht="14">
      <c r="A53" s="18" t="s">
        <v>271</v>
      </c>
      <c r="B53" s="18" t="s">
        <v>272</v>
      </c>
      <c r="C53" s="19" t="str">
        <f t="shared" si="0"/>
        <v>2019</v>
      </c>
      <c r="D53" s="19">
        <f t="shared" si="1"/>
        <v>5</v>
      </c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</row>
    <row r="54" spans="1:28" ht="14">
      <c r="A54" s="18" t="s">
        <v>273</v>
      </c>
      <c r="B54" s="18" t="s">
        <v>274</v>
      </c>
      <c r="C54" s="19" t="str">
        <f t="shared" si="0"/>
        <v>2019</v>
      </c>
      <c r="D54" s="19">
        <f t="shared" si="1"/>
        <v>5</v>
      </c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</row>
    <row r="55" spans="1:28" ht="14">
      <c r="A55" s="18" t="s">
        <v>275</v>
      </c>
      <c r="B55" s="18" t="s">
        <v>276</v>
      </c>
      <c r="C55" s="19" t="str">
        <f t="shared" si="0"/>
        <v>2019</v>
      </c>
      <c r="D55" s="19">
        <f t="shared" si="1"/>
        <v>5</v>
      </c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</row>
    <row r="56" spans="1:28" ht="14">
      <c r="A56" s="18" t="s">
        <v>277</v>
      </c>
      <c r="B56" s="21" t="s">
        <v>278</v>
      </c>
      <c r="C56" s="19" t="str">
        <f t="shared" si="0"/>
        <v>2019</v>
      </c>
      <c r="D56" s="19">
        <f t="shared" si="1"/>
        <v>5</v>
      </c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</row>
    <row r="57" spans="1:28" ht="14">
      <c r="A57" s="18" t="s">
        <v>279</v>
      </c>
      <c r="B57" s="18" t="s">
        <v>280</v>
      </c>
      <c r="C57" s="19" t="str">
        <f t="shared" si="0"/>
        <v>2020</v>
      </c>
      <c r="D57" s="19">
        <f t="shared" si="1"/>
        <v>2</v>
      </c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</row>
    <row r="58" spans="1:28" ht="14">
      <c r="A58" s="18" t="s">
        <v>281</v>
      </c>
      <c r="B58" s="18" t="s">
        <v>282</v>
      </c>
      <c r="C58" s="19" t="str">
        <f t="shared" si="0"/>
        <v>2020</v>
      </c>
      <c r="D58" s="19">
        <f t="shared" si="1"/>
        <v>2</v>
      </c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</row>
    <row r="59" spans="1:28" ht="14">
      <c r="A59" s="18" t="s">
        <v>283</v>
      </c>
      <c r="B59" s="18" t="s">
        <v>284</v>
      </c>
      <c r="C59" s="19" t="str">
        <f t="shared" si="0"/>
        <v>2021</v>
      </c>
      <c r="D59" s="19">
        <f t="shared" si="1"/>
        <v>2</v>
      </c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</row>
    <row r="60" spans="1:28" ht="14">
      <c r="A60" s="18" t="s">
        <v>285</v>
      </c>
      <c r="B60" s="18" t="s">
        <v>286</v>
      </c>
      <c r="C60" s="19" t="str">
        <f t="shared" si="0"/>
        <v>2021</v>
      </c>
      <c r="D60" s="19">
        <f t="shared" si="1"/>
        <v>2</v>
      </c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</row>
    <row r="61" spans="1:28" ht="14">
      <c r="A61" s="18" t="s">
        <v>287</v>
      </c>
      <c r="B61" s="18" t="s">
        <v>288</v>
      </c>
      <c r="C61" s="19" t="str">
        <f t="shared" si="0"/>
        <v>2023</v>
      </c>
      <c r="D61" s="19">
        <f t="shared" si="1"/>
        <v>1</v>
      </c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</row>
    <row r="62" spans="1:28" ht="14">
      <c r="A62" s="18" t="s">
        <v>289</v>
      </c>
      <c r="B62" s="18" t="s">
        <v>290</v>
      </c>
      <c r="C62" s="19" t="str">
        <f t="shared" si="0"/>
        <v>2024</v>
      </c>
      <c r="D62" s="19">
        <f t="shared" si="1"/>
        <v>3</v>
      </c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</row>
    <row r="63" spans="1:28" ht="14">
      <c r="A63" s="18" t="s">
        <v>291</v>
      </c>
      <c r="B63" s="18" t="s">
        <v>292</v>
      </c>
      <c r="C63" s="19" t="str">
        <f t="shared" si="0"/>
        <v>2024</v>
      </c>
      <c r="D63" s="19">
        <f t="shared" si="1"/>
        <v>3</v>
      </c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</row>
    <row r="64" spans="1:28" ht="14">
      <c r="A64" s="18" t="s">
        <v>293</v>
      </c>
      <c r="B64" s="18" t="s">
        <v>294</v>
      </c>
      <c r="C64" s="19" t="str">
        <f t="shared" si="0"/>
        <v>2024</v>
      </c>
      <c r="D64" s="19">
        <f t="shared" si="1"/>
        <v>3</v>
      </c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</row>
    <row r="65" spans="1:28" ht="14">
      <c r="A65" s="18" t="s">
        <v>295</v>
      </c>
      <c r="B65" s="18" t="s">
        <v>296</v>
      </c>
      <c r="C65" s="19" t="str">
        <f t="shared" si="0"/>
        <v>2024</v>
      </c>
      <c r="D65" s="19">
        <f t="shared" si="1"/>
        <v>3</v>
      </c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</row>
    <row r="66" spans="1:28" ht="14">
      <c r="A66" s="11"/>
      <c r="B66" s="11"/>
      <c r="C66" s="11"/>
      <c r="D66" s="11"/>
      <c r="E66" s="11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</row>
    <row r="67" spans="1:28" ht="14">
      <c r="A67" s="11"/>
      <c r="B67" s="11"/>
      <c r="C67" s="11"/>
      <c r="D67" s="11"/>
      <c r="E67" s="11"/>
      <c r="F67" s="11"/>
      <c r="G67" s="11"/>
      <c r="H67" s="11"/>
      <c r="I67" s="11"/>
      <c r="J67" s="11"/>
      <c r="K67" s="11"/>
      <c r="L67" s="11"/>
      <c r="M67" s="11"/>
      <c r="N67" s="11"/>
      <c r="O67" s="11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</row>
    <row r="68" spans="1:28" ht="14">
      <c r="A68" s="11"/>
      <c r="B68" s="11"/>
      <c r="C68" s="11"/>
      <c r="D68" s="11"/>
      <c r="E68" s="11"/>
      <c r="F68" s="11"/>
      <c r="G68" s="11"/>
      <c r="H68" s="11"/>
      <c r="I68" s="11"/>
      <c r="J68" s="11"/>
      <c r="K68" s="11"/>
      <c r="L68" s="11"/>
      <c r="M68" s="11"/>
      <c r="N68" s="11"/>
      <c r="O68" s="11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</row>
    <row r="69" spans="1:28" ht="14">
      <c r="A69" s="11" t="s">
        <v>297</v>
      </c>
      <c r="B69" s="11"/>
      <c r="C69" s="11"/>
      <c r="D69" s="11"/>
      <c r="E69" s="11"/>
      <c r="F69" s="11"/>
      <c r="G69" s="11"/>
      <c r="H69" s="11"/>
      <c r="I69" s="11"/>
      <c r="J69" s="11"/>
      <c r="K69" s="11"/>
      <c r="L69" s="11"/>
      <c r="M69" s="11"/>
      <c r="N69" s="11"/>
      <c r="O69" s="11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</row>
    <row r="70" spans="1:28" ht="14">
      <c r="A70" s="11">
        <v>2007</v>
      </c>
      <c r="B70" s="25" t="s">
        <v>298</v>
      </c>
      <c r="C70" s="11"/>
      <c r="D70" s="11"/>
      <c r="E70" s="11"/>
      <c r="F70" s="11"/>
      <c r="G70" s="11"/>
      <c r="H70" s="11"/>
      <c r="I70" s="11"/>
      <c r="J70" s="11"/>
      <c r="K70" s="11"/>
      <c r="L70" s="11"/>
      <c r="M70" s="11"/>
      <c r="N70" s="11"/>
      <c r="O70" s="11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</row>
    <row r="71" spans="1:28" ht="14">
      <c r="A71" s="11">
        <v>2010</v>
      </c>
      <c r="B71" s="11" t="s">
        <v>299</v>
      </c>
      <c r="C71" s="11"/>
      <c r="D71" s="11"/>
      <c r="E71" s="11"/>
      <c r="F71" s="11"/>
      <c r="G71" s="11"/>
      <c r="H71" s="11"/>
      <c r="I71" s="11"/>
      <c r="J71" s="11"/>
      <c r="K71" s="11"/>
      <c r="L71" s="11"/>
      <c r="M71" s="11"/>
      <c r="N71" s="11"/>
      <c r="O71" s="11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</row>
    <row r="72" spans="1:28" ht="14">
      <c r="A72" s="11">
        <v>2014</v>
      </c>
      <c r="B72" s="11" t="s">
        <v>300</v>
      </c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1"/>
      <c r="O72" s="11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</row>
    <row r="73" spans="1:28" ht="14">
      <c r="A73" s="11">
        <v>2014</v>
      </c>
      <c r="B73" s="11" t="s">
        <v>301</v>
      </c>
      <c r="C73" s="11"/>
      <c r="D73" s="11"/>
      <c r="E73" s="11"/>
      <c r="F73" s="11"/>
      <c r="G73" s="11"/>
      <c r="H73" s="11"/>
      <c r="I73" s="11"/>
      <c r="J73" s="11"/>
      <c r="K73" s="11"/>
      <c r="L73" s="11"/>
      <c r="M73" s="11"/>
      <c r="N73" s="11"/>
      <c r="O73" s="11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</row>
    <row r="74" spans="1:28" ht="14">
      <c r="A74" s="11" t="s">
        <v>302</v>
      </c>
      <c r="B74" s="11" t="s">
        <v>303</v>
      </c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</row>
    <row r="75" spans="1:28" ht="14">
      <c r="A75" s="11" t="s">
        <v>234</v>
      </c>
      <c r="B75" s="11" t="s">
        <v>304</v>
      </c>
      <c r="C75" s="11"/>
      <c r="D75" s="11"/>
      <c r="E75" s="11"/>
      <c r="F75" s="11"/>
      <c r="G75" s="11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</row>
    <row r="76" spans="1:28" ht="14">
      <c r="A76" s="11" t="s">
        <v>250</v>
      </c>
      <c r="B76" s="11" t="s">
        <v>305</v>
      </c>
      <c r="C76" s="11"/>
      <c r="D76" s="11"/>
      <c r="E76" s="11"/>
      <c r="F76" s="11"/>
      <c r="G76" s="11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</row>
    <row r="77" spans="1:28" ht="14">
      <c r="A77" s="18" t="s">
        <v>252</v>
      </c>
      <c r="B77" s="18" t="s">
        <v>306</v>
      </c>
      <c r="C77" s="19" t="str">
        <f>RIGHT(A77,4)</f>
        <v>2016</v>
      </c>
      <c r="D77" s="19">
        <f>COUNTIF(C$2:C$64,C77)</f>
        <v>5</v>
      </c>
      <c r="E77" s="11"/>
      <c r="F77" s="11"/>
      <c r="G77" s="11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</row>
    <row r="78" spans="1:28" ht="14">
      <c r="A78" s="11">
        <v>2017</v>
      </c>
      <c r="B78" s="11" t="s">
        <v>307</v>
      </c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</row>
    <row r="79" spans="1:28" ht="14">
      <c r="A79" s="11">
        <v>2018</v>
      </c>
      <c r="B79" s="11" t="s">
        <v>308</v>
      </c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</row>
    <row r="80" spans="1:28" ht="14">
      <c r="A80" s="11">
        <v>2019</v>
      </c>
      <c r="B80" s="11" t="s">
        <v>309</v>
      </c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</row>
    <row r="81" spans="1:28" ht="14">
      <c r="A81" s="11">
        <v>2019</v>
      </c>
      <c r="B81" s="11" t="s">
        <v>310</v>
      </c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</row>
    <row r="82" spans="1:28" ht="14">
      <c r="A82" s="11" t="s">
        <v>311</v>
      </c>
      <c r="B82" s="11" t="s">
        <v>312</v>
      </c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</row>
    <row r="83" spans="1:28" ht="14">
      <c r="A83" s="11" t="s">
        <v>313</v>
      </c>
      <c r="B83" s="11" t="s">
        <v>314</v>
      </c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</row>
    <row r="84" spans="1:28" ht="14">
      <c r="A84" s="11" t="s">
        <v>315</v>
      </c>
      <c r="B84" s="11" t="s">
        <v>316</v>
      </c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11"/>
      <c r="Q84" s="11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</row>
    <row r="85" spans="1:28" ht="14">
      <c r="A85" s="11" t="s">
        <v>317</v>
      </c>
      <c r="B85" s="11" t="s">
        <v>318</v>
      </c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11"/>
      <c r="Q85" s="11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</row>
    <row r="86" spans="1:28" ht="14">
      <c r="A86" s="11" t="s">
        <v>319</v>
      </c>
      <c r="B86" s="11" t="s">
        <v>320</v>
      </c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11"/>
      <c r="Q86" s="11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</row>
    <row r="87" spans="1:28" ht="14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11"/>
      <c r="Q87" s="11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</row>
    <row r="88" spans="1:28" ht="14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11"/>
      <c r="Q88" s="11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</row>
    <row r="89" spans="1:28" ht="14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11"/>
      <c r="Q89" s="11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</row>
    <row r="90" spans="1:28" ht="14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11"/>
      <c r="Q90" s="11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</row>
    <row r="91" spans="1:28" ht="14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</row>
    <row r="92" spans="1:28" ht="14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</row>
    <row r="93" spans="1:28" ht="14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</row>
    <row r="94" spans="1:28" ht="14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</row>
    <row r="95" spans="1:28" ht="14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</row>
    <row r="96" spans="1:28" ht="14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</row>
    <row r="97" spans="1:28" ht="14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</row>
    <row r="98" spans="1:28" ht="14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</row>
    <row r="99" spans="1:28" ht="14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</row>
    <row r="100" spans="1:28" ht="14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</row>
    <row r="101" spans="1:28" ht="14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</row>
    <row r="102" spans="1:28" ht="14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</row>
    <row r="103" spans="1:28" ht="14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</row>
    <row r="104" spans="1:28" ht="14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</row>
    <row r="105" spans="1:28" ht="14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</row>
    <row r="106" spans="1:28" ht="14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</row>
    <row r="107" spans="1:28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</row>
    <row r="108" spans="1:28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</row>
    <row r="109" spans="1:28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</row>
    <row r="110" spans="1:28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</row>
    <row r="111" spans="1:28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</row>
    <row r="112" spans="1:28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</row>
    <row r="113" spans="1:28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</row>
    <row r="114" spans="1:28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</row>
    <row r="115" spans="1:28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</row>
    <row r="116" spans="1:28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</row>
    <row r="117" spans="1:28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</row>
    <row r="118" spans="1:28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</row>
    <row r="119" spans="1:28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</row>
    <row r="120" spans="1:28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</row>
    <row r="121" spans="1:28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</row>
    <row r="122" spans="1:28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</row>
    <row r="123" spans="1:28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</row>
    <row r="124" spans="1:28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</row>
    <row r="125" spans="1:28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</row>
    <row r="126" spans="1:28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</row>
    <row r="127" spans="1:28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</row>
    <row r="128" spans="1:28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</row>
    <row r="129" spans="1:28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</row>
    <row r="130" spans="1:28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</row>
    <row r="131" spans="1:28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</row>
    <row r="132" spans="1:28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</row>
    <row r="133" spans="1:28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</row>
    <row r="134" spans="1:28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</row>
    <row r="135" spans="1:28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</row>
    <row r="136" spans="1:28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</row>
    <row r="137" spans="1:28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</row>
    <row r="138" spans="1:28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</row>
    <row r="139" spans="1:28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</row>
    <row r="140" spans="1:28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</row>
    <row r="141" spans="1:28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</row>
    <row r="142" spans="1:28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</row>
    <row r="143" spans="1:28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</row>
    <row r="144" spans="1:28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</row>
    <row r="145" spans="1:28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</row>
    <row r="146" spans="1:28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</row>
    <row r="147" spans="1:28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</row>
    <row r="148" spans="1:28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</row>
    <row r="149" spans="1:28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</row>
    <row r="150" spans="1:28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</row>
    <row r="151" spans="1:28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</row>
    <row r="152" spans="1:28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</row>
    <row r="153" spans="1:28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</row>
    <row r="154" spans="1:28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</row>
    <row r="155" spans="1:28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</row>
    <row r="156" spans="1:28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</row>
    <row r="157" spans="1:28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</row>
    <row r="158" spans="1:28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</row>
    <row r="159" spans="1:28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</row>
    <row r="160" spans="1:28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</row>
    <row r="161" spans="1:28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</row>
    <row r="162" spans="1:28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</row>
    <row r="163" spans="1:28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</row>
    <row r="164" spans="1:28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</row>
    <row r="165" spans="1:28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</row>
    <row r="166" spans="1:28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</row>
    <row r="167" spans="1:28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</row>
    <row r="168" spans="1:28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</row>
    <row r="169" spans="1:28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</row>
    <row r="170" spans="1:28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</row>
    <row r="171" spans="1:28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</row>
    <row r="172" spans="1:28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</row>
    <row r="173" spans="1:28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</row>
    <row r="174" spans="1:28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</row>
    <row r="175" spans="1:28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</row>
    <row r="176" spans="1:28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</row>
    <row r="177" spans="1:28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</row>
    <row r="178" spans="1:28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</row>
    <row r="179" spans="1:28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</row>
    <row r="180" spans="1:28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</row>
    <row r="181" spans="1:28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</row>
    <row r="182" spans="1:28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</row>
    <row r="183" spans="1:28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</row>
    <row r="184" spans="1:28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</row>
    <row r="185" spans="1:28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</row>
    <row r="186" spans="1:28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</row>
    <row r="187" spans="1:28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</row>
    <row r="188" spans="1:28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</row>
    <row r="189" spans="1:28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</row>
    <row r="190" spans="1:28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</row>
    <row r="191" spans="1:28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</row>
    <row r="192" spans="1:28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</row>
    <row r="193" spans="1:28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</row>
    <row r="194" spans="1:28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</row>
    <row r="195" spans="1:28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</row>
    <row r="196" spans="1:28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</row>
    <row r="197" spans="1:28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</row>
    <row r="198" spans="1:28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</row>
    <row r="199" spans="1:28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</row>
    <row r="200" spans="1:28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</row>
    <row r="201" spans="1:28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</row>
    <row r="202" spans="1:28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</row>
    <row r="203" spans="1:28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</row>
    <row r="204" spans="1:28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</row>
    <row r="205" spans="1:28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</row>
    <row r="206" spans="1:28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</row>
    <row r="207" spans="1:28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</row>
    <row r="208" spans="1:28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</row>
    <row r="209" spans="1:28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</row>
    <row r="210" spans="1:28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</row>
    <row r="211" spans="1:28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</row>
    <row r="212" spans="1:28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</row>
    <row r="213" spans="1:28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</row>
    <row r="214" spans="1:28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</row>
    <row r="215" spans="1:28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</row>
    <row r="216" spans="1:28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</row>
    <row r="217" spans="1:28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</row>
    <row r="218" spans="1:28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</row>
    <row r="219" spans="1:28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</row>
    <row r="220" spans="1:28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</row>
    <row r="221" spans="1:28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</row>
    <row r="222" spans="1:28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</row>
    <row r="223" spans="1:28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</row>
    <row r="224" spans="1:28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</row>
    <row r="225" spans="1:28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</row>
    <row r="226" spans="1:28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</row>
    <row r="227" spans="1:28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</row>
    <row r="228" spans="1:28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</row>
    <row r="229" spans="1:28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</row>
    <row r="230" spans="1:28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</row>
    <row r="231" spans="1:28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</row>
    <row r="232" spans="1:28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</row>
    <row r="233" spans="1:28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</row>
    <row r="234" spans="1:28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</row>
    <row r="235" spans="1:28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</row>
    <row r="236" spans="1:28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</row>
    <row r="237" spans="1:28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</row>
    <row r="238" spans="1:28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</row>
    <row r="239" spans="1:28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</row>
    <row r="240" spans="1:28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</row>
    <row r="241" spans="1:28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</row>
    <row r="242" spans="1:28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</row>
    <row r="243" spans="1:28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</row>
    <row r="244" spans="1:28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</row>
    <row r="245" spans="1:28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</row>
    <row r="246" spans="1:28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</row>
    <row r="247" spans="1:28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</row>
    <row r="248" spans="1:28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</row>
    <row r="249" spans="1:28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</row>
    <row r="250" spans="1:28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</row>
    <row r="251" spans="1:28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</row>
    <row r="252" spans="1:28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</row>
    <row r="253" spans="1:28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</row>
    <row r="254" spans="1:28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</row>
    <row r="255" spans="1:28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</row>
    <row r="256" spans="1:28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</row>
    <row r="257" spans="1:28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</row>
    <row r="258" spans="1:28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</row>
    <row r="259" spans="1:28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</row>
    <row r="260" spans="1:28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</row>
    <row r="261" spans="1:28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</row>
    <row r="262" spans="1:28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</row>
    <row r="263" spans="1:28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</row>
    <row r="264" spans="1:28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</row>
    <row r="265" spans="1:28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</row>
    <row r="266" spans="1:28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</row>
    <row r="267" spans="1:28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</row>
    <row r="268" spans="1:28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</row>
    <row r="269" spans="1:28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</row>
    <row r="270" spans="1:28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</row>
    <row r="271" spans="1:28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</row>
    <row r="272" spans="1:28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</row>
    <row r="273" spans="1:28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</row>
    <row r="274" spans="1:28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</row>
    <row r="275" spans="1:28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</row>
    <row r="276" spans="1:28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</row>
    <row r="277" spans="1:28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</row>
    <row r="278" spans="1:28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</row>
    <row r="279" spans="1:28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</row>
    <row r="280" spans="1:28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</row>
    <row r="281" spans="1:28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</row>
    <row r="282" spans="1:28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</row>
    <row r="283" spans="1:28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</row>
    <row r="284" spans="1:28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</row>
    <row r="285" spans="1:28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</row>
    <row r="286" spans="1:28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</row>
    <row r="287" spans="1:28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</row>
    <row r="288" spans="1:28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</row>
    <row r="289" spans="1:28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</row>
    <row r="290" spans="1:28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</row>
    <row r="291" spans="1:28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</row>
    <row r="292" spans="1:28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</row>
    <row r="293" spans="1:28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</row>
    <row r="294" spans="1:28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</row>
    <row r="295" spans="1:28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</row>
    <row r="296" spans="1:28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</row>
    <row r="297" spans="1:28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</row>
    <row r="298" spans="1:28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</row>
    <row r="299" spans="1:28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</row>
    <row r="300" spans="1:28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</row>
    <row r="301" spans="1:28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</row>
    <row r="302" spans="1:28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</row>
    <row r="303" spans="1:28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</row>
    <row r="304" spans="1:28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</row>
    <row r="305" spans="1:28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</row>
    <row r="306" spans="1:28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</row>
    <row r="307" spans="1:28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</row>
    <row r="308" spans="1:28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</row>
    <row r="309" spans="1:28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</row>
    <row r="310" spans="1:28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</row>
    <row r="311" spans="1:28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</row>
    <row r="312" spans="1:28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</row>
    <row r="313" spans="1:28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</row>
    <row r="314" spans="1:28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</row>
    <row r="315" spans="1:28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</row>
    <row r="316" spans="1:28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</row>
    <row r="317" spans="1:28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</row>
    <row r="318" spans="1:28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</row>
    <row r="319" spans="1:28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</row>
    <row r="320" spans="1:28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</row>
    <row r="321" spans="1:28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</row>
    <row r="322" spans="1:28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</row>
    <row r="323" spans="1:28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</row>
    <row r="324" spans="1:28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</row>
    <row r="325" spans="1:28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</row>
    <row r="326" spans="1:28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</row>
    <row r="327" spans="1:28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</row>
    <row r="328" spans="1:28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</row>
    <row r="329" spans="1:28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</row>
    <row r="330" spans="1:28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</row>
    <row r="331" spans="1:28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</row>
    <row r="332" spans="1:28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</row>
    <row r="333" spans="1:28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</row>
    <row r="334" spans="1:28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</row>
    <row r="335" spans="1:28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</row>
    <row r="336" spans="1:28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</row>
    <row r="337" spans="1:28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</row>
    <row r="338" spans="1:28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</row>
    <row r="339" spans="1:28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</row>
    <row r="340" spans="1:28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</row>
    <row r="341" spans="1:28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</row>
    <row r="342" spans="1:28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</row>
    <row r="343" spans="1:28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</row>
    <row r="344" spans="1:28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</row>
    <row r="345" spans="1:28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</row>
    <row r="346" spans="1:28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</row>
    <row r="347" spans="1:28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</row>
    <row r="348" spans="1:28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</row>
    <row r="349" spans="1:28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</row>
    <row r="350" spans="1:28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</row>
    <row r="351" spans="1:28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</row>
    <row r="352" spans="1:28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</row>
    <row r="353" spans="1:28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</row>
    <row r="354" spans="1:28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</row>
    <row r="355" spans="1:28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</row>
    <row r="356" spans="1:28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</row>
    <row r="357" spans="1:28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</row>
    <row r="358" spans="1:28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</row>
    <row r="359" spans="1:28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</row>
    <row r="360" spans="1:28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</row>
    <row r="361" spans="1:28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</row>
    <row r="362" spans="1:28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</row>
    <row r="363" spans="1:28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</row>
    <row r="364" spans="1:28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</row>
    <row r="365" spans="1:28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</row>
    <row r="366" spans="1:28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</row>
    <row r="367" spans="1:28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</row>
    <row r="368" spans="1:28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</row>
    <row r="369" spans="1:28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</row>
    <row r="370" spans="1:28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</row>
    <row r="371" spans="1:28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</row>
    <row r="372" spans="1:28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</row>
    <row r="373" spans="1:28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</row>
    <row r="374" spans="1:28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</row>
    <row r="375" spans="1:28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</row>
    <row r="376" spans="1:28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</row>
    <row r="377" spans="1:28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</row>
    <row r="378" spans="1:28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</row>
    <row r="379" spans="1:28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</row>
    <row r="380" spans="1:28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</row>
    <row r="381" spans="1:28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</row>
    <row r="382" spans="1:28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</row>
    <row r="383" spans="1:28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</row>
    <row r="384" spans="1:28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</row>
    <row r="385" spans="1:28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</row>
    <row r="386" spans="1:28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</row>
    <row r="387" spans="1:28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</row>
    <row r="388" spans="1:28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</row>
    <row r="389" spans="1:28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</row>
    <row r="390" spans="1:28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</row>
    <row r="391" spans="1:28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</row>
    <row r="392" spans="1:28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</row>
    <row r="393" spans="1:28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</row>
    <row r="394" spans="1:28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</row>
    <row r="395" spans="1:28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</row>
    <row r="396" spans="1:28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</row>
    <row r="397" spans="1:28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</row>
    <row r="398" spans="1:28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</row>
    <row r="399" spans="1:28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</row>
    <row r="400" spans="1:28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</row>
    <row r="401" spans="1:28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</row>
    <row r="402" spans="1:28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</row>
    <row r="403" spans="1:28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</row>
    <row r="404" spans="1:28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</row>
    <row r="405" spans="1:28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</row>
    <row r="406" spans="1:28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</row>
    <row r="407" spans="1:28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</row>
    <row r="408" spans="1:28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</row>
    <row r="409" spans="1:28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</row>
    <row r="410" spans="1:28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</row>
    <row r="411" spans="1:28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</row>
    <row r="412" spans="1:28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</row>
    <row r="413" spans="1:28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</row>
    <row r="414" spans="1:28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</row>
    <row r="415" spans="1:28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</row>
    <row r="416" spans="1:28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</row>
    <row r="417" spans="1:28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</row>
    <row r="418" spans="1:28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</row>
    <row r="419" spans="1:28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</row>
    <row r="420" spans="1:28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</row>
    <row r="421" spans="1:28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</row>
    <row r="422" spans="1:28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</row>
    <row r="423" spans="1:28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</row>
    <row r="424" spans="1:28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</row>
    <row r="425" spans="1:28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</row>
    <row r="426" spans="1:28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</row>
    <row r="427" spans="1:28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</row>
    <row r="428" spans="1:28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</row>
    <row r="429" spans="1:28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</row>
    <row r="430" spans="1:28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</row>
    <row r="431" spans="1:28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</row>
    <row r="432" spans="1:28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</row>
    <row r="433" spans="1:28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</row>
    <row r="434" spans="1:28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</row>
    <row r="435" spans="1:28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</row>
    <row r="436" spans="1:28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</row>
    <row r="437" spans="1:28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</row>
    <row r="438" spans="1:28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</row>
    <row r="439" spans="1:28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</row>
    <row r="440" spans="1:28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</row>
    <row r="441" spans="1:28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</row>
    <row r="442" spans="1:28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</row>
    <row r="443" spans="1:28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</row>
    <row r="444" spans="1:28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</row>
    <row r="445" spans="1:28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</row>
    <row r="446" spans="1:28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</row>
    <row r="447" spans="1:28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</row>
    <row r="448" spans="1:28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</row>
    <row r="449" spans="1:28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</row>
    <row r="450" spans="1:28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</row>
    <row r="451" spans="1:28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</row>
    <row r="452" spans="1:28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</row>
    <row r="453" spans="1:28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</row>
    <row r="454" spans="1:28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</row>
    <row r="455" spans="1:28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</row>
    <row r="456" spans="1:28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</row>
    <row r="457" spans="1:28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</row>
    <row r="458" spans="1:28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</row>
    <row r="459" spans="1:28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</row>
    <row r="460" spans="1:28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</row>
    <row r="461" spans="1:28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</row>
    <row r="462" spans="1:28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</row>
    <row r="463" spans="1:28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</row>
    <row r="464" spans="1:28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</row>
    <row r="465" spans="1:28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</row>
    <row r="466" spans="1:28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</row>
    <row r="467" spans="1:28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</row>
    <row r="468" spans="1:28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</row>
    <row r="469" spans="1:28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</row>
    <row r="470" spans="1:28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</row>
    <row r="471" spans="1:28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</row>
    <row r="472" spans="1:28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</row>
    <row r="473" spans="1:28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</row>
    <row r="474" spans="1:28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</row>
    <row r="475" spans="1:28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</row>
    <row r="476" spans="1:28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</row>
    <row r="477" spans="1:28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</row>
    <row r="478" spans="1:28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</row>
    <row r="479" spans="1:28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</row>
    <row r="480" spans="1:28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</row>
    <row r="481" spans="1:28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</row>
    <row r="482" spans="1:28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</row>
    <row r="483" spans="1:28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</row>
    <row r="484" spans="1:28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</row>
    <row r="485" spans="1:28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</row>
    <row r="486" spans="1:28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</row>
    <row r="487" spans="1:28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</row>
    <row r="488" spans="1:28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</row>
    <row r="489" spans="1:28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</row>
    <row r="490" spans="1:28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</row>
    <row r="491" spans="1:28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</row>
    <row r="492" spans="1:28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</row>
    <row r="493" spans="1:28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</row>
    <row r="494" spans="1:28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</row>
    <row r="495" spans="1:28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</row>
    <row r="496" spans="1:28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</row>
    <row r="497" spans="1:28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</row>
    <row r="498" spans="1:28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</row>
    <row r="499" spans="1:28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</row>
    <row r="500" spans="1:28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</row>
    <row r="501" spans="1:28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</row>
    <row r="502" spans="1:28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</row>
    <row r="503" spans="1:28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</row>
    <row r="504" spans="1:28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</row>
    <row r="505" spans="1:28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</row>
    <row r="506" spans="1:28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</row>
    <row r="507" spans="1:28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</row>
    <row r="508" spans="1:28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</row>
    <row r="509" spans="1:28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</row>
    <row r="510" spans="1:28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</row>
    <row r="511" spans="1:28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</row>
    <row r="512" spans="1:28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</row>
    <row r="513" spans="1:28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</row>
    <row r="514" spans="1:28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</row>
    <row r="515" spans="1:28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</row>
    <row r="516" spans="1:28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</row>
    <row r="517" spans="1:28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</row>
    <row r="518" spans="1:28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</row>
    <row r="519" spans="1:28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</row>
    <row r="520" spans="1:28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</row>
    <row r="521" spans="1:28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</row>
    <row r="522" spans="1:28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</row>
    <row r="523" spans="1:28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</row>
    <row r="524" spans="1:28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</row>
    <row r="525" spans="1:28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</row>
    <row r="526" spans="1:28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</row>
    <row r="527" spans="1:28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</row>
    <row r="528" spans="1:28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</row>
    <row r="529" spans="1:28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</row>
    <row r="530" spans="1:28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</row>
    <row r="531" spans="1:28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</row>
    <row r="532" spans="1:28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</row>
    <row r="533" spans="1:28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</row>
    <row r="534" spans="1:28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</row>
    <row r="535" spans="1:28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</row>
    <row r="536" spans="1:28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</row>
    <row r="537" spans="1:28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</row>
    <row r="538" spans="1:28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</row>
    <row r="539" spans="1:28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</row>
    <row r="540" spans="1:28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</row>
    <row r="541" spans="1:28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</row>
    <row r="542" spans="1:28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</row>
    <row r="543" spans="1:28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</row>
    <row r="544" spans="1:28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</row>
    <row r="545" spans="1:28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</row>
    <row r="546" spans="1:28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</row>
    <row r="547" spans="1:28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</row>
    <row r="548" spans="1:28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</row>
    <row r="549" spans="1:28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</row>
    <row r="550" spans="1:28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</row>
    <row r="551" spans="1:28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</row>
    <row r="552" spans="1:28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</row>
    <row r="553" spans="1:28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</row>
    <row r="554" spans="1:28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</row>
    <row r="555" spans="1:28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</row>
    <row r="556" spans="1:28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</row>
    <row r="557" spans="1:28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</row>
    <row r="558" spans="1:28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</row>
    <row r="559" spans="1:28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</row>
    <row r="560" spans="1:28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</row>
    <row r="561" spans="1:28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</row>
    <row r="562" spans="1:28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</row>
    <row r="563" spans="1:28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</row>
    <row r="564" spans="1:28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</row>
    <row r="565" spans="1:28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</row>
    <row r="566" spans="1:28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</row>
    <row r="567" spans="1:28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</row>
    <row r="568" spans="1:28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</row>
    <row r="569" spans="1:28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</row>
    <row r="570" spans="1:28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</row>
    <row r="571" spans="1:28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</row>
    <row r="572" spans="1:28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</row>
    <row r="573" spans="1:28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</row>
    <row r="574" spans="1:28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</row>
    <row r="575" spans="1:28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</row>
    <row r="576" spans="1:28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</row>
    <row r="577" spans="1:28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</row>
    <row r="578" spans="1:28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</row>
    <row r="579" spans="1:28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</row>
    <row r="580" spans="1:28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</row>
    <row r="581" spans="1:28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</row>
    <row r="582" spans="1:28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</row>
    <row r="583" spans="1:28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</row>
    <row r="584" spans="1:28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</row>
    <row r="585" spans="1:28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</row>
    <row r="586" spans="1:28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</row>
    <row r="587" spans="1:28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</row>
    <row r="588" spans="1:28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</row>
    <row r="589" spans="1:28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</row>
    <row r="590" spans="1:28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</row>
    <row r="591" spans="1:28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</row>
    <row r="592" spans="1:28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</row>
    <row r="593" spans="1:28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</row>
    <row r="594" spans="1:28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</row>
    <row r="595" spans="1:28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</row>
    <row r="596" spans="1:28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</row>
    <row r="597" spans="1:28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</row>
    <row r="598" spans="1:28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</row>
    <row r="599" spans="1:28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</row>
    <row r="600" spans="1:28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</row>
    <row r="601" spans="1:28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</row>
    <row r="602" spans="1:28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</row>
    <row r="603" spans="1:28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</row>
    <row r="604" spans="1:28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</row>
    <row r="605" spans="1:28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</row>
    <row r="606" spans="1:28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</row>
    <row r="607" spans="1:28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</row>
    <row r="608" spans="1:28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</row>
    <row r="609" spans="1:28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</row>
    <row r="610" spans="1:28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</row>
    <row r="611" spans="1:28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</row>
    <row r="612" spans="1:28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</row>
    <row r="613" spans="1:28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</row>
    <row r="614" spans="1:28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</row>
    <row r="615" spans="1:28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</row>
    <row r="616" spans="1:28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</row>
    <row r="617" spans="1:28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</row>
    <row r="618" spans="1:28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</row>
    <row r="619" spans="1:28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</row>
    <row r="620" spans="1:28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</row>
    <row r="621" spans="1:28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</row>
    <row r="622" spans="1:28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</row>
    <row r="623" spans="1:28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</row>
    <row r="624" spans="1:28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</row>
    <row r="625" spans="1:28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</row>
    <row r="626" spans="1:28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</row>
    <row r="627" spans="1:28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</row>
    <row r="628" spans="1:28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</row>
    <row r="629" spans="1:28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</row>
    <row r="630" spans="1:28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</row>
    <row r="631" spans="1:28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</row>
    <row r="632" spans="1:28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</row>
    <row r="633" spans="1:28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</row>
    <row r="634" spans="1:28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</row>
    <row r="635" spans="1:28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</row>
    <row r="636" spans="1:28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</row>
    <row r="637" spans="1:28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</row>
    <row r="638" spans="1:28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</row>
    <row r="639" spans="1:28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</row>
    <row r="640" spans="1:28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</row>
    <row r="641" spans="1:28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</row>
    <row r="642" spans="1:28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</row>
    <row r="643" spans="1:28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</row>
    <row r="644" spans="1:28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</row>
    <row r="645" spans="1:28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</row>
    <row r="646" spans="1:28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</row>
    <row r="647" spans="1:28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</row>
    <row r="648" spans="1:28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</row>
    <row r="649" spans="1:28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</row>
    <row r="650" spans="1:28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</row>
    <row r="651" spans="1:28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</row>
    <row r="652" spans="1:28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</row>
    <row r="653" spans="1:28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</row>
    <row r="654" spans="1:28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</row>
    <row r="655" spans="1:28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</row>
    <row r="656" spans="1:28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</row>
    <row r="657" spans="1:28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</row>
    <row r="658" spans="1:28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</row>
    <row r="659" spans="1:28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</row>
    <row r="660" spans="1:28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</row>
    <row r="661" spans="1:28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</row>
    <row r="662" spans="1:28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</row>
    <row r="663" spans="1:28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</row>
    <row r="664" spans="1:28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</row>
    <row r="665" spans="1:28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</row>
    <row r="666" spans="1:28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</row>
    <row r="667" spans="1:28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</row>
    <row r="668" spans="1:28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</row>
    <row r="669" spans="1:28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</row>
    <row r="670" spans="1:28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</row>
    <row r="671" spans="1:28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</row>
    <row r="672" spans="1:28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</row>
    <row r="673" spans="1:28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</row>
    <row r="674" spans="1:28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</row>
    <row r="675" spans="1:28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</row>
    <row r="676" spans="1:28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</row>
    <row r="677" spans="1:28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</row>
    <row r="678" spans="1:28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</row>
    <row r="679" spans="1:28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</row>
    <row r="680" spans="1:28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</row>
    <row r="681" spans="1:28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</row>
    <row r="682" spans="1:28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</row>
    <row r="683" spans="1:28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</row>
    <row r="684" spans="1:28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</row>
    <row r="685" spans="1:28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</row>
    <row r="686" spans="1:28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</row>
    <row r="687" spans="1:28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</row>
    <row r="688" spans="1:28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</row>
    <row r="689" spans="1:28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</row>
    <row r="690" spans="1:28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</row>
    <row r="691" spans="1:28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</row>
    <row r="692" spans="1:28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</row>
    <row r="693" spans="1:28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</row>
    <row r="694" spans="1:28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</row>
    <row r="695" spans="1:28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</row>
    <row r="696" spans="1:28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</row>
    <row r="697" spans="1:28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</row>
    <row r="698" spans="1:28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</row>
    <row r="699" spans="1:28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</row>
    <row r="700" spans="1:28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</row>
    <row r="701" spans="1:28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</row>
    <row r="702" spans="1:28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</row>
    <row r="703" spans="1:28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</row>
    <row r="704" spans="1:28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</row>
    <row r="705" spans="1:28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</row>
    <row r="706" spans="1:28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</row>
    <row r="707" spans="1:28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</row>
    <row r="708" spans="1:28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</row>
    <row r="709" spans="1:28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</row>
    <row r="710" spans="1:28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</row>
    <row r="711" spans="1:28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</row>
    <row r="712" spans="1:28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</row>
    <row r="713" spans="1:28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</row>
    <row r="714" spans="1:28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</row>
    <row r="715" spans="1:28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</row>
    <row r="716" spans="1:28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</row>
    <row r="717" spans="1:28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</row>
    <row r="718" spans="1:28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</row>
    <row r="719" spans="1:28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</row>
    <row r="720" spans="1:28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</row>
    <row r="721" spans="1:28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</row>
    <row r="722" spans="1:28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</row>
    <row r="723" spans="1:28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</row>
    <row r="724" spans="1:28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</row>
    <row r="725" spans="1:28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</row>
    <row r="726" spans="1:28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</row>
    <row r="727" spans="1:28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</row>
    <row r="728" spans="1:28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</row>
    <row r="729" spans="1:28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</row>
    <row r="730" spans="1:28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</row>
    <row r="731" spans="1:28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</row>
    <row r="732" spans="1:28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</row>
    <row r="733" spans="1:28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</row>
    <row r="734" spans="1:28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</row>
    <row r="735" spans="1:28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</row>
    <row r="736" spans="1:28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</row>
    <row r="737" spans="1:28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</row>
    <row r="738" spans="1:28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</row>
    <row r="739" spans="1:28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</row>
    <row r="740" spans="1:28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</row>
    <row r="741" spans="1:28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</row>
    <row r="742" spans="1:28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</row>
    <row r="743" spans="1:28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</row>
    <row r="744" spans="1:28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</row>
    <row r="745" spans="1:28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</row>
    <row r="746" spans="1:28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</row>
    <row r="747" spans="1:28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</row>
    <row r="748" spans="1:28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</row>
    <row r="749" spans="1:28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</row>
    <row r="750" spans="1:28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</row>
    <row r="751" spans="1:28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</row>
    <row r="752" spans="1:28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</row>
    <row r="753" spans="1:28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</row>
    <row r="754" spans="1:28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</row>
    <row r="755" spans="1:28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</row>
    <row r="756" spans="1:28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</row>
    <row r="757" spans="1:28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</row>
    <row r="758" spans="1:28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</row>
    <row r="759" spans="1:28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</row>
    <row r="760" spans="1:28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</row>
    <row r="761" spans="1:28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</row>
    <row r="762" spans="1:28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</row>
    <row r="763" spans="1:28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</row>
    <row r="764" spans="1:28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</row>
    <row r="765" spans="1:28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</row>
    <row r="766" spans="1:28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</row>
    <row r="767" spans="1:28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</row>
    <row r="768" spans="1:28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</row>
    <row r="769" spans="1:28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</row>
    <row r="770" spans="1:28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</row>
    <row r="771" spans="1:28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</row>
    <row r="772" spans="1:28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</row>
    <row r="773" spans="1:28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</row>
    <row r="774" spans="1:28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</row>
    <row r="775" spans="1:28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</row>
    <row r="776" spans="1:28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</row>
    <row r="777" spans="1:28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</row>
    <row r="778" spans="1:28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</row>
    <row r="779" spans="1:28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</row>
    <row r="780" spans="1:28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</row>
    <row r="781" spans="1:28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</row>
    <row r="782" spans="1:28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</row>
    <row r="783" spans="1:28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</row>
    <row r="784" spans="1:28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</row>
    <row r="785" spans="1:28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</row>
    <row r="786" spans="1:28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</row>
    <row r="787" spans="1:28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</row>
    <row r="788" spans="1:28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</row>
    <row r="789" spans="1:28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</row>
    <row r="790" spans="1:28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</row>
    <row r="791" spans="1:28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</row>
    <row r="792" spans="1:28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</row>
    <row r="793" spans="1:28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</row>
    <row r="794" spans="1:28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</row>
    <row r="795" spans="1:28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</row>
    <row r="796" spans="1:28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</row>
    <row r="797" spans="1:28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</row>
    <row r="798" spans="1:28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</row>
    <row r="799" spans="1:28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</row>
    <row r="800" spans="1:28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</row>
    <row r="801" spans="1:28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</row>
    <row r="802" spans="1:28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</row>
    <row r="803" spans="1:28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</row>
    <row r="804" spans="1:28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</row>
    <row r="805" spans="1:28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</row>
    <row r="806" spans="1:28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</row>
    <row r="807" spans="1:28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</row>
    <row r="808" spans="1:28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</row>
    <row r="809" spans="1:28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</row>
    <row r="810" spans="1:28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</row>
    <row r="811" spans="1:28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</row>
    <row r="812" spans="1:28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</row>
    <row r="813" spans="1:28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</row>
    <row r="814" spans="1:28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</row>
    <row r="815" spans="1:28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</row>
    <row r="816" spans="1:28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</row>
    <row r="817" spans="1:28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</row>
    <row r="818" spans="1:28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</row>
    <row r="819" spans="1:28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</row>
    <row r="820" spans="1:28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</row>
    <row r="821" spans="1:28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</row>
    <row r="822" spans="1:28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</row>
    <row r="823" spans="1:28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</row>
    <row r="824" spans="1:28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</row>
    <row r="825" spans="1:28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</row>
    <row r="826" spans="1:28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</row>
    <row r="827" spans="1:28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</row>
    <row r="828" spans="1:28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</row>
    <row r="829" spans="1:28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</row>
    <row r="830" spans="1:28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</row>
    <row r="831" spans="1:28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</row>
    <row r="832" spans="1:28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</row>
    <row r="833" spans="1:28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</row>
    <row r="834" spans="1:28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</row>
    <row r="835" spans="1:28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</row>
    <row r="836" spans="1:28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</row>
    <row r="837" spans="1:28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</row>
    <row r="838" spans="1:28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</row>
    <row r="839" spans="1:28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</row>
    <row r="840" spans="1:28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</row>
    <row r="841" spans="1:28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</row>
    <row r="842" spans="1:28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</row>
    <row r="843" spans="1:28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</row>
    <row r="844" spans="1:28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</row>
    <row r="845" spans="1:28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</row>
    <row r="846" spans="1:28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</row>
    <row r="847" spans="1:28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</row>
    <row r="848" spans="1:28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</row>
    <row r="849" spans="1:28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</row>
    <row r="850" spans="1:28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</row>
    <row r="851" spans="1:28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</row>
    <row r="852" spans="1:28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</row>
    <row r="853" spans="1:28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</row>
    <row r="854" spans="1:28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</row>
    <row r="855" spans="1:28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</row>
    <row r="856" spans="1:28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</row>
    <row r="857" spans="1:28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</row>
    <row r="858" spans="1:28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</row>
    <row r="859" spans="1:28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</row>
    <row r="860" spans="1:28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</row>
    <row r="861" spans="1:28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</row>
    <row r="862" spans="1:28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</row>
    <row r="863" spans="1:28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</row>
    <row r="864" spans="1:28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</row>
    <row r="865" spans="1:28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</row>
    <row r="866" spans="1:28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</row>
    <row r="867" spans="1:28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</row>
    <row r="868" spans="1:28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</row>
    <row r="869" spans="1:28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</row>
    <row r="870" spans="1:28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</row>
    <row r="871" spans="1:28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</row>
    <row r="872" spans="1:28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</row>
    <row r="873" spans="1:28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</row>
    <row r="874" spans="1:28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</row>
    <row r="875" spans="1:28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</row>
    <row r="876" spans="1:28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</row>
    <row r="877" spans="1:28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</row>
    <row r="878" spans="1:28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</row>
    <row r="879" spans="1:28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</row>
    <row r="880" spans="1:28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</row>
    <row r="881" spans="1:28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</row>
    <row r="882" spans="1:28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</row>
    <row r="883" spans="1:28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</row>
    <row r="884" spans="1:28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</row>
    <row r="885" spans="1:28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</row>
    <row r="886" spans="1:28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</row>
    <row r="887" spans="1:28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</row>
    <row r="888" spans="1:28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</row>
    <row r="889" spans="1:28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</row>
    <row r="890" spans="1:28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</row>
    <row r="891" spans="1:28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</row>
    <row r="892" spans="1:28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</row>
    <row r="893" spans="1:28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</row>
    <row r="894" spans="1:28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</row>
    <row r="895" spans="1:28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</row>
    <row r="896" spans="1:28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</row>
    <row r="897" spans="1:28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</row>
    <row r="898" spans="1:28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</row>
    <row r="899" spans="1:28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</row>
    <row r="900" spans="1:28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</row>
    <row r="901" spans="1:28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</row>
    <row r="902" spans="1:28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</row>
    <row r="903" spans="1:28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</row>
    <row r="904" spans="1:28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</row>
    <row r="905" spans="1:28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</row>
    <row r="906" spans="1:28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</row>
    <row r="907" spans="1:28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</row>
    <row r="908" spans="1:28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</row>
    <row r="909" spans="1:28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</row>
    <row r="910" spans="1:28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</row>
    <row r="911" spans="1:28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</row>
    <row r="912" spans="1:28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</row>
    <row r="913" spans="1:28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</row>
    <row r="914" spans="1:28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</row>
    <row r="915" spans="1:28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</row>
    <row r="916" spans="1:28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</row>
    <row r="917" spans="1:28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</row>
    <row r="918" spans="1:28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</row>
    <row r="919" spans="1:28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</row>
    <row r="920" spans="1:28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</row>
    <row r="921" spans="1:28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</row>
    <row r="922" spans="1:28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</row>
    <row r="923" spans="1:28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</row>
    <row r="924" spans="1:28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</row>
    <row r="925" spans="1:28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</row>
    <row r="926" spans="1:28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</row>
    <row r="927" spans="1:28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</row>
    <row r="928" spans="1:28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</row>
    <row r="929" spans="1:28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</row>
    <row r="930" spans="1:28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</row>
    <row r="931" spans="1:28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</row>
    <row r="932" spans="1:28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</row>
    <row r="933" spans="1:28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</row>
    <row r="934" spans="1:28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</row>
    <row r="935" spans="1:28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</row>
    <row r="936" spans="1:28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</row>
    <row r="937" spans="1:28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</row>
    <row r="938" spans="1:28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</row>
    <row r="939" spans="1:28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</row>
    <row r="940" spans="1:28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</row>
    <row r="941" spans="1:28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</row>
    <row r="942" spans="1:28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</row>
    <row r="943" spans="1:28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</row>
    <row r="944" spans="1:28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</row>
    <row r="945" spans="1:28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</row>
    <row r="946" spans="1:28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</row>
    <row r="947" spans="1:28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</row>
    <row r="948" spans="1:28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</row>
    <row r="949" spans="1:28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</row>
    <row r="950" spans="1:28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</row>
    <row r="951" spans="1:28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</row>
    <row r="952" spans="1:28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</row>
    <row r="953" spans="1:28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</row>
    <row r="954" spans="1:28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</row>
    <row r="955" spans="1:28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</row>
    <row r="956" spans="1:28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</row>
    <row r="957" spans="1:28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</row>
    <row r="958" spans="1:28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</row>
    <row r="959" spans="1:28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</row>
    <row r="960" spans="1:28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</row>
    <row r="961" spans="1:28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</row>
    <row r="962" spans="1:28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</row>
    <row r="963" spans="1:28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</row>
    <row r="964" spans="1:28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</row>
    <row r="965" spans="1:28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</row>
    <row r="966" spans="1:28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</row>
    <row r="967" spans="1:28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</row>
    <row r="968" spans="1:28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</row>
    <row r="969" spans="1:28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</row>
    <row r="970" spans="1:28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</row>
    <row r="971" spans="1:28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</row>
    <row r="972" spans="1:28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</row>
    <row r="973" spans="1:28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</row>
    <row r="974" spans="1:28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</row>
    <row r="975" spans="1:28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</row>
    <row r="976" spans="1:28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</row>
    <row r="977" spans="1:28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</row>
    <row r="978" spans="1:28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</row>
    <row r="979" spans="1:28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</row>
    <row r="980" spans="1:28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</row>
    <row r="981" spans="1:28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</row>
    <row r="982" spans="1:28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</row>
    <row r="983" spans="1:28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</row>
    <row r="984" spans="1:28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</row>
    <row r="985" spans="1:28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</row>
    <row r="986" spans="1:28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</row>
    <row r="987" spans="1:28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</row>
    <row r="988" spans="1:28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</row>
    <row r="989" spans="1:28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</row>
    <row r="990" spans="1:28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</row>
    <row r="991" spans="1:28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</row>
    <row r="992" spans="1:28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</row>
    <row r="993" spans="1:28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</row>
    <row r="994" spans="1:28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</row>
    <row r="995" spans="1:28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</row>
    <row r="996" spans="1:28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</row>
    <row r="997" spans="1:28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</row>
    <row r="998" spans="1:28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</row>
    <row r="999" spans="1:28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</row>
    <row r="1000" spans="1:28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</row>
    <row r="1001" spans="1:28" ht="14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</row>
    <row r="1002" spans="1:28" ht="14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</row>
    <row r="1003" spans="1:28" ht="14">
      <c r="A1003" s="11"/>
      <c r="B1003" s="11"/>
      <c r="C1003" s="11"/>
      <c r="D1003" s="11"/>
      <c r="E1003" s="11"/>
      <c r="F1003" s="11"/>
      <c r="G1003" s="11"/>
      <c r="H1003" s="11"/>
      <c r="I1003" s="11"/>
      <c r="J1003" s="11"/>
      <c r="K1003" s="11"/>
      <c r="L1003" s="11"/>
      <c r="M1003" s="11"/>
      <c r="N1003" s="11"/>
      <c r="O1003" s="11"/>
      <c r="P1003" s="11"/>
      <c r="Q1003" s="11"/>
      <c r="R1003" s="11"/>
      <c r="S1003" s="11"/>
      <c r="T1003" s="11"/>
      <c r="U1003" s="11"/>
      <c r="V1003" s="11"/>
      <c r="W1003" s="11"/>
      <c r="X1003" s="11"/>
      <c r="Y1003" s="11"/>
      <c r="Z1003" s="11"/>
      <c r="AA1003" s="11"/>
      <c r="AB1003" s="11"/>
    </row>
    <row r="1004" spans="1:28" ht="14">
      <c r="A1004" s="11"/>
      <c r="B1004" s="11"/>
      <c r="C1004" s="11"/>
      <c r="D1004" s="11"/>
      <c r="E1004" s="11"/>
      <c r="F1004" s="11"/>
      <c r="G1004" s="11"/>
      <c r="H1004" s="11"/>
      <c r="I1004" s="11"/>
      <c r="J1004" s="11"/>
      <c r="K1004" s="11"/>
      <c r="L1004" s="11"/>
      <c r="M1004" s="11"/>
      <c r="N1004" s="11"/>
      <c r="O1004" s="11"/>
      <c r="P1004" s="11"/>
      <c r="Q1004" s="11"/>
      <c r="R1004" s="11"/>
      <c r="S1004" s="11"/>
      <c r="T1004" s="11"/>
      <c r="U1004" s="11"/>
      <c r="V1004" s="11"/>
      <c r="W1004" s="11"/>
      <c r="X1004" s="11"/>
      <c r="Y1004" s="11"/>
      <c r="Z1004" s="11"/>
      <c r="AA1004" s="11"/>
      <c r="AB1004" s="11"/>
    </row>
    <row r="1005" spans="1:28" ht="14">
      <c r="A1005" s="11"/>
      <c r="B1005" s="11"/>
      <c r="C1005" s="11"/>
      <c r="D1005" s="11"/>
      <c r="E1005" s="11"/>
      <c r="F1005" s="11"/>
      <c r="G1005" s="11"/>
      <c r="H1005" s="11"/>
      <c r="I1005" s="11"/>
      <c r="J1005" s="11"/>
      <c r="K1005" s="11"/>
      <c r="L1005" s="11"/>
      <c r="M1005" s="11"/>
      <c r="N1005" s="11"/>
      <c r="O1005" s="11"/>
      <c r="P1005" s="11"/>
      <c r="Q1005" s="11"/>
      <c r="R1005" s="11"/>
      <c r="S1005" s="11"/>
      <c r="T1005" s="11"/>
      <c r="U1005" s="11"/>
      <c r="V1005" s="11"/>
      <c r="W1005" s="11"/>
      <c r="X1005" s="11"/>
      <c r="Y1005" s="11"/>
      <c r="Z1005" s="11"/>
      <c r="AA1005" s="11"/>
      <c r="AB1005" s="11"/>
    </row>
    <row r="1006" spans="1:28" ht="14">
      <c r="A1006" s="11"/>
      <c r="B1006" s="11"/>
      <c r="C1006" s="11"/>
      <c r="D1006" s="11"/>
      <c r="E1006" s="11"/>
      <c r="F1006" s="11"/>
      <c r="G1006" s="11"/>
      <c r="H1006" s="11"/>
      <c r="I1006" s="11"/>
      <c r="J1006" s="11"/>
      <c r="K1006" s="11"/>
      <c r="L1006" s="11"/>
      <c r="M1006" s="11"/>
      <c r="N1006" s="11"/>
      <c r="O1006" s="11"/>
      <c r="P1006" s="11"/>
      <c r="Q1006" s="11"/>
      <c r="R1006" s="11"/>
      <c r="S1006" s="11"/>
      <c r="T1006" s="11"/>
      <c r="U1006" s="11"/>
      <c r="V1006" s="11"/>
      <c r="W1006" s="11"/>
      <c r="X1006" s="11"/>
      <c r="Y1006" s="11"/>
      <c r="Z1006" s="11"/>
      <c r="AA1006" s="11"/>
      <c r="AB1006" s="11"/>
    </row>
    <row r="1007" spans="1:28" ht="14">
      <c r="A1007" s="11"/>
      <c r="B1007" s="11"/>
      <c r="C1007" s="11"/>
      <c r="D1007" s="11"/>
      <c r="E1007" s="11"/>
      <c r="F1007" s="11"/>
      <c r="G1007" s="11"/>
      <c r="H1007" s="11"/>
      <c r="I1007" s="11"/>
      <c r="J1007" s="11"/>
      <c r="K1007" s="11"/>
      <c r="L1007" s="11"/>
      <c r="M1007" s="11"/>
      <c r="N1007" s="11"/>
      <c r="O1007" s="11"/>
      <c r="P1007" s="11"/>
      <c r="Q1007" s="11"/>
      <c r="R1007" s="11"/>
      <c r="S1007" s="11"/>
      <c r="T1007" s="11"/>
      <c r="U1007" s="11"/>
      <c r="V1007" s="11"/>
      <c r="W1007" s="11"/>
      <c r="X1007" s="11"/>
      <c r="Y1007" s="11"/>
      <c r="Z1007" s="11"/>
      <c r="AA1007" s="11"/>
      <c r="AB1007" s="11"/>
    </row>
    <row r="1008" spans="1:28" ht="14">
      <c r="A1008" s="11"/>
      <c r="B1008" s="11"/>
      <c r="C1008" s="11"/>
      <c r="D1008" s="11"/>
      <c r="E1008" s="11"/>
      <c r="F1008" s="11"/>
      <c r="G1008" s="11"/>
      <c r="H1008" s="11"/>
      <c r="I1008" s="11"/>
      <c r="J1008" s="11"/>
      <c r="K1008" s="11"/>
      <c r="L1008" s="11"/>
      <c r="M1008" s="11"/>
      <c r="N1008" s="11"/>
      <c r="O1008" s="11"/>
      <c r="P1008" s="11"/>
      <c r="Q1008" s="11"/>
      <c r="R1008" s="11"/>
      <c r="S1008" s="11"/>
      <c r="T1008" s="11"/>
      <c r="U1008" s="11"/>
      <c r="V1008" s="11"/>
      <c r="W1008" s="11"/>
      <c r="X1008" s="11"/>
      <c r="Y1008" s="11"/>
      <c r="Z1008" s="11"/>
      <c r="AA1008" s="11"/>
      <c r="AB1008" s="11"/>
    </row>
    <row r="1009" spans="1:28" ht="14">
      <c r="A1009" s="11"/>
      <c r="B1009" s="11"/>
      <c r="C1009" s="11"/>
      <c r="D1009" s="11"/>
      <c r="E1009" s="11"/>
      <c r="F1009" s="11"/>
      <c r="G1009" s="11"/>
      <c r="H1009" s="11"/>
      <c r="I1009" s="11"/>
      <c r="J1009" s="11"/>
      <c r="K1009" s="11"/>
      <c r="L1009" s="11"/>
      <c r="M1009" s="11"/>
      <c r="N1009" s="11"/>
      <c r="O1009" s="11"/>
      <c r="P1009" s="11"/>
      <c r="Q1009" s="11"/>
      <c r="R1009" s="11"/>
      <c r="S1009" s="11"/>
      <c r="T1009" s="11"/>
      <c r="U1009" s="11"/>
      <c r="V1009" s="11"/>
      <c r="W1009" s="11"/>
      <c r="X1009" s="11"/>
      <c r="Y1009" s="11"/>
      <c r="Z1009" s="11"/>
      <c r="AA1009" s="11"/>
      <c r="AB1009" s="11"/>
    </row>
    <row r="1010" spans="1:28" ht="14">
      <c r="A1010" s="11"/>
      <c r="B1010" s="11"/>
      <c r="C1010" s="11"/>
      <c r="D1010" s="11"/>
      <c r="E1010" s="11"/>
      <c r="F1010" s="11"/>
      <c r="G1010" s="11"/>
      <c r="H1010" s="11"/>
      <c r="I1010" s="11"/>
      <c r="J1010" s="11"/>
      <c r="K1010" s="11"/>
      <c r="L1010" s="11"/>
      <c r="M1010" s="11"/>
      <c r="N1010" s="11"/>
      <c r="O1010" s="11"/>
      <c r="P1010" s="11"/>
      <c r="Q1010" s="11"/>
      <c r="R1010" s="11"/>
      <c r="S1010" s="11"/>
      <c r="T1010" s="11"/>
      <c r="U1010" s="11"/>
      <c r="V1010" s="11"/>
      <c r="W1010" s="11"/>
      <c r="X1010" s="11"/>
      <c r="Y1010" s="11"/>
      <c r="Z1010" s="11"/>
      <c r="AA1010" s="11"/>
      <c r="AB1010" s="11"/>
    </row>
    <row r="1011" spans="1:28" ht="14">
      <c r="A1011" s="11"/>
      <c r="B1011" s="11"/>
      <c r="C1011" s="11"/>
      <c r="D1011" s="11"/>
      <c r="E1011" s="11"/>
      <c r="F1011" s="11"/>
      <c r="G1011" s="11"/>
      <c r="H1011" s="11"/>
      <c r="I1011" s="11"/>
      <c r="J1011" s="11"/>
      <c r="K1011" s="11"/>
      <c r="L1011" s="11"/>
      <c r="M1011" s="11"/>
      <c r="N1011" s="11"/>
      <c r="O1011" s="11"/>
      <c r="P1011" s="11"/>
      <c r="Q1011" s="11"/>
      <c r="R1011" s="11"/>
      <c r="S1011" s="11"/>
      <c r="T1011" s="11"/>
      <c r="U1011" s="11"/>
      <c r="V1011" s="11"/>
      <c r="W1011" s="11"/>
      <c r="X1011" s="11"/>
      <c r="Y1011" s="11"/>
      <c r="Z1011" s="11"/>
      <c r="AA1011" s="11"/>
      <c r="AB1011" s="11"/>
    </row>
    <row r="1012" spans="1:28" ht="14">
      <c r="A1012" s="11"/>
      <c r="B1012" s="11"/>
      <c r="C1012" s="11"/>
      <c r="D1012" s="11"/>
      <c r="E1012" s="11"/>
      <c r="F1012" s="11"/>
      <c r="G1012" s="11"/>
      <c r="H1012" s="11"/>
      <c r="I1012" s="11"/>
      <c r="J1012" s="11"/>
      <c r="K1012" s="11"/>
      <c r="L1012" s="11"/>
      <c r="M1012" s="11"/>
      <c r="N1012" s="11"/>
      <c r="O1012" s="11"/>
      <c r="P1012" s="11"/>
      <c r="Q1012" s="11"/>
      <c r="R1012" s="11"/>
      <c r="S1012" s="11"/>
      <c r="T1012" s="11"/>
      <c r="U1012" s="11"/>
      <c r="V1012" s="11"/>
      <c r="W1012" s="11"/>
      <c r="X1012" s="11"/>
      <c r="Y1012" s="11"/>
      <c r="Z1012" s="11"/>
      <c r="AA1012" s="11"/>
      <c r="AB1012" s="11"/>
    </row>
    <row r="1013" spans="1:28" ht="14">
      <c r="A1013" s="11"/>
      <c r="B1013" s="11"/>
      <c r="C1013" s="11"/>
      <c r="D1013" s="11"/>
      <c r="E1013" s="11"/>
      <c r="F1013" s="11"/>
      <c r="G1013" s="11"/>
      <c r="H1013" s="11"/>
      <c r="I1013" s="11"/>
      <c r="J1013" s="11"/>
      <c r="K1013" s="11"/>
      <c r="L1013" s="11"/>
      <c r="M1013" s="11"/>
      <c r="N1013" s="11"/>
      <c r="O1013" s="11"/>
      <c r="P1013" s="11"/>
      <c r="Q1013" s="11"/>
      <c r="R1013" s="11"/>
      <c r="S1013" s="11"/>
      <c r="T1013" s="11"/>
      <c r="U1013" s="11"/>
      <c r="V1013" s="11"/>
      <c r="W1013" s="11"/>
      <c r="X1013" s="11"/>
      <c r="Y1013" s="11"/>
      <c r="Z1013" s="11"/>
      <c r="AA1013" s="11"/>
      <c r="AB1013" s="11"/>
    </row>
    <row r="1014" spans="1:28" ht="14">
      <c r="A1014" s="11"/>
      <c r="B1014" s="11"/>
      <c r="C1014" s="11"/>
      <c r="D1014" s="11"/>
      <c r="E1014" s="11"/>
      <c r="F1014" s="11"/>
      <c r="G1014" s="11"/>
      <c r="H1014" s="11"/>
      <c r="I1014" s="11"/>
      <c r="J1014" s="11"/>
      <c r="K1014" s="11"/>
      <c r="L1014" s="11"/>
      <c r="M1014" s="11"/>
      <c r="N1014" s="11"/>
      <c r="O1014" s="11"/>
      <c r="P1014" s="11"/>
      <c r="Q1014" s="11"/>
      <c r="R1014" s="11"/>
      <c r="S1014" s="11"/>
      <c r="T1014" s="11"/>
      <c r="U1014" s="11"/>
      <c r="V1014" s="11"/>
      <c r="W1014" s="11"/>
      <c r="X1014" s="11"/>
      <c r="Y1014" s="11"/>
      <c r="Z1014" s="11"/>
      <c r="AA1014" s="11"/>
      <c r="AB1014" s="11"/>
    </row>
    <row r="1015" spans="1:28" ht="14">
      <c r="A1015" s="11"/>
      <c r="B1015" s="11"/>
      <c r="C1015" s="11"/>
      <c r="D1015" s="11"/>
      <c r="E1015" s="11"/>
      <c r="F1015" s="11"/>
      <c r="G1015" s="11"/>
      <c r="H1015" s="11"/>
      <c r="I1015" s="11"/>
      <c r="J1015" s="11"/>
      <c r="K1015" s="11"/>
      <c r="L1015" s="11"/>
      <c r="M1015" s="11"/>
      <c r="N1015" s="11"/>
      <c r="O1015" s="11"/>
      <c r="P1015" s="11"/>
      <c r="Q1015" s="11"/>
      <c r="R1015" s="11"/>
      <c r="S1015" s="11"/>
      <c r="T1015" s="11"/>
      <c r="U1015" s="11"/>
      <c r="V1015" s="11"/>
      <c r="W1015" s="11"/>
      <c r="X1015" s="11"/>
      <c r="Y1015" s="11"/>
      <c r="Z1015" s="11"/>
      <c r="AA1015" s="11"/>
      <c r="AB1015" s="11"/>
    </row>
    <row r="1016" spans="1:28" ht="14">
      <c r="A1016" s="11"/>
      <c r="B1016" s="11"/>
      <c r="C1016" s="11"/>
      <c r="D1016" s="11"/>
      <c r="E1016" s="11"/>
      <c r="F1016" s="11"/>
      <c r="G1016" s="11"/>
      <c r="H1016" s="11"/>
      <c r="I1016" s="11"/>
      <c r="J1016" s="11"/>
      <c r="K1016" s="11"/>
      <c r="L1016" s="11"/>
      <c r="M1016" s="11"/>
      <c r="N1016" s="11"/>
      <c r="O1016" s="11"/>
      <c r="P1016" s="11"/>
      <c r="Q1016" s="11"/>
      <c r="R1016" s="11"/>
      <c r="S1016" s="11"/>
      <c r="T1016" s="11"/>
      <c r="U1016" s="11"/>
      <c r="V1016" s="11"/>
      <c r="W1016" s="11"/>
      <c r="X1016" s="11"/>
      <c r="Y1016" s="11"/>
      <c r="Z1016" s="11"/>
      <c r="AA1016" s="11"/>
      <c r="AB1016" s="11"/>
    </row>
    <row r="1017" spans="1:28" ht="14">
      <c r="A1017" s="11"/>
      <c r="B1017" s="11"/>
      <c r="C1017" s="11"/>
      <c r="D1017" s="11"/>
      <c r="E1017" s="11"/>
      <c r="F1017" s="11"/>
      <c r="G1017" s="11"/>
      <c r="H1017" s="11"/>
      <c r="I1017" s="11"/>
      <c r="J1017" s="11"/>
      <c r="K1017" s="11"/>
      <c r="L1017" s="11"/>
      <c r="M1017" s="11"/>
      <c r="N1017" s="11"/>
      <c r="O1017" s="11"/>
      <c r="P1017" s="11"/>
      <c r="Q1017" s="11"/>
      <c r="R1017" s="11"/>
      <c r="S1017" s="11"/>
      <c r="T1017" s="11"/>
      <c r="U1017" s="11"/>
      <c r="V1017" s="11"/>
      <c r="W1017" s="11"/>
      <c r="X1017" s="11"/>
      <c r="Y1017" s="11"/>
      <c r="Z1017" s="11"/>
      <c r="AA1017" s="11"/>
      <c r="AB1017" s="11"/>
    </row>
    <row r="1018" spans="1:28" ht="14">
      <c r="A1018" s="11"/>
      <c r="B1018" s="11"/>
      <c r="C1018" s="11"/>
      <c r="D1018" s="11"/>
      <c r="E1018" s="11"/>
      <c r="F1018" s="11"/>
      <c r="G1018" s="11"/>
      <c r="H1018" s="11"/>
      <c r="I1018" s="11"/>
      <c r="J1018" s="11"/>
      <c r="K1018" s="11"/>
      <c r="L1018" s="11"/>
      <c r="M1018" s="11"/>
      <c r="N1018" s="11"/>
      <c r="O1018" s="11"/>
      <c r="P1018" s="11"/>
      <c r="Q1018" s="11"/>
      <c r="R1018" s="11"/>
      <c r="S1018" s="11"/>
      <c r="T1018" s="11"/>
      <c r="U1018" s="11"/>
      <c r="V1018" s="11"/>
      <c r="W1018" s="11"/>
      <c r="X1018" s="11"/>
      <c r="Y1018" s="11"/>
      <c r="Z1018" s="11"/>
      <c r="AA1018" s="11"/>
      <c r="AB1018" s="11"/>
    </row>
    <row r="1019" spans="1:28" ht="14">
      <c r="A1019" s="11"/>
      <c r="B1019" s="11"/>
      <c r="C1019" s="11"/>
      <c r="D1019" s="11"/>
      <c r="E1019" s="11"/>
      <c r="F1019" s="11"/>
      <c r="G1019" s="11"/>
      <c r="H1019" s="11"/>
      <c r="I1019" s="11"/>
      <c r="J1019" s="11"/>
      <c r="K1019" s="11"/>
      <c r="L1019" s="11"/>
      <c r="M1019" s="11"/>
      <c r="N1019" s="11"/>
      <c r="O1019" s="11"/>
      <c r="P1019" s="11"/>
      <c r="Q1019" s="11"/>
      <c r="R1019" s="11"/>
      <c r="S1019" s="11"/>
      <c r="T1019" s="11"/>
      <c r="U1019" s="11"/>
      <c r="V1019" s="11"/>
      <c r="W1019" s="11"/>
      <c r="X1019" s="11"/>
      <c r="Y1019" s="11"/>
      <c r="Z1019" s="11"/>
      <c r="AA1019" s="11"/>
      <c r="AB1019" s="11"/>
    </row>
    <row r="1020" spans="1:28" ht="14">
      <c r="A1020" s="11"/>
      <c r="B1020" s="11"/>
      <c r="C1020" s="11"/>
      <c r="D1020" s="11"/>
      <c r="E1020" s="11"/>
      <c r="F1020" s="11"/>
      <c r="G1020" s="11"/>
      <c r="H1020" s="11"/>
      <c r="I1020" s="11"/>
      <c r="J1020" s="11"/>
      <c r="K1020" s="11"/>
      <c r="L1020" s="11"/>
      <c r="M1020" s="11"/>
      <c r="N1020" s="11"/>
      <c r="O1020" s="11"/>
      <c r="P1020" s="11"/>
      <c r="Q1020" s="11"/>
      <c r="R1020" s="11"/>
      <c r="S1020" s="11"/>
      <c r="T1020" s="11"/>
      <c r="U1020" s="11"/>
      <c r="V1020" s="11"/>
      <c r="W1020" s="11"/>
      <c r="X1020" s="11"/>
      <c r="Y1020" s="11"/>
      <c r="Z1020" s="11"/>
      <c r="AA1020" s="11"/>
      <c r="AB1020" s="11"/>
    </row>
    <row r="1021" spans="1:28" ht="14">
      <c r="A1021" s="11"/>
      <c r="B1021" s="11"/>
      <c r="C1021" s="11"/>
      <c r="D1021" s="11"/>
      <c r="E1021" s="11"/>
      <c r="F1021" s="11"/>
      <c r="G1021" s="11"/>
      <c r="H1021" s="11"/>
      <c r="I1021" s="11"/>
      <c r="J1021" s="11"/>
      <c r="K1021" s="11"/>
      <c r="L1021" s="11"/>
      <c r="M1021" s="11"/>
      <c r="N1021" s="11"/>
      <c r="O1021" s="11"/>
      <c r="P1021" s="11"/>
      <c r="Q1021" s="11"/>
      <c r="R1021" s="11"/>
      <c r="S1021" s="11"/>
      <c r="T1021" s="11"/>
      <c r="U1021" s="11"/>
      <c r="V1021" s="11"/>
      <c r="W1021" s="11"/>
      <c r="X1021" s="11"/>
      <c r="Y1021" s="11"/>
      <c r="Z1021" s="11"/>
      <c r="AA1021" s="11"/>
      <c r="AB1021" s="11"/>
    </row>
    <row r="1022" spans="1:28" ht="14">
      <c r="A1022" s="11"/>
      <c r="B1022" s="11"/>
      <c r="C1022" s="11"/>
      <c r="D1022" s="11"/>
      <c r="E1022" s="11"/>
      <c r="F1022" s="11"/>
      <c r="G1022" s="11"/>
      <c r="H1022" s="11"/>
      <c r="I1022" s="11"/>
      <c r="J1022" s="11"/>
      <c r="K1022" s="11"/>
      <c r="L1022" s="11"/>
      <c r="M1022" s="11"/>
      <c r="N1022" s="11"/>
      <c r="O1022" s="11"/>
      <c r="P1022" s="11"/>
      <c r="Q1022" s="11"/>
      <c r="R1022" s="11"/>
      <c r="S1022" s="11"/>
      <c r="T1022" s="11"/>
      <c r="U1022" s="11"/>
      <c r="V1022" s="11"/>
      <c r="W1022" s="11"/>
      <c r="X1022" s="11"/>
      <c r="Y1022" s="11"/>
      <c r="Z1022" s="11"/>
      <c r="AA1022" s="11"/>
      <c r="AB1022" s="11"/>
    </row>
    <row r="1023" spans="1:28" ht="14">
      <c r="A1023" s="11"/>
      <c r="B1023" s="11"/>
      <c r="C1023" s="11"/>
      <c r="D1023" s="11"/>
      <c r="E1023" s="11"/>
      <c r="F1023" s="11"/>
      <c r="G1023" s="11"/>
      <c r="H1023" s="11"/>
      <c r="I1023" s="11"/>
      <c r="J1023" s="11"/>
      <c r="K1023" s="11"/>
      <c r="L1023" s="11"/>
      <c r="M1023" s="11"/>
      <c r="N1023" s="11"/>
      <c r="O1023" s="11"/>
      <c r="P1023" s="11"/>
      <c r="Q1023" s="11"/>
      <c r="R1023" s="11"/>
      <c r="S1023" s="11"/>
      <c r="T1023" s="11"/>
      <c r="U1023" s="11"/>
      <c r="V1023" s="11"/>
      <c r="W1023" s="11"/>
      <c r="X1023" s="11"/>
      <c r="Y1023" s="11"/>
      <c r="Z1023" s="11"/>
      <c r="AA1023" s="11"/>
      <c r="AB1023" s="11"/>
    </row>
    <row r="1024" spans="1:28" ht="14">
      <c r="A1024" s="11"/>
      <c r="B1024" s="11"/>
      <c r="C1024" s="11"/>
      <c r="D1024" s="11"/>
      <c r="E1024" s="11"/>
      <c r="F1024" s="11"/>
      <c r="G1024" s="11"/>
      <c r="H1024" s="11"/>
      <c r="I1024" s="11"/>
      <c r="J1024" s="11"/>
      <c r="K1024" s="11"/>
      <c r="L1024" s="11"/>
      <c r="M1024" s="11"/>
      <c r="N1024" s="11"/>
      <c r="O1024" s="11"/>
      <c r="P1024" s="11"/>
      <c r="Q1024" s="11"/>
      <c r="R1024" s="11"/>
      <c r="S1024" s="11"/>
      <c r="T1024" s="11"/>
      <c r="U1024" s="11"/>
      <c r="V1024" s="11"/>
      <c r="W1024" s="11"/>
      <c r="X1024" s="11"/>
      <c r="Y1024" s="11"/>
      <c r="Z1024" s="11"/>
      <c r="AA1024" s="11"/>
      <c r="AB1024" s="11"/>
    </row>
    <row r="1025" spans="1:28" ht="14">
      <c r="A1025" s="11"/>
      <c r="B1025" s="11"/>
      <c r="C1025" s="11"/>
      <c r="D1025" s="11"/>
      <c r="E1025" s="11"/>
      <c r="F1025" s="11"/>
      <c r="G1025" s="11"/>
      <c r="H1025" s="11"/>
      <c r="I1025" s="11"/>
      <c r="J1025" s="11"/>
      <c r="K1025" s="11"/>
      <c r="L1025" s="11"/>
      <c r="M1025" s="11"/>
      <c r="N1025" s="11"/>
      <c r="O1025" s="11"/>
      <c r="P1025" s="11"/>
      <c r="Q1025" s="11"/>
      <c r="R1025" s="11"/>
      <c r="S1025" s="11"/>
      <c r="T1025" s="11"/>
      <c r="U1025" s="11"/>
      <c r="V1025" s="11"/>
      <c r="W1025" s="11"/>
      <c r="X1025" s="11"/>
      <c r="Y1025" s="11"/>
      <c r="Z1025" s="11"/>
      <c r="AA1025" s="11"/>
      <c r="AB1025" s="11"/>
    </row>
    <row r="1026" spans="1:28" ht="14">
      <c r="A1026" s="11"/>
      <c r="B1026" s="11"/>
      <c r="C1026" s="11"/>
      <c r="D1026" s="11"/>
      <c r="E1026" s="11"/>
      <c r="F1026" s="11"/>
      <c r="G1026" s="11"/>
      <c r="H1026" s="11"/>
      <c r="I1026" s="11"/>
      <c r="J1026" s="11"/>
      <c r="K1026" s="11"/>
      <c r="L1026" s="11"/>
      <c r="M1026" s="11"/>
      <c r="N1026" s="11"/>
      <c r="O1026" s="11"/>
      <c r="P1026" s="11"/>
      <c r="Q1026" s="11"/>
      <c r="R1026" s="11"/>
      <c r="S1026" s="11"/>
      <c r="T1026" s="11"/>
      <c r="U1026" s="11"/>
      <c r="V1026" s="11"/>
      <c r="W1026" s="11"/>
      <c r="X1026" s="11"/>
      <c r="Y1026" s="11"/>
      <c r="Z1026" s="11"/>
      <c r="AA1026" s="11"/>
      <c r="AB1026" s="11"/>
    </row>
    <row r="1027" spans="1:28" ht="14">
      <c r="A1027" s="11"/>
      <c r="B1027" s="11"/>
      <c r="C1027" s="11"/>
      <c r="D1027" s="11"/>
      <c r="E1027" s="11"/>
      <c r="F1027" s="11"/>
      <c r="G1027" s="11"/>
      <c r="H1027" s="11"/>
      <c r="I1027" s="11"/>
      <c r="J1027" s="11"/>
      <c r="K1027" s="11"/>
      <c r="L1027" s="11"/>
      <c r="M1027" s="11"/>
      <c r="N1027" s="11"/>
      <c r="O1027" s="11"/>
      <c r="P1027" s="11"/>
      <c r="Q1027" s="11"/>
      <c r="R1027" s="11"/>
      <c r="S1027" s="11"/>
      <c r="T1027" s="11"/>
      <c r="U1027" s="11"/>
      <c r="V1027" s="11"/>
      <c r="W1027" s="11"/>
      <c r="X1027" s="11"/>
      <c r="Y1027" s="11"/>
      <c r="Z1027" s="11"/>
      <c r="AA1027" s="11"/>
      <c r="AB1027" s="11"/>
    </row>
    <row r="1028" spans="1:28" ht="14">
      <c r="A1028" s="11"/>
      <c r="B1028" s="11"/>
      <c r="C1028" s="11"/>
      <c r="D1028" s="11"/>
      <c r="E1028" s="11"/>
      <c r="F1028" s="11"/>
      <c r="G1028" s="11"/>
      <c r="H1028" s="11"/>
      <c r="I1028" s="11"/>
      <c r="J1028" s="11"/>
      <c r="K1028" s="11"/>
      <c r="L1028" s="11"/>
      <c r="M1028" s="11"/>
      <c r="N1028" s="11"/>
      <c r="O1028" s="11"/>
      <c r="P1028" s="11"/>
      <c r="Q1028" s="11"/>
      <c r="R1028" s="11"/>
      <c r="S1028" s="11"/>
      <c r="T1028" s="11"/>
      <c r="U1028" s="11"/>
      <c r="V1028" s="11"/>
      <c r="W1028" s="11"/>
      <c r="X1028" s="11"/>
      <c r="Y1028" s="11"/>
      <c r="Z1028" s="11"/>
      <c r="AA1028" s="11"/>
      <c r="AB1028" s="11"/>
    </row>
    <row r="1029" spans="1:28" ht="14">
      <c r="A1029" s="11"/>
      <c r="B1029" s="11"/>
      <c r="C1029" s="11"/>
      <c r="D1029" s="11"/>
      <c r="E1029" s="11"/>
      <c r="F1029" s="11"/>
      <c r="G1029" s="11"/>
      <c r="H1029" s="11"/>
      <c r="I1029" s="11"/>
      <c r="J1029" s="11"/>
      <c r="K1029" s="11"/>
      <c r="L1029" s="11"/>
      <c r="M1029" s="11"/>
      <c r="N1029" s="11"/>
      <c r="O1029" s="11"/>
      <c r="P1029" s="11"/>
      <c r="Q1029" s="11"/>
      <c r="R1029" s="11"/>
      <c r="S1029" s="11"/>
      <c r="T1029" s="11"/>
      <c r="U1029" s="11"/>
      <c r="V1029" s="11"/>
      <c r="W1029" s="11"/>
      <c r="X1029" s="11"/>
      <c r="Y1029" s="11"/>
      <c r="Z1029" s="11"/>
      <c r="AA1029" s="11"/>
      <c r="AB1029" s="11"/>
    </row>
    <row r="1030" spans="1:28" ht="14">
      <c r="A1030" s="11"/>
      <c r="B1030" s="11"/>
      <c r="C1030" s="11"/>
      <c r="D1030" s="11"/>
      <c r="E1030" s="11"/>
      <c r="F1030" s="11"/>
      <c r="G1030" s="11"/>
      <c r="H1030" s="11"/>
      <c r="I1030" s="11"/>
      <c r="J1030" s="11"/>
      <c r="K1030" s="11"/>
      <c r="L1030" s="11"/>
      <c r="M1030" s="11"/>
      <c r="N1030" s="11"/>
      <c r="O1030" s="11"/>
      <c r="P1030" s="11"/>
      <c r="Q1030" s="11"/>
      <c r="R1030" s="11"/>
      <c r="S1030" s="11"/>
      <c r="T1030" s="11"/>
      <c r="U1030" s="11"/>
      <c r="V1030" s="11"/>
      <c r="W1030" s="11"/>
      <c r="X1030" s="11"/>
      <c r="Y1030" s="11"/>
      <c r="Z1030" s="11"/>
      <c r="AA1030" s="11"/>
      <c r="AB1030" s="11"/>
    </row>
    <row r="1031" spans="1:28" ht="14">
      <c r="A1031" s="11"/>
      <c r="B1031" s="11"/>
      <c r="C1031" s="11"/>
      <c r="D1031" s="11"/>
      <c r="E1031" s="11"/>
      <c r="F1031" s="11"/>
      <c r="G1031" s="11"/>
      <c r="H1031" s="11"/>
      <c r="I1031" s="11"/>
      <c r="J1031" s="11"/>
      <c r="K1031" s="11"/>
      <c r="L1031" s="11"/>
      <c r="M1031" s="11"/>
      <c r="N1031" s="11"/>
      <c r="O1031" s="11"/>
      <c r="P1031" s="11"/>
      <c r="Q1031" s="11"/>
      <c r="R1031" s="11"/>
      <c r="S1031" s="11"/>
      <c r="T1031" s="11"/>
      <c r="U1031" s="11"/>
      <c r="V1031" s="11"/>
      <c r="W1031" s="11"/>
      <c r="X1031" s="11"/>
      <c r="Y1031" s="11"/>
      <c r="Z1031" s="11"/>
      <c r="AA1031" s="11"/>
      <c r="AB1031" s="11"/>
    </row>
    <row r="1032" spans="1:28" ht="14">
      <c r="A1032" s="11"/>
      <c r="B1032" s="11"/>
      <c r="C1032" s="11"/>
      <c r="D1032" s="11"/>
      <c r="E1032" s="11"/>
      <c r="F1032" s="11"/>
      <c r="G1032" s="11"/>
      <c r="H1032" s="11"/>
      <c r="I1032" s="11"/>
      <c r="J1032" s="11"/>
      <c r="K1032" s="11"/>
      <c r="L1032" s="11"/>
      <c r="M1032" s="11"/>
      <c r="N1032" s="11"/>
      <c r="O1032" s="11"/>
      <c r="P1032" s="11"/>
      <c r="Q1032" s="11"/>
      <c r="R1032" s="11"/>
      <c r="S1032" s="11"/>
      <c r="T1032" s="11"/>
      <c r="U1032" s="11"/>
      <c r="V1032" s="11"/>
      <c r="W1032" s="11"/>
      <c r="X1032" s="11"/>
      <c r="Y1032" s="11"/>
      <c r="Z1032" s="11"/>
      <c r="AA1032" s="11"/>
      <c r="AB1032" s="11"/>
    </row>
    <row r="1033" spans="1:28" ht="14">
      <c r="A1033" s="11"/>
      <c r="B1033" s="11"/>
      <c r="C1033" s="11"/>
      <c r="D1033" s="11"/>
      <c r="E1033" s="11"/>
      <c r="F1033" s="11"/>
      <c r="G1033" s="11"/>
      <c r="H1033" s="11"/>
      <c r="I1033" s="11"/>
      <c r="J1033" s="11"/>
      <c r="K1033" s="11"/>
      <c r="L1033" s="11"/>
      <c r="M1033" s="11"/>
      <c r="N1033" s="11"/>
      <c r="O1033" s="11"/>
      <c r="P1033" s="11"/>
      <c r="Q1033" s="11"/>
      <c r="R1033" s="11"/>
      <c r="S1033" s="11"/>
      <c r="T1033" s="11"/>
      <c r="U1033" s="11"/>
      <c r="V1033" s="11"/>
      <c r="W1033" s="11"/>
      <c r="X1033" s="11"/>
      <c r="Y1033" s="11"/>
      <c r="Z1033" s="11"/>
      <c r="AA1033" s="11"/>
      <c r="AB1033" s="11"/>
    </row>
    <row r="1034" spans="1:28" ht="14">
      <c r="A1034" s="11"/>
      <c r="B1034" s="11"/>
      <c r="C1034" s="11"/>
      <c r="D1034" s="11"/>
      <c r="E1034" s="11"/>
      <c r="F1034" s="11"/>
      <c r="G1034" s="11"/>
      <c r="H1034" s="11"/>
      <c r="I1034" s="11"/>
      <c r="J1034" s="11"/>
      <c r="K1034" s="11"/>
      <c r="L1034" s="11"/>
      <c r="M1034" s="11"/>
      <c r="N1034" s="11"/>
      <c r="O1034" s="11"/>
      <c r="P1034" s="11"/>
      <c r="Q1034" s="11"/>
      <c r="R1034" s="11"/>
      <c r="S1034" s="11"/>
      <c r="T1034" s="11"/>
      <c r="U1034" s="11"/>
      <c r="V1034" s="11"/>
      <c r="W1034" s="11"/>
      <c r="X1034" s="11"/>
      <c r="Y1034" s="11"/>
      <c r="Z1034" s="11"/>
      <c r="AA1034" s="11"/>
      <c r="AB1034" s="11"/>
    </row>
    <row r="1035" spans="1:28" ht="14">
      <c r="A1035" s="11"/>
      <c r="B1035" s="11"/>
      <c r="C1035" s="11"/>
      <c r="D1035" s="11"/>
      <c r="E1035" s="11"/>
      <c r="F1035" s="11"/>
      <c r="G1035" s="11"/>
      <c r="H1035" s="11"/>
      <c r="I1035" s="11"/>
      <c r="J1035" s="11"/>
      <c r="K1035" s="11"/>
      <c r="L1035" s="11"/>
      <c r="M1035" s="11"/>
      <c r="N1035" s="11"/>
      <c r="O1035" s="11"/>
      <c r="P1035" s="11"/>
      <c r="Q1035" s="11"/>
      <c r="R1035" s="11"/>
      <c r="S1035" s="11"/>
      <c r="T1035" s="11"/>
      <c r="U1035" s="11"/>
      <c r="V1035" s="11"/>
      <c r="W1035" s="11"/>
      <c r="X1035" s="11"/>
      <c r="Y1035" s="11"/>
      <c r="Z1035" s="11"/>
      <c r="AA1035" s="11"/>
      <c r="AB1035" s="11"/>
    </row>
    <row r="1036" spans="1:28" ht="14">
      <c r="A1036" s="11"/>
      <c r="B1036" s="11"/>
      <c r="C1036" s="11"/>
      <c r="D1036" s="11"/>
      <c r="E1036" s="11"/>
      <c r="F1036" s="11"/>
      <c r="G1036" s="11"/>
      <c r="H1036" s="11"/>
      <c r="I1036" s="11"/>
      <c r="J1036" s="11"/>
      <c r="K1036" s="11"/>
      <c r="L1036" s="11"/>
      <c r="M1036" s="11"/>
      <c r="N1036" s="11"/>
      <c r="O1036" s="11"/>
      <c r="P1036" s="11"/>
      <c r="Q1036" s="11"/>
      <c r="R1036" s="11"/>
      <c r="S1036" s="11"/>
      <c r="T1036" s="11"/>
      <c r="U1036" s="11"/>
      <c r="V1036" s="11"/>
      <c r="W1036" s="11"/>
      <c r="X1036" s="11"/>
      <c r="Y1036" s="11"/>
      <c r="Z1036" s="11"/>
      <c r="AA1036" s="11"/>
      <c r="AB1036" s="11"/>
    </row>
    <row r="1037" spans="1:28" ht="14">
      <c r="A1037" s="11"/>
      <c r="B1037" s="11"/>
      <c r="C1037" s="11"/>
      <c r="D1037" s="11"/>
      <c r="E1037" s="11"/>
      <c r="F1037" s="11"/>
      <c r="G1037" s="11"/>
      <c r="H1037" s="11"/>
      <c r="I1037" s="11"/>
      <c r="J1037" s="11"/>
      <c r="K1037" s="11"/>
      <c r="L1037" s="11"/>
      <c r="M1037" s="11"/>
      <c r="N1037" s="11"/>
      <c r="O1037" s="11"/>
      <c r="P1037" s="11"/>
      <c r="Q1037" s="11"/>
      <c r="R1037" s="11"/>
      <c r="S1037" s="11"/>
      <c r="T1037" s="11"/>
      <c r="U1037" s="11"/>
      <c r="V1037" s="11"/>
      <c r="W1037" s="11"/>
      <c r="X1037" s="11"/>
      <c r="Y1037" s="11"/>
      <c r="Z1037" s="11"/>
      <c r="AA1037" s="11"/>
      <c r="AB1037" s="11"/>
    </row>
    <row r="1038" spans="1:28" ht="14">
      <c r="A1038" s="11"/>
      <c r="B1038" s="11"/>
      <c r="C1038" s="11"/>
      <c r="D1038" s="11"/>
      <c r="E1038" s="11"/>
      <c r="F1038" s="11"/>
      <c r="G1038" s="11"/>
      <c r="H1038" s="11"/>
      <c r="I1038" s="11"/>
      <c r="J1038" s="11"/>
      <c r="K1038" s="11"/>
      <c r="L1038" s="11"/>
      <c r="M1038" s="11"/>
      <c r="N1038" s="11"/>
      <c r="O1038" s="11"/>
      <c r="P1038" s="11"/>
      <c r="Q1038" s="11"/>
      <c r="R1038" s="11"/>
      <c r="S1038" s="11"/>
      <c r="T1038" s="11"/>
      <c r="U1038" s="11"/>
      <c r="V1038" s="11"/>
      <c r="W1038" s="11"/>
      <c r="X1038" s="11"/>
      <c r="Y1038" s="11"/>
      <c r="Z1038" s="11"/>
      <c r="AA1038" s="11"/>
      <c r="AB1038" s="11"/>
    </row>
    <row r="1039" spans="1:28" ht="14">
      <c r="A1039" s="11"/>
      <c r="B1039" s="11"/>
      <c r="C1039" s="11"/>
      <c r="D1039" s="11"/>
      <c r="E1039" s="11"/>
      <c r="F1039" s="11"/>
      <c r="G1039" s="11"/>
      <c r="H1039" s="11"/>
      <c r="I1039" s="11"/>
      <c r="J1039" s="11"/>
      <c r="K1039" s="11"/>
      <c r="L1039" s="11"/>
      <c r="M1039" s="11"/>
      <c r="N1039" s="11"/>
      <c r="O1039" s="11"/>
      <c r="P1039" s="11"/>
      <c r="Q1039" s="11"/>
      <c r="R1039" s="11"/>
      <c r="S1039" s="11"/>
      <c r="T1039" s="11"/>
      <c r="U1039" s="11"/>
      <c r="V1039" s="11"/>
      <c r="W1039" s="11"/>
      <c r="X1039" s="11"/>
      <c r="Y1039" s="11"/>
      <c r="Z1039" s="11"/>
      <c r="AA1039" s="11"/>
      <c r="AB1039" s="11"/>
    </row>
    <row r="1040" spans="1:28" ht="14">
      <c r="A1040" s="11"/>
      <c r="B1040" s="11"/>
      <c r="C1040" s="11"/>
      <c r="D1040" s="11"/>
      <c r="E1040" s="11"/>
      <c r="F1040" s="11"/>
      <c r="G1040" s="11"/>
      <c r="H1040" s="11"/>
      <c r="I1040" s="11"/>
      <c r="J1040" s="11"/>
      <c r="K1040" s="11"/>
      <c r="L1040" s="11"/>
      <c r="M1040" s="11"/>
      <c r="N1040" s="11"/>
      <c r="O1040" s="11"/>
      <c r="P1040" s="11"/>
      <c r="Q1040" s="11"/>
      <c r="R1040" s="11"/>
      <c r="S1040" s="11"/>
      <c r="T1040" s="11"/>
      <c r="U1040" s="11"/>
      <c r="V1040" s="11"/>
      <c r="W1040" s="11"/>
      <c r="X1040" s="11"/>
      <c r="Y1040" s="11"/>
      <c r="Z1040" s="11"/>
      <c r="AA1040" s="11"/>
      <c r="AB1040" s="11"/>
    </row>
    <row r="1041" spans="1:28" ht="14">
      <c r="A1041" s="11"/>
      <c r="B1041" s="11"/>
      <c r="C1041" s="11"/>
      <c r="D1041" s="11"/>
      <c r="E1041" s="11"/>
      <c r="F1041" s="11"/>
      <c r="G1041" s="11"/>
      <c r="H1041" s="11"/>
      <c r="I1041" s="11"/>
      <c r="J1041" s="11"/>
      <c r="K1041" s="11"/>
      <c r="L1041" s="11"/>
      <c r="M1041" s="11"/>
      <c r="N1041" s="11"/>
      <c r="O1041" s="11"/>
      <c r="P1041" s="11"/>
      <c r="Q1041" s="11"/>
      <c r="R1041" s="11"/>
      <c r="S1041" s="11"/>
      <c r="T1041" s="11"/>
      <c r="U1041" s="11"/>
      <c r="V1041" s="11"/>
      <c r="W1041" s="11"/>
      <c r="X1041" s="11"/>
      <c r="Y1041" s="11"/>
      <c r="Z1041" s="11"/>
      <c r="AA1041" s="11"/>
      <c r="AB1041" s="11"/>
    </row>
    <row r="1042" spans="1:28" ht="14">
      <c r="A1042" s="11"/>
      <c r="B1042" s="11"/>
      <c r="C1042" s="11"/>
      <c r="D1042" s="11"/>
      <c r="E1042" s="11"/>
      <c r="F1042" s="11"/>
      <c r="G1042" s="11"/>
      <c r="H1042" s="11"/>
      <c r="I1042" s="11"/>
      <c r="J1042" s="11"/>
      <c r="K1042" s="11"/>
      <c r="L1042" s="11"/>
      <c r="M1042" s="11"/>
      <c r="N1042" s="11"/>
      <c r="O1042" s="11"/>
      <c r="P1042" s="11"/>
      <c r="Q1042" s="11"/>
      <c r="R1042" s="11"/>
      <c r="S1042" s="11"/>
      <c r="T1042" s="11"/>
      <c r="U1042" s="11"/>
      <c r="V1042" s="11"/>
      <c r="W1042" s="11"/>
      <c r="X1042" s="11"/>
      <c r="Y1042" s="11"/>
      <c r="Z1042" s="11"/>
      <c r="AA1042" s="11"/>
      <c r="AB1042" s="11"/>
    </row>
    <row r="1043" spans="1:28" ht="14">
      <c r="A1043" s="11"/>
      <c r="B1043" s="11"/>
      <c r="C1043" s="11"/>
      <c r="D1043" s="11"/>
      <c r="E1043" s="11"/>
      <c r="F1043" s="11"/>
      <c r="G1043" s="11"/>
      <c r="H1043" s="11"/>
      <c r="I1043" s="11"/>
      <c r="J1043" s="11"/>
      <c r="K1043" s="11"/>
      <c r="L1043" s="11"/>
      <c r="M1043" s="11"/>
      <c r="N1043" s="11"/>
      <c r="O1043" s="11"/>
      <c r="P1043" s="11"/>
      <c r="Q1043" s="11"/>
      <c r="R1043" s="11"/>
      <c r="S1043" s="11"/>
      <c r="T1043" s="11"/>
      <c r="U1043" s="11"/>
      <c r="V1043" s="11"/>
      <c r="W1043" s="11"/>
      <c r="X1043" s="11"/>
      <c r="Y1043" s="11"/>
      <c r="Z1043" s="11"/>
      <c r="AA1043" s="11"/>
      <c r="AB1043" s="11"/>
    </row>
    <row r="1044" spans="1:28" ht="14">
      <c r="A1044" s="11"/>
      <c r="B1044" s="11"/>
      <c r="C1044" s="11"/>
      <c r="D1044" s="11"/>
      <c r="E1044" s="11"/>
      <c r="F1044" s="11"/>
      <c r="G1044" s="11"/>
      <c r="H1044" s="11"/>
      <c r="I1044" s="11"/>
      <c r="J1044" s="11"/>
      <c r="K1044" s="11"/>
      <c r="L1044" s="11"/>
      <c r="M1044" s="11"/>
      <c r="N1044" s="11"/>
      <c r="O1044" s="11"/>
      <c r="P1044" s="11"/>
      <c r="Q1044" s="11"/>
      <c r="R1044" s="11"/>
      <c r="S1044" s="11"/>
      <c r="T1044" s="11"/>
      <c r="U1044" s="11"/>
      <c r="V1044" s="11"/>
      <c r="W1044" s="11"/>
      <c r="X1044" s="11"/>
      <c r="Y1044" s="11"/>
      <c r="Z1044" s="11"/>
      <c r="AA1044" s="11"/>
      <c r="AB1044" s="11"/>
    </row>
    <row r="1045" spans="1:28" ht="14">
      <c r="A1045" s="11"/>
      <c r="B1045" s="11"/>
      <c r="C1045" s="11"/>
      <c r="D1045" s="11"/>
      <c r="E1045" s="11"/>
      <c r="F1045" s="11"/>
      <c r="G1045" s="11"/>
      <c r="H1045" s="11"/>
      <c r="I1045" s="11"/>
      <c r="J1045" s="11"/>
      <c r="K1045" s="11"/>
      <c r="L1045" s="11"/>
      <c r="M1045" s="11"/>
      <c r="N1045" s="11"/>
      <c r="O1045" s="11"/>
      <c r="P1045" s="11"/>
      <c r="Q1045" s="11"/>
      <c r="R1045" s="11"/>
      <c r="S1045" s="11"/>
      <c r="T1045" s="11"/>
      <c r="U1045" s="11"/>
      <c r="V1045" s="11"/>
      <c r="W1045" s="11"/>
      <c r="X1045" s="11"/>
      <c r="Y1045" s="11"/>
      <c r="Z1045" s="11"/>
      <c r="AA1045" s="11"/>
      <c r="AB1045" s="11"/>
    </row>
    <row r="1046" spans="1:28" ht="14">
      <c r="A1046" s="11"/>
      <c r="B1046" s="11"/>
      <c r="C1046" s="11"/>
      <c r="D1046" s="11"/>
      <c r="E1046" s="11"/>
      <c r="F1046" s="11"/>
      <c r="G1046" s="11"/>
      <c r="H1046" s="11"/>
      <c r="I1046" s="11"/>
      <c r="J1046" s="11"/>
      <c r="K1046" s="11"/>
      <c r="L1046" s="11"/>
      <c r="M1046" s="11"/>
      <c r="N1046" s="11"/>
      <c r="O1046" s="11"/>
      <c r="P1046" s="11"/>
      <c r="Q1046" s="11"/>
      <c r="R1046" s="11"/>
      <c r="S1046" s="11"/>
      <c r="T1046" s="11"/>
      <c r="U1046" s="11"/>
      <c r="V1046" s="11"/>
      <c r="W1046" s="11"/>
      <c r="X1046" s="11"/>
      <c r="Y1046" s="11"/>
      <c r="Z1046" s="11"/>
      <c r="AA1046" s="11"/>
      <c r="AB1046" s="11"/>
    </row>
    <row r="1047" spans="1:28" ht="14">
      <c r="A1047" s="11"/>
      <c r="B1047" s="11"/>
      <c r="C1047" s="11"/>
      <c r="D1047" s="11"/>
      <c r="E1047" s="11"/>
      <c r="F1047" s="11"/>
      <c r="G1047" s="11"/>
      <c r="H1047" s="11"/>
      <c r="I1047" s="11"/>
      <c r="J1047" s="11"/>
      <c r="K1047" s="11"/>
      <c r="L1047" s="11"/>
      <c r="M1047" s="11"/>
      <c r="N1047" s="11"/>
      <c r="O1047" s="11"/>
      <c r="P1047" s="11"/>
      <c r="Q1047" s="11"/>
      <c r="R1047" s="11"/>
      <c r="S1047" s="11"/>
      <c r="T1047" s="11"/>
      <c r="U1047" s="11"/>
      <c r="V1047" s="11"/>
      <c r="W1047" s="11"/>
      <c r="X1047" s="11"/>
      <c r="Y1047" s="11"/>
      <c r="Z1047" s="11"/>
      <c r="AA1047" s="11"/>
      <c r="AB1047" s="11"/>
    </row>
    <row r="1048" spans="1:28" ht="14">
      <c r="A1048" s="11"/>
      <c r="B1048" s="11"/>
      <c r="C1048" s="11"/>
      <c r="D1048" s="11"/>
      <c r="E1048" s="11"/>
      <c r="F1048" s="11"/>
      <c r="G1048" s="11"/>
      <c r="H1048" s="11"/>
      <c r="I1048" s="11"/>
      <c r="J1048" s="11"/>
      <c r="K1048" s="11"/>
      <c r="L1048" s="11"/>
      <c r="M1048" s="11"/>
      <c r="N1048" s="11"/>
      <c r="O1048" s="11"/>
      <c r="P1048" s="11"/>
      <c r="Q1048" s="11"/>
      <c r="R1048" s="11"/>
      <c r="S1048" s="11"/>
      <c r="T1048" s="11"/>
      <c r="U1048" s="11"/>
      <c r="V1048" s="11"/>
      <c r="W1048" s="11"/>
      <c r="X1048" s="11"/>
      <c r="Y1048" s="11"/>
      <c r="Z1048" s="11"/>
      <c r="AA1048" s="11"/>
      <c r="AB1048" s="11"/>
    </row>
    <row r="1049" spans="1:28" ht="14">
      <c r="A1049" s="11"/>
      <c r="B1049" s="11"/>
      <c r="C1049" s="11"/>
      <c r="D1049" s="11"/>
      <c r="E1049" s="11"/>
      <c r="F1049" s="11"/>
      <c r="G1049" s="11"/>
      <c r="H1049" s="11"/>
      <c r="I1049" s="11"/>
      <c r="J1049" s="11"/>
      <c r="K1049" s="11"/>
      <c r="L1049" s="11"/>
      <c r="M1049" s="11"/>
      <c r="N1049" s="11"/>
      <c r="O1049" s="11"/>
      <c r="P1049" s="11"/>
      <c r="Q1049" s="11"/>
      <c r="R1049" s="11"/>
      <c r="S1049" s="11"/>
      <c r="T1049" s="11"/>
      <c r="U1049" s="11"/>
      <c r="V1049" s="11"/>
      <c r="W1049" s="11"/>
      <c r="X1049" s="11"/>
      <c r="Y1049" s="11"/>
      <c r="Z1049" s="11"/>
      <c r="AA1049" s="11"/>
      <c r="AB1049" s="11"/>
    </row>
    <row r="1050" spans="1:28" ht="14">
      <c r="A1050" s="11"/>
      <c r="B1050" s="11"/>
      <c r="C1050" s="11"/>
      <c r="D1050" s="11"/>
      <c r="E1050" s="11"/>
      <c r="F1050" s="11"/>
      <c r="G1050" s="11"/>
      <c r="H1050" s="11"/>
      <c r="I1050" s="11"/>
      <c r="J1050" s="11"/>
      <c r="K1050" s="11"/>
      <c r="L1050" s="11"/>
      <c r="M1050" s="11"/>
      <c r="N1050" s="11"/>
      <c r="O1050" s="11"/>
      <c r="P1050" s="11"/>
      <c r="Q1050" s="11"/>
      <c r="R1050" s="11"/>
      <c r="S1050" s="11"/>
      <c r="T1050" s="11"/>
      <c r="U1050" s="11"/>
      <c r="V1050" s="11"/>
      <c r="W1050" s="11"/>
      <c r="X1050" s="11"/>
      <c r="Y1050" s="11"/>
      <c r="Z1050" s="11"/>
      <c r="AA1050" s="11"/>
      <c r="AB1050" s="11"/>
    </row>
    <row r="1051" spans="1:28" ht="14">
      <c r="A1051" s="11"/>
      <c r="B1051" s="11"/>
      <c r="C1051" s="11"/>
      <c r="D1051" s="11"/>
      <c r="E1051" s="11"/>
      <c r="F1051" s="11"/>
      <c r="G1051" s="11"/>
      <c r="H1051" s="11"/>
      <c r="I1051" s="11"/>
      <c r="J1051" s="11"/>
      <c r="K1051" s="11"/>
      <c r="L1051" s="11"/>
      <c r="M1051" s="11"/>
      <c r="N1051" s="11"/>
      <c r="O1051" s="11"/>
      <c r="P1051" s="11"/>
      <c r="Q1051" s="11"/>
      <c r="R1051" s="11"/>
      <c r="S1051" s="11"/>
      <c r="T1051" s="11"/>
      <c r="U1051" s="11"/>
      <c r="V1051" s="11"/>
      <c r="W1051" s="11"/>
      <c r="X1051" s="11"/>
      <c r="Y1051" s="11"/>
      <c r="Z1051" s="11"/>
      <c r="AA1051" s="11"/>
      <c r="AB1051" s="11"/>
    </row>
    <row r="1052" spans="1:28" ht="14">
      <c r="A1052" s="11"/>
      <c r="B1052" s="11"/>
      <c r="C1052" s="11"/>
      <c r="D1052" s="11"/>
      <c r="E1052" s="11"/>
      <c r="F1052" s="11"/>
      <c r="G1052" s="11"/>
      <c r="H1052" s="11"/>
      <c r="I1052" s="11"/>
      <c r="J1052" s="11"/>
      <c r="K1052" s="11"/>
      <c r="L1052" s="11"/>
      <c r="M1052" s="11"/>
      <c r="N1052" s="11"/>
      <c r="O1052" s="11"/>
      <c r="P1052" s="11"/>
      <c r="Q1052" s="11"/>
      <c r="R1052" s="11"/>
      <c r="S1052" s="11"/>
      <c r="T1052" s="11"/>
      <c r="U1052" s="11"/>
      <c r="V1052" s="11"/>
      <c r="W1052" s="11"/>
      <c r="X1052" s="11"/>
      <c r="Y1052" s="11"/>
      <c r="Z1052" s="11"/>
      <c r="AA1052" s="11"/>
      <c r="AB1052" s="11"/>
    </row>
    <row r="1053" spans="1:28" ht="14">
      <c r="A1053" s="11"/>
      <c r="B1053" s="11"/>
      <c r="C1053" s="11"/>
      <c r="D1053" s="11"/>
      <c r="E1053" s="11"/>
      <c r="F1053" s="11"/>
      <c r="G1053" s="11"/>
      <c r="H1053" s="11"/>
      <c r="I1053" s="11"/>
      <c r="J1053" s="11"/>
      <c r="K1053" s="11"/>
      <c r="L1053" s="11"/>
      <c r="M1053" s="11"/>
      <c r="N1053" s="11"/>
      <c r="O1053" s="11"/>
      <c r="P1053" s="11"/>
      <c r="Q1053" s="11"/>
      <c r="R1053" s="11"/>
      <c r="S1053" s="11"/>
      <c r="T1053" s="11"/>
      <c r="U1053" s="11"/>
      <c r="V1053" s="11"/>
      <c r="W1053" s="11"/>
      <c r="X1053" s="11"/>
      <c r="Y1053" s="11"/>
      <c r="Z1053" s="11"/>
      <c r="AA1053" s="11"/>
      <c r="AB1053" s="11"/>
    </row>
    <row r="1054" spans="1:28" ht="14">
      <c r="A1054" s="11"/>
      <c r="B1054" s="11"/>
      <c r="C1054" s="11"/>
      <c r="D1054" s="11"/>
      <c r="E1054" s="11"/>
      <c r="F1054" s="11"/>
      <c r="G1054" s="11"/>
      <c r="H1054" s="11"/>
      <c r="I1054" s="11"/>
      <c r="J1054" s="11"/>
      <c r="K1054" s="11"/>
      <c r="L1054" s="11"/>
      <c r="M1054" s="11"/>
      <c r="N1054" s="11"/>
      <c r="O1054" s="11"/>
      <c r="P1054" s="11"/>
      <c r="Q1054" s="11"/>
      <c r="R1054" s="11"/>
      <c r="S1054" s="11"/>
      <c r="T1054" s="11"/>
      <c r="U1054" s="11"/>
      <c r="V1054" s="11"/>
      <c r="W1054" s="11"/>
      <c r="X1054" s="11"/>
      <c r="Y1054" s="11"/>
      <c r="Z1054" s="11"/>
      <c r="AA1054" s="11"/>
      <c r="AB1054" s="11"/>
    </row>
    <row r="1055" spans="1:28" ht="14">
      <c r="A1055" s="11"/>
      <c r="B1055" s="11"/>
      <c r="C1055" s="11"/>
      <c r="D1055" s="11"/>
      <c r="E1055" s="11"/>
      <c r="F1055" s="11"/>
      <c r="G1055" s="11"/>
      <c r="H1055" s="11"/>
      <c r="I1055" s="11"/>
      <c r="J1055" s="11"/>
      <c r="K1055" s="11"/>
      <c r="L1055" s="11"/>
      <c r="M1055" s="11"/>
      <c r="N1055" s="11"/>
      <c r="O1055" s="11"/>
      <c r="P1055" s="11"/>
      <c r="Q1055" s="11"/>
      <c r="R1055" s="11"/>
      <c r="S1055" s="11"/>
      <c r="T1055" s="11"/>
      <c r="U1055" s="11"/>
      <c r="V1055" s="11"/>
      <c r="W1055" s="11"/>
      <c r="X1055" s="11"/>
      <c r="Y1055" s="11"/>
      <c r="Z1055" s="11"/>
      <c r="AA1055" s="11"/>
      <c r="AB1055" s="11"/>
    </row>
    <row r="1056" spans="1:28" ht="14">
      <c r="A1056" s="11"/>
      <c r="B1056" s="11"/>
      <c r="C1056" s="11"/>
      <c r="D1056" s="11"/>
      <c r="E1056" s="11"/>
      <c r="F1056" s="11"/>
      <c r="G1056" s="11"/>
      <c r="H1056" s="11"/>
      <c r="I1056" s="11"/>
      <c r="J1056" s="11"/>
      <c r="K1056" s="11"/>
      <c r="L1056" s="11"/>
      <c r="M1056" s="11"/>
      <c r="N1056" s="11"/>
      <c r="O1056" s="11"/>
      <c r="P1056" s="11"/>
      <c r="Q1056" s="11"/>
      <c r="R1056" s="11"/>
      <c r="S1056" s="11"/>
      <c r="T1056" s="11"/>
      <c r="U1056" s="11"/>
      <c r="V1056" s="11"/>
      <c r="W1056" s="11"/>
      <c r="X1056" s="11"/>
      <c r="Y1056" s="11"/>
      <c r="Z1056" s="11"/>
      <c r="AA1056" s="11"/>
      <c r="AB1056" s="11"/>
    </row>
    <row r="1057" spans="1:28" ht="14">
      <c r="A1057" s="11"/>
      <c r="B1057" s="11"/>
      <c r="C1057" s="11"/>
      <c r="D1057" s="11"/>
      <c r="E1057" s="11"/>
      <c r="F1057" s="11"/>
      <c r="G1057" s="11"/>
      <c r="H1057" s="11"/>
      <c r="I1057" s="11"/>
      <c r="J1057" s="11"/>
      <c r="K1057" s="11"/>
      <c r="L1057" s="11"/>
      <c r="M1057" s="11"/>
      <c r="N1057" s="11"/>
      <c r="O1057" s="11"/>
      <c r="P1057" s="11"/>
      <c r="Q1057" s="11"/>
      <c r="R1057" s="11"/>
      <c r="S1057" s="11"/>
      <c r="T1057" s="11"/>
      <c r="U1057" s="11"/>
      <c r="V1057" s="11"/>
      <c r="W1057" s="11"/>
      <c r="X1057" s="11"/>
      <c r="Y1057" s="11"/>
      <c r="Z1057" s="11"/>
      <c r="AA1057" s="11"/>
      <c r="AB1057" s="11"/>
    </row>
    <row r="1058" spans="1:28" ht="14">
      <c r="A1058" s="11"/>
      <c r="B1058" s="11"/>
      <c r="C1058" s="11"/>
      <c r="D1058" s="11"/>
      <c r="E1058" s="11"/>
      <c r="F1058" s="11"/>
      <c r="G1058" s="11"/>
      <c r="H1058" s="11"/>
      <c r="I1058" s="11"/>
      <c r="J1058" s="11"/>
      <c r="K1058" s="11"/>
      <c r="L1058" s="11"/>
      <c r="M1058" s="11"/>
      <c r="N1058" s="11"/>
      <c r="O1058" s="11"/>
      <c r="P1058" s="11"/>
      <c r="Q1058" s="11"/>
      <c r="R1058" s="11"/>
      <c r="S1058" s="11"/>
      <c r="T1058" s="11"/>
      <c r="U1058" s="11"/>
      <c r="V1058" s="11"/>
      <c r="W1058" s="11"/>
      <c r="X1058" s="11"/>
      <c r="Y1058" s="11"/>
      <c r="Z1058" s="11"/>
      <c r="AA1058" s="11"/>
      <c r="AB1058" s="11"/>
    </row>
    <row r="1059" spans="1:28" ht="14">
      <c r="A1059" s="11"/>
      <c r="B1059" s="11"/>
      <c r="C1059" s="11"/>
      <c r="D1059" s="11"/>
      <c r="E1059" s="11"/>
      <c r="F1059" s="11"/>
      <c r="G1059" s="11"/>
      <c r="H1059" s="11"/>
      <c r="I1059" s="11"/>
      <c r="J1059" s="11"/>
      <c r="K1059" s="11"/>
      <c r="L1059" s="11"/>
      <c r="M1059" s="11"/>
      <c r="N1059" s="11"/>
      <c r="O1059" s="11"/>
      <c r="P1059" s="11"/>
      <c r="Q1059" s="11"/>
      <c r="R1059" s="11"/>
      <c r="S1059" s="11"/>
      <c r="T1059" s="11"/>
      <c r="U1059" s="11"/>
      <c r="V1059" s="11"/>
      <c r="W1059" s="11"/>
      <c r="X1059" s="11"/>
      <c r="Y1059" s="11"/>
      <c r="Z1059" s="11"/>
      <c r="AA1059" s="11"/>
      <c r="AB1059" s="11"/>
    </row>
    <row r="1060" spans="1:28" ht="14">
      <c r="A1060" s="11"/>
      <c r="B1060" s="11"/>
      <c r="C1060" s="11"/>
      <c r="D1060" s="11"/>
      <c r="E1060" s="11"/>
      <c r="F1060" s="11"/>
      <c r="G1060" s="11"/>
      <c r="H1060" s="11"/>
      <c r="I1060" s="11"/>
      <c r="J1060" s="11"/>
      <c r="K1060" s="11"/>
      <c r="L1060" s="11"/>
      <c r="M1060" s="11"/>
      <c r="N1060" s="11"/>
      <c r="O1060" s="11"/>
      <c r="P1060" s="11"/>
      <c r="Q1060" s="11"/>
      <c r="R1060" s="11"/>
      <c r="S1060" s="11"/>
      <c r="T1060" s="11"/>
      <c r="U1060" s="11"/>
      <c r="V1060" s="11"/>
      <c r="W1060" s="11"/>
      <c r="X1060" s="11"/>
      <c r="Y1060" s="11"/>
      <c r="Z1060" s="11"/>
      <c r="AA1060" s="11"/>
      <c r="AB1060" s="11"/>
    </row>
    <row r="1061" spans="1:28" ht="14">
      <c r="A1061" s="11"/>
      <c r="B1061" s="11"/>
      <c r="C1061" s="11"/>
      <c r="D1061" s="11"/>
      <c r="E1061" s="11"/>
      <c r="F1061" s="11"/>
      <c r="G1061" s="11"/>
      <c r="H1061" s="11"/>
      <c r="I1061" s="11"/>
      <c r="J1061" s="11"/>
      <c r="K1061" s="11"/>
      <c r="L1061" s="11"/>
      <c r="M1061" s="11"/>
      <c r="N1061" s="11"/>
      <c r="O1061" s="11"/>
      <c r="P1061" s="11"/>
      <c r="Q1061" s="11"/>
      <c r="R1061" s="11"/>
      <c r="S1061" s="11"/>
      <c r="T1061" s="11"/>
      <c r="U1061" s="11"/>
      <c r="V1061" s="11"/>
      <c r="W1061" s="11"/>
      <c r="X1061" s="11"/>
      <c r="Y1061" s="11"/>
      <c r="Z1061" s="11"/>
      <c r="AA1061" s="11"/>
      <c r="AB1061" s="11"/>
    </row>
    <row r="1062" spans="1:28" ht="14">
      <c r="A1062" s="11"/>
      <c r="B1062" s="11"/>
      <c r="C1062" s="11"/>
      <c r="D1062" s="11"/>
      <c r="E1062" s="11"/>
      <c r="F1062" s="11"/>
      <c r="G1062" s="11"/>
      <c r="H1062" s="11"/>
      <c r="I1062" s="11"/>
      <c r="J1062" s="11"/>
      <c r="K1062" s="11"/>
      <c r="L1062" s="11"/>
      <c r="M1062" s="11"/>
      <c r="N1062" s="11"/>
      <c r="O1062" s="11"/>
      <c r="P1062" s="11"/>
      <c r="Q1062" s="11"/>
      <c r="R1062" s="11"/>
      <c r="S1062" s="11"/>
      <c r="T1062" s="11"/>
      <c r="U1062" s="11"/>
      <c r="V1062" s="11"/>
      <c r="W1062" s="11"/>
      <c r="X1062" s="11"/>
      <c r="Y1062" s="11"/>
      <c r="Z1062" s="11"/>
      <c r="AA1062" s="11"/>
      <c r="AB1062" s="11"/>
    </row>
    <row r="1063" spans="1:28" ht="14">
      <c r="A1063" s="11"/>
      <c r="B1063" s="11"/>
      <c r="C1063" s="11"/>
      <c r="D1063" s="11"/>
      <c r="E1063" s="11"/>
      <c r="F1063" s="11"/>
      <c r="G1063" s="11"/>
      <c r="H1063" s="11"/>
      <c r="I1063" s="11"/>
      <c r="J1063" s="11"/>
      <c r="K1063" s="11"/>
      <c r="L1063" s="11"/>
      <c r="M1063" s="11"/>
      <c r="N1063" s="11"/>
      <c r="O1063" s="11"/>
      <c r="P1063" s="11"/>
      <c r="Q1063" s="11"/>
      <c r="R1063" s="11"/>
      <c r="S1063" s="11"/>
      <c r="T1063" s="11"/>
      <c r="U1063" s="11"/>
      <c r="V1063" s="11"/>
      <c r="W1063" s="11"/>
      <c r="X1063" s="11"/>
      <c r="Y1063" s="11"/>
      <c r="Z1063" s="11"/>
      <c r="AA1063" s="11"/>
      <c r="AB1063" s="11"/>
    </row>
    <row r="1064" spans="1:28" ht="14">
      <c r="A1064" s="11"/>
      <c r="B1064" s="11"/>
      <c r="C1064" s="11"/>
      <c r="D1064" s="11"/>
      <c r="E1064" s="11"/>
      <c r="F1064" s="11"/>
      <c r="G1064" s="11"/>
      <c r="H1064" s="11"/>
      <c r="I1064" s="11"/>
      <c r="J1064" s="11"/>
      <c r="K1064" s="11"/>
      <c r="L1064" s="11"/>
      <c r="M1064" s="11"/>
      <c r="N1064" s="11"/>
      <c r="O1064" s="11"/>
      <c r="P1064" s="11"/>
      <c r="Q1064" s="11"/>
      <c r="R1064" s="11"/>
      <c r="S1064" s="11"/>
      <c r="T1064" s="11"/>
      <c r="U1064" s="11"/>
      <c r="V1064" s="11"/>
      <c r="W1064" s="11"/>
      <c r="X1064" s="11"/>
      <c r="Y1064" s="11"/>
      <c r="Z1064" s="11"/>
      <c r="AA1064" s="11"/>
      <c r="AB1064" s="11"/>
    </row>
    <row r="1065" spans="1:28" ht="14">
      <c r="A1065" s="11"/>
      <c r="B1065" s="11"/>
      <c r="C1065" s="11"/>
      <c r="D1065" s="11"/>
      <c r="E1065" s="11"/>
      <c r="F1065" s="11"/>
      <c r="G1065" s="11"/>
      <c r="H1065" s="11"/>
      <c r="I1065" s="11"/>
      <c r="J1065" s="11"/>
      <c r="K1065" s="11"/>
      <c r="L1065" s="11"/>
      <c r="M1065" s="11"/>
      <c r="N1065" s="11"/>
      <c r="O1065" s="11"/>
      <c r="P1065" s="11"/>
      <c r="Q1065" s="11"/>
      <c r="R1065" s="11"/>
      <c r="S1065" s="11"/>
      <c r="T1065" s="11"/>
      <c r="U1065" s="11"/>
      <c r="V1065" s="11"/>
      <c r="W1065" s="11"/>
      <c r="X1065" s="11"/>
      <c r="Y1065" s="11"/>
      <c r="Z1065" s="11"/>
      <c r="AA1065" s="11"/>
      <c r="AB1065" s="11"/>
    </row>
    <row r="1066" spans="1:28" ht="14">
      <c r="A1066" s="11"/>
      <c r="B1066" s="11"/>
      <c r="C1066" s="11"/>
      <c r="D1066" s="11"/>
      <c r="E1066" s="11"/>
      <c r="F1066" s="11"/>
      <c r="G1066" s="11"/>
      <c r="H1066" s="11"/>
      <c r="I1066" s="11"/>
      <c r="J1066" s="11"/>
      <c r="K1066" s="11"/>
      <c r="L1066" s="11"/>
      <c r="M1066" s="11"/>
      <c r="N1066" s="11"/>
      <c r="O1066" s="11"/>
      <c r="P1066" s="11"/>
      <c r="Q1066" s="11"/>
      <c r="R1066" s="11"/>
      <c r="S1066" s="11"/>
      <c r="T1066" s="11"/>
      <c r="U1066" s="11"/>
      <c r="V1066" s="11"/>
      <c r="W1066" s="11"/>
      <c r="X1066" s="11"/>
      <c r="Y1066" s="11"/>
      <c r="Z1066" s="11"/>
      <c r="AA1066" s="11"/>
      <c r="AB1066" s="11"/>
    </row>
    <row r="1067" spans="1:28" ht="14">
      <c r="A1067" s="11"/>
      <c r="B1067" s="11"/>
      <c r="C1067" s="11"/>
      <c r="D1067" s="11"/>
      <c r="E1067" s="11"/>
      <c r="F1067" s="11"/>
      <c r="G1067" s="11"/>
      <c r="H1067" s="11"/>
      <c r="I1067" s="11"/>
      <c r="J1067" s="11"/>
      <c r="K1067" s="11"/>
      <c r="L1067" s="11"/>
      <c r="M1067" s="11"/>
      <c r="N1067" s="11"/>
      <c r="O1067" s="11"/>
      <c r="P1067" s="11"/>
      <c r="Q1067" s="11"/>
      <c r="R1067" s="11"/>
      <c r="S1067" s="11"/>
      <c r="T1067" s="11"/>
      <c r="U1067" s="11"/>
      <c r="V1067" s="11"/>
      <c r="W1067" s="11"/>
      <c r="X1067" s="11"/>
      <c r="Y1067" s="11"/>
      <c r="Z1067" s="11"/>
      <c r="AA1067" s="11"/>
      <c r="AB1067" s="11"/>
    </row>
    <row r="1068" spans="1:28" ht="14">
      <c r="A1068" s="11"/>
      <c r="B1068" s="11"/>
      <c r="C1068" s="11"/>
      <c r="D1068" s="11"/>
      <c r="E1068" s="11"/>
      <c r="F1068" s="11"/>
      <c r="G1068" s="11"/>
      <c r="H1068" s="11"/>
      <c r="I1068" s="11"/>
      <c r="J1068" s="11"/>
      <c r="K1068" s="11"/>
      <c r="L1068" s="11"/>
      <c r="M1068" s="11"/>
      <c r="N1068" s="11"/>
      <c r="O1068" s="11"/>
      <c r="P1068" s="11"/>
      <c r="Q1068" s="11"/>
      <c r="R1068" s="11"/>
      <c r="S1068" s="11"/>
      <c r="T1068" s="11"/>
      <c r="U1068" s="11"/>
      <c r="V1068" s="11"/>
      <c r="W1068" s="11"/>
      <c r="X1068" s="11"/>
      <c r="Y1068" s="11"/>
      <c r="Z1068" s="11"/>
      <c r="AA1068" s="11"/>
      <c r="AB1068" s="11"/>
    </row>
    <row r="1069" spans="1:28" ht="14">
      <c r="A1069" s="11"/>
      <c r="B1069" s="11"/>
      <c r="C1069" s="11"/>
      <c r="D1069" s="11"/>
      <c r="E1069" s="11"/>
      <c r="F1069" s="11"/>
      <c r="G1069" s="11"/>
      <c r="H1069" s="11"/>
      <c r="I1069" s="11"/>
      <c r="J1069" s="11"/>
      <c r="K1069" s="11"/>
      <c r="L1069" s="11"/>
      <c r="M1069" s="11"/>
      <c r="N1069" s="11"/>
      <c r="O1069" s="11"/>
      <c r="P1069" s="11"/>
      <c r="Q1069" s="11"/>
      <c r="R1069" s="11"/>
      <c r="S1069" s="11"/>
      <c r="T1069" s="11"/>
      <c r="U1069" s="11"/>
      <c r="V1069" s="11"/>
      <c r="W1069" s="11"/>
      <c r="X1069" s="11"/>
      <c r="Y1069" s="11"/>
      <c r="Z1069" s="11"/>
      <c r="AA1069" s="11"/>
      <c r="AB1069" s="11"/>
    </row>
  </sheetData>
  <mergeCells count="1">
    <mergeCell ref="N14:O14"/>
  </mergeCells>
  <hyperlinks>
    <hyperlink ref="B4" r:id="rId1" xr:uid="{00000000-0004-0000-0200-000000000000}"/>
    <hyperlink ref="B8" r:id="rId2" xr:uid="{00000000-0004-0000-0200-000001000000}"/>
    <hyperlink ref="B16" r:id="rId3" xr:uid="{00000000-0004-0000-0200-000002000000}"/>
    <hyperlink ref="B30" r:id="rId4" xr:uid="{00000000-0004-0000-0200-000003000000}"/>
    <hyperlink ref="B33" r:id="rId5" xr:uid="{00000000-0004-0000-0200-000004000000}"/>
    <hyperlink ref="B42" r:id="rId6" xr:uid="{00000000-0004-0000-0200-000005000000}"/>
    <hyperlink ref="B47" r:id="rId7" xr:uid="{00000000-0004-0000-0200-000006000000}"/>
    <hyperlink ref="B56" r:id="rId8" xr:uid="{00000000-0004-0000-0200-000007000000}"/>
    <hyperlink ref="B70" r:id="rId9" xr:uid="{00000000-0004-0000-0200-000008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  <outlinePr summaryBelow="0" summaryRight="0"/>
  </sheetPr>
  <dimension ref="A1:AB114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6640625" defaultRowHeight="15.75" customHeight="1"/>
  <sheetData>
    <row r="1" spans="1:28" ht="15.75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26" t="s">
        <v>13</v>
      </c>
      <c r="P1" s="5" t="s">
        <v>14</v>
      </c>
      <c r="Q1" s="2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</row>
    <row r="2" spans="1:28" ht="15.75" customHeight="1">
      <c r="A2" s="27" t="s">
        <v>321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</row>
    <row r="3" spans="1:28" ht="15.75" customHeight="1">
      <c r="A3" s="27" t="s">
        <v>28</v>
      </c>
      <c r="B3" s="28"/>
      <c r="C3" s="28"/>
      <c r="D3" s="30">
        <f>VLOOKUP(VALUE(LEFT(A3, 4)), 'Raw Annual Revenue'!A:D, 4, FALSE) / 4</f>
        <v>685.5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28"/>
      <c r="Q3" s="28"/>
      <c r="R3" s="28"/>
      <c r="S3" s="28"/>
      <c r="T3" s="28"/>
      <c r="U3" s="28"/>
      <c r="V3" s="30">
        <f>VLOOKUP(VALUE(LEFT($A3, 4)), 'Raw Annual Revenue'!$A:V, 22, FALSE) / 4</f>
        <v>2321.75</v>
      </c>
      <c r="W3" s="30">
        <f>VLOOKUP(VALUE(LEFT($A5, 4)), 'Raw Annual Revenue'!$A:W, 23, FALSE) / 4</f>
        <v>229681.25</v>
      </c>
      <c r="X3" s="30"/>
      <c r="Y3" s="30"/>
      <c r="Z3" s="30"/>
      <c r="AA3" s="30"/>
      <c r="AB3" s="30"/>
    </row>
    <row r="4" spans="1:28" ht="15.75" customHeight="1">
      <c r="A4" s="27" t="s">
        <v>29</v>
      </c>
      <c r="B4" s="28"/>
      <c r="C4" s="28"/>
      <c r="D4" s="30">
        <f>VLOOKUP(VALUE(LEFT(A4, 4)), 'Raw Annual Revenue'!A:D, 4, FALSE) / 4</f>
        <v>685.5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  <c r="P4" s="28"/>
      <c r="Q4" s="28"/>
      <c r="R4" s="28"/>
      <c r="S4" s="28"/>
      <c r="T4" s="28"/>
      <c r="U4" s="28"/>
      <c r="V4" s="30">
        <f>VLOOKUP(VALUE(LEFT($A4, 4)), 'Raw Annual Revenue'!$A:V, 22, FALSE) / 4</f>
        <v>2321.75</v>
      </c>
      <c r="W4" s="30">
        <f>VLOOKUP(VALUE(LEFT($A6, 4)), 'Raw Annual Revenue'!$A:W, 23, FALSE) / 4</f>
        <v>229681.25</v>
      </c>
      <c r="X4" s="28"/>
      <c r="Y4" s="28"/>
      <c r="Z4" s="28"/>
      <c r="AA4" s="28"/>
      <c r="AB4" s="28"/>
    </row>
    <row r="5" spans="1:28" ht="15.75" customHeight="1">
      <c r="A5" s="27" t="s">
        <v>30</v>
      </c>
      <c r="B5" s="28"/>
      <c r="C5" s="28"/>
      <c r="D5" s="30">
        <f>VLOOKUP(VALUE(LEFT(A5, 4)), 'Raw Annual Revenue'!A:D, 4, FALSE) / 4</f>
        <v>685.5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28"/>
      <c r="Q5" s="28"/>
      <c r="R5" s="28"/>
      <c r="S5" s="28"/>
      <c r="T5" s="28"/>
      <c r="U5" s="28"/>
      <c r="V5" s="30">
        <f>VLOOKUP(VALUE(LEFT($A5, 4)), 'Raw Annual Revenue'!$A:V, 22, FALSE) / 4</f>
        <v>2321.75</v>
      </c>
      <c r="W5" s="30">
        <f>VLOOKUP(VALUE(LEFT($A7, 4)), 'Raw Annual Revenue'!$A:W, 23, FALSE) / 4</f>
        <v>231376</v>
      </c>
      <c r="X5" s="28"/>
      <c r="Y5" s="28"/>
      <c r="Z5" s="28"/>
      <c r="AA5" s="28"/>
      <c r="AB5" s="28"/>
    </row>
    <row r="6" spans="1:28" ht="15.75" customHeight="1">
      <c r="A6" s="27" t="s">
        <v>31</v>
      </c>
      <c r="B6" s="28"/>
      <c r="C6" s="28"/>
      <c r="D6" s="30">
        <f>VLOOKUP(VALUE(LEFT(A6, 4)), 'Raw Annual Revenue'!A:D, 4, FALSE) / 4</f>
        <v>685.5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28"/>
      <c r="Q6" s="28"/>
      <c r="R6" s="28"/>
      <c r="S6" s="28"/>
      <c r="T6" s="28"/>
      <c r="U6" s="28"/>
      <c r="V6" s="30">
        <f>VLOOKUP(VALUE(LEFT($A6, 4)), 'Raw Annual Revenue'!$A:V, 22, FALSE) / 4</f>
        <v>2321.75</v>
      </c>
      <c r="W6" s="30">
        <f>VLOOKUP(VALUE(LEFT($A8, 4)), 'Raw Annual Revenue'!$A:W, 23, FALSE) / 4</f>
        <v>231376</v>
      </c>
      <c r="X6" s="28"/>
      <c r="Y6" s="28"/>
      <c r="Z6" s="28"/>
      <c r="AA6" s="28"/>
      <c r="AB6" s="28"/>
    </row>
    <row r="7" spans="1:28" ht="15.75" customHeight="1">
      <c r="A7" s="27" t="s">
        <v>32</v>
      </c>
      <c r="B7" s="28"/>
      <c r="C7" s="30">
        <f>VLOOKUP(VALUE(LEFT(A7, 4)), 'Raw Annual Revenue'!A:C, 3, FALSE) / 4</f>
        <v>8809.25</v>
      </c>
      <c r="D7" s="30">
        <f>VLOOKUP(VALUE(LEFT(A7, 4)), 'Raw Annual Revenue'!A:D, 4, FALSE) / 4</f>
        <v>3456.75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28"/>
      <c r="Q7" s="28"/>
      <c r="R7" s="28"/>
      <c r="S7" s="28"/>
      <c r="T7" s="28"/>
      <c r="U7" s="28"/>
      <c r="V7" s="30">
        <f>VLOOKUP(VALUE(LEFT($A7, 4)), 'Raw Annual Revenue'!$A:V, 22, FALSE) / 4</f>
        <v>5309.5</v>
      </c>
      <c r="W7" s="30">
        <f>VLOOKUP(VALUE(LEFT($A9, 4)), 'Raw Annual Revenue'!$A:W, 23, FALSE) / 4</f>
        <v>231376</v>
      </c>
      <c r="X7" s="28"/>
      <c r="Y7" s="28"/>
      <c r="Z7" s="28"/>
      <c r="AA7" s="28"/>
      <c r="AB7" s="28"/>
    </row>
    <row r="8" spans="1:28" ht="15.75" customHeight="1">
      <c r="A8" s="27" t="s">
        <v>33</v>
      </c>
      <c r="B8" s="28"/>
      <c r="C8" s="30">
        <f>VLOOKUP(VALUE(LEFT(A8, 4)), 'Raw Annual Revenue'!A:C, 3, FALSE) / 4</f>
        <v>8809.25</v>
      </c>
      <c r="D8" s="30">
        <f>VLOOKUP(VALUE(LEFT(A8, 4)), 'Raw Annual Revenue'!A:D, 4, FALSE) / 4</f>
        <v>3456.75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28"/>
      <c r="Q8" s="28"/>
      <c r="R8" s="28"/>
      <c r="S8" s="28"/>
      <c r="T8" s="28"/>
      <c r="U8" s="28"/>
      <c r="V8" s="30">
        <f>VLOOKUP(VALUE(LEFT($A8, 4)), 'Raw Annual Revenue'!$A:V, 22, FALSE) / 4</f>
        <v>5309.5</v>
      </c>
      <c r="W8" s="30">
        <f>VLOOKUP(VALUE(LEFT($A10, 4)), 'Raw Annual Revenue'!$A:W, 23, FALSE) / 4</f>
        <v>231376</v>
      </c>
      <c r="X8" s="28"/>
      <c r="Y8" s="28"/>
      <c r="Z8" s="28"/>
      <c r="AA8" s="28"/>
      <c r="AB8" s="28"/>
    </row>
    <row r="9" spans="1:28" ht="15.75" customHeight="1">
      <c r="A9" s="27" t="s">
        <v>34</v>
      </c>
      <c r="B9" s="28"/>
      <c r="C9" s="30">
        <f>VLOOKUP(VALUE(LEFT(A9, 4)), 'Raw Annual Revenue'!A:C, 3, FALSE) / 4</f>
        <v>8809.25</v>
      </c>
      <c r="D9" s="30">
        <f>VLOOKUP(VALUE(LEFT(A9, 4)), 'Raw Annual Revenue'!A:D, 4, FALSE) / 4</f>
        <v>3456.75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30">
        <f>VLOOKUP(VALUE(LEFT($A9, 4)), 'Raw Annual Revenue'!$A:V, 22, FALSE) / 4</f>
        <v>5309.5</v>
      </c>
      <c r="W9" s="30">
        <f>VLOOKUP(VALUE(LEFT($A11, 4)), 'Raw Annual Revenue'!$A:W, 23, FALSE) / 4</f>
        <v>302976.5</v>
      </c>
      <c r="X9" s="28"/>
      <c r="Y9" s="28"/>
      <c r="Z9" s="28"/>
      <c r="AA9" s="28"/>
      <c r="AB9" s="28"/>
    </row>
    <row r="10" spans="1:28" ht="15.75" customHeight="1">
      <c r="A10" s="27" t="s">
        <v>35</v>
      </c>
      <c r="B10" s="28"/>
      <c r="C10" s="30">
        <f>VLOOKUP(VALUE(LEFT(A10, 4)), 'Raw Annual Revenue'!A:C, 3, FALSE) / 4</f>
        <v>8809.25</v>
      </c>
      <c r="D10" s="30">
        <f>VLOOKUP(VALUE(LEFT(A10, 4)), 'Raw Annual Revenue'!A:D, 4, FALSE) / 4</f>
        <v>3456.75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28"/>
      <c r="Q10" s="28"/>
      <c r="R10" s="28"/>
      <c r="S10" s="28"/>
      <c r="T10" s="28"/>
      <c r="U10" s="28"/>
      <c r="V10" s="30">
        <f>VLOOKUP(VALUE(LEFT($A10, 4)), 'Raw Annual Revenue'!$A:V, 22, FALSE) / 4</f>
        <v>5309.5</v>
      </c>
      <c r="W10" s="30">
        <f>VLOOKUP(VALUE(LEFT($A12, 4)), 'Raw Annual Revenue'!$A:W, 23, FALSE) / 4</f>
        <v>302976.5</v>
      </c>
      <c r="X10" s="28"/>
      <c r="Y10" s="28"/>
      <c r="Z10" s="28"/>
      <c r="AA10" s="28"/>
      <c r="AB10" s="28"/>
    </row>
    <row r="11" spans="1:28" ht="15.75" customHeight="1">
      <c r="A11" s="27" t="s">
        <v>36</v>
      </c>
      <c r="B11" s="28"/>
      <c r="C11" s="31">
        <f>VLOOKUP(VALUE(LEFT(A11, 4)), 'Raw Annual Revenue'!A:C, 3, FALSE) / 4</f>
        <v>120602.5</v>
      </c>
      <c r="D11" s="31">
        <f>VLOOKUP(VALUE(LEFT(A11, 4)), 'Raw Annual Revenue'!A:D, 4, FALSE) / 4</f>
        <v>9674.75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  <c r="P11" s="28"/>
      <c r="Q11" s="28"/>
      <c r="R11" s="30">
        <f>VLOOKUP(VALUE(LEFT($A11, 4)), 'Raw Annual Revenue'!$A:R, 18, FALSE) / 4</f>
        <v>48.75</v>
      </c>
      <c r="S11" s="28"/>
      <c r="T11" s="28"/>
      <c r="U11" s="28"/>
      <c r="V11" s="30">
        <f>VLOOKUP(VALUE(LEFT($A11, 4)), 'Raw Annual Revenue'!$A:V, 22, FALSE) / 4</f>
        <v>16046.75</v>
      </c>
      <c r="W11" s="30">
        <f>VLOOKUP(VALUE(LEFT($A13, 4)), 'Raw Annual Revenue'!$A:W, 23, FALSE) / 4</f>
        <v>302976.5</v>
      </c>
      <c r="X11" s="28"/>
      <c r="Y11" s="28"/>
      <c r="Z11" s="28"/>
      <c r="AA11" s="28"/>
      <c r="AB11" s="28"/>
    </row>
    <row r="12" spans="1:28" ht="15.75" customHeight="1">
      <c r="A12" s="27" t="s">
        <v>37</v>
      </c>
      <c r="B12" s="28"/>
      <c r="C12" s="31">
        <f>VLOOKUP(VALUE(LEFT(A12, 4)), 'Raw Annual Revenue'!A:C, 3, FALSE) / 4</f>
        <v>120602.5</v>
      </c>
      <c r="D12" s="31">
        <f>VLOOKUP(VALUE(LEFT(A12, 4)), 'Raw Annual Revenue'!A:D, 4, FALSE) / 4</f>
        <v>9674.75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28"/>
      <c r="Q12" s="28"/>
      <c r="R12" s="30">
        <f>VLOOKUP(VALUE(LEFT($A12, 4)), 'Raw Annual Revenue'!$A:R, 18, FALSE) / 4</f>
        <v>48.75</v>
      </c>
      <c r="S12" s="28"/>
      <c r="T12" s="28"/>
      <c r="U12" s="28"/>
      <c r="V12" s="30">
        <f>VLOOKUP(VALUE(LEFT($A12, 4)), 'Raw Annual Revenue'!$A:V, 22, FALSE) / 4</f>
        <v>16046.75</v>
      </c>
      <c r="W12" s="30">
        <f>VLOOKUP(VALUE(LEFT($A14, 4)), 'Raw Annual Revenue'!$A:W, 23, FALSE) / 4</f>
        <v>302976.5</v>
      </c>
      <c r="X12" s="28"/>
      <c r="Y12" s="28"/>
      <c r="Z12" s="28"/>
      <c r="AA12" s="28"/>
      <c r="AB12" s="28"/>
    </row>
    <row r="13" spans="1:28" ht="15.75" customHeight="1">
      <c r="A13" s="27" t="s">
        <v>38</v>
      </c>
      <c r="B13" s="28"/>
      <c r="C13" s="31">
        <f>VLOOKUP(VALUE(LEFT(A13, 4)), 'Raw Annual Revenue'!A:C, 3, FALSE) / 4</f>
        <v>120602.5</v>
      </c>
      <c r="D13" s="31">
        <f>VLOOKUP(VALUE(LEFT(A13, 4)), 'Raw Annual Revenue'!A:D, 4, FALSE) / 4</f>
        <v>9674.75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  <c r="P13" s="28"/>
      <c r="Q13" s="28"/>
      <c r="R13" s="30">
        <f>VLOOKUP(VALUE(LEFT($A13, 4)), 'Raw Annual Revenue'!$A:R, 18, FALSE) / 4</f>
        <v>48.75</v>
      </c>
      <c r="S13" s="28"/>
      <c r="T13" s="28"/>
      <c r="U13" s="28"/>
      <c r="V13" s="30">
        <f>VLOOKUP(VALUE(LEFT($A13, 4)), 'Raw Annual Revenue'!$A:V, 22, FALSE) / 4</f>
        <v>16046.75</v>
      </c>
      <c r="W13" s="30">
        <f>VLOOKUP(VALUE(LEFT($A15, 4)), 'Raw Annual Revenue'!$A:W, 23, FALSE) / 4</f>
        <v>360192.25</v>
      </c>
      <c r="X13" s="28"/>
      <c r="Y13" s="28"/>
      <c r="Z13" s="28"/>
      <c r="AA13" s="28"/>
      <c r="AB13" s="28"/>
    </row>
    <row r="14" spans="1:28" ht="15.75" customHeight="1">
      <c r="A14" s="27" t="s">
        <v>39</v>
      </c>
      <c r="B14" s="28"/>
      <c r="C14" s="31">
        <f>VLOOKUP(VALUE(LEFT(A14, 4)), 'Raw Annual Revenue'!A:C, 3, FALSE) / 4</f>
        <v>120602.5</v>
      </c>
      <c r="D14" s="31">
        <f>VLOOKUP(VALUE(LEFT(A14, 4)), 'Raw Annual Revenue'!A:D, 4, FALSE) / 4</f>
        <v>9674.75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28"/>
      <c r="Q14" s="28"/>
      <c r="R14" s="30">
        <f>VLOOKUP(VALUE(LEFT($A14, 4)), 'Raw Annual Revenue'!$A:R, 18, FALSE) / 4</f>
        <v>48.75</v>
      </c>
      <c r="S14" s="28"/>
      <c r="T14" s="28"/>
      <c r="U14" s="28"/>
      <c r="V14" s="30">
        <f>VLOOKUP(VALUE(LEFT($A14, 4)), 'Raw Annual Revenue'!$A:V, 22, FALSE) / 4</f>
        <v>16046.75</v>
      </c>
      <c r="W14" s="30">
        <f>VLOOKUP(VALUE(LEFT($A16, 4)), 'Raw Annual Revenue'!$A:W, 23, FALSE) / 4</f>
        <v>360192.25</v>
      </c>
      <c r="X14" s="28"/>
      <c r="Y14" s="28"/>
      <c r="Z14" s="28"/>
      <c r="AA14" s="28"/>
      <c r="AB14" s="28"/>
    </row>
    <row r="15" spans="1:28" ht="15.75" customHeight="1">
      <c r="A15" s="27" t="s">
        <v>40</v>
      </c>
      <c r="B15" s="28"/>
      <c r="C15" s="31">
        <f>VLOOKUP(VALUE(LEFT(A15, 4)), 'Raw Annual Revenue'!A:C, 3, FALSE) / 4</f>
        <v>308849</v>
      </c>
      <c r="D15" s="31">
        <f>VLOOKUP(VALUE(LEFT(A15, 4)), 'Raw Annual Revenue'!A:D, 4, FALSE) / 4</f>
        <v>23657.75</v>
      </c>
      <c r="E15" s="30">
        <f>VLOOKUP(VALUE(LEFT(A15, 4)), 'Raw Annual Revenue'!A:E, 5, FALSE) / 4</f>
        <v>195</v>
      </c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28"/>
      <c r="Q15" s="28"/>
      <c r="R15" s="30">
        <f>VLOOKUP(VALUE(LEFT($A15, 4)), 'Raw Annual Revenue'!$A:R, 18, FALSE) / 4</f>
        <v>1373.5</v>
      </c>
      <c r="S15" s="28"/>
      <c r="T15" s="28"/>
      <c r="U15" s="28"/>
      <c r="V15" s="30">
        <f>VLOOKUP(VALUE(LEFT($A15, 4)), 'Raw Annual Revenue'!$A:V, 22, FALSE) / 4</f>
        <v>48167.5</v>
      </c>
      <c r="W15" s="30">
        <f>VLOOKUP(VALUE(LEFT($A17, 4)), 'Raw Annual Revenue'!$A:W, 23, FALSE) / 4</f>
        <v>360192.25</v>
      </c>
      <c r="X15" s="28"/>
      <c r="Y15" s="28"/>
      <c r="Z15" s="28"/>
      <c r="AA15" s="28"/>
      <c r="AB15" s="28"/>
    </row>
    <row r="16" spans="1:28" ht="15.75" customHeight="1">
      <c r="A16" s="27" t="s">
        <v>41</v>
      </c>
      <c r="B16" s="28"/>
      <c r="C16" s="31">
        <f>VLOOKUP(VALUE(LEFT(A16, 4)), 'Raw Annual Revenue'!A:C, 3, FALSE) / 4</f>
        <v>308849</v>
      </c>
      <c r="D16" s="31">
        <f>VLOOKUP(VALUE(LEFT(A16, 4)), 'Raw Annual Revenue'!A:D, 4, FALSE) / 4</f>
        <v>23657.75</v>
      </c>
      <c r="E16" s="30">
        <f>VLOOKUP(VALUE(LEFT(A16, 4)), 'Raw Annual Revenue'!A:E, 5, FALSE) / 4</f>
        <v>195</v>
      </c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28"/>
      <c r="Q16" s="28"/>
      <c r="R16" s="30">
        <f>VLOOKUP(VALUE(LEFT($A16, 4)), 'Raw Annual Revenue'!$A:R, 18, FALSE) / 4</f>
        <v>1373.5</v>
      </c>
      <c r="S16" s="28"/>
      <c r="T16" s="28"/>
      <c r="U16" s="28"/>
      <c r="V16" s="30">
        <f>VLOOKUP(VALUE(LEFT($A16, 4)), 'Raw Annual Revenue'!$A:V, 22, FALSE) / 4</f>
        <v>48167.5</v>
      </c>
      <c r="W16" s="30">
        <f>VLOOKUP(VALUE(LEFT($A18, 4)), 'Raw Annual Revenue'!$A:W, 23, FALSE) / 4</f>
        <v>360192.25</v>
      </c>
      <c r="X16" s="28"/>
      <c r="Y16" s="28"/>
      <c r="Z16" s="28"/>
      <c r="AA16" s="28"/>
      <c r="AB16" s="28"/>
    </row>
    <row r="17" spans="1:28" ht="15.75" customHeight="1">
      <c r="A17" s="27" t="s">
        <v>42</v>
      </c>
      <c r="B17" s="28"/>
      <c r="C17" s="31">
        <f>VLOOKUP(VALUE(LEFT(A17, 4)), 'Raw Annual Revenue'!A:C, 3, FALSE) / 4</f>
        <v>308849</v>
      </c>
      <c r="D17" s="31">
        <f>VLOOKUP(VALUE(LEFT(A17, 4)), 'Raw Annual Revenue'!A:D, 4, FALSE) / 4</f>
        <v>23657.75</v>
      </c>
      <c r="E17" s="30">
        <f>VLOOKUP(VALUE(LEFT(A17, 4)), 'Raw Annual Revenue'!A:E, 5, FALSE) / 4</f>
        <v>195</v>
      </c>
      <c r="F17" s="28"/>
      <c r="G17" s="28"/>
      <c r="H17" s="28"/>
      <c r="I17" s="28"/>
      <c r="J17" s="28"/>
      <c r="K17" s="28"/>
      <c r="L17" s="28"/>
      <c r="M17" s="28"/>
      <c r="N17" s="28"/>
      <c r="O17" s="32"/>
      <c r="P17" s="28"/>
      <c r="Q17" s="28"/>
      <c r="R17" s="30">
        <f>VLOOKUP(VALUE(LEFT($A17, 4)), 'Raw Annual Revenue'!$A:R, 18, FALSE) / 4</f>
        <v>1373.5</v>
      </c>
      <c r="S17" s="28"/>
      <c r="T17" s="28"/>
      <c r="U17" s="30"/>
      <c r="V17" s="30">
        <f>VLOOKUP(VALUE(LEFT($A17, 4)), 'Raw Annual Revenue'!$A:V, 22, FALSE) / 4</f>
        <v>48167.5</v>
      </c>
      <c r="W17" s="30">
        <f>VLOOKUP(VALUE(LEFT($A19, 4)), 'Raw Annual Revenue'!$A:W, 23, FALSE) / 4</f>
        <v>382190.5</v>
      </c>
      <c r="X17" s="28"/>
      <c r="Y17" s="28"/>
      <c r="Z17" s="28"/>
      <c r="AA17" s="28"/>
      <c r="AB17" s="28"/>
    </row>
    <row r="18" spans="1:28" ht="15.75" customHeight="1">
      <c r="A18" s="27" t="s">
        <v>43</v>
      </c>
      <c r="B18" s="28"/>
      <c r="C18" s="31">
        <f>VLOOKUP(VALUE(LEFT(A18, 4)), 'Raw Annual Revenue'!A:C, 3, FALSE) / 4</f>
        <v>308849</v>
      </c>
      <c r="D18" s="31">
        <f>VLOOKUP(VALUE(LEFT(A18, 4)), 'Raw Annual Revenue'!A:D, 4, FALSE) / 4</f>
        <v>23657.75</v>
      </c>
      <c r="E18" s="30">
        <f>VLOOKUP(VALUE(LEFT(A18, 4)), 'Raw Annual Revenue'!A:E, 5, FALSE) / 4</f>
        <v>195</v>
      </c>
      <c r="F18" s="28"/>
      <c r="G18" s="28"/>
      <c r="H18" s="28"/>
      <c r="I18" s="28"/>
      <c r="J18" s="28"/>
      <c r="K18" s="28"/>
      <c r="L18" s="28"/>
      <c r="M18" s="28"/>
      <c r="N18" s="28"/>
      <c r="O18" s="32"/>
      <c r="P18" s="28"/>
      <c r="Q18" s="28"/>
      <c r="R18" s="30">
        <f>VLOOKUP(VALUE(LEFT($A18, 4)), 'Raw Annual Revenue'!$A:R, 18, FALSE) / 4</f>
        <v>1373.5</v>
      </c>
      <c r="S18" s="28"/>
      <c r="T18" s="28"/>
      <c r="U18" s="30"/>
      <c r="V18" s="30">
        <f>VLOOKUP(VALUE(LEFT($A18, 4)), 'Raw Annual Revenue'!$A:V, 22, FALSE) / 4</f>
        <v>48167.5</v>
      </c>
      <c r="W18" s="30">
        <f>VLOOKUP(VALUE(LEFT($A20, 4)), 'Raw Annual Revenue'!$A:W, 23, FALSE) / 4</f>
        <v>382190.5</v>
      </c>
      <c r="X18" s="28"/>
      <c r="Y18" s="28"/>
      <c r="Z18" s="28"/>
      <c r="AA18" s="28"/>
      <c r="AB18" s="28"/>
    </row>
    <row r="19" spans="1:28" ht="15.75" customHeight="1">
      <c r="A19" s="27" t="s">
        <v>44</v>
      </c>
      <c r="B19" s="28"/>
      <c r="C19" s="31">
        <f>VLOOKUP(VALUE(LEFT(A19, 4)), 'Raw Annual Revenue'!A:C, 3, FALSE) / 4</f>
        <v>292938.25</v>
      </c>
      <c r="D19" s="31">
        <f>VLOOKUP(VALUE(LEFT(A19, 4)), 'Raw Annual Revenue'!A:D, 4, FALSE) / 4</f>
        <v>55555</v>
      </c>
      <c r="E19" s="31">
        <f>VLOOKUP(VALUE(LEFT(A19, 4)), 'Raw Annual Revenue'!A:E, 5, FALSE) / 4</f>
        <v>1328.5</v>
      </c>
      <c r="F19" s="31"/>
      <c r="G19" s="31"/>
      <c r="H19" s="31"/>
      <c r="I19" s="31"/>
      <c r="J19" s="31"/>
      <c r="K19" s="31"/>
      <c r="L19" s="31"/>
      <c r="M19" s="31"/>
      <c r="N19" s="31"/>
      <c r="O19" s="33">
        <f>VLOOKUP(VALUE(LEFT(A19, 4)), 'Raw Annual Revenue'!A:O, 15, FALSE) / 4</f>
        <v>34.75</v>
      </c>
      <c r="P19" s="28"/>
      <c r="Q19" s="28"/>
      <c r="R19" s="30">
        <f>VLOOKUP(VALUE(LEFT($A19, 4)), 'Raw Annual Revenue'!$A:R, 18, FALSE) / 4</f>
        <v>6763.75</v>
      </c>
      <c r="S19" s="28"/>
      <c r="T19" s="28"/>
      <c r="U19" s="30">
        <f>VLOOKUP(VALUE(LEFT($A19, 4)), 'Raw Annual Revenue'!$A:U, 21, FALSE) / 4</f>
        <v>10850.75</v>
      </c>
      <c r="V19" s="30">
        <f>VLOOKUP(VALUE(LEFT($A19, 4)), 'Raw Annual Revenue'!$A:V, 22, FALSE) / 4</f>
        <v>75442.5</v>
      </c>
      <c r="W19" s="30">
        <f>VLOOKUP(VALUE(LEFT($A21, 4)), 'Raw Annual Revenue'!$A:W, 23, FALSE) / 4</f>
        <v>382190.5</v>
      </c>
      <c r="X19" s="28"/>
      <c r="Y19" s="28"/>
      <c r="Z19" s="28"/>
      <c r="AA19" s="28"/>
      <c r="AB19" s="28"/>
    </row>
    <row r="20" spans="1:28" ht="15.75" customHeight="1">
      <c r="A20" s="27" t="s">
        <v>45</v>
      </c>
      <c r="B20" s="28"/>
      <c r="C20" s="31">
        <f>VLOOKUP(VALUE(LEFT(A20, 4)), 'Raw Annual Revenue'!A:C, 3, FALSE) / 4</f>
        <v>292938.25</v>
      </c>
      <c r="D20" s="31">
        <f>VLOOKUP(VALUE(LEFT(A20, 4)), 'Raw Annual Revenue'!A:D, 4, FALSE) / 4</f>
        <v>55555</v>
      </c>
      <c r="E20" s="31">
        <f>VLOOKUP(VALUE(LEFT(A20, 4)), 'Raw Annual Revenue'!A:E, 5, FALSE) / 4</f>
        <v>1328.5</v>
      </c>
      <c r="F20" s="28"/>
      <c r="G20" s="28"/>
      <c r="H20" s="28"/>
      <c r="I20" s="28"/>
      <c r="J20" s="28"/>
      <c r="K20" s="28"/>
      <c r="L20" s="28"/>
      <c r="M20" s="28"/>
      <c r="N20" s="28"/>
      <c r="O20" s="33">
        <f>VLOOKUP(VALUE(LEFT(A20, 4)), 'Raw Annual Revenue'!A:O, 15, FALSE) / 4</f>
        <v>34.75</v>
      </c>
      <c r="P20" s="28"/>
      <c r="Q20" s="28"/>
      <c r="R20" s="30">
        <f>VLOOKUP(VALUE(LEFT($A20, 4)), 'Raw Annual Revenue'!$A:R, 18, FALSE) / 4</f>
        <v>6763.75</v>
      </c>
      <c r="S20" s="28"/>
      <c r="T20" s="28"/>
      <c r="U20" s="30">
        <f>VLOOKUP(VALUE(LEFT($A20, 4)), 'Raw Annual Revenue'!$A:U, 21, FALSE) / 4</f>
        <v>10850.75</v>
      </c>
      <c r="V20" s="30">
        <f>VLOOKUP(VALUE(LEFT($A20, 4)), 'Raw Annual Revenue'!$A:V, 22, FALSE) / 4</f>
        <v>75442.5</v>
      </c>
      <c r="W20" s="30">
        <f>VLOOKUP(VALUE(LEFT($A22, 4)), 'Raw Annual Revenue'!$A:W, 23, FALSE) / 4</f>
        <v>382190.5</v>
      </c>
      <c r="X20" s="28"/>
      <c r="Y20" s="28"/>
      <c r="Z20" s="28"/>
      <c r="AA20" s="28"/>
      <c r="AB20" s="28"/>
    </row>
    <row r="21" spans="1:28" ht="15.75" customHeight="1">
      <c r="A21" s="27" t="s">
        <v>46</v>
      </c>
      <c r="B21" s="28"/>
      <c r="C21" s="31">
        <f>VLOOKUP(VALUE(LEFT(A21, 4)), 'Raw Annual Revenue'!A:C, 3, FALSE) / 4</f>
        <v>292938.25</v>
      </c>
      <c r="D21" s="31">
        <f>VLOOKUP(VALUE(LEFT(A21, 4)), 'Raw Annual Revenue'!A:D, 4, FALSE) / 4</f>
        <v>55555</v>
      </c>
      <c r="E21" s="31">
        <f>VLOOKUP(VALUE(LEFT(A21, 4)), 'Raw Annual Revenue'!A:E, 5, FALSE) / 4</f>
        <v>1328.5</v>
      </c>
      <c r="F21" s="28"/>
      <c r="G21" s="28"/>
      <c r="H21" s="28"/>
      <c r="I21" s="28"/>
      <c r="J21" s="28"/>
      <c r="K21" s="28"/>
      <c r="L21" s="28"/>
      <c r="M21" s="28"/>
      <c r="N21" s="28"/>
      <c r="O21" s="32">
        <f>VLOOKUP(VALUE(LEFT(A23, 4)), 'Raw Annual Revenue'!A:O, 15, FALSE) / 4</f>
        <v>132.875</v>
      </c>
      <c r="P21" s="28"/>
      <c r="Q21" s="28"/>
      <c r="R21" s="30">
        <f>VLOOKUP(VALUE(LEFT($A21, 4)), 'Raw Annual Revenue'!$A:R, 18, FALSE) / 4</f>
        <v>6763.75</v>
      </c>
      <c r="S21" s="28"/>
      <c r="T21" s="28"/>
      <c r="U21" s="30">
        <f>VLOOKUP(VALUE(LEFT($A21, 4)), 'Raw Annual Revenue'!$A:U, 21, FALSE) / 4</f>
        <v>10850.75</v>
      </c>
      <c r="V21" s="30">
        <f>VLOOKUP(VALUE(LEFT($A21, 4)), 'Raw Annual Revenue'!$A:V, 22, FALSE) / 4</f>
        <v>75442.5</v>
      </c>
      <c r="W21" s="30">
        <f>VLOOKUP(VALUE(LEFT($A23, 4)), 'Raw Annual Revenue'!$A:W, 23, FALSE) / 4</f>
        <v>508796</v>
      </c>
      <c r="X21" s="28"/>
      <c r="Y21" s="28"/>
      <c r="Z21" s="28"/>
      <c r="AA21" s="28"/>
      <c r="AB21" s="28"/>
    </row>
    <row r="22" spans="1:28" ht="15.75" customHeight="1">
      <c r="A22" s="27" t="s">
        <v>47</v>
      </c>
      <c r="B22" s="28"/>
      <c r="C22" s="31">
        <f>VLOOKUP(VALUE(LEFT(A22, 4)), 'Raw Annual Revenue'!A:C, 3, FALSE) / 4</f>
        <v>292938.25</v>
      </c>
      <c r="D22" s="31">
        <f>VLOOKUP(VALUE(LEFT(A22, 4)), 'Raw Annual Revenue'!A:D, 4, FALSE) / 4</f>
        <v>55555</v>
      </c>
      <c r="E22" s="31">
        <f>VLOOKUP(VALUE(LEFT(A22, 4)), 'Raw Annual Revenue'!A:E, 5, FALSE) / 4</f>
        <v>1328.5</v>
      </c>
      <c r="F22" s="28"/>
      <c r="G22" s="28"/>
      <c r="H22" s="28"/>
      <c r="I22" s="28"/>
      <c r="J22" s="28"/>
      <c r="K22" s="28"/>
      <c r="L22" s="28"/>
      <c r="M22" s="28"/>
      <c r="N22" s="28"/>
      <c r="O22" s="32">
        <f>VLOOKUP(VALUE(LEFT(A24, 4)), 'Raw Annual Revenue'!A:O, 15, FALSE) / 4</f>
        <v>132.875</v>
      </c>
      <c r="P22" s="28"/>
      <c r="Q22" s="28"/>
      <c r="R22" s="30">
        <f>VLOOKUP(VALUE(LEFT($A22, 4)), 'Raw Annual Revenue'!$A:R, 18, FALSE) / 4</f>
        <v>6763.75</v>
      </c>
      <c r="S22" s="28"/>
      <c r="T22" s="28"/>
      <c r="U22" s="30">
        <f>VLOOKUP(VALUE(LEFT($A22, 4)), 'Raw Annual Revenue'!$A:U, 21, FALSE) / 4</f>
        <v>10850.75</v>
      </c>
      <c r="V22" s="30">
        <f>VLOOKUP(VALUE(LEFT($A22, 4)), 'Raw Annual Revenue'!$A:V, 22, FALSE) / 4</f>
        <v>75442.5</v>
      </c>
      <c r="W22" s="30">
        <f>VLOOKUP(VALUE(LEFT($A24, 4)), 'Raw Annual Revenue'!$A:W, 23, FALSE) / 4</f>
        <v>508796</v>
      </c>
      <c r="X22" s="28"/>
      <c r="Y22" s="28"/>
      <c r="Z22" s="28"/>
      <c r="AA22" s="28"/>
      <c r="AB22" s="28"/>
    </row>
    <row r="23" spans="1:28" ht="15.75" customHeight="1">
      <c r="A23" s="27" t="s">
        <v>48</v>
      </c>
      <c r="B23" s="28"/>
      <c r="C23" s="31">
        <f>VLOOKUP(VALUE(LEFT(A23, 4)), 'Raw Annual Revenue'!A:C, 3, FALSE) / 4</f>
        <v>250901.5</v>
      </c>
      <c r="D23" s="31">
        <f>VLOOKUP(VALUE(LEFT(A23, 4)), 'Raw Annual Revenue'!A:D, 4, FALSE) / 4</f>
        <v>374768.75</v>
      </c>
      <c r="E23" s="31">
        <f>VLOOKUP(VALUE(LEFT(A23, 4)), 'Raw Annual Revenue'!A:E, 5, FALSE) / 4</f>
        <v>3052.5</v>
      </c>
      <c r="F23" s="28"/>
      <c r="G23" s="28"/>
      <c r="H23" s="28"/>
      <c r="I23" s="28"/>
      <c r="J23" s="28"/>
      <c r="K23" s="28"/>
      <c r="L23" s="28"/>
      <c r="M23" s="28"/>
      <c r="N23" s="28"/>
      <c r="O23" s="32">
        <f>VLOOKUP(VALUE(LEFT(A25, 4)), 'Raw Annual Revenue'!A:O, 15, FALSE) / 4</f>
        <v>132.875</v>
      </c>
      <c r="P23" s="28"/>
      <c r="Q23" s="28"/>
      <c r="R23" s="30">
        <f>VLOOKUP(VALUE(LEFT($A23, 4)), 'Raw Annual Revenue'!$A:R, 18, FALSE) / 4</f>
        <v>13694.25</v>
      </c>
      <c r="S23" s="28"/>
      <c r="T23" s="28"/>
      <c r="U23" s="30">
        <f>VLOOKUP(VALUE(LEFT($A23, 4)), 'Raw Annual Revenue'!$A:U, 21, FALSE) / 4</f>
        <v>43877.5</v>
      </c>
      <c r="V23" s="30"/>
      <c r="W23" s="30">
        <f>VLOOKUP(VALUE(LEFT($A25, 4)), 'Raw Annual Revenue'!$A:W, 23, FALSE) / 4</f>
        <v>508796</v>
      </c>
      <c r="X23" s="28"/>
      <c r="Y23" s="28"/>
      <c r="Z23" s="28"/>
      <c r="AA23" s="28"/>
      <c r="AB23" s="28"/>
    </row>
    <row r="24" spans="1:28" ht="15.75" customHeight="1">
      <c r="A24" s="27" t="s">
        <v>49</v>
      </c>
      <c r="B24" s="28"/>
      <c r="C24" s="31">
        <f>VLOOKUP(VALUE(LEFT(A24, 4)), 'Raw Annual Revenue'!A:C, 3, FALSE) / 4</f>
        <v>250901.5</v>
      </c>
      <c r="D24" s="31">
        <f>VLOOKUP(VALUE(LEFT(A24, 4)), 'Raw Annual Revenue'!A:D, 4, FALSE) / 4</f>
        <v>374768.75</v>
      </c>
      <c r="E24" s="31">
        <f>VLOOKUP(VALUE(LEFT(A24, 4)), 'Raw Annual Revenue'!A:E, 5, FALSE) / 4</f>
        <v>3052.5</v>
      </c>
      <c r="F24" s="28"/>
      <c r="G24" s="28"/>
      <c r="H24" s="28"/>
      <c r="I24" s="28"/>
      <c r="J24" s="28"/>
      <c r="K24" s="28"/>
      <c r="L24" s="28"/>
      <c r="M24" s="28"/>
      <c r="N24" s="28"/>
      <c r="O24" s="32">
        <f>VLOOKUP(VALUE(LEFT(A26, 4)), 'Raw Annual Revenue'!A:O, 15, FALSE) / 4</f>
        <v>132.875</v>
      </c>
      <c r="P24" s="28"/>
      <c r="Q24" s="28"/>
      <c r="R24" s="30">
        <f>VLOOKUP(VALUE(LEFT($A24, 4)), 'Raw Annual Revenue'!$A:R, 18, FALSE) / 4</f>
        <v>13694.25</v>
      </c>
      <c r="S24" s="28"/>
      <c r="T24" s="28"/>
      <c r="U24" s="30">
        <f>VLOOKUP(VALUE(LEFT($A24, 4)), 'Raw Annual Revenue'!$A:U, 21, FALSE) / 4</f>
        <v>43877.5</v>
      </c>
      <c r="V24" s="30"/>
      <c r="W24" s="30">
        <f>VLOOKUP(VALUE(LEFT($A26, 4)), 'Raw Annual Revenue'!$A:W, 23, FALSE) / 4</f>
        <v>508796</v>
      </c>
      <c r="X24" s="28"/>
      <c r="Y24" s="28"/>
      <c r="Z24" s="28"/>
      <c r="AA24" s="28"/>
      <c r="AB24" s="28"/>
    </row>
    <row r="25" spans="1:28" ht="15.75" customHeight="1">
      <c r="A25" s="27" t="s">
        <v>50</v>
      </c>
      <c r="B25" s="28"/>
      <c r="C25" s="31">
        <f>VLOOKUP(VALUE(LEFT(A25, 4)), 'Raw Annual Revenue'!A:C, 3, FALSE) / 4</f>
        <v>250901.5</v>
      </c>
      <c r="D25" s="31">
        <f>VLOOKUP(VALUE(LEFT(A25, 4)), 'Raw Annual Revenue'!A:D, 4, FALSE) / 4</f>
        <v>374768.75</v>
      </c>
      <c r="E25" s="31">
        <f>VLOOKUP(VALUE(LEFT(A25, 4)), 'Raw Annual Revenue'!A:E, 5, FALSE) / 4</f>
        <v>3052.5</v>
      </c>
      <c r="F25" s="28"/>
      <c r="G25" s="28"/>
      <c r="H25" s="28"/>
      <c r="I25" s="28"/>
      <c r="J25" s="28"/>
      <c r="K25" s="28"/>
      <c r="L25" s="28"/>
      <c r="M25" s="28"/>
      <c r="N25" s="28"/>
      <c r="O25" s="32">
        <f>VLOOKUP(VALUE(LEFT(A27, 4)), 'Raw Annual Revenue'!A:O, 15, FALSE) / 4</f>
        <v>231</v>
      </c>
      <c r="P25" s="28"/>
      <c r="Q25" s="28"/>
      <c r="R25" s="30">
        <f>VLOOKUP(VALUE(LEFT($A25, 4)), 'Raw Annual Revenue'!$A:R, 18, FALSE) / 4</f>
        <v>13694.25</v>
      </c>
      <c r="S25" s="28"/>
      <c r="T25" s="28"/>
      <c r="U25" s="30">
        <f>VLOOKUP(VALUE(LEFT($A25, 4)), 'Raw Annual Revenue'!$A:U, 21, FALSE) / 4</f>
        <v>43877.5</v>
      </c>
      <c r="V25" s="30"/>
      <c r="W25" s="30">
        <f>VLOOKUP(VALUE(LEFT($A27, 4)), 'Raw Annual Revenue'!$A:W, 23, FALSE) / 4</f>
        <v>101197.5</v>
      </c>
      <c r="X25" s="28"/>
      <c r="Y25" s="28"/>
      <c r="Z25" s="28"/>
      <c r="AA25" s="28"/>
      <c r="AB25" s="28"/>
    </row>
    <row r="26" spans="1:28" ht="15.75" customHeight="1">
      <c r="A26" s="27" t="s">
        <v>51</v>
      </c>
      <c r="B26" s="28"/>
      <c r="C26" s="31">
        <f>VLOOKUP(VALUE(LEFT(A26, 4)), 'Raw Annual Revenue'!A:C, 3, FALSE) / 4</f>
        <v>250901.5</v>
      </c>
      <c r="D26" s="31">
        <f>VLOOKUP(VALUE(LEFT(A26, 4)), 'Raw Annual Revenue'!A:D, 4, FALSE) / 4</f>
        <v>374768.75</v>
      </c>
      <c r="E26" s="31">
        <f>VLOOKUP(VALUE(LEFT(A26, 4)), 'Raw Annual Revenue'!A:E, 5, FALSE) / 4</f>
        <v>3052.5</v>
      </c>
      <c r="F26" s="28"/>
      <c r="G26" s="28"/>
      <c r="H26" s="28"/>
      <c r="I26" s="28"/>
      <c r="J26" s="28"/>
      <c r="K26" s="28"/>
      <c r="L26" s="28"/>
      <c r="M26" s="28"/>
      <c r="N26" s="28"/>
      <c r="O26" s="32">
        <f>VLOOKUP(VALUE(LEFT(A28, 4)), 'Raw Annual Revenue'!A:O, 15, FALSE) / 4</f>
        <v>231</v>
      </c>
      <c r="P26" s="28"/>
      <c r="Q26" s="28"/>
      <c r="R26" s="30">
        <f>VLOOKUP(VALUE(LEFT($A26, 4)), 'Raw Annual Revenue'!$A:R, 18, FALSE) / 4</f>
        <v>13694.25</v>
      </c>
      <c r="S26" s="28"/>
      <c r="T26" s="28"/>
      <c r="U26" s="30">
        <f>VLOOKUP(VALUE(LEFT($A26, 4)), 'Raw Annual Revenue'!$A:U, 21, FALSE) / 4</f>
        <v>43877.5</v>
      </c>
      <c r="V26" s="30"/>
      <c r="W26" s="30">
        <f>VLOOKUP(VALUE(LEFT($A28, 4)), 'Raw Annual Revenue'!$A:W, 23, FALSE) / 4</f>
        <v>101197.5</v>
      </c>
      <c r="X26" s="28"/>
      <c r="Y26" s="28"/>
      <c r="Z26" s="28"/>
      <c r="AA26" s="28"/>
      <c r="AB26" s="28"/>
    </row>
    <row r="27" spans="1:28" ht="15.75" customHeight="1">
      <c r="A27" s="27" t="s">
        <v>52</v>
      </c>
      <c r="B27" s="28"/>
      <c r="C27" s="31">
        <f>VLOOKUP(VALUE(LEFT(A27, 4)), 'Raw Annual Revenue'!A:C, 3, FALSE) / 4</f>
        <v>215915.25</v>
      </c>
      <c r="D27" s="31">
        <f>VLOOKUP(VALUE(LEFT(A27, 4)), 'Raw Annual Revenue'!A:D, 4, FALSE) / 4</f>
        <v>584953.25</v>
      </c>
      <c r="E27" s="31">
        <f>VLOOKUP(VALUE(LEFT(A27, 4)), 'Raw Annual Revenue'!A:E, 5, FALSE) / 4</f>
        <v>5383.75</v>
      </c>
      <c r="F27" s="28"/>
      <c r="G27" s="28"/>
      <c r="H27" s="28"/>
      <c r="I27" s="28"/>
      <c r="J27" s="28"/>
      <c r="K27" s="28"/>
      <c r="L27" s="28"/>
      <c r="M27" s="28"/>
      <c r="N27" s="28"/>
      <c r="O27" s="32">
        <f>VLOOKUP(VALUE(LEFT(A29, 4)), 'Raw Annual Revenue'!A:O, 15, FALSE) / 4</f>
        <v>231</v>
      </c>
      <c r="P27" s="28"/>
      <c r="Q27" s="28"/>
      <c r="R27" s="30">
        <f>VLOOKUP(VALUE(LEFT($A27, 4)), 'Raw Annual Revenue'!$A:R, 18, FALSE) / 4</f>
        <v>88686.5</v>
      </c>
      <c r="S27" s="28"/>
      <c r="T27" s="28"/>
      <c r="U27" s="30">
        <f>VLOOKUP(VALUE(LEFT($A27, 4)), 'Raw Annual Revenue'!$A:U, 21, FALSE) / 4</f>
        <v>60460</v>
      </c>
      <c r="V27" s="30"/>
      <c r="W27" s="30">
        <f>VLOOKUP(VALUE(LEFT($A29, 4)), 'Raw Annual Revenue'!$A:W, 23, FALSE) / 4</f>
        <v>101197.5</v>
      </c>
      <c r="X27" s="28"/>
      <c r="Y27" s="28"/>
      <c r="Z27" s="28"/>
      <c r="AA27" s="28"/>
      <c r="AB27" s="28"/>
    </row>
    <row r="28" spans="1:28" ht="15.75" customHeight="1">
      <c r="A28" s="27" t="s">
        <v>53</v>
      </c>
      <c r="B28" s="28"/>
      <c r="C28" s="31">
        <f>VLOOKUP(VALUE(LEFT(A28, 4)), 'Raw Annual Revenue'!A:C, 3, FALSE) / 4</f>
        <v>215915.25</v>
      </c>
      <c r="D28" s="31">
        <f>VLOOKUP(VALUE(LEFT(A28, 4)), 'Raw Annual Revenue'!A:D, 4, FALSE) / 4</f>
        <v>584953.25</v>
      </c>
      <c r="E28" s="31">
        <f>VLOOKUP(VALUE(LEFT(A28, 4)), 'Raw Annual Revenue'!A:E, 5, FALSE) / 4</f>
        <v>5383.75</v>
      </c>
      <c r="F28" s="28"/>
      <c r="G28" s="28"/>
      <c r="H28" s="28"/>
      <c r="I28" s="28"/>
      <c r="J28" s="28"/>
      <c r="K28" s="28"/>
      <c r="L28" s="28"/>
      <c r="M28" s="28"/>
      <c r="N28" s="28"/>
      <c r="O28" s="32">
        <f>VLOOKUP(VALUE(LEFT(A30, 4)), 'Raw Annual Revenue'!A:O, 15, FALSE) / 4</f>
        <v>231</v>
      </c>
      <c r="P28" s="28"/>
      <c r="Q28" s="28"/>
      <c r="R28" s="30">
        <f>VLOOKUP(VALUE(LEFT($A28, 4)), 'Raw Annual Revenue'!$A:R, 18, FALSE) / 4</f>
        <v>88686.5</v>
      </c>
      <c r="S28" s="28"/>
      <c r="T28" s="28"/>
      <c r="U28" s="30">
        <f>VLOOKUP(VALUE(LEFT($A28, 4)), 'Raw Annual Revenue'!$A:U, 21, FALSE) / 4</f>
        <v>60460</v>
      </c>
      <c r="V28" s="30"/>
      <c r="W28" s="30">
        <f>VLOOKUP(VALUE(LEFT($A30, 4)), 'Raw Annual Revenue'!$A:W, 23, FALSE) / 4</f>
        <v>101197.5</v>
      </c>
      <c r="X28" s="28"/>
      <c r="Y28" s="28"/>
      <c r="Z28" s="28"/>
      <c r="AA28" s="28"/>
      <c r="AB28" s="28"/>
    </row>
    <row r="29" spans="1:28" ht="15.75" customHeight="1">
      <c r="A29" s="27" t="s">
        <v>54</v>
      </c>
      <c r="B29" s="28"/>
      <c r="C29" s="31">
        <f>VLOOKUP(VALUE(LEFT(A29, 4)), 'Raw Annual Revenue'!A:C, 3, FALSE) / 4</f>
        <v>215915.25</v>
      </c>
      <c r="D29" s="31">
        <f>VLOOKUP(VALUE(LEFT(A29, 4)), 'Raw Annual Revenue'!A:D, 4, FALSE) / 4</f>
        <v>584953.25</v>
      </c>
      <c r="E29" s="31">
        <f>VLOOKUP(VALUE(LEFT(A29, 4)), 'Raw Annual Revenue'!A:E, 5, FALSE) / 4</f>
        <v>5383.75</v>
      </c>
      <c r="F29" s="28"/>
      <c r="G29" s="28"/>
      <c r="H29" s="28"/>
      <c r="I29" s="28"/>
      <c r="J29" s="28"/>
      <c r="K29" s="28"/>
      <c r="L29" s="28"/>
      <c r="M29" s="28"/>
      <c r="N29" s="28"/>
      <c r="O29" s="32">
        <f>VLOOKUP(VALUE(LEFT(A31, 4)), 'Raw Annual Revenue'!A:O, 15, FALSE) / 4</f>
        <v>247.75</v>
      </c>
      <c r="P29" s="28"/>
      <c r="Q29" s="28"/>
      <c r="R29" s="30">
        <f>VLOOKUP(VALUE(LEFT($A29, 4)), 'Raw Annual Revenue'!$A:R, 18, FALSE) / 4</f>
        <v>88686.5</v>
      </c>
      <c r="S29" s="28"/>
      <c r="T29" s="28"/>
      <c r="U29" s="30">
        <f>VLOOKUP(VALUE(LEFT($A29, 4)), 'Raw Annual Revenue'!$A:U, 21, FALSE) / 4</f>
        <v>60460</v>
      </c>
      <c r="V29" s="30"/>
      <c r="W29" s="30">
        <f>VLOOKUP(VALUE(LEFT($A31, 4)), 'Raw Annual Revenue'!$A:W, 23, FALSE) / 4</f>
        <v>133462.25</v>
      </c>
      <c r="X29" s="28"/>
      <c r="Y29" s="28"/>
      <c r="Z29" s="28"/>
      <c r="AA29" s="28"/>
      <c r="AB29" s="28"/>
    </row>
    <row r="30" spans="1:28" ht="15.75" customHeight="1">
      <c r="A30" s="27" t="s">
        <v>55</v>
      </c>
      <c r="B30" s="28"/>
      <c r="C30" s="31">
        <f>VLOOKUP(VALUE(LEFT(A30, 4)), 'Raw Annual Revenue'!A:C, 3, FALSE) / 4</f>
        <v>215915.25</v>
      </c>
      <c r="D30" s="31">
        <f>VLOOKUP(VALUE(LEFT(A30, 4)), 'Raw Annual Revenue'!A:D, 4, FALSE) / 4</f>
        <v>584953.25</v>
      </c>
      <c r="E30" s="31">
        <f>VLOOKUP(VALUE(LEFT(A30, 4)), 'Raw Annual Revenue'!A:E, 5, FALSE) / 4</f>
        <v>5383.75</v>
      </c>
      <c r="F30" s="28"/>
      <c r="G30" s="28"/>
      <c r="H30" s="28"/>
      <c r="I30" s="28"/>
      <c r="J30" s="28"/>
      <c r="K30" s="28"/>
      <c r="L30" s="28"/>
      <c r="M30" s="28"/>
      <c r="N30" s="28"/>
      <c r="O30" s="32">
        <f>VLOOKUP(VALUE(LEFT(A32, 4)), 'Raw Annual Revenue'!A:O, 15, FALSE) / 4</f>
        <v>247.75</v>
      </c>
      <c r="P30" s="28"/>
      <c r="Q30" s="28"/>
      <c r="R30" s="30">
        <f>VLOOKUP(VALUE(LEFT($A30, 4)), 'Raw Annual Revenue'!$A:R, 18, FALSE) / 4</f>
        <v>88686.5</v>
      </c>
      <c r="S30" s="28"/>
      <c r="T30" s="28"/>
      <c r="U30" s="30">
        <f>VLOOKUP(VALUE(LEFT($A30, 4)), 'Raw Annual Revenue'!$A:U, 21, FALSE) / 4</f>
        <v>60460</v>
      </c>
      <c r="V30" s="30"/>
      <c r="W30" s="30">
        <f>VLOOKUP(VALUE(LEFT($A32, 4)), 'Raw Annual Revenue'!$A:W, 23, FALSE) / 4</f>
        <v>133462.25</v>
      </c>
      <c r="X30" s="28"/>
      <c r="Y30" s="28"/>
      <c r="Z30" s="28"/>
      <c r="AA30" s="28"/>
      <c r="AB30" s="28"/>
    </row>
    <row r="31" spans="1:28" ht="15.75" customHeight="1">
      <c r="A31" s="27" t="s">
        <v>56</v>
      </c>
      <c r="B31" s="28"/>
      <c r="C31" s="31">
        <f>VLOOKUP(VALUE(LEFT(A31, 4)), 'Raw Annual Revenue'!A:C, 3, FALSE) / 4</f>
        <v>228593</v>
      </c>
      <c r="D31" s="31">
        <f>VLOOKUP(VALUE(LEFT(A31, 4)), 'Raw Annual Revenue'!A:D, 4, FALSE) / 4</f>
        <v>460753.25</v>
      </c>
      <c r="E31" s="31">
        <f>VLOOKUP(VALUE(LEFT(A31, 4)), 'Raw Annual Revenue'!A:E, 5, FALSE) / 4</f>
        <v>10218.25</v>
      </c>
      <c r="F31" s="28"/>
      <c r="G31" s="28"/>
      <c r="H31" s="28"/>
      <c r="I31" s="28"/>
      <c r="J31" s="28"/>
      <c r="K31" s="28"/>
      <c r="L31" s="28"/>
      <c r="M31" s="28"/>
      <c r="N31" s="28"/>
      <c r="O31" s="32">
        <f>VLOOKUP(VALUE(LEFT(A33, 4)), 'Raw Annual Revenue'!A:O, 15, FALSE) / 4</f>
        <v>247.75</v>
      </c>
      <c r="P31" s="28"/>
      <c r="Q31" s="28"/>
      <c r="R31" s="30"/>
      <c r="S31" s="28"/>
      <c r="T31" s="28"/>
      <c r="U31" s="30">
        <f>VLOOKUP(VALUE(LEFT($A31, 4)), 'Raw Annual Revenue'!$A:U, 21, FALSE) / 4</f>
        <v>61000</v>
      </c>
      <c r="V31" s="28"/>
      <c r="W31" s="30">
        <f>VLOOKUP(VALUE(LEFT($A33, 4)), 'Raw Annual Revenue'!$A:W, 23, FALSE) / 4</f>
        <v>133462.25</v>
      </c>
      <c r="X31" s="28"/>
      <c r="Y31" s="28"/>
      <c r="Z31" s="28"/>
      <c r="AA31" s="28"/>
      <c r="AB31" s="28"/>
    </row>
    <row r="32" spans="1:28" ht="15.75" customHeight="1">
      <c r="A32" s="27" t="s">
        <v>57</v>
      </c>
      <c r="B32" s="28"/>
      <c r="C32" s="31">
        <f>VLOOKUP(VALUE(LEFT(A32, 4)), 'Raw Annual Revenue'!A:C, 3, FALSE) / 4</f>
        <v>228593</v>
      </c>
      <c r="D32" s="31">
        <f>VLOOKUP(VALUE(LEFT(A32, 4)), 'Raw Annual Revenue'!A:D, 4, FALSE) / 4</f>
        <v>460753.25</v>
      </c>
      <c r="E32" s="31">
        <f>VLOOKUP(VALUE(LEFT(A32, 4)), 'Raw Annual Revenue'!A:E, 5, FALSE) / 4</f>
        <v>10218.25</v>
      </c>
      <c r="F32" s="28"/>
      <c r="G32" s="28"/>
      <c r="H32" s="28"/>
      <c r="I32" s="28"/>
      <c r="J32" s="28"/>
      <c r="K32" s="28"/>
      <c r="L32" s="28"/>
      <c r="M32" s="28"/>
      <c r="N32" s="28"/>
      <c r="O32" s="32">
        <f>VLOOKUP(VALUE(LEFT(A34, 4)), 'Raw Annual Revenue'!A:O, 15, FALSE) / 4</f>
        <v>247.75</v>
      </c>
      <c r="P32" s="28"/>
      <c r="Q32" s="28"/>
      <c r="R32" s="28"/>
      <c r="S32" s="28"/>
      <c r="T32" s="28"/>
      <c r="U32" s="30">
        <f>VLOOKUP(VALUE(LEFT($A32, 4)), 'Raw Annual Revenue'!$A:U, 21, FALSE) / 4</f>
        <v>61000</v>
      </c>
      <c r="V32" s="28"/>
      <c r="W32" s="30">
        <f>VLOOKUP(VALUE(LEFT($A34, 4)), 'Raw Annual Revenue'!$A:W, 23, FALSE) / 4</f>
        <v>133462.25</v>
      </c>
      <c r="X32" s="28"/>
      <c r="Y32" s="28"/>
      <c r="Z32" s="28"/>
      <c r="AA32" s="28"/>
      <c r="AB32" s="28"/>
    </row>
    <row r="33" spans="1:28" ht="15.75" customHeight="1">
      <c r="A33" s="27" t="s">
        <v>58</v>
      </c>
      <c r="B33" s="28"/>
      <c r="C33" s="31">
        <f>VLOOKUP(VALUE(LEFT(A33, 4)), 'Raw Annual Revenue'!A:C, 3, FALSE) / 4</f>
        <v>228593</v>
      </c>
      <c r="D33" s="31">
        <f>VLOOKUP(VALUE(LEFT(A33, 4)), 'Raw Annual Revenue'!A:D, 4, FALSE) / 4</f>
        <v>460753.25</v>
      </c>
      <c r="E33" s="31">
        <f>VLOOKUP(VALUE(LEFT(A33, 4)), 'Raw Annual Revenue'!A:E, 5, FALSE) / 4</f>
        <v>10218.25</v>
      </c>
      <c r="F33" s="28"/>
      <c r="G33" s="28"/>
      <c r="H33" s="28"/>
      <c r="I33" s="28"/>
      <c r="J33" s="28"/>
      <c r="K33" s="28"/>
      <c r="L33" s="28"/>
      <c r="M33" s="28"/>
      <c r="N33" s="28"/>
      <c r="O33" s="32">
        <f>VLOOKUP(VALUE(LEFT(A35, 4)), 'Raw Annual Revenue'!A:O, 15, FALSE) / 4</f>
        <v>997.5</v>
      </c>
      <c r="P33" s="28"/>
      <c r="Q33" s="28"/>
      <c r="R33" s="28"/>
      <c r="S33" s="28"/>
      <c r="T33" s="28"/>
      <c r="U33" s="30">
        <f>VLOOKUP(VALUE(LEFT($A33, 4)), 'Raw Annual Revenue'!$A:U, 21, FALSE) / 4</f>
        <v>61000</v>
      </c>
      <c r="V33" s="28"/>
      <c r="W33" s="30">
        <f>VLOOKUP(VALUE(LEFT($A35, 4)), 'Raw Annual Revenue'!$A:W, 23, FALSE) / 4</f>
        <v>166317</v>
      </c>
      <c r="X33" s="28"/>
      <c r="Y33" s="28"/>
      <c r="Z33" s="28"/>
      <c r="AA33" s="28"/>
      <c r="AB33" s="28"/>
    </row>
    <row r="34" spans="1:28" ht="15.75" customHeight="1">
      <c r="A34" s="27" t="s">
        <v>59</v>
      </c>
      <c r="B34" s="28"/>
      <c r="C34" s="31">
        <f>VLOOKUP(VALUE(LEFT(A34, 4)), 'Raw Annual Revenue'!A:C, 3, FALSE) / 4</f>
        <v>228593</v>
      </c>
      <c r="D34" s="31">
        <f>VLOOKUP(VALUE(LEFT(A34, 4)), 'Raw Annual Revenue'!A:D, 4, FALSE) / 4</f>
        <v>460753.25</v>
      </c>
      <c r="E34" s="31">
        <f>VLOOKUP(VALUE(LEFT(A34, 4)), 'Raw Annual Revenue'!A:E, 5, FALSE) / 4</f>
        <v>10218.25</v>
      </c>
      <c r="F34" s="28"/>
      <c r="G34" s="28"/>
      <c r="H34" s="28"/>
      <c r="I34" s="28"/>
      <c r="J34" s="28"/>
      <c r="K34" s="28"/>
      <c r="L34" s="28"/>
      <c r="M34" s="28"/>
      <c r="N34" s="28"/>
      <c r="O34" s="32">
        <f>VLOOKUP(VALUE(LEFT(A36, 4)), 'Raw Annual Revenue'!A:O, 15, FALSE) / 4</f>
        <v>997.5</v>
      </c>
      <c r="P34" s="28"/>
      <c r="Q34" s="28"/>
      <c r="R34" s="28"/>
      <c r="S34" s="28"/>
      <c r="T34" s="28"/>
      <c r="U34" s="30"/>
      <c r="V34" s="28"/>
      <c r="W34" s="30">
        <f>VLOOKUP(VALUE(LEFT($A36, 4)), 'Raw Annual Revenue'!$A:W, 23, FALSE) / 4</f>
        <v>166317</v>
      </c>
      <c r="X34" s="28"/>
      <c r="Y34" s="28"/>
      <c r="Z34" s="28"/>
      <c r="AA34" s="28"/>
      <c r="AB34" s="28"/>
    </row>
    <row r="35" spans="1:28" ht="15.75" customHeight="1">
      <c r="A35" s="27" t="s">
        <v>60</v>
      </c>
      <c r="B35" s="28"/>
      <c r="C35" s="31">
        <f>VLOOKUP(VALUE(LEFT(A35, 4)), 'Raw Annual Revenue'!A:C, 3, FALSE) / 4</f>
        <v>240665</v>
      </c>
      <c r="D35" s="31">
        <f>VLOOKUP(VALUE(LEFT(A35, 4)), 'Raw Annual Revenue'!A:D, 4, FALSE) / 4</f>
        <v>529863.75</v>
      </c>
      <c r="E35" s="31">
        <f>VLOOKUP(VALUE(LEFT(A35, 4)), 'Raw Annual Revenue'!A:E, 5, FALSE) / 4</f>
        <v>16857</v>
      </c>
      <c r="F35" s="28"/>
      <c r="G35" s="28"/>
      <c r="H35" s="28"/>
      <c r="I35" s="28"/>
      <c r="J35" s="28"/>
      <c r="K35" s="28"/>
      <c r="L35" s="28"/>
      <c r="M35" s="28"/>
      <c r="N35" s="28"/>
      <c r="O35" s="32">
        <f>VLOOKUP(VALUE(LEFT(A37, 4)), 'Raw Annual Revenue'!A:O, 15, FALSE) / 4</f>
        <v>997.5</v>
      </c>
      <c r="P35" s="28"/>
      <c r="Q35" s="28"/>
      <c r="R35" s="28"/>
      <c r="S35" s="28"/>
      <c r="T35" s="28"/>
      <c r="U35" s="30"/>
      <c r="V35" s="28"/>
      <c r="W35" s="30">
        <f>VLOOKUP(VALUE(LEFT($A37, 4)), 'Raw Annual Revenue'!$A:W, 23, FALSE) / 4</f>
        <v>166317</v>
      </c>
      <c r="X35" s="28"/>
      <c r="Y35" s="28"/>
      <c r="Z35" s="28"/>
      <c r="AA35" s="28"/>
      <c r="AB35" s="28"/>
    </row>
    <row r="36" spans="1:28" ht="15.75" customHeight="1">
      <c r="A36" s="27" t="s">
        <v>61</v>
      </c>
      <c r="B36" s="28"/>
      <c r="C36" s="31">
        <f>VLOOKUP(VALUE(LEFT(A36, 4)), 'Raw Annual Revenue'!A:C, 3, FALSE) / 4</f>
        <v>240665</v>
      </c>
      <c r="D36" s="31">
        <f>VLOOKUP(VALUE(LEFT(A36, 4)), 'Raw Annual Revenue'!A:D, 4, FALSE) / 4</f>
        <v>529863.75</v>
      </c>
      <c r="E36" s="31">
        <f>VLOOKUP(VALUE(LEFT(A36, 4)), 'Raw Annual Revenue'!A:E, 5, FALSE) / 4</f>
        <v>16857</v>
      </c>
      <c r="F36" s="28"/>
      <c r="G36" s="28"/>
      <c r="H36" s="28"/>
      <c r="I36" s="28"/>
      <c r="J36" s="28"/>
      <c r="K36" s="28"/>
      <c r="L36" s="28"/>
      <c r="M36" s="28"/>
      <c r="N36" s="28"/>
      <c r="O36" s="32">
        <f>VLOOKUP(VALUE(LEFT(A38, 4)), 'Raw Annual Revenue'!A:O, 15, FALSE) / 4</f>
        <v>997.5</v>
      </c>
      <c r="P36" s="28"/>
      <c r="Q36" s="28"/>
      <c r="R36" s="28"/>
      <c r="S36" s="28"/>
      <c r="T36" s="28"/>
      <c r="U36" s="30"/>
      <c r="V36" s="28"/>
      <c r="W36" s="30">
        <f>VLOOKUP(VALUE(LEFT($A38, 4)), 'Raw Annual Revenue'!$A:W, 23, FALSE) / 4</f>
        <v>166317</v>
      </c>
      <c r="X36" s="28"/>
      <c r="Y36" s="28"/>
      <c r="Z36" s="28"/>
      <c r="AA36" s="28"/>
      <c r="AB36" s="28"/>
    </row>
    <row r="37" spans="1:28" ht="15.75" customHeight="1">
      <c r="A37" s="27" t="s">
        <v>62</v>
      </c>
      <c r="B37" s="28"/>
      <c r="C37" s="31">
        <f>VLOOKUP(VALUE(LEFT(A37, 4)), 'Raw Annual Revenue'!A:C, 3, FALSE) / 4</f>
        <v>240665</v>
      </c>
      <c r="D37" s="31">
        <f>VLOOKUP(VALUE(LEFT(A37, 4)), 'Raw Annual Revenue'!A:D, 4, FALSE) / 4</f>
        <v>529863.75</v>
      </c>
      <c r="E37" s="31">
        <f>VLOOKUP(VALUE(LEFT(A37, 4)), 'Raw Annual Revenue'!A:E, 5, FALSE) / 4</f>
        <v>16857</v>
      </c>
      <c r="F37" s="28"/>
      <c r="G37" s="28"/>
      <c r="H37" s="28"/>
      <c r="I37" s="28"/>
      <c r="J37" s="28"/>
      <c r="K37" s="28"/>
      <c r="L37" s="28"/>
      <c r="M37" s="28"/>
      <c r="N37" s="28"/>
      <c r="O37" s="32">
        <f>VLOOKUP(VALUE(LEFT(A39, 4)), 'Raw Annual Revenue'!A:O, 15, FALSE) / 4</f>
        <v>2143.75</v>
      </c>
      <c r="P37" s="28"/>
      <c r="Q37" s="28"/>
      <c r="R37" s="28"/>
      <c r="S37" s="28"/>
      <c r="T37" s="28"/>
      <c r="U37" s="30"/>
      <c r="V37" s="28"/>
      <c r="W37" s="30">
        <f>VLOOKUP(VALUE(LEFT($A39, 4)), 'Raw Annual Revenue'!$A:W, 23, FALSE) / 4</f>
        <v>181152.5</v>
      </c>
      <c r="X37" s="28"/>
      <c r="Y37" s="28"/>
      <c r="Z37" s="28"/>
      <c r="AA37" s="28"/>
      <c r="AB37" s="28"/>
    </row>
    <row r="38" spans="1:28" ht="15.75" customHeight="1">
      <c r="A38" s="27" t="s">
        <v>63</v>
      </c>
      <c r="B38" s="28"/>
      <c r="C38" s="31">
        <f>VLOOKUP(VALUE(LEFT(A38, 4)), 'Raw Annual Revenue'!A:C, 3, FALSE) / 4</f>
        <v>240665</v>
      </c>
      <c r="D38" s="31">
        <f>VLOOKUP(VALUE(LEFT(A38, 4)), 'Raw Annual Revenue'!A:D, 4, FALSE) / 4</f>
        <v>529863.75</v>
      </c>
      <c r="E38" s="31">
        <f>VLOOKUP(VALUE(LEFT(A38, 4)), 'Raw Annual Revenue'!A:E, 5, FALSE) / 4</f>
        <v>16857</v>
      </c>
      <c r="F38" s="28"/>
      <c r="G38" s="28"/>
      <c r="H38" s="28"/>
      <c r="I38" s="28"/>
      <c r="J38" s="28"/>
      <c r="K38" s="28"/>
      <c r="L38" s="28"/>
      <c r="M38" s="28"/>
      <c r="N38" s="28"/>
      <c r="O38" s="32">
        <f>VLOOKUP(VALUE(LEFT(A40, 4)), 'Raw Annual Revenue'!A:O, 15, FALSE) / 4</f>
        <v>2143.75</v>
      </c>
      <c r="P38" s="28"/>
      <c r="Q38" s="28"/>
      <c r="R38" s="28"/>
      <c r="S38" s="28"/>
      <c r="T38" s="28"/>
      <c r="U38" s="30"/>
      <c r="V38" s="28"/>
      <c r="W38" s="30">
        <f>VLOOKUP(VALUE(LEFT($A40, 4)), 'Raw Annual Revenue'!$A:W, 23, FALSE) / 4</f>
        <v>181152.5</v>
      </c>
      <c r="X38" s="28"/>
      <c r="Y38" s="28"/>
      <c r="Z38" s="28"/>
      <c r="AA38" s="28"/>
      <c r="AB38" s="28"/>
    </row>
    <row r="39" spans="1:28" ht="15.75" customHeight="1">
      <c r="A39" s="27" t="s">
        <v>64</v>
      </c>
      <c r="B39" s="28"/>
      <c r="C39" s="31">
        <f>VLOOKUP(VALUE(LEFT(A39, 4)), 'Raw Annual Revenue'!A:C, 3, FALSE) / 4</f>
        <v>280775.75</v>
      </c>
      <c r="D39" s="31">
        <f>VLOOKUP(VALUE(LEFT(A39, 4)), 'Raw Annual Revenue'!A:D, 4, FALSE) / 4</f>
        <v>559396.5</v>
      </c>
      <c r="E39" s="31">
        <f>VLOOKUP(VALUE(LEFT(A39, 4)), 'Raw Annual Revenue'!A:E, 5, FALSE) / 4</f>
        <v>25328.75</v>
      </c>
      <c r="F39" s="28"/>
      <c r="G39" s="28"/>
      <c r="H39" s="28"/>
      <c r="I39" s="28"/>
      <c r="J39" s="28"/>
      <c r="K39" s="28"/>
      <c r="L39" s="28"/>
      <c r="M39" s="28"/>
      <c r="N39" s="28"/>
      <c r="O39" s="32">
        <f>VLOOKUP(VALUE(LEFT(A41, 4)), 'Raw Annual Revenue'!A:O, 15, FALSE) / 4</f>
        <v>2143.75</v>
      </c>
      <c r="P39" s="28"/>
      <c r="Q39" s="28"/>
      <c r="R39" s="28"/>
      <c r="S39" s="28"/>
      <c r="T39" s="28"/>
      <c r="U39" s="30"/>
      <c r="V39" s="28"/>
      <c r="W39" s="30">
        <f>VLOOKUP(VALUE(LEFT($A41, 4)), 'Raw Annual Revenue'!$A:W, 23, FALSE) / 4</f>
        <v>181152.5</v>
      </c>
      <c r="X39" s="28"/>
      <c r="Y39" s="28"/>
      <c r="Z39" s="28"/>
      <c r="AA39" s="28"/>
      <c r="AB39" s="28"/>
    </row>
    <row r="40" spans="1:28" ht="15.75" customHeight="1">
      <c r="A40" s="27" t="s">
        <v>65</v>
      </c>
      <c r="B40" s="28"/>
      <c r="C40" s="31">
        <f>VLOOKUP(VALUE(LEFT(A40, 4)), 'Raw Annual Revenue'!A:C, 3, FALSE) / 4</f>
        <v>280775.75</v>
      </c>
      <c r="D40" s="31">
        <f>VLOOKUP(VALUE(LEFT(A40, 4)), 'Raw Annual Revenue'!A:D, 4, FALSE) / 4</f>
        <v>559396.5</v>
      </c>
      <c r="E40" s="31">
        <f>VLOOKUP(VALUE(LEFT(A40, 4)), 'Raw Annual Revenue'!A:E, 5, FALSE) / 4</f>
        <v>25328.75</v>
      </c>
      <c r="F40" s="28"/>
      <c r="G40" s="28"/>
      <c r="H40" s="28"/>
      <c r="I40" s="28"/>
      <c r="J40" s="28"/>
      <c r="K40" s="28"/>
      <c r="L40" s="28"/>
      <c r="M40" s="28"/>
      <c r="N40" s="28"/>
      <c r="O40" s="32">
        <f>VLOOKUP(VALUE(LEFT(A42, 4)), 'Raw Annual Revenue'!A:O, 15, FALSE) / 4</f>
        <v>2143.75</v>
      </c>
      <c r="P40" s="28"/>
      <c r="Q40" s="28"/>
      <c r="R40" s="28"/>
      <c r="S40" s="28"/>
      <c r="T40" s="28"/>
      <c r="U40" s="30"/>
      <c r="V40" s="28"/>
      <c r="W40" s="30">
        <f>VLOOKUP(VALUE(LEFT($A42, 4)), 'Raw Annual Revenue'!$A:W, 23, FALSE) / 4</f>
        <v>181152.5</v>
      </c>
      <c r="X40" s="28"/>
      <c r="Y40" s="28"/>
      <c r="Z40" s="28"/>
      <c r="AA40" s="28"/>
      <c r="AB40" s="28"/>
    </row>
    <row r="41" spans="1:28" ht="15.75" customHeight="1">
      <c r="A41" s="27" t="s">
        <v>66</v>
      </c>
      <c r="B41" s="28"/>
      <c r="C41" s="31">
        <f>VLOOKUP(VALUE(LEFT(A41, 4)), 'Raw Annual Revenue'!A:C, 3, FALSE) / 4</f>
        <v>280775.75</v>
      </c>
      <c r="D41" s="31">
        <f>VLOOKUP(VALUE(LEFT(A41, 4)), 'Raw Annual Revenue'!A:D, 4, FALSE) / 4</f>
        <v>559396.5</v>
      </c>
      <c r="E41" s="31">
        <f>VLOOKUP(VALUE(LEFT(A41, 4)), 'Raw Annual Revenue'!A:E, 5, FALSE) / 4</f>
        <v>25328.75</v>
      </c>
      <c r="F41" s="28"/>
      <c r="G41" s="28"/>
      <c r="H41" s="28"/>
      <c r="I41" s="28"/>
      <c r="J41" s="28"/>
      <c r="K41" s="28"/>
      <c r="L41" s="28"/>
      <c r="M41" s="28"/>
      <c r="N41" s="28"/>
      <c r="O41" s="32">
        <f>VLOOKUP(VALUE(LEFT(A43, 4)), 'Raw Annual Revenue'!A:O, 15, FALSE) / 4</f>
        <v>3345.5</v>
      </c>
      <c r="P41" s="28"/>
      <c r="Q41" s="28"/>
      <c r="R41" s="28"/>
      <c r="S41" s="28"/>
      <c r="T41" s="28"/>
      <c r="U41" s="30"/>
      <c r="V41" s="28"/>
      <c r="W41" s="30">
        <f>VLOOKUP(VALUE(LEFT($A43, 4)), 'Raw Annual Revenue'!$A:W, 23, FALSE) / 4</f>
        <v>235890.5</v>
      </c>
      <c r="X41" s="28"/>
      <c r="Y41" s="28"/>
      <c r="Z41" s="28"/>
      <c r="AA41" s="28"/>
      <c r="AB41" s="28"/>
    </row>
    <row r="42" spans="1:28" ht="15.75" customHeight="1">
      <c r="A42" s="27" t="s">
        <v>67</v>
      </c>
      <c r="B42" s="28"/>
      <c r="C42" s="31">
        <f>VLOOKUP(VALUE(LEFT(A42, 4)), 'Raw Annual Revenue'!A:C, 3, FALSE) / 4</f>
        <v>280775.75</v>
      </c>
      <c r="D42" s="31">
        <f>VLOOKUP(VALUE(LEFT(A42, 4)), 'Raw Annual Revenue'!A:D, 4, FALSE) / 4</f>
        <v>559396.5</v>
      </c>
      <c r="E42" s="31">
        <f>VLOOKUP(VALUE(LEFT(A42, 4)), 'Raw Annual Revenue'!A:E, 5, FALSE) / 4</f>
        <v>25328.75</v>
      </c>
      <c r="F42" s="28"/>
      <c r="G42" s="28"/>
      <c r="H42" s="28"/>
      <c r="I42" s="28"/>
      <c r="J42" s="28"/>
      <c r="K42" s="28"/>
      <c r="L42" s="28"/>
      <c r="M42" s="28"/>
      <c r="N42" s="28"/>
      <c r="O42" s="32">
        <f>VLOOKUP(VALUE(LEFT(A44, 4)), 'Raw Annual Revenue'!A:O, 15, FALSE) / 4</f>
        <v>3345.5</v>
      </c>
      <c r="P42" s="28"/>
      <c r="Q42" s="28"/>
      <c r="R42" s="28"/>
      <c r="S42" s="28"/>
      <c r="T42" s="28"/>
      <c r="U42" s="30"/>
      <c r="V42" s="28"/>
      <c r="W42" s="30">
        <f>VLOOKUP(VALUE(LEFT($A44, 4)), 'Raw Annual Revenue'!$A:W, 23, FALSE) / 4</f>
        <v>235890.5</v>
      </c>
      <c r="X42" s="28"/>
      <c r="Y42" s="28"/>
      <c r="Z42" s="28"/>
      <c r="AA42" s="28"/>
      <c r="AB42" s="28"/>
    </row>
    <row r="43" spans="1:28" ht="15.75" customHeight="1">
      <c r="A43" s="27" t="s">
        <v>68</v>
      </c>
      <c r="B43" s="28"/>
      <c r="C43" s="31">
        <f>VLOOKUP(VALUE(LEFT(A43, 4)), 'Raw Annual Revenue'!A:C, 3, FALSE) / 4</f>
        <v>352352.25</v>
      </c>
      <c r="D43" s="31">
        <f>VLOOKUP(VALUE(LEFT(A43, 4)), 'Raw Annual Revenue'!A:D, 4, FALSE) / 4</f>
        <v>666333</v>
      </c>
      <c r="E43" s="31">
        <f>VLOOKUP(VALUE(LEFT(A43, 4)), 'Raw Annual Revenue'!A:E, 5, FALSE) / 4</f>
        <v>42247.75</v>
      </c>
      <c r="F43" s="28"/>
      <c r="G43" s="28"/>
      <c r="H43" s="28"/>
      <c r="I43" s="28"/>
      <c r="J43" s="28"/>
      <c r="K43" s="28"/>
      <c r="L43" s="28"/>
      <c r="M43" s="28"/>
      <c r="N43" s="28"/>
      <c r="O43" s="32">
        <f>VLOOKUP(VALUE(LEFT(A45, 4)), 'Raw Annual Revenue'!A:O, 15, FALSE) / 4</f>
        <v>3345.5</v>
      </c>
      <c r="P43" s="28"/>
      <c r="Q43" s="28"/>
      <c r="R43" s="28"/>
      <c r="S43" s="28"/>
      <c r="T43" s="28"/>
      <c r="U43" s="30"/>
      <c r="V43" s="28"/>
      <c r="W43" s="30">
        <f>VLOOKUP(VALUE(LEFT($A45, 4)), 'Raw Annual Revenue'!$A:W, 23, FALSE) / 4</f>
        <v>235890.5</v>
      </c>
      <c r="X43" s="28"/>
      <c r="Y43" s="28"/>
      <c r="Z43" s="28"/>
      <c r="AA43" s="28"/>
      <c r="AB43" s="28"/>
    </row>
    <row r="44" spans="1:28" ht="15.75" customHeight="1">
      <c r="A44" s="27" t="s">
        <v>69</v>
      </c>
      <c r="B44" s="28"/>
      <c r="C44" s="31">
        <f>VLOOKUP(VALUE(LEFT(A44, 4)), 'Raw Annual Revenue'!A:C, 3, FALSE) / 4</f>
        <v>352352.25</v>
      </c>
      <c r="D44" s="31">
        <f>VLOOKUP(VALUE(LEFT(A44, 4)), 'Raw Annual Revenue'!A:D, 4, FALSE) / 4</f>
        <v>666333</v>
      </c>
      <c r="E44" s="31">
        <f>VLOOKUP(VALUE(LEFT(A44, 4)), 'Raw Annual Revenue'!A:E, 5, FALSE) / 4</f>
        <v>42247.75</v>
      </c>
      <c r="F44" s="28"/>
      <c r="G44" s="28"/>
      <c r="H44" s="28"/>
      <c r="I44" s="28"/>
      <c r="J44" s="28"/>
      <c r="K44" s="28"/>
      <c r="L44" s="28"/>
      <c r="M44" s="28"/>
      <c r="N44" s="28"/>
      <c r="O44" s="32">
        <f>VLOOKUP(VALUE(LEFT(A46, 4)), 'Raw Annual Revenue'!A:O, 15, FALSE) / 4</f>
        <v>3345.5</v>
      </c>
      <c r="P44" s="28"/>
      <c r="Q44" s="28"/>
      <c r="R44" s="28"/>
      <c r="S44" s="28"/>
      <c r="T44" s="28"/>
      <c r="U44" s="30">
        <f>VLOOKUP(VALUE(LEFT($A44, 4)), 'Raw Annual Revenue'!$A:U, 21, FALSE) / 4</f>
        <v>214750</v>
      </c>
      <c r="V44" s="28"/>
      <c r="W44" s="30">
        <f>VLOOKUP(VALUE(LEFT($A46, 4)), 'Raw Annual Revenue'!$A:W, 23, FALSE) / 4</f>
        <v>235890.5</v>
      </c>
      <c r="X44" s="28"/>
      <c r="Y44" s="28"/>
      <c r="Z44" s="28"/>
      <c r="AA44" s="28"/>
      <c r="AB44" s="28"/>
    </row>
    <row r="45" spans="1:28" ht="15.75" customHeight="1">
      <c r="A45" s="27" t="s">
        <v>70</v>
      </c>
      <c r="B45" s="28"/>
      <c r="C45" s="31">
        <f>VLOOKUP(VALUE(LEFT(A45, 4)), 'Raw Annual Revenue'!A:C, 3, FALSE) / 4</f>
        <v>352352.25</v>
      </c>
      <c r="D45" s="31">
        <f>VLOOKUP(VALUE(LEFT(A45, 4)), 'Raw Annual Revenue'!A:D, 4, FALSE) / 4</f>
        <v>666333</v>
      </c>
      <c r="E45" s="31">
        <f>VLOOKUP(VALUE(LEFT(A45, 4)), 'Raw Annual Revenue'!A:E, 5, FALSE) / 4</f>
        <v>42247.75</v>
      </c>
      <c r="F45" s="28"/>
      <c r="G45" s="28"/>
      <c r="H45" s="28"/>
      <c r="I45" s="28"/>
      <c r="J45" s="28"/>
      <c r="K45" s="28"/>
      <c r="L45" s="28"/>
      <c r="M45" s="28"/>
      <c r="N45" s="28"/>
      <c r="O45" s="32">
        <f>VLOOKUP(VALUE(LEFT(A47, 4)), 'Raw Annual Revenue'!A:O, 15, FALSE) / 4</f>
        <v>5661</v>
      </c>
      <c r="P45" s="28"/>
      <c r="Q45" s="28"/>
      <c r="R45" s="28"/>
      <c r="S45" s="28"/>
      <c r="T45" s="28"/>
      <c r="U45" s="30">
        <f>VLOOKUP(VALUE(LEFT($A45, 4)), 'Raw Annual Revenue'!$A:U, 21, FALSE) / 4</f>
        <v>214750</v>
      </c>
      <c r="V45" s="28"/>
      <c r="W45" s="30">
        <f>VLOOKUP(VALUE(LEFT($A47, 4)), 'Raw Annual Revenue'!$A:W, 23, FALSE) / 4</f>
        <v>346804.75</v>
      </c>
      <c r="X45" s="28"/>
      <c r="Y45" s="28"/>
      <c r="Z45" s="28"/>
      <c r="AA45" s="28"/>
      <c r="AB45" s="28"/>
    </row>
    <row r="46" spans="1:28" ht="15.75" customHeight="1">
      <c r="A46" s="27" t="s">
        <v>71</v>
      </c>
      <c r="B46" s="28"/>
      <c r="C46" s="31">
        <f>VLOOKUP(VALUE(LEFT(A46, 4)), 'Raw Annual Revenue'!A:C, 3, FALSE) / 4</f>
        <v>352352.25</v>
      </c>
      <c r="D46" s="31">
        <f>VLOOKUP(VALUE(LEFT(A46, 4)), 'Raw Annual Revenue'!A:D, 4, FALSE) / 4</f>
        <v>666333</v>
      </c>
      <c r="E46" s="31">
        <f>VLOOKUP(VALUE(LEFT(A46, 4)), 'Raw Annual Revenue'!A:E, 5, FALSE) / 4</f>
        <v>42247.75</v>
      </c>
      <c r="F46" s="28"/>
      <c r="G46" s="28"/>
      <c r="H46" s="28"/>
      <c r="I46" s="28"/>
      <c r="J46" s="28"/>
      <c r="K46" s="28"/>
      <c r="L46" s="28"/>
      <c r="M46" s="28"/>
      <c r="N46" s="28"/>
      <c r="O46" s="32">
        <f>VLOOKUP(VALUE(LEFT(A48, 4)), 'Raw Annual Revenue'!A:O, 15, FALSE) / 4</f>
        <v>5661</v>
      </c>
      <c r="P46" s="28"/>
      <c r="Q46" s="28"/>
      <c r="R46" s="28"/>
      <c r="S46" s="28"/>
      <c r="T46" s="28"/>
      <c r="U46" s="30">
        <f>VLOOKUP(VALUE(LEFT($A46, 4)), 'Raw Annual Revenue'!$A:U, 21, FALSE) / 4</f>
        <v>214750</v>
      </c>
      <c r="V46" s="28"/>
      <c r="W46" s="30">
        <f>VLOOKUP(VALUE(LEFT($A48, 4)), 'Raw Annual Revenue'!$A:W, 23, FALSE) / 4</f>
        <v>346804.75</v>
      </c>
      <c r="X46" s="28"/>
      <c r="Y46" s="28"/>
      <c r="Z46" s="28"/>
      <c r="AA46" s="28"/>
      <c r="AB46" s="28"/>
    </row>
    <row r="47" spans="1:28" ht="15.75" customHeight="1">
      <c r="A47" s="27" t="s">
        <v>72</v>
      </c>
      <c r="B47" s="28"/>
      <c r="C47" s="31">
        <f>VLOOKUP(VALUE(LEFT(A47, 4)), 'Raw Annual Revenue'!A:C, 3, FALSE) / 4</f>
        <v>471201.5</v>
      </c>
      <c r="D47" s="31">
        <f>VLOOKUP(VALUE(LEFT(A47, 4)), 'Raw Annual Revenue'!A:D, 4, FALSE) / 4</f>
        <v>734253.25</v>
      </c>
      <c r="E47" s="31">
        <f>VLOOKUP(VALUE(LEFT(A47, 4)), 'Raw Annual Revenue'!A:E, 5, FALSE) / 4</f>
        <v>56219.5</v>
      </c>
      <c r="F47" s="28"/>
      <c r="G47" s="28"/>
      <c r="H47" s="28"/>
      <c r="I47" s="28"/>
      <c r="J47" s="28"/>
      <c r="K47" s="28"/>
      <c r="L47" s="28"/>
      <c r="M47" s="28"/>
      <c r="N47" s="28"/>
      <c r="O47" s="32">
        <f>VLOOKUP(VALUE(LEFT(A49, 4)), 'Raw Annual Revenue'!A:O, 15, FALSE) / 4</f>
        <v>5661</v>
      </c>
      <c r="P47" s="28"/>
      <c r="Q47" s="28"/>
      <c r="R47" s="28"/>
      <c r="S47" s="28"/>
      <c r="T47" s="28"/>
      <c r="U47" s="30">
        <f>VLOOKUP(VALUE(LEFT($A47, 4)), 'Raw Annual Revenue'!$A:U, 21, FALSE) / 4</f>
        <v>217500</v>
      </c>
      <c r="V47" s="28"/>
      <c r="W47" s="30">
        <f>VLOOKUP(VALUE(LEFT($A49, 4)), 'Raw Annual Revenue'!$A:W, 23, FALSE) / 4</f>
        <v>346804.75</v>
      </c>
      <c r="X47" s="28"/>
      <c r="Y47" s="28"/>
      <c r="Z47" s="28"/>
      <c r="AA47" s="28"/>
      <c r="AB47" s="28"/>
    </row>
    <row r="48" spans="1:28" ht="15.75" customHeight="1">
      <c r="A48" s="27" t="s">
        <v>73</v>
      </c>
      <c r="B48" s="28"/>
      <c r="C48" s="31">
        <f>VLOOKUP(VALUE(LEFT(A48, 4)), 'Raw Annual Revenue'!A:C, 3, FALSE) / 4</f>
        <v>471201.5</v>
      </c>
      <c r="D48" s="31">
        <f>VLOOKUP(VALUE(LEFT(A48, 4)), 'Raw Annual Revenue'!A:D, 4, FALSE) / 4</f>
        <v>734253.25</v>
      </c>
      <c r="E48" s="31">
        <f>VLOOKUP(VALUE(LEFT(A48, 4)), 'Raw Annual Revenue'!A:E, 5, FALSE) / 4</f>
        <v>56219.5</v>
      </c>
      <c r="F48" s="28"/>
      <c r="G48" s="28"/>
      <c r="H48" s="28"/>
      <c r="I48" s="28"/>
      <c r="J48" s="34">
        <f>VLOOKUP(VALUE(LEFT(A51, 4)), 'Raw Annual Revenue'!A:J, 10, FALSE) / 4</f>
        <v>17138</v>
      </c>
      <c r="K48" s="28"/>
      <c r="L48" s="28"/>
      <c r="M48" s="28"/>
      <c r="N48" s="28"/>
      <c r="O48" s="32">
        <f>VLOOKUP(VALUE(LEFT(A50, 4)), 'Raw Annual Revenue'!A:O, 15, FALSE) / 4</f>
        <v>5661</v>
      </c>
      <c r="P48" s="28"/>
      <c r="Q48" s="28"/>
      <c r="R48" s="28"/>
      <c r="S48" s="28"/>
      <c r="T48" s="28"/>
      <c r="U48" s="30">
        <f>VLOOKUP(VALUE(LEFT($A48, 4)), 'Raw Annual Revenue'!$A:U, 21, FALSE) / 4</f>
        <v>217500</v>
      </c>
      <c r="V48" s="28"/>
      <c r="W48" s="30">
        <f>VLOOKUP(VALUE(LEFT($A50, 4)), 'Raw Annual Revenue'!$A:W, 23, FALSE) / 4</f>
        <v>346804.75</v>
      </c>
      <c r="X48" s="28"/>
      <c r="Y48" s="28"/>
      <c r="Z48" s="28"/>
      <c r="AA48" s="28"/>
      <c r="AB48" s="28"/>
    </row>
    <row r="49" spans="1:28" ht="15.75" customHeight="1">
      <c r="A49" s="27" t="s">
        <v>74</v>
      </c>
      <c r="B49" s="28"/>
      <c r="C49" s="31">
        <f>VLOOKUP(VALUE(LEFT(A49, 4)), 'Raw Annual Revenue'!A:C, 3, FALSE) / 4</f>
        <v>471201.5</v>
      </c>
      <c r="D49" s="31">
        <f>VLOOKUP(VALUE(LEFT(A49, 4)), 'Raw Annual Revenue'!A:D, 4, FALSE) / 4</f>
        <v>734253.25</v>
      </c>
      <c r="E49" s="31">
        <f>VLOOKUP(VALUE(LEFT(A49, 4)), 'Raw Annual Revenue'!A:E, 5, FALSE) / 4</f>
        <v>56219.5</v>
      </c>
      <c r="F49" s="28"/>
      <c r="G49" s="28"/>
      <c r="H49" s="28"/>
      <c r="I49" s="28"/>
      <c r="J49" s="31">
        <f>VLOOKUP(VALUE(LEFT(A52, 4)), 'Raw Annual Revenue'!A:J, 10, FALSE) / 4</f>
        <v>17138</v>
      </c>
      <c r="K49" s="28"/>
      <c r="L49" s="28"/>
      <c r="M49" s="28"/>
      <c r="N49" s="28"/>
      <c r="O49" s="32">
        <f>VLOOKUP(VALUE(LEFT(A51, 4)), 'Raw Annual Revenue'!A:O, 15, FALSE) / 4</f>
        <v>5749.25</v>
      </c>
      <c r="P49" s="28"/>
      <c r="Q49" s="28"/>
      <c r="R49" s="28"/>
      <c r="S49" s="28"/>
      <c r="T49" s="28"/>
      <c r="U49" s="30">
        <f>VLOOKUP(VALUE(LEFT($A49, 4)), 'Raw Annual Revenue'!$A:U, 21, FALSE) / 4</f>
        <v>217500</v>
      </c>
      <c r="V49" s="28"/>
      <c r="W49" s="30">
        <f>VLOOKUP(VALUE(LEFT($A51, 4)), 'Raw Annual Revenue'!$A:W, 23, FALSE) / 4</f>
        <v>339452.5</v>
      </c>
      <c r="X49" s="28"/>
      <c r="Y49" s="28"/>
      <c r="Z49" s="28"/>
      <c r="AA49" s="28"/>
      <c r="AB49" s="28"/>
    </row>
    <row r="50" spans="1:28" ht="15.75" customHeight="1">
      <c r="A50" s="27" t="s">
        <v>75</v>
      </c>
      <c r="B50" s="28"/>
      <c r="C50" s="31">
        <f>VLOOKUP(VALUE(LEFT(A50, 4)), 'Raw Annual Revenue'!A:C, 3, FALSE) / 4</f>
        <v>471201.5</v>
      </c>
      <c r="D50" s="31">
        <f>VLOOKUP(VALUE(LEFT(A50, 4)), 'Raw Annual Revenue'!A:D, 4, FALSE) / 4</f>
        <v>734253.25</v>
      </c>
      <c r="E50" s="31">
        <f>VLOOKUP(VALUE(LEFT(A50, 4)), 'Raw Annual Revenue'!A:E, 5, FALSE) / 4</f>
        <v>56219.5</v>
      </c>
      <c r="F50" s="28"/>
      <c r="G50" s="28"/>
      <c r="H50" s="28"/>
      <c r="I50" s="28"/>
      <c r="J50" s="31">
        <f>VLOOKUP(VALUE(LEFT(A53, 4)), 'Raw Annual Revenue'!A:J, 10, FALSE) / 4</f>
        <v>17138</v>
      </c>
      <c r="K50" s="28"/>
      <c r="L50" s="28"/>
      <c r="M50" s="28"/>
      <c r="N50" s="28"/>
      <c r="O50" s="32">
        <f>VLOOKUP(VALUE(LEFT(A52, 4)), 'Raw Annual Revenue'!A:O, 15, FALSE) / 4</f>
        <v>5749.25</v>
      </c>
      <c r="P50" s="28"/>
      <c r="Q50" s="28"/>
      <c r="R50" s="28"/>
      <c r="S50" s="28"/>
      <c r="T50" s="28"/>
      <c r="U50" s="30">
        <f>VLOOKUP(VALUE(LEFT($A50, 4)), 'Raw Annual Revenue'!$A:U, 21, FALSE) / 4</f>
        <v>217500</v>
      </c>
      <c r="V50" s="28"/>
      <c r="W50" s="30">
        <f>VLOOKUP(VALUE(LEFT($A52, 4)), 'Raw Annual Revenue'!$A:W, 23, FALSE) / 4</f>
        <v>339452.5</v>
      </c>
      <c r="X50" s="28"/>
      <c r="Y50" s="28"/>
      <c r="Z50" s="28"/>
      <c r="AA50" s="28"/>
      <c r="AB50" s="28"/>
    </row>
    <row r="51" spans="1:28" ht="15.75" customHeight="1">
      <c r="A51" s="27" t="s">
        <v>76</v>
      </c>
      <c r="B51" s="28"/>
      <c r="C51" s="31">
        <f>VLOOKUP(VALUE(LEFT(A51, 4)), 'Raw Annual Revenue'!A:C, 3, FALSE) / 4</f>
        <v>584553</v>
      </c>
      <c r="D51" s="31">
        <f>VLOOKUP(VALUE(LEFT(A51, 4)), 'Raw Annual Revenue'!A:D, 4, FALSE) / 4</f>
        <v>685762.75</v>
      </c>
      <c r="E51" s="31">
        <f>VLOOKUP(VALUE(LEFT(A51, 4)), 'Raw Annual Revenue'!A:E, 5, FALSE) / 4</f>
        <v>75012.75</v>
      </c>
      <c r="F51" s="31">
        <f>VLOOKUP(VALUE(LEFT(A51, 4)), 'Raw Annual Revenue'!A:F, 6, FALSE) / 4</f>
        <v>88022.25</v>
      </c>
      <c r="G51" s="31"/>
      <c r="H51" s="31"/>
      <c r="I51" s="31"/>
      <c r="J51" s="31">
        <f>VLOOKUP(VALUE(LEFT(A54, 4)), 'Raw Annual Revenue'!A:J, 10, FALSE) / 4</f>
        <v>17138</v>
      </c>
      <c r="K51" s="28"/>
      <c r="L51" s="31">
        <f>VLOOKUP(VALUE(LEFT($A51, 4)), 'Raw Annual Revenue'!$A:L, 12, FALSE) / 4</f>
        <v>47420.75</v>
      </c>
      <c r="M51" s="28"/>
      <c r="N51" s="28"/>
      <c r="O51" s="32">
        <f>VLOOKUP(VALUE(LEFT(A53, 4)), 'Raw Annual Revenue'!A:O, 15, FALSE) / 4</f>
        <v>5749.25</v>
      </c>
      <c r="P51" s="28"/>
      <c r="Q51" s="28"/>
      <c r="R51" s="28"/>
      <c r="S51" s="28"/>
      <c r="T51" s="28"/>
      <c r="U51" s="30">
        <f>VLOOKUP(VALUE(LEFT($A51, 4)), 'Raw Annual Revenue'!$A:U, 21, FALSE) / 4</f>
        <v>184500</v>
      </c>
      <c r="V51" s="28"/>
      <c r="W51" s="30">
        <f>VLOOKUP(VALUE(LEFT($A53, 4)), 'Raw Annual Revenue'!$A:W, 23, FALSE) / 4</f>
        <v>339452.5</v>
      </c>
      <c r="X51" s="28"/>
      <c r="Y51" s="28"/>
      <c r="Z51" s="28"/>
      <c r="AA51" s="28"/>
      <c r="AB51" s="28"/>
    </row>
    <row r="52" spans="1:28" ht="15.75" customHeight="1">
      <c r="A52" s="27" t="s">
        <v>77</v>
      </c>
      <c r="B52" s="28"/>
      <c r="C52" s="31">
        <f>VLOOKUP(VALUE(LEFT(A52, 4)), 'Raw Annual Revenue'!A:C, 3, FALSE) / 4</f>
        <v>584553</v>
      </c>
      <c r="D52" s="31">
        <f>VLOOKUP(VALUE(LEFT(A52, 4)), 'Raw Annual Revenue'!A:D, 4, FALSE) / 4</f>
        <v>685762.75</v>
      </c>
      <c r="E52" s="31">
        <f>VLOOKUP(VALUE(LEFT(A52, 4)), 'Raw Annual Revenue'!A:E, 5, FALSE) / 4</f>
        <v>75012.75</v>
      </c>
      <c r="F52" s="31">
        <f>VLOOKUP(VALUE(LEFT(A52, 4)), 'Raw Annual Revenue'!A:F, 6, FALSE) / 4</f>
        <v>88022.25</v>
      </c>
      <c r="G52" s="28"/>
      <c r="H52" s="28"/>
      <c r="I52" s="28"/>
      <c r="J52" s="31">
        <f>VLOOKUP(VALUE(LEFT(A55, 4)), 'Raw Annual Revenue'!A:J, 10, FALSE) / 4</f>
        <v>20890</v>
      </c>
      <c r="K52" s="28"/>
      <c r="L52" s="31">
        <f>VLOOKUP(VALUE(LEFT($A52, 4)), 'Raw Annual Revenue'!$A:L, 12, FALSE) / 4</f>
        <v>47420.75</v>
      </c>
      <c r="M52" s="28"/>
      <c r="N52" s="28"/>
      <c r="O52" s="32">
        <f>VLOOKUP(VALUE(LEFT(A54, 4)), 'Raw Annual Revenue'!A:O, 15, FALSE) / 4</f>
        <v>5749.25</v>
      </c>
      <c r="P52" s="28"/>
      <c r="Q52" s="28"/>
      <c r="R52" s="28"/>
      <c r="S52" s="28"/>
      <c r="T52" s="28"/>
      <c r="U52" s="30">
        <f>VLOOKUP(VALUE(LEFT($A52, 4)), 'Raw Annual Revenue'!$A:U, 21, FALSE) / 4</f>
        <v>184500</v>
      </c>
      <c r="V52" s="28"/>
      <c r="W52" s="30">
        <f>VLOOKUP(VALUE(LEFT($A54, 4)), 'Raw Annual Revenue'!$A:W, 23, FALSE) / 4</f>
        <v>339452.5</v>
      </c>
      <c r="X52" s="28"/>
      <c r="Y52" s="28"/>
      <c r="Z52" s="28"/>
      <c r="AA52" s="28"/>
      <c r="AB52" s="28"/>
    </row>
    <row r="53" spans="1:28" ht="15.75" customHeight="1">
      <c r="A53" s="27" t="s">
        <v>78</v>
      </c>
      <c r="B53" s="28"/>
      <c r="C53" s="31">
        <f>VLOOKUP(VALUE(LEFT(A53, 4)), 'Raw Annual Revenue'!A:C, 3, FALSE) / 4</f>
        <v>584553</v>
      </c>
      <c r="D53" s="31">
        <f>VLOOKUP(VALUE(LEFT(A53, 4)), 'Raw Annual Revenue'!A:D, 4, FALSE) / 4</f>
        <v>685762.75</v>
      </c>
      <c r="E53" s="31">
        <f>VLOOKUP(VALUE(LEFT(A53, 4)), 'Raw Annual Revenue'!A:E, 5, FALSE) / 4</f>
        <v>75012.75</v>
      </c>
      <c r="F53" s="31">
        <f>VLOOKUP(VALUE(LEFT(A53, 4)), 'Raw Annual Revenue'!A:F, 6, FALSE) / 4</f>
        <v>88022.25</v>
      </c>
      <c r="G53" s="28"/>
      <c r="H53" s="28"/>
      <c r="I53" s="28"/>
      <c r="J53" s="31">
        <f>VLOOKUP(VALUE(LEFT(A56, 4)), 'Raw Annual Revenue'!A:J, 10, FALSE) / 4</f>
        <v>20890</v>
      </c>
      <c r="K53" s="28"/>
      <c r="L53" s="31">
        <f>VLOOKUP(VALUE(LEFT($A53, 4)), 'Raw Annual Revenue'!$A:L, 12, FALSE) / 4</f>
        <v>47420.75</v>
      </c>
      <c r="M53" s="28"/>
      <c r="N53" s="28"/>
      <c r="O53" s="32">
        <f>VLOOKUP(VALUE(LEFT(A55, 4)), 'Raw Annual Revenue'!A:O, 15, FALSE) / 4</f>
        <v>7913.25</v>
      </c>
      <c r="P53" s="28"/>
      <c r="Q53" s="28"/>
      <c r="R53" s="28"/>
      <c r="S53" s="28"/>
      <c r="T53" s="28"/>
      <c r="U53" s="30">
        <f>VLOOKUP(VALUE(LEFT($A53, 4)), 'Raw Annual Revenue'!$A:U, 21, FALSE) / 4</f>
        <v>184500</v>
      </c>
      <c r="V53" s="28"/>
      <c r="W53" s="30">
        <f>VLOOKUP(VALUE(LEFT($A55, 4)), 'Raw Annual Revenue'!$A:W, 23, FALSE) / 4</f>
        <v>375805</v>
      </c>
      <c r="X53" s="28"/>
      <c r="Y53" s="28"/>
      <c r="Z53" s="28"/>
      <c r="AA53" s="28"/>
      <c r="AB53" s="28"/>
    </row>
    <row r="54" spans="1:28" ht="15.75" customHeight="1">
      <c r="A54" s="27" t="s">
        <v>79</v>
      </c>
      <c r="B54" s="28"/>
      <c r="C54" s="31">
        <f>VLOOKUP(VALUE(LEFT(A54, 4)), 'Raw Annual Revenue'!A:C, 3, FALSE) / 4</f>
        <v>584553</v>
      </c>
      <c r="D54" s="31">
        <f>VLOOKUP(VALUE(LEFT(A54, 4)), 'Raw Annual Revenue'!A:D, 4, FALSE) / 4</f>
        <v>685762.75</v>
      </c>
      <c r="E54" s="31">
        <f>VLOOKUP(VALUE(LEFT(A54, 4)), 'Raw Annual Revenue'!A:E, 5, FALSE) / 4</f>
        <v>75012.75</v>
      </c>
      <c r="F54" s="31">
        <f>VLOOKUP(VALUE(LEFT(A54, 4)), 'Raw Annual Revenue'!A:F, 6, FALSE) / 4</f>
        <v>88022.25</v>
      </c>
      <c r="G54" s="28"/>
      <c r="H54" s="28"/>
      <c r="I54" s="28"/>
      <c r="J54" s="31">
        <f>VLOOKUP(VALUE(LEFT(A57, 4)), 'Raw Annual Revenue'!A:J, 10, FALSE) / 4</f>
        <v>20890</v>
      </c>
      <c r="K54" s="28"/>
      <c r="L54" s="31">
        <f>VLOOKUP(VALUE(LEFT($A54, 4)), 'Raw Annual Revenue'!$A:L, 12, FALSE) / 4</f>
        <v>47420.75</v>
      </c>
      <c r="M54" s="28"/>
      <c r="N54" s="28"/>
      <c r="O54" s="32">
        <f>VLOOKUP(VALUE(LEFT(A56, 4)), 'Raw Annual Revenue'!A:O, 15, FALSE) / 4</f>
        <v>7913.25</v>
      </c>
      <c r="P54" s="28"/>
      <c r="Q54" s="28"/>
      <c r="R54" s="28"/>
      <c r="S54" s="28"/>
      <c r="T54" s="28"/>
      <c r="U54" s="30">
        <f>VLOOKUP(VALUE(LEFT($A54, 4)), 'Raw Annual Revenue'!$A:U, 21, FALSE) / 4</f>
        <v>184500</v>
      </c>
      <c r="V54" s="28"/>
      <c r="W54" s="30">
        <f>VLOOKUP(VALUE(LEFT($A56, 4)), 'Raw Annual Revenue'!$A:W, 23, FALSE) / 4</f>
        <v>375805</v>
      </c>
      <c r="X54" s="28"/>
      <c r="Y54" s="28"/>
      <c r="Z54" s="28"/>
      <c r="AA54" s="28"/>
      <c r="AB54" s="28"/>
    </row>
    <row r="55" spans="1:28" ht="15.75" customHeight="1">
      <c r="A55" s="27" t="s">
        <v>80</v>
      </c>
      <c r="B55" s="28"/>
      <c r="C55" s="31">
        <f>VLOOKUP(VALUE(LEFT(A55, 4)), 'Raw Annual Revenue'!A:C, 3, FALSE) / 4</f>
        <v>771226.25</v>
      </c>
      <c r="D55" s="31">
        <f>VLOOKUP(VALUE(LEFT(A55, 4)), 'Raw Annual Revenue'!A:D, 4, FALSE) / 4</f>
        <v>758411.25</v>
      </c>
      <c r="E55" s="31">
        <f>VLOOKUP(VALUE(LEFT(A55, 4)), 'Raw Annual Revenue'!A:E, 5, FALSE) / 4</f>
        <v>112500.25</v>
      </c>
      <c r="F55" s="31">
        <f>VLOOKUP(VALUE(LEFT(A55, 4)), 'Raw Annual Revenue'!A:F, 6, FALSE) / 4</f>
        <v>121158.75</v>
      </c>
      <c r="G55" s="28"/>
      <c r="H55" s="28"/>
      <c r="I55" s="28"/>
      <c r="J55" s="31">
        <f>VLOOKUP(VALUE(LEFT(A58, 4)), 'Raw Annual Revenue'!A:J, 10, FALSE) / 4</f>
        <v>20890</v>
      </c>
      <c r="K55" s="28"/>
      <c r="L55" s="31">
        <f>VLOOKUP(VALUE(LEFT($A55, 4)), 'Raw Annual Revenue'!$A:L, 12, FALSE) / 4</f>
        <v>66336.75</v>
      </c>
      <c r="M55" s="28"/>
      <c r="N55" s="28"/>
      <c r="O55" s="32">
        <f>VLOOKUP(VALUE(LEFT(A57, 4)), 'Raw Annual Revenue'!A:O, 15, FALSE) / 4</f>
        <v>7913.25</v>
      </c>
      <c r="P55" s="28"/>
      <c r="Q55" s="28"/>
      <c r="R55" s="28"/>
      <c r="S55" s="28"/>
      <c r="T55" s="28"/>
      <c r="U55" s="30">
        <f>VLOOKUP(VALUE(LEFT($A55, 4)), 'Raw Annual Revenue'!$A:U, 21, FALSE) / 4</f>
        <v>189371.75</v>
      </c>
      <c r="V55" s="28"/>
      <c r="W55" s="30">
        <f>VLOOKUP(VALUE(LEFT($A57, 4)), 'Raw Annual Revenue'!$A:W, 23, FALSE) / 4</f>
        <v>375805</v>
      </c>
      <c r="X55" s="28"/>
      <c r="Y55" s="28"/>
      <c r="Z55" s="28"/>
      <c r="AA55" s="28"/>
      <c r="AB55" s="28"/>
    </row>
    <row r="56" spans="1:28" ht="15.75" customHeight="1">
      <c r="A56" s="27" t="s">
        <v>81</v>
      </c>
      <c r="B56" s="28"/>
      <c r="C56" s="31">
        <f>VLOOKUP(VALUE(LEFT(A56, 4)), 'Raw Annual Revenue'!A:C, 3, FALSE) / 4</f>
        <v>771226.25</v>
      </c>
      <c r="D56" s="31">
        <f>VLOOKUP(VALUE(LEFT(A56, 4)), 'Raw Annual Revenue'!A:D, 4, FALSE) / 4</f>
        <v>758411.25</v>
      </c>
      <c r="E56" s="31">
        <f>VLOOKUP(VALUE(LEFT(A56, 4)), 'Raw Annual Revenue'!A:E, 5, FALSE) / 4</f>
        <v>112500.25</v>
      </c>
      <c r="F56" s="31">
        <f>VLOOKUP(VALUE(LEFT(A56, 4)), 'Raw Annual Revenue'!A:F, 6, FALSE) / 4</f>
        <v>121158.75</v>
      </c>
      <c r="G56" s="28"/>
      <c r="H56" s="28"/>
      <c r="I56" s="28"/>
      <c r="J56" s="31">
        <f>VLOOKUP(VALUE(LEFT(A59, 4)), 'Raw Annual Revenue'!A:J, 10, FALSE) / 4</f>
        <v>31180.25</v>
      </c>
      <c r="K56" s="28"/>
      <c r="L56" s="31">
        <f>VLOOKUP(VALUE(LEFT($A56, 4)), 'Raw Annual Revenue'!$A:L, 12, FALSE) / 4</f>
        <v>66336.75</v>
      </c>
      <c r="M56" s="28"/>
      <c r="N56" s="28"/>
      <c r="O56" s="32">
        <f>VLOOKUP(VALUE(LEFT(A58, 4)), 'Raw Annual Revenue'!A:O, 15, FALSE) / 4</f>
        <v>7913.25</v>
      </c>
      <c r="P56" s="28"/>
      <c r="Q56" s="28"/>
      <c r="R56" s="28"/>
      <c r="S56" s="28"/>
      <c r="T56" s="28"/>
      <c r="U56" s="30">
        <f>VLOOKUP(VALUE(LEFT($A56, 4)), 'Raw Annual Revenue'!$A:U, 21, FALSE) / 4</f>
        <v>189371.75</v>
      </c>
      <c r="V56" s="28"/>
      <c r="W56" s="30">
        <f>VLOOKUP(VALUE(LEFT($A58, 4)), 'Raw Annual Revenue'!$A:W, 23, FALSE) / 4</f>
        <v>375805</v>
      </c>
      <c r="X56" s="28"/>
      <c r="Y56" s="28"/>
      <c r="Z56" s="28"/>
      <c r="AA56" s="28"/>
      <c r="AB56" s="28"/>
    </row>
    <row r="57" spans="1:28" ht="15.75" customHeight="1">
      <c r="A57" s="27" t="s">
        <v>82</v>
      </c>
      <c r="B57" s="28"/>
      <c r="C57" s="31">
        <f>VLOOKUP(VALUE(LEFT(A57, 4)), 'Raw Annual Revenue'!A:C, 3, FALSE) / 4</f>
        <v>771226.25</v>
      </c>
      <c r="D57" s="31">
        <f>VLOOKUP(VALUE(LEFT(A57, 4)), 'Raw Annual Revenue'!A:D, 4, FALSE) / 4</f>
        <v>758411.25</v>
      </c>
      <c r="E57" s="31">
        <f>VLOOKUP(VALUE(LEFT(A57, 4)), 'Raw Annual Revenue'!A:E, 5, FALSE) / 4</f>
        <v>112500.25</v>
      </c>
      <c r="F57" s="31">
        <f>VLOOKUP(VALUE(LEFT(A57, 4)), 'Raw Annual Revenue'!A:F, 6, FALSE) / 4</f>
        <v>121158.75</v>
      </c>
      <c r="G57" s="28"/>
      <c r="H57" s="28"/>
      <c r="I57" s="28"/>
      <c r="J57" s="31">
        <f>VLOOKUP(VALUE(LEFT(A60, 4)), 'Raw Annual Revenue'!A:J, 10, FALSE) / 4</f>
        <v>31180.25</v>
      </c>
      <c r="K57" s="28"/>
      <c r="L57" s="31">
        <f>VLOOKUP(VALUE(LEFT($A57, 4)), 'Raw Annual Revenue'!$A:L, 12, FALSE) / 4</f>
        <v>66336.75</v>
      </c>
      <c r="M57" s="28"/>
      <c r="N57" s="28"/>
      <c r="O57" s="32">
        <f>VLOOKUP(VALUE(LEFT(A59, 4)), 'Raw Annual Revenue'!A:O, 15, FALSE) / 4</f>
        <v>11691.5</v>
      </c>
      <c r="P57" s="28"/>
      <c r="Q57" s="28"/>
      <c r="R57" s="28"/>
      <c r="S57" s="28"/>
      <c r="T57" s="28"/>
      <c r="U57" s="30">
        <f>VLOOKUP(VALUE(LEFT($A57, 4)), 'Raw Annual Revenue'!$A:U, 21, FALSE) / 4</f>
        <v>189371.75</v>
      </c>
      <c r="V57" s="28"/>
      <c r="W57" s="30">
        <f>VLOOKUP(VALUE(LEFT($A59, 4)), 'Raw Annual Revenue'!$A:W, 23, FALSE) / 4</f>
        <v>487927.75</v>
      </c>
      <c r="X57" s="28"/>
      <c r="Y57" s="28"/>
      <c r="Z57" s="28"/>
      <c r="AA57" s="28"/>
      <c r="AB57" s="28"/>
    </row>
    <row r="58" spans="1:28" ht="13">
      <c r="A58" s="27" t="s">
        <v>83</v>
      </c>
      <c r="B58" s="28"/>
      <c r="C58" s="31">
        <f>VLOOKUP(VALUE(LEFT(A58, 4)), 'Raw Annual Revenue'!A:C, 3, FALSE) / 4</f>
        <v>771226.25</v>
      </c>
      <c r="D58" s="31">
        <f>VLOOKUP(VALUE(LEFT(A58, 4)), 'Raw Annual Revenue'!A:D, 4, FALSE) / 4</f>
        <v>758411.25</v>
      </c>
      <c r="E58" s="31">
        <f>VLOOKUP(VALUE(LEFT(A58, 4)), 'Raw Annual Revenue'!A:E, 5, FALSE) / 4</f>
        <v>112500.25</v>
      </c>
      <c r="F58" s="31">
        <f>VLOOKUP(VALUE(LEFT(A58, 4)), 'Raw Annual Revenue'!A:F, 6, FALSE) / 4</f>
        <v>121158.75</v>
      </c>
      <c r="G58" s="28"/>
      <c r="H58" s="28"/>
      <c r="I58" s="28"/>
      <c r="J58" s="31">
        <f>VLOOKUP(VALUE(LEFT(A61, 4)), 'Raw Annual Revenue'!A:J, 10, FALSE) / 4</f>
        <v>31180.25</v>
      </c>
      <c r="K58" s="28"/>
      <c r="L58" s="31">
        <f>VLOOKUP(VALUE(LEFT($A58, 4)), 'Raw Annual Revenue'!$A:L, 12, FALSE) / 4</f>
        <v>66336.75</v>
      </c>
      <c r="M58" s="28"/>
      <c r="N58" s="28"/>
      <c r="O58" s="32">
        <f>VLOOKUP(VALUE(LEFT(A60, 4)), 'Raw Annual Revenue'!A:O, 15, FALSE) / 4</f>
        <v>11691.5</v>
      </c>
      <c r="P58" s="28"/>
      <c r="Q58" s="28"/>
      <c r="R58" s="28"/>
      <c r="S58" s="28"/>
      <c r="T58" s="28"/>
      <c r="U58" s="30">
        <f>VLOOKUP(VALUE(LEFT($A58, 4)), 'Raw Annual Revenue'!$A:U, 21, FALSE) / 4</f>
        <v>189371.75</v>
      </c>
      <c r="V58" s="28"/>
      <c r="W58" s="30">
        <f>VLOOKUP(VALUE(LEFT($A60, 4)), 'Raw Annual Revenue'!$A:W, 23, FALSE) / 4</f>
        <v>487927.75</v>
      </c>
      <c r="X58" s="28"/>
      <c r="Y58" s="28"/>
      <c r="Z58" s="28"/>
      <c r="AA58" s="28"/>
      <c r="AB58" s="28"/>
    </row>
    <row r="59" spans="1:28" ht="13">
      <c r="A59" s="27" t="s">
        <v>84</v>
      </c>
      <c r="B59" s="28"/>
      <c r="C59" s="31">
        <f>VLOOKUP(VALUE(LEFT(A59, 4)), 'Raw Annual Revenue'!A:C, 3, FALSE) / 4</f>
        <v>1088902.5</v>
      </c>
      <c r="D59" s="31">
        <f>VLOOKUP(VALUE(LEFT(A59, 4)), 'Raw Annual Revenue'!A:D, 4, FALSE) / 4</f>
        <v>862252.25</v>
      </c>
      <c r="E59" s="31">
        <f>VLOOKUP(VALUE(LEFT(A59, 4)), 'Raw Annual Revenue'!A:E, 5, FALSE) / 4</f>
        <v>143460</v>
      </c>
      <c r="F59" s="31">
        <f>VLOOKUP(VALUE(LEFT(A59, 4)), 'Raw Annual Revenue'!A:F, 6, FALSE) / 4</f>
        <v>159265.75</v>
      </c>
      <c r="G59" s="28"/>
      <c r="H59" s="28"/>
      <c r="I59" s="28"/>
      <c r="J59" s="31">
        <f>VLOOKUP(VALUE(LEFT(A62, 4)), 'Raw Annual Revenue'!A:J, 10, FALSE) / 4</f>
        <v>31180.25</v>
      </c>
      <c r="K59" s="28"/>
      <c r="L59" s="31">
        <f>VLOOKUP(VALUE(LEFT($A59, 4)), 'Raw Annual Revenue'!$A:L, 12, FALSE) / 4</f>
        <v>73072.5</v>
      </c>
      <c r="M59" s="28"/>
      <c r="N59" s="28"/>
      <c r="O59" s="32">
        <f>VLOOKUP(VALUE(LEFT(A61, 4)), 'Raw Annual Revenue'!A:O, 15, FALSE) / 4</f>
        <v>11691.5</v>
      </c>
      <c r="P59" s="28"/>
      <c r="Q59" s="28"/>
      <c r="R59" s="28"/>
      <c r="S59" s="28"/>
      <c r="T59" s="28"/>
      <c r="U59" s="30">
        <f>VLOOKUP(VALUE(LEFT($A59, 4)), 'Raw Annual Revenue'!$A:U, 21, FALSE) / 4</f>
        <v>191954.75</v>
      </c>
      <c r="V59" s="28"/>
      <c r="W59" s="30">
        <f>VLOOKUP(VALUE(LEFT($A61, 4)), 'Raw Annual Revenue'!$A:W, 23, FALSE) / 4</f>
        <v>487927.75</v>
      </c>
      <c r="X59" s="28"/>
      <c r="Y59" s="28"/>
      <c r="Z59" s="28"/>
      <c r="AA59" s="28"/>
      <c r="AB59" s="28"/>
    </row>
    <row r="60" spans="1:28" ht="13">
      <c r="A60" s="27" t="s">
        <v>85</v>
      </c>
      <c r="B60" s="28"/>
      <c r="C60" s="31">
        <f>VLOOKUP(VALUE(LEFT(A60, 4)), 'Raw Annual Revenue'!A:C, 3, FALSE) / 4</f>
        <v>1088902.5</v>
      </c>
      <c r="D60" s="31">
        <f>VLOOKUP(VALUE(LEFT(A60, 4)), 'Raw Annual Revenue'!A:D, 4, FALSE) / 4</f>
        <v>862252.25</v>
      </c>
      <c r="E60" s="31">
        <f>VLOOKUP(VALUE(LEFT(A60, 4)), 'Raw Annual Revenue'!A:E, 5, FALSE) / 4</f>
        <v>143460</v>
      </c>
      <c r="F60" s="31">
        <f>VLOOKUP(VALUE(LEFT(A60, 4)), 'Raw Annual Revenue'!A:F, 6, FALSE) / 4</f>
        <v>159265.75</v>
      </c>
      <c r="G60" s="28"/>
      <c r="H60" s="34">
        <f>VLOOKUP(VALUE(LEFT(A63, 4)), 'Raw Annual Revenue'!A:H, 8, FALSE) / 4</f>
        <v>141421</v>
      </c>
      <c r="I60" s="28"/>
      <c r="J60" s="31">
        <f>VLOOKUP(VALUE(LEFT(A63, 4)), 'Raw Annual Revenue'!A:J, 10, FALSE) / 4</f>
        <v>49149.75</v>
      </c>
      <c r="K60" s="28"/>
      <c r="L60" s="31">
        <f>VLOOKUP(VALUE(LEFT($A60, 4)), 'Raw Annual Revenue'!$A:L, 12, FALSE) / 4</f>
        <v>73072.5</v>
      </c>
      <c r="M60" s="28"/>
      <c r="N60" s="28"/>
      <c r="O60" s="32">
        <f>VLOOKUP(VALUE(LEFT(A62, 4)), 'Raw Annual Revenue'!A:O, 15, FALSE) / 4</f>
        <v>11691.5</v>
      </c>
      <c r="P60" s="28"/>
      <c r="Q60" s="28"/>
      <c r="R60" s="28"/>
      <c r="S60" s="28"/>
      <c r="T60" s="28"/>
      <c r="U60" s="30">
        <f>VLOOKUP(VALUE(LEFT($A60, 4)), 'Raw Annual Revenue'!$A:U, 21, FALSE) / 4</f>
        <v>191954.75</v>
      </c>
      <c r="V60" s="28"/>
      <c r="W60" s="30">
        <f>VLOOKUP(VALUE(LEFT($A62, 4)), 'Raw Annual Revenue'!$A:W, 23, FALSE) / 4</f>
        <v>487927.75</v>
      </c>
      <c r="X60" s="28"/>
      <c r="Y60" s="28"/>
      <c r="Z60" s="28"/>
      <c r="AA60" s="28"/>
      <c r="AB60" s="28"/>
    </row>
    <row r="61" spans="1:28" ht="13">
      <c r="A61" s="27" t="s">
        <v>86</v>
      </c>
      <c r="B61" s="28"/>
      <c r="C61" s="31">
        <f>VLOOKUP(VALUE(LEFT(A61, 4)), 'Raw Annual Revenue'!A:C, 3, FALSE) / 4</f>
        <v>1088902.5</v>
      </c>
      <c r="D61" s="31">
        <f>VLOOKUP(VALUE(LEFT(A61, 4)), 'Raw Annual Revenue'!A:D, 4, FALSE) / 4</f>
        <v>862252.25</v>
      </c>
      <c r="E61" s="31">
        <f>VLOOKUP(VALUE(LEFT(A61, 4)), 'Raw Annual Revenue'!A:E, 5, FALSE) / 4</f>
        <v>143460</v>
      </c>
      <c r="F61" s="31">
        <f>VLOOKUP(VALUE(LEFT(A61, 4)), 'Raw Annual Revenue'!A:F, 6, FALSE) / 4</f>
        <v>159265.75</v>
      </c>
      <c r="G61" s="28"/>
      <c r="H61" s="31">
        <f>VLOOKUP(VALUE(LEFT(A64, 4)), 'Raw Annual Revenue'!A:H, 8, FALSE) / 4</f>
        <v>141421</v>
      </c>
      <c r="I61" s="28"/>
      <c r="J61" s="31">
        <f>VLOOKUP(VALUE(LEFT(A64, 4)), 'Raw Annual Revenue'!A:J, 10, FALSE) / 4</f>
        <v>49149.75</v>
      </c>
      <c r="K61" s="28"/>
      <c r="L61" s="31">
        <f>VLOOKUP(VALUE(LEFT($A61, 4)), 'Raw Annual Revenue'!$A:L, 12, FALSE) / 4</f>
        <v>73072.5</v>
      </c>
      <c r="M61" s="28"/>
      <c r="N61" s="28"/>
      <c r="O61" s="32">
        <f>VLOOKUP(VALUE(LEFT(A63, 4)), 'Raw Annual Revenue'!A:O, 15, FALSE) / 4</f>
        <v>14692.5</v>
      </c>
      <c r="P61" s="28"/>
      <c r="Q61" s="28"/>
      <c r="R61" s="28"/>
      <c r="S61" s="28"/>
      <c r="T61" s="28"/>
      <c r="U61" s="30">
        <f>VLOOKUP(VALUE(LEFT($A61, 4)), 'Raw Annual Revenue'!$A:U, 21, FALSE) / 4</f>
        <v>191954.75</v>
      </c>
      <c r="V61" s="28"/>
      <c r="W61" s="30">
        <f>VLOOKUP(VALUE(LEFT($A63, 4)), 'Raw Annual Revenue'!$A:W, 23, FALSE) / 4</f>
        <v>505327.75</v>
      </c>
      <c r="X61" s="28"/>
      <c r="Y61" s="28"/>
      <c r="Z61" s="28"/>
      <c r="AA61" s="28"/>
      <c r="AB61" s="28"/>
    </row>
    <row r="62" spans="1:28" ht="13">
      <c r="A62" s="27" t="s">
        <v>87</v>
      </c>
      <c r="B62" s="28"/>
      <c r="C62" s="31">
        <f>VLOOKUP(VALUE(LEFT(A62, 4)), 'Raw Annual Revenue'!A:C, 3, FALSE) / 4</f>
        <v>1088902.5</v>
      </c>
      <c r="D62" s="31">
        <f>VLOOKUP(VALUE(LEFT(A62, 4)), 'Raw Annual Revenue'!A:D, 4, FALSE) / 4</f>
        <v>862252.25</v>
      </c>
      <c r="E62" s="31">
        <f>VLOOKUP(VALUE(LEFT(A62, 4)), 'Raw Annual Revenue'!A:E, 5, FALSE) / 4</f>
        <v>143460</v>
      </c>
      <c r="F62" s="31">
        <f>VLOOKUP(VALUE(LEFT(A62, 4)), 'Raw Annual Revenue'!A:F, 6, FALSE) / 4</f>
        <v>159265.75</v>
      </c>
      <c r="G62" s="28"/>
      <c r="H62" s="31">
        <f>VLOOKUP(VALUE(LEFT(A65, 4)), 'Raw Annual Revenue'!A:H, 8, FALSE) / 4</f>
        <v>141421</v>
      </c>
      <c r="I62" s="28"/>
      <c r="J62" s="31">
        <f>VLOOKUP(VALUE(LEFT(A65, 4)), 'Raw Annual Revenue'!A:J, 10, FALSE) / 4</f>
        <v>49149.75</v>
      </c>
      <c r="K62" s="28"/>
      <c r="L62" s="31">
        <f>VLOOKUP(VALUE(LEFT($A62, 4)), 'Raw Annual Revenue'!$A:L, 12, FALSE) / 4</f>
        <v>73072.5</v>
      </c>
      <c r="M62" s="28"/>
      <c r="N62" s="28"/>
      <c r="O62" s="32">
        <f>VLOOKUP(VALUE(LEFT(A64, 4)), 'Raw Annual Revenue'!A:O, 15, FALSE) / 4</f>
        <v>14692.5</v>
      </c>
      <c r="P62" s="28"/>
      <c r="Q62" s="28"/>
      <c r="R62" s="28"/>
      <c r="S62" s="28"/>
      <c r="T62" s="28"/>
      <c r="U62" s="30">
        <f>VLOOKUP(VALUE(LEFT($A62, 4)), 'Raw Annual Revenue'!$A:U, 21, FALSE) / 4</f>
        <v>191954.75</v>
      </c>
      <c r="V62" s="28"/>
      <c r="W62" s="30">
        <f>VLOOKUP(VALUE(LEFT($A64, 4)), 'Raw Annual Revenue'!$A:W, 23, FALSE) / 4</f>
        <v>505327.75</v>
      </c>
      <c r="X62" s="28"/>
      <c r="Y62" s="28"/>
      <c r="Z62" s="28"/>
      <c r="AA62" s="28"/>
      <c r="AB62" s="28"/>
    </row>
    <row r="63" spans="1:28" ht="13">
      <c r="A63" s="27" t="s">
        <v>88</v>
      </c>
      <c r="B63" s="28"/>
      <c r="C63" s="31">
        <f>VLOOKUP(VALUE(LEFT(A63, 4)), 'Raw Annual Revenue'!A:C, 3, FALSE) / 4</f>
        <v>1315239</v>
      </c>
      <c r="D63" s="31">
        <f>VLOOKUP(VALUE(LEFT(A63, 4)), 'Raw Annual Revenue'!A:D, 4, FALSE) / 4</f>
        <v>1007586.75</v>
      </c>
      <c r="E63" s="31">
        <f>VLOOKUP(VALUE(LEFT(A63, 4)), 'Raw Annual Revenue'!A:E, 5, FALSE) / 4</f>
        <v>170483</v>
      </c>
      <c r="F63" s="31">
        <f>VLOOKUP(VALUE(LEFT(A63, 4)), 'Raw Annual Revenue'!A:F, 6, FALSE) / 4</f>
        <v>190750</v>
      </c>
      <c r="G63" s="31"/>
      <c r="H63" s="31">
        <f>VLOOKUP(VALUE(LEFT(A66, 4)), 'Raw Annual Revenue'!A:H, 8, FALSE) / 4</f>
        <v>141421</v>
      </c>
      <c r="I63" s="28"/>
      <c r="J63" s="31">
        <f>VLOOKUP(VALUE(LEFT(A66, 4)), 'Raw Annual Revenue'!A:J, 10, FALSE) / 4</f>
        <v>49149.75</v>
      </c>
      <c r="K63" s="28"/>
      <c r="L63" s="31">
        <f>VLOOKUP(VALUE(LEFT($A63, 4)), 'Raw Annual Revenue'!$A:L, 12, FALSE) / 4</f>
        <v>83659.5</v>
      </c>
      <c r="M63" s="28"/>
      <c r="N63" s="28"/>
      <c r="O63" s="32">
        <f>VLOOKUP(VALUE(LEFT(A65, 4)), 'Raw Annual Revenue'!A:O, 15, FALSE) / 4</f>
        <v>14692.5</v>
      </c>
      <c r="P63" s="28"/>
      <c r="Q63" s="28"/>
      <c r="R63" s="31">
        <f>VLOOKUP(VALUE(LEFT(A63, 4)), 'Raw Annual Revenue'!A:R, 18, FALSE) / 4</f>
        <v>24745.25</v>
      </c>
      <c r="S63" s="28"/>
      <c r="T63" s="28"/>
      <c r="U63" s="30">
        <f>VLOOKUP(VALUE(LEFT($A63, 4)), 'Raw Annual Revenue'!$A:U, 21, FALSE) / 4</f>
        <v>194699</v>
      </c>
      <c r="V63" s="28"/>
      <c r="W63" s="30">
        <f>VLOOKUP(VALUE(LEFT($A65, 4)), 'Raw Annual Revenue'!$A:W, 23, FALSE) / 4</f>
        <v>505327.75</v>
      </c>
      <c r="X63" s="28"/>
      <c r="Y63" s="28"/>
      <c r="Z63" s="28"/>
      <c r="AA63" s="28"/>
      <c r="AB63" s="28"/>
    </row>
    <row r="64" spans="1:28" ht="13">
      <c r="A64" s="27" t="s">
        <v>89</v>
      </c>
      <c r="B64" s="28"/>
      <c r="C64" s="31">
        <f>VLOOKUP(VALUE(LEFT(A64, 4)), 'Raw Annual Revenue'!A:C, 3, FALSE) / 4</f>
        <v>1315239</v>
      </c>
      <c r="D64" s="31">
        <f>VLOOKUP(VALUE(LEFT(A64, 4)), 'Raw Annual Revenue'!A:D, 4, FALSE) / 4</f>
        <v>1007586.75</v>
      </c>
      <c r="E64" s="31">
        <f>VLOOKUP(VALUE(LEFT(A64, 4)), 'Raw Annual Revenue'!A:E, 5, FALSE) / 4</f>
        <v>170483</v>
      </c>
      <c r="F64" s="31">
        <f>VLOOKUP(VALUE(LEFT(A64, 4)), 'Raw Annual Revenue'!A:F, 6, FALSE) / 4</f>
        <v>190750</v>
      </c>
      <c r="G64" s="28"/>
      <c r="H64" s="31">
        <f>VLOOKUP(VALUE(LEFT(A67, 4)), 'Raw Annual Revenue'!A:H, 8, FALSE) / 4</f>
        <v>153515.75</v>
      </c>
      <c r="I64" s="28"/>
      <c r="J64" s="31">
        <f>VLOOKUP(VALUE(LEFT(A67, 4)), 'Raw Annual Revenue'!A:J, 10, FALSE) / 4</f>
        <v>57205.5</v>
      </c>
      <c r="K64" s="28"/>
      <c r="L64" s="31">
        <f>VLOOKUP(VALUE(LEFT($A64, 4)), 'Raw Annual Revenue'!$A:L, 12, FALSE) / 4</f>
        <v>83659.5</v>
      </c>
      <c r="M64" s="28"/>
      <c r="N64" s="28"/>
      <c r="O64" s="32">
        <f>VLOOKUP(VALUE(LEFT(A66, 4)), 'Raw Annual Revenue'!A:O, 15, FALSE) / 4</f>
        <v>14692.5</v>
      </c>
      <c r="P64" s="28"/>
      <c r="Q64" s="28"/>
      <c r="R64" s="31">
        <f>VLOOKUP(VALUE(LEFT(A64, 4)), 'Raw Annual Revenue'!A:R, 18, FALSE) / 4</f>
        <v>24745.25</v>
      </c>
      <c r="S64" s="28"/>
      <c r="T64" s="28"/>
      <c r="U64" s="30">
        <f>VLOOKUP(VALUE(LEFT($A64, 4)), 'Raw Annual Revenue'!$A:U, 21, FALSE) / 4</f>
        <v>194699</v>
      </c>
      <c r="V64" s="28"/>
      <c r="W64" s="30">
        <f>VLOOKUP(VALUE(LEFT($A66, 4)), 'Raw Annual Revenue'!$A:W, 23, FALSE) / 4</f>
        <v>505327.75</v>
      </c>
      <c r="X64" s="28"/>
      <c r="Y64" s="28"/>
      <c r="Z64" s="28"/>
      <c r="AA64" s="28"/>
      <c r="AB64" s="28"/>
    </row>
    <row r="65" spans="1:28" ht="13">
      <c r="A65" s="27" t="s">
        <v>90</v>
      </c>
      <c r="B65" s="28"/>
      <c r="C65" s="31">
        <f>VLOOKUP(VALUE(LEFT(A65, 4)), 'Raw Annual Revenue'!A:C, 3, FALSE) / 4</f>
        <v>1315239</v>
      </c>
      <c r="D65" s="31">
        <f>VLOOKUP(VALUE(LEFT(A65, 4)), 'Raw Annual Revenue'!A:D, 4, FALSE) / 4</f>
        <v>1007586.75</v>
      </c>
      <c r="E65" s="31">
        <f>VLOOKUP(VALUE(LEFT(A65, 4)), 'Raw Annual Revenue'!A:E, 5, FALSE) / 4</f>
        <v>170483</v>
      </c>
      <c r="F65" s="31">
        <f>VLOOKUP(VALUE(LEFT(A65, 4)), 'Raw Annual Revenue'!A:F, 6, FALSE) / 4</f>
        <v>190750</v>
      </c>
      <c r="G65" s="28"/>
      <c r="H65" s="31">
        <f>VLOOKUP(VALUE(LEFT(A68, 4)), 'Raw Annual Revenue'!A:H, 8, FALSE) / 4</f>
        <v>153515.75</v>
      </c>
      <c r="I65" s="28"/>
      <c r="J65" s="31">
        <f>VLOOKUP(VALUE(LEFT(A68, 4)), 'Raw Annual Revenue'!A:J, 10, FALSE) / 4</f>
        <v>57205.5</v>
      </c>
      <c r="K65" s="28"/>
      <c r="L65" s="31">
        <f>VLOOKUP(VALUE(LEFT($A65, 4)), 'Raw Annual Revenue'!$A:L, 12, FALSE) / 4</f>
        <v>83659.5</v>
      </c>
      <c r="M65" s="28"/>
      <c r="N65" s="28"/>
      <c r="O65" s="32">
        <f>VLOOKUP(VALUE(LEFT(A67, 4)), 'Raw Annual Revenue'!A:O, 15, FALSE) / 4</f>
        <v>17278.25</v>
      </c>
      <c r="P65" s="28"/>
      <c r="Q65" s="28"/>
      <c r="R65" s="31">
        <f>VLOOKUP(VALUE(LEFT(A65, 4)), 'Raw Annual Revenue'!A:R, 18, FALSE) / 4</f>
        <v>24745.25</v>
      </c>
      <c r="S65" s="28"/>
      <c r="T65" s="28"/>
      <c r="U65" s="30">
        <f>VLOOKUP(VALUE(LEFT($A65, 4)), 'Raw Annual Revenue'!$A:U, 21, FALSE) / 4</f>
        <v>194699</v>
      </c>
      <c r="V65" s="28"/>
      <c r="W65" s="30">
        <f>VLOOKUP(VALUE(LEFT($A67, 4)), 'Raw Annual Revenue'!$A:W, 23, FALSE) / 4</f>
        <v>450700</v>
      </c>
      <c r="X65" s="28"/>
      <c r="Y65" s="28"/>
      <c r="Z65" s="28"/>
      <c r="AA65" s="28"/>
      <c r="AB65" s="28"/>
    </row>
    <row r="66" spans="1:28" ht="13">
      <c r="A66" s="27" t="s">
        <v>91</v>
      </c>
      <c r="B66" s="28"/>
      <c r="C66" s="31">
        <f>VLOOKUP(VALUE(LEFT(A66, 4)), 'Raw Annual Revenue'!A:C, 3, FALSE) / 4</f>
        <v>1315239</v>
      </c>
      <c r="D66" s="31">
        <f>VLOOKUP(VALUE(LEFT(A66, 4)), 'Raw Annual Revenue'!A:D, 4, FALSE) / 4</f>
        <v>1007586.75</v>
      </c>
      <c r="E66" s="31">
        <f>VLOOKUP(VALUE(LEFT(A66, 4)), 'Raw Annual Revenue'!A:E, 5, FALSE) / 4</f>
        <v>170483</v>
      </c>
      <c r="F66" s="31">
        <f>VLOOKUP(VALUE(LEFT(A66, 4)), 'Raw Annual Revenue'!A:F, 6, FALSE) / 4</f>
        <v>190750</v>
      </c>
      <c r="G66" s="28"/>
      <c r="H66" s="31">
        <f>VLOOKUP(VALUE(LEFT(A69, 4)), 'Raw Annual Revenue'!A:H, 8, FALSE) / 4</f>
        <v>153515.75</v>
      </c>
      <c r="I66" s="28"/>
      <c r="J66" s="31">
        <f>VLOOKUP(VALUE(LEFT(A69, 4)), 'Raw Annual Revenue'!A:J, 10, FALSE) / 4</f>
        <v>57205.5</v>
      </c>
      <c r="K66" s="28"/>
      <c r="L66" s="31">
        <f>VLOOKUP(VALUE(LEFT($A66, 4)), 'Raw Annual Revenue'!$A:L, 12, FALSE) / 4</f>
        <v>83659.5</v>
      </c>
      <c r="M66" s="28"/>
      <c r="N66" s="28"/>
      <c r="O66" s="32">
        <f>VLOOKUP(VALUE(LEFT(A68, 4)), 'Raw Annual Revenue'!A:O, 15, FALSE) / 4</f>
        <v>17278.25</v>
      </c>
      <c r="P66" s="28"/>
      <c r="Q66" s="28"/>
      <c r="R66" s="31">
        <f>VLOOKUP(VALUE(LEFT(A66, 4)), 'Raw Annual Revenue'!A:R, 18, FALSE) / 4</f>
        <v>24745.25</v>
      </c>
      <c r="S66" s="28"/>
      <c r="T66" s="28"/>
      <c r="U66" s="30">
        <f>VLOOKUP(VALUE(LEFT($A66, 4)), 'Raw Annual Revenue'!$A:U, 21, FALSE) / 4</f>
        <v>194699</v>
      </c>
      <c r="V66" s="28"/>
      <c r="W66" s="30">
        <f>VLOOKUP(VALUE(LEFT($A68, 4)), 'Raw Annual Revenue'!$A:W, 23, FALSE) / 4</f>
        <v>450700</v>
      </c>
      <c r="X66" s="28"/>
      <c r="Y66" s="28"/>
      <c r="Z66" s="28"/>
      <c r="AA66" s="28"/>
      <c r="AB66" s="28"/>
    </row>
    <row r="67" spans="1:28" ht="13">
      <c r="A67" s="27" t="s">
        <v>92</v>
      </c>
      <c r="B67" s="28"/>
      <c r="C67" s="31">
        <f>VLOOKUP(VALUE(LEFT(A67, 4)), 'Raw Annual Revenue'!A:C, 3, FALSE) / 4</f>
        <v>1698326.5</v>
      </c>
      <c r="D67" s="31">
        <f>VLOOKUP(VALUE(LEFT(A67, 4)), 'Raw Annual Revenue'!A:D, 4, FALSE) / 4</f>
        <v>1192814.75</v>
      </c>
      <c r="E67" s="31">
        <f>VLOOKUP(VALUE(LEFT(A67, 4)), 'Raw Annual Revenue'!A:E, 5, FALSE) / 4</f>
        <v>227364</v>
      </c>
      <c r="F67" s="31">
        <f>VLOOKUP(VALUE(LEFT(A67, 4)), 'Raw Annual Revenue'!A:F, 6, FALSE) / 4</f>
        <v>236250</v>
      </c>
      <c r="G67" s="28"/>
      <c r="H67" s="31">
        <f>VLOOKUP(VALUE(LEFT(A70, 4)), 'Raw Annual Revenue'!A:H, 8, FALSE) / 4</f>
        <v>153515.75</v>
      </c>
      <c r="I67" s="28"/>
      <c r="J67" s="31">
        <f>VLOOKUP(VALUE(LEFT(A70, 4)), 'Raw Annual Revenue'!A:J, 10, FALSE) / 4</f>
        <v>57205.5</v>
      </c>
      <c r="K67" s="28"/>
      <c r="L67" s="31">
        <f>VLOOKUP(VALUE(LEFT($A67, 4)), 'Raw Annual Revenue'!$A:L, 12, FALSE) / 4</f>
        <v>95841</v>
      </c>
      <c r="M67" s="28"/>
      <c r="N67" s="28"/>
      <c r="O67" s="32">
        <f>VLOOKUP(VALUE(LEFT(A69, 4)), 'Raw Annual Revenue'!A:O, 15, FALSE) / 4</f>
        <v>17278.25</v>
      </c>
      <c r="P67" s="28"/>
      <c r="Q67" s="28"/>
      <c r="R67" s="31">
        <f>VLOOKUP(VALUE(LEFT(A67, 4)), 'Raw Annual Revenue'!A:R, 18, FALSE) / 4</f>
        <v>42470.75</v>
      </c>
      <c r="S67" s="28"/>
      <c r="T67" s="28"/>
      <c r="U67" s="30">
        <f>VLOOKUP(VALUE(LEFT($A67, 4)), 'Raw Annual Revenue'!$A:U, 21, FALSE) / 4</f>
        <v>211750.75</v>
      </c>
      <c r="V67" s="28"/>
      <c r="W67" s="30">
        <f>VLOOKUP(VALUE(LEFT($A69, 4)), 'Raw Annual Revenue'!$A:W, 23, FALSE) / 4</f>
        <v>450700</v>
      </c>
      <c r="X67" s="31">
        <f>VLOOKUP(VALUE(LEFT($A67, 4)), 'Raw Annual Revenue'!$A:X, 24, FALSE) / 4</f>
        <v>26660.868600000002</v>
      </c>
      <c r="Y67" s="31"/>
      <c r="Z67" s="31"/>
      <c r="AA67" s="31"/>
      <c r="AB67" s="31"/>
    </row>
    <row r="68" spans="1:28" ht="13">
      <c r="A68" s="27" t="s">
        <v>93</v>
      </c>
      <c r="B68" s="28"/>
      <c r="C68" s="31">
        <f>VLOOKUP(VALUE(LEFT(A68, 4)), 'Raw Annual Revenue'!A:C, 3, FALSE) / 4</f>
        <v>1698326.5</v>
      </c>
      <c r="D68" s="31">
        <f>VLOOKUP(VALUE(LEFT(A68, 4)), 'Raw Annual Revenue'!A:D, 4, FALSE) / 4</f>
        <v>1192814.75</v>
      </c>
      <c r="E68" s="31">
        <f>VLOOKUP(VALUE(LEFT(A68, 4)), 'Raw Annual Revenue'!A:E, 5, FALSE) / 4</f>
        <v>227364</v>
      </c>
      <c r="F68" s="31">
        <f>VLOOKUP(VALUE(LEFT(A68, 4)), 'Raw Annual Revenue'!A:F, 6, FALSE) / 4</f>
        <v>236250</v>
      </c>
      <c r="G68" s="28"/>
      <c r="H68" s="31">
        <f>VLOOKUP(VALUE(LEFT(A71, 4)), 'Raw Annual Revenue'!A:H, 8, FALSE) / 4</f>
        <v>165088.5</v>
      </c>
      <c r="I68" s="28"/>
      <c r="J68" s="31">
        <f>VLOOKUP(VALUE(LEFT(A71, 4)), 'Raw Annual Revenue'!A:J, 10, FALSE) / 4</f>
        <v>64135.75</v>
      </c>
      <c r="K68" s="28"/>
      <c r="L68" s="31">
        <f>VLOOKUP(VALUE(LEFT($A68, 4)), 'Raw Annual Revenue'!$A:L, 12, FALSE) / 4</f>
        <v>95841</v>
      </c>
      <c r="M68" s="28"/>
      <c r="N68" s="28"/>
      <c r="O68" s="32">
        <f>VLOOKUP(VALUE(LEFT(A70, 4)), 'Raw Annual Revenue'!A:O, 15, FALSE) / 4</f>
        <v>17278.25</v>
      </c>
      <c r="P68" s="28"/>
      <c r="Q68" s="28"/>
      <c r="R68" s="31">
        <f>VLOOKUP(VALUE(LEFT(A68, 4)), 'Raw Annual Revenue'!A:R, 18, FALSE) / 4</f>
        <v>42470.75</v>
      </c>
      <c r="S68" s="28"/>
      <c r="T68" s="28"/>
      <c r="U68" s="30">
        <f>VLOOKUP(VALUE(LEFT($A68, 4)), 'Raw Annual Revenue'!$A:U, 21, FALSE) / 4</f>
        <v>211750.75</v>
      </c>
      <c r="V68" s="28"/>
      <c r="W68" s="30">
        <f>VLOOKUP(VALUE(LEFT($A70, 4)), 'Raw Annual Revenue'!$A:W, 23, FALSE) / 4</f>
        <v>450700</v>
      </c>
      <c r="X68" s="31">
        <f>VLOOKUP(VALUE(LEFT(A68, 4)), 'Raw Annual Revenue'!A:X, 24, FALSE) / 4</f>
        <v>26660.868600000002</v>
      </c>
      <c r="Y68" s="31"/>
      <c r="Z68" s="31"/>
      <c r="AA68" s="31"/>
      <c r="AB68" s="31"/>
    </row>
    <row r="69" spans="1:28" ht="13">
      <c r="A69" s="27" t="s">
        <v>94</v>
      </c>
      <c r="B69" s="28"/>
      <c r="C69" s="31">
        <f>VLOOKUP(VALUE(LEFT(A69, 4)), 'Raw Annual Revenue'!A:C, 3, FALSE) / 4</f>
        <v>1698326.5</v>
      </c>
      <c r="D69" s="31">
        <f>VLOOKUP(VALUE(LEFT(A69, 4)), 'Raw Annual Revenue'!A:D, 4, FALSE) / 4</f>
        <v>1192814.75</v>
      </c>
      <c r="E69" s="31">
        <f>VLOOKUP(VALUE(LEFT(A69, 4)), 'Raw Annual Revenue'!A:E, 5, FALSE) / 4</f>
        <v>227364</v>
      </c>
      <c r="F69" s="31">
        <f>VLOOKUP(VALUE(LEFT(A69, 4)), 'Raw Annual Revenue'!A:F, 6, FALSE) / 4</f>
        <v>236250</v>
      </c>
      <c r="G69" s="28"/>
      <c r="H69" s="31">
        <f>VLOOKUP(VALUE(LEFT(A72, 4)), 'Raw Annual Revenue'!A:H, 8, FALSE) / 4</f>
        <v>165088.5</v>
      </c>
      <c r="I69" s="28"/>
      <c r="J69" s="31">
        <f>VLOOKUP(VALUE(LEFT(A72, 4)), 'Raw Annual Revenue'!A:J, 10, FALSE) / 4</f>
        <v>64135.75</v>
      </c>
      <c r="K69" s="28"/>
      <c r="L69" s="31">
        <f>VLOOKUP(VALUE(LEFT($A69, 4)), 'Raw Annual Revenue'!$A:L, 12, FALSE) / 4</f>
        <v>95841</v>
      </c>
      <c r="M69" s="28"/>
      <c r="N69" s="28"/>
      <c r="O69" s="32">
        <f>VLOOKUP(VALUE(LEFT(A71, 4)), 'Raw Annual Revenue'!A:O, 15, FALSE) / 4</f>
        <v>23230.75</v>
      </c>
      <c r="P69" s="28"/>
      <c r="Q69" s="28"/>
      <c r="R69" s="31">
        <f>VLOOKUP(VALUE(LEFT(A69, 4)), 'Raw Annual Revenue'!A:R, 18, FALSE) / 4</f>
        <v>42470.75</v>
      </c>
      <c r="S69" s="28"/>
      <c r="T69" s="28"/>
      <c r="U69" s="30">
        <f>VLOOKUP(VALUE(LEFT($A69, 4)), 'Raw Annual Revenue'!$A:U, 21, FALSE) / 4</f>
        <v>211750.75</v>
      </c>
      <c r="V69" s="28"/>
      <c r="W69" s="30">
        <f>VLOOKUP(VALUE(LEFT($A71, 4)), 'Raw Annual Revenue'!$A:W, 23, FALSE) / 4</f>
        <v>519982</v>
      </c>
      <c r="X69" s="31">
        <f>VLOOKUP(VALUE(LEFT(A69, 4)), 'Raw Annual Revenue'!A:X, 24, FALSE) / 4</f>
        <v>26660.868600000002</v>
      </c>
      <c r="Y69" s="31"/>
      <c r="Z69" s="31"/>
      <c r="AA69" s="31"/>
      <c r="AB69" s="31"/>
    </row>
    <row r="70" spans="1:28" ht="13">
      <c r="A70" s="27" t="s">
        <v>95</v>
      </c>
      <c r="B70" s="28"/>
      <c r="C70" s="31">
        <f>VLOOKUP(VALUE(LEFT(A70, 4)), 'Raw Annual Revenue'!A:C, 3, FALSE) / 4</f>
        <v>1698326.5</v>
      </c>
      <c r="D70" s="31">
        <f>VLOOKUP(VALUE(LEFT(A70, 4)), 'Raw Annual Revenue'!A:D, 4, FALSE) / 4</f>
        <v>1192814.75</v>
      </c>
      <c r="E70" s="31">
        <f>VLOOKUP(VALUE(LEFT(A70, 4)), 'Raw Annual Revenue'!A:E, 5, FALSE) / 4</f>
        <v>227364</v>
      </c>
      <c r="F70" s="31">
        <f>VLOOKUP(VALUE(LEFT(A70, 4)), 'Raw Annual Revenue'!A:F, 6, FALSE) / 4</f>
        <v>236250</v>
      </c>
      <c r="G70" s="28"/>
      <c r="H70" s="31">
        <f>VLOOKUP(VALUE(LEFT(A73, 4)), 'Raw Annual Revenue'!A:H, 8, FALSE) / 4</f>
        <v>165088.5</v>
      </c>
      <c r="I70" s="28"/>
      <c r="J70" s="31">
        <f>VLOOKUP(VALUE(LEFT(A73, 4)), 'Raw Annual Revenue'!A:J, 10, FALSE) / 4</f>
        <v>64135.75</v>
      </c>
      <c r="K70" s="28"/>
      <c r="L70" s="31">
        <f>VLOOKUP(VALUE(LEFT($A70, 4)), 'Raw Annual Revenue'!$A:L, 12, FALSE) / 4</f>
        <v>95841</v>
      </c>
      <c r="M70" s="28"/>
      <c r="N70" s="28"/>
      <c r="O70" s="32">
        <f>VLOOKUP(VALUE(LEFT(A72, 4)), 'Raw Annual Revenue'!A:O, 15, FALSE) / 4</f>
        <v>23230.75</v>
      </c>
      <c r="P70" s="28"/>
      <c r="Q70" s="28"/>
      <c r="R70" s="31">
        <f>VLOOKUP(VALUE(LEFT(A70, 4)), 'Raw Annual Revenue'!A:R, 18, FALSE) / 4</f>
        <v>42470.75</v>
      </c>
      <c r="S70" s="28"/>
      <c r="T70" s="28"/>
      <c r="U70" s="30">
        <f>VLOOKUP(VALUE(LEFT($A70, 4)), 'Raw Annual Revenue'!$A:U, 21, FALSE) / 4</f>
        <v>211750.75</v>
      </c>
      <c r="V70" s="28"/>
      <c r="W70" s="30">
        <f>VLOOKUP(VALUE(LEFT($A72, 4)), 'Raw Annual Revenue'!$A:W, 23, FALSE) / 4</f>
        <v>519982</v>
      </c>
      <c r="X70" s="31">
        <f>VLOOKUP(VALUE(LEFT(A70, 4)), 'Raw Annual Revenue'!A:X, 24, FALSE) / 4</f>
        <v>26660.868600000002</v>
      </c>
      <c r="Y70" s="31"/>
      <c r="Z70" s="31"/>
      <c r="AA70" s="31"/>
      <c r="AB70" s="31"/>
    </row>
    <row r="71" spans="1:28" ht="13">
      <c r="A71" s="27" t="s">
        <v>96</v>
      </c>
      <c r="B71" s="28"/>
      <c r="C71" s="31">
        <f>VLOOKUP(VALUE(LEFT(A71, 4)), 'Raw Annual Revenue'!A:C, 3, FALSE) / 4</f>
        <v>2110492.75</v>
      </c>
      <c r="D71" s="31">
        <f>VLOOKUP(VALUE(LEFT(A71, 4)), 'Raw Annual Revenue'!A:D, 4, FALSE) / 4</f>
        <v>1440871.25</v>
      </c>
      <c r="E71" s="31">
        <f>VLOOKUP(VALUE(LEFT(A71, 4)), 'Raw Annual Revenue'!A:E, 5, FALSE) / 4</f>
        <v>300168.25</v>
      </c>
      <c r="F71" s="31">
        <f>VLOOKUP(VALUE(LEFT(A71, 4)), 'Raw Annual Revenue'!A:F, 6, FALSE) / 4</f>
        <v>311500</v>
      </c>
      <c r="G71" s="31">
        <f>VLOOKUP(VALUE(LEFT(A71, 4)), 'Raw Annual Revenue'!A:G, 7, FALSE) / 4</f>
        <v>93890</v>
      </c>
      <c r="H71" s="31">
        <f>VLOOKUP(VALUE(LEFT(A74, 4)), 'Raw Annual Revenue'!A:H, 8, FALSE) / 4</f>
        <v>165088.5</v>
      </c>
      <c r="I71" s="28"/>
      <c r="J71" s="31">
        <f>VLOOKUP(VALUE(LEFT(A74, 4)), 'Raw Annual Revenue'!A:J, 10, FALSE) / 4</f>
        <v>64135.75</v>
      </c>
      <c r="K71" s="28"/>
      <c r="L71" s="31">
        <f>VLOOKUP(VALUE(LEFT($A71, 4)), 'Raw Annual Revenue'!$A:L, 12, FALSE) / 4</f>
        <v>117024.25</v>
      </c>
      <c r="M71" s="28"/>
      <c r="N71" s="28"/>
      <c r="O71" s="32">
        <f>VLOOKUP(VALUE(LEFT(A73, 4)), 'Raw Annual Revenue'!A:O, 15, FALSE) / 4</f>
        <v>23230.75</v>
      </c>
      <c r="P71" s="28"/>
      <c r="Q71" s="28"/>
      <c r="R71" s="31">
        <f>VLOOKUP(VALUE(LEFT(A71, 4)), 'Raw Annual Revenue'!A:R, 18, FALSE) / 4</f>
        <v>44614.25</v>
      </c>
      <c r="S71" s="28"/>
      <c r="T71" s="28"/>
      <c r="U71" s="30">
        <f>VLOOKUP(VALUE(LEFT($A71, 4)), 'Raw Annual Revenue'!$A:U, 21, FALSE) / 4</f>
        <v>233001.75</v>
      </c>
      <c r="V71" s="28"/>
      <c r="W71" s="30">
        <f>VLOOKUP(VALUE(LEFT($A73, 4)), 'Raw Annual Revenue'!$A:W, 23, FALSE) / 4</f>
        <v>519982</v>
      </c>
      <c r="X71" s="31">
        <f>VLOOKUP(VALUE(LEFT(A71, 4)), 'Raw Annual Revenue'!A:X, 24, FALSE) / 4</f>
        <v>34554.941399999996</v>
      </c>
      <c r="Y71" s="31"/>
      <c r="Z71" s="31">
        <f>VLOOKUP(VALUE(LEFT($A71, 4)), 'Raw Annual Revenue'!$A:Z, 26, FALSE) / 4</f>
        <v>1573.25</v>
      </c>
      <c r="AA71" s="31"/>
      <c r="AB71" s="31"/>
    </row>
    <row r="72" spans="1:28" ht="13">
      <c r="A72" s="27" t="s">
        <v>97</v>
      </c>
      <c r="B72" s="28"/>
      <c r="C72" s="31">
        <f>VLOOKUP(VALUE(LEFT(A72, 4)), 'Raw Annual Revenue'!A:C, 3, FALSE) / 4</f>
        <v>2110492.75</v>
      </c>
      <c r="D72" s="31">
        <f>VLOOKUP(VALUE(LEFT(A72, 4)), 'Raw Annual Revenue'!A:D, 4, FALSE) / 4</f>
        <v>1440871.25</v>
      </c>
      <c r="E72" s="31">
        <f>VLOOKUP(VALUE(LEFT(A72, 4)), 'Raw Annual Revenue'!A:E, 5, FALSE) / 4</f>
        <v>300168.25</v>
      </c>
      <c r="F72" s="31">
        <f>VLOOKUP(VALUE(LEFT(A72, 4)), 'Raw Annual Revenue'!A:F, 6, FALSE) / 4</f>
        <v>311500</v>
      </c>
      <c r="G72" s="31">
        <f>VLOOKUP(VALUE(LEFT(A72, 4)), 'Raw Annual Revenue'!A:G, 7, FALSE) / 4</f>
        <v>93890</v>
      </c>
      <c r="H72" s="31">
        <f>VLOOKUP(VALUE(LEFT(A75, 4)), 'Raw Annual Revenue'!A:H, 8, FALSE) / 4</f>
        <v>38746.25</v>
      </c>
      <c r="I72" s="28"/>
      <c r="J72" s="31">
        <f>VLOOKUP(VALUE(LEFT(A75, 4)), 'Raw Annual Revenue'!A:J, 10, FALSE) / 4</f>
        <v>75128.75</v>
      </c>
      <c r="K72" s="28"/>
      <c r="L72" s="31">
        <f>VLOOKUP(VALUE(LEFT($A72, 4)), 'Raw Annual Revenue'!$A:L, 12, FALSE) / 4</f>
        <v>117024.25</v>
      </c>
      <c r="M72" s="28"/>
      <c r="N72" s="28"/>
      <c r="O72" s="32">
        <f>VLOOKUP(VALUE(LEFT(A74, 4)), 'Raw Annual Revenue'!A:O, 15, FALSE) / 4</f>
        <v>23230.75</v>
      </c>
      <c r="P72" s="28"/>
      <c r="Q72" s="28"/>
      <c r="R72" s="31">
        <f>VLOOKUP(VALUE(LEFT(A72, 4)), 'Raw Annual Revenue'!A:R, 18, FALSE) / 4</f>
        <v>44614.25</v>
      </c>
      <c r="S72" s="28"/>
      <c r="T72" s="28"/>
      <c r="U72" s="30">
        <f>VLOOKUP(VALUE(LEFT($A72, 4)), 'Raw Annual Revenue'!$A:U, 21, FALSE) / 4</f>
        <v>233001.75</v>
      </c>
      <c r="V72" s="28"/>
      <c r="W72" s="30">
        <f>VLOOKUP(VALUE(LEFT($A74, 4)), 'Raw Annual Revenue'!$A:W, 23, FALSE) / 4</f>
        <v>519982</v>
      </c>
      <c r="X72" s="31">
        <f>VLOOKUP(VALUE(LEFT(A72, 4)), 'Raw Annual Revenue'!A:X, 24, FALSE) / 4</f>
        <v>34554.941399999996</v>
      </c>
      <c r="Y72" s="31"/>
      <c r="Z72" s="31">
        <f>VLOOKUP(VALUE(LEFT($A72, 4)), 'Raw Annual Revenue'!$A:Z, 26, FALSE) / 4</f>
        <v>1573.25</v>
      </c>
      <c r="AA72" s="31"/>
      <c r="AB72" s="31"/>
    </row>
    <row r="73" spans="1:28" ht="13">
      <c r="A73" s="27" t="s">
        <v>98</v>
      </c>
      <c r="B73" s="28"/>
      <c r="C73" s="31">
        <f>VLOOKUP(VALUE(LEFT(A73, 4)), 'Raw Annual Revenue'!A:C, 3, FALSE) / 4</f>
        <v>2110492.75</v>
      </c>
      <c r="D73" s="31">
        <f>VLOOKUP(VALUE(LEFT(A73, 4)), 'Raw Annual Revenue'!A:D, 4, FALSE) / 4</f>
        <v>1440871.25</v>
      </c>
      <c r="E73" s="31">
        <f>VLOOKUP(VALUE(LEFT(A73, 4)), 'Raw Annual Revenue'!A:E, 5, FALSE) / 4</f>
        <v>300168.25</v>
      </c>
      <c r="F73" s="31">
        <f>VLOOKUP(VALUE(LEFT(A73, 4)), 'Raw Annual Revenue'!A:F, 6, FALSE) / 4</f>
        <v>311500</v>
      </c>
      <c r="G73" s="31">
        <f>VLOOKUP(VALUE(LEFT(A73, 4)), 'Raw Annual Revenue'!A:G, 7, FALSE) / 4</f>
        <v>93890</v>
      </c>
      <c r="H73" s="31">
        <f>VLOOKUP(VALUE(LEFT(A76, 4)), 'Raw Annual Revenue'!A:H, 8, FALSE) / 4</f>
        <v>38746.25</v>
      </c>
      <c r="I73" s="28"/>
      <c r="J73" s="31">
        <f>VLOOKUP(VALUE(LEFT(A76, 4)), 'Raw Annual Revenue'!A:J, 10, FALSE) / 4</f>
        <v>75128.75</v>
      </c>
      <c r="K73" s="28"/>
      <c r="L73" s="31">
        <f>VLOOKUP(VALUE(LEFT($A73, 4)), 'Raw Annual Revenue'!$A:L, 12, FALSE) / 4</f>
        <v>117024.25</v>
      </c>
      <c r="M73" s="28"/>
      <c r="N73" s="28"/>
      <c r="O73" s="32">
        <f>VLOOKUP(VALUE(LEFT(A75, 4)), 'Raw Annual Revenue'!A:O, 15, FALSE) / 4</f>
        <v>22875.5</v>
      </c>
      <c r="P73" s="28"/>
      <c r="Q73" s="28"/>
      <c r="R73" s="31">
        <f>VLOOKUP(VALUE(LEFT(A73, 4)), 'Raw Annual Revenue'!A:R, 18, FALSE) / 4</f>
        <v>44614.25</v>
      </c>
      <c r="S73" s="28"/>
      <c r="T73" s="28"/>
      <c r="U73" s="30">
        <f>VLOOKUP(VALUE(LEFT($A73, 4)), 'Raw Annual Revenue'!$A:U, 21, FALSE) / 4</f>
        <v>233001.75</v>
      </c>
      <c r="V73" s="28"/>
      <c r="W73" s="30">
        <f>VLOOKUP(VALUE(LEFT($A75, 4)), 'Raw Annual Revenue'!$A:W, 23, FALSE) / 4</f>
        <v>453813</v>
      </c>
      <c r="X73" s="31">
        <f>VLOOKUP(VALUE(LEFT(A73, 4)), 'Raw Annual Revenue'!A:X, 24, FALSE) / 4</f>
        <v>34554.941399999996</v>
      </c>
      <c r="Y73" s="31"/>
      <c r="Z73" s="31">
        <f>VLOOKUP(VALUE(LEFT($A73, 4)), 'Raw Annual Revenue'!$A:Z, 26, FALSE) / 4</f>
        <v>1573.25</v>
      </c>
      <c r="AA73" s="31"/>
      <c r="AB73" s="31"/>
    </row>
    <row r="74" spans="1:28" ht="13">
      <c r="A74" s="27" t="s">
        <v>99</v>
      </c>
      <c r="B74" s="28"/>
      <c r="C74" s="31">
        <f>VLOOKUP(VALUE(LEFT(A74, 4)), 'Raw Annual Revenue'!A:C, 3, FALSE) / 4</f>
        <v>2110492.75</v>
      </c>
      <c r="D74" s="31">
        <f>VLOOKUP(VALUE(LEFT(A74, 4)), 'Raw Annual Revenue'!A:D, 4, FALSE) / 4</f>
        <v>1440871.25</v>
      </c>
      <c r="E74" s="31">
        <f>VLOOKUP(VALUE(LEFT(A74, 4)), 'Raw Annual Revenue'!A:E, 5, FALSE) / 4</f>
        <v>300168.25</v>
      </c>
      <c r="F74" s="31">
        <f>VLOOKUP(VALUE(LEFT(A74, 4)), 'Raw Annual Revenue'!A:F, 6, FALSE) / 4</f>
        <v>311500</v>
      </c>
      <c r="G74" s="31">
        <f>VLOOKUP(VALUE(LEFT(A74, 4)), 'Raw Annual Revenue'!A:G, 7, FALSE) / 4</f>
        <v>93890</v>
      </c>
      <c r="H74" s="31">
        <f>VLOOKUP(VALUE(LEFT(A77, 4)), 'Raw Annual Revenue'!A:H, 8, FALSE) / 4</f>
        <v>38746.25</v>
      </c>
      <c r="I74" s="28"/>
      <c r="J74" s="31">
        <f>VLOOKUP(VALUE(LEFT(A77, 4)), 'Raw Annual Revenue'!A:J, 10, FALSE) / 4</f>
        <v>75128.75</v>
      </c>
      <c r="K74" s="28"/>
      <c r="L74" s="31">
        <f>VLOOKUP(VALUE(LEFT($A74, 4)), 'Raw Annual Revenue'!$A:L, 12, FALSE) / 4</f>
        <v>117024.25</v>
      </c>
      <c r="M74" s="28"/>
      <c r="N74" s="28"/>
      <c r="O74" s="32">
        <f>VLOOKUP(VALUE(LEFT(A76, 4)), 'Raw Annual Revenue'!A:O, 15, FALSE) / 4</f>
        <v>22875.5</v>
      </c>
      <c r="P74" s="28"/>
      <c r="Q74" s="28"/>
      <c r="R74" s="31">
        <f>VLOOKUP(VALUE(LEFT(A74, 4)), 'Raw Annual Revenue'!A:R, 18, FALSE) / 4</f>
        <v>44614.25</v>
      </c>
      <c r="S74" s="28"/>
      <c r="T74" s="28"/>
      <c r="U74" s="30">
        <f>VLOOKUP(VALUE(LEFT($A74, 4)), 'Raw Annual Revenue'!$A:U, 21, FALSE) / 4</f>
        <v>233001.75</v>
      </c>
      <c r="V74" s="28"/>
      <c r="W74" s="30">
        <f>VLOOKUP(VALUE(LEFT($A76, 4)), 'Raw Annual Revenue'!$A:W, 23, FALSE) / 4</f>
        <v>453813</v>
      </c>
      <c r="X74" s="31">
        <f>VLOOKUP(VALUE(LEFT(A74, 4)), 'Raw Annual Revenue'!A:X, 24, FALSE) / 4</f>
        <v>34554.941399999996</v>
      </c>
      <c r="Y74" s="31"/>
      <c r="Z74" s="31">
        <f>VLOOKUP(VALUE(LEFT($A74, 4)), 'Raw Annual Revenue'!$A:Z, 26, FALSE) / 4</f>
        <v>1573.25</v>
      </c>
      <c r="AA74" s="31"/>
      <c r="AB74" s="31"/>
    </row>
    <row r="75" spans="1:28" ht="13">
      <c r="A75" s="27" t="s">
        <v>100</v>
      </c>
      <c r="B75" s="31">
        <f>VLOOKUP(VALUE(LEFT(A75, 4)), 'Raw Annual Revenue'!A:B, 2, FALSE) / 4</f>
        <v>229760.25</v>
      </c>
      <c r="C75" s="31">
        <f>VLOOKUP(VALUE(LEFT(A75, 4)), 'Raw Annual Revenue'!A:C, 3, FALSE) / 4</f>
        <v>2305996.75</v>
      </c>
      <c r="D75" s="31">
        <f>VLOOKUP(VALUE(LEFT(A75, 4)), 'Raw Annual Revenue'!A:D, 4, FALSE) / 4</f>
        <v>1668079.25</v>
      </c>
      <c r="E75" s="31">
        <f>VLOOKUP(VALUE(LEFT(A75, 4)), 'Raw Annual Revenue'!A:E, 5, FALSE) / 4</f>
        <v>419686</v>
      </c>
      <c r="F75" s="31">
        <f>VLOOKUP(VALUE(LEFT(A75, 4)), 'Raw Annual Revenue'!A:F, 6, FALSE) / 4</f>
        <v>373000</v>
      </c>
      <c r="G75" s="31">
        <f>VLOOKUP(VALUE(LEFT(A75, 4)), 'Raw Annual Revenue'!A:G, 7, FALSE) / 4</f>
        <v>134204.75</v>
      </c>
      <c r="H75" s="31">
        <f>VLOOKUP(VALUE(LEFT(A78, 4)), 'Raw Annual Revenue'!A:H, 8, FALSE) / 4</f>
        <v>38746.25</v>
      </c>
      <c r="I75" s="31">
        <f>VLOOKUP(VALUE(LEFT(A75, 4)), 'Raw Annual Revenue'!A:I, 9, FALSE) / 4</f>
        <v>105427.75</v>
      </c>
      <c r="J75" s="31">
        <f>VLOOKUP(VALUE(LEFT(A78, 4)), 'Raw Annual Revenue'!A:J, 10, FALSE) / 4</f>
        <v>75128.75</v>
      </c>
      <c r="K75" s="28"/>
      <c r="L75" s="31">
        <f>VLOOKUP(VALUE(LEFT($A75, 4)), 'Raw Annual Revenue'!$A:L, 12, FALSE) / 4</f>
        <v>135071.25</v>
      </c>
      <c r="M75" s="28"/>
      <c r="N75" s="28"/>
      <c r="O75" s="32">
        <f>VLOOKUP(VALUE(LEFT(A77, 4)), 'Raw Annual Revenue'!A:O, 15, FALSE) / 4</f>
        <v>22875.5</v>
      </c>
      <c r="P75" s="28"/>
      <c r="Q75" s="28"/>
      <c r="R75" s="31">
        <f>VLOOKUP(VALUE(LEFT(A75, 4)), 'Raw Annual Revenue'!A:R, 18, FALSE) / 4</f>
        <v>67959.25</v>
      </c>
      <c r="S75" s="28"/>
      <c r="T75" s="28"/>
      <c r="U75" s="28"/>
      <c r="V75" s="28"/>
      <c r="W75" s="30">
        <f>VLOOKUP(VALUE(LEFT($A77, 4)), 'Raw Annual Revenue'!$A:W, 23, FALSE) / 4</f>
        <v>453813</v>
      </c>
      <c r="X75" s="31">
        <f>VLOOKUP(VALUE(LEFT(A75, 4)), 'Raw Annual Revenue'!A:X, 24, FALSE) / 4</f>
        <v>40732.9853</v>
      </c>
      <c r="Y75" s="31">
        <f>VLOOKUP(VALUE(LEFT($A75, 4)), 'Raw Annual Revenue'!$A:Y, 25, FALSE) / 4</f>
        <v>6539</v>
      </c>
      <c r="Z75" s="31">
        <f>VLOOKUP(VALUE(LEFT($A75, 4)), 'Raw Annual Revenue'!$A:Z, 26, FALSE) / 4</f>
        <v>21716</v>
      </c>
      <c r="AA75" s="31"/>
      <c r="AB75" s="31"/>
    </row>
    <row r="76" spans="1:28" ht="13">
      <c r="A76" s="27" t="s">
        <v>101</v>
      </c>
      <c r="B76" s="31">
        <f>VLOOKUP(VALUE(LEFT(A76, 4)), 'Raw Annual Revenue'!A:B, 2, FALSE) / 4</f>
        <v>229760.25</v>
      </c>
      <c r="C76" s="31">
        <f>VLOOKUP(VALUE(LEFT(A76, 4)), 'Raw Annual Revenue'!A:C, 3, FALSE) / 4</f>
        <v>2305996.75</v>
      </c>
      <c r="D76" s="31">
        <f>VLOOKUP(VALUE(LEFT(A76, 4)), 'Raw Annual Revenue'!A:D, 4, FALSE) / 4</f>
        <v>1668079.25</v>
      </c>
      <c r="E76" s="31">
        <f>VLOOKUP(VALUE(LEFT(A76, 4)), 'Raw Annual Revenue'!A:E, 5, FALSE) / 4</f>
        <v>419686</v>
      </c>
      <c r="F76" s="31">
        <f>VLOOKUP(VALUE(LEFT(A76, 4)), 'Raw Annual Revenue'!A:F, 6, FALSE) / 4</f>
        <v>373000</v>
      </c>
      <c r="G76" s="31">
        <f>VLOOKUP(VALUE(LEFT(A76, 4)), 'Raw Annual Revenue'!A:G, 7, FALSE) / 4</f>
        <v>134204.75</v>
      </c>
      <c r="H76" s="31">
        <f>VLOOKUP(VALUE(LEFT(A79, 4)), 'Raw Annual Revenue'!A:H, 8, FALSE) / 4</f>
        <v>131854</v>
      </c>
      <c r="I76" s="31">
        <f>VLOOKUP(VALUE(LEFT(A76, 4)), 'Raw Annual Revenue'!A:I, 9, FALSE) / 4</f>
        <v>105427.75</v>
      </c>
      <c r="J76" s="31">
        <f>VLOOKUP(VALUE(LEFT(A79, 4)), 'Raw Annual Revenue'!A:J, 10, FALSE) / 4</f>
        <v>84267</v>
      </c>
      <c r="K76" s="28"/>
      <c r="L76" s="31">
        <f>VLOOKUP(VALUE(LEFT($A76, 4)), 'Raw Annual Revenue'!$A:L, 12, FALSE) / 4</f>
        <v>135071.25</v>
      </c>
      <c r="M76" s="28"/>
      <c r="N76" s="28"/>
      <c r="O76" s="32">
        <f>VLOOKUP(VALUE(LEFT(A78, 4)), 'Raw Annual Revenue'!A:O, 15, FALSE) / 4</f>
        <v>22875.5</v>
      </c>
      <c r="P76" s="28"/>
      <c r="Q76" s="28"/>
      <c r="R76" s="31">
        <f>VLOOKUP(VALUE(LEFT(A76, 4)), 'Raw Annual Revenue'!A:R, 18, FALSE) / 4</f>
        <v>67959.25</v>
      </c>
      <c r="S76" s="28"/>
      <c r="T76" s="28"/>
      <c r="U76" s="28"/>
      <c r="V76" s="28"/>
      <c r="W76" s="30">
        <f>VLOOKUP(VALUE(LEFT($A78, 4)), 'Raw Annual Revenue'!$A:W, 23, FALSE) / 4</f>
        <v>453813</v>
      </c>
      <c r="X76" s="31">
        <f>VLOOKUP(VALUE(LEFT(A76, 4)), 'Raw Annual Revenue'!A:X, 24, FALSE) / 4</f>
        <v>40732.9853</v>
      </c>
      <c r="Y76" s="31">
        <f>VLOOKUP(VALUE(LEFT($A76, 4)), 'Raw Annual Revenue'!$A:Y, 25, FALSE) / 4</f>
        <v>6539</v>
      </c>
      <c r="Z76" s="31">
        <f>VLOOKUP(VALUE(LEFT($A76, 4)), 'Raw Annual Revenue'!$A:Z, 26, FALSE) / 4</f>
        <v>21716</v>
      </c>
      <c r="AA76" s="31"/>
      <c r="AB76" s="31"/>
    </row>
    <row r="77" spans="1:28" ht="13">
      <c r="A77" s="27" t="s">
        <v>102</v>
      </c>
      <c r="B77" s="31">
        <f>VLOOKUP(VALUE(LEFT(A77, 4)), 'Raw Annual Revenue'!A:B, 2, FALSE) / 4</f>
        <v>229760.25</v>
      </c>
      <c r="C77" s="31">
        <f>VLOOKUP(VALUE(LEFT(A77, 4)), 'Raw Annual Revenue'!A:C, 3, FALSE) / 4</f>
        <v>2305996.75</v>
      </c>
      <c r="D77" s="31">
        <f>VLOOKUP(VALUE(LEFT(A77, 4)), 'Raw Annual Revenue'!A:D, 4, FALSE) / 4</f>
        <v>1668079.25</v>
      </c>
      <c r="E77" s="31">
        <f>VLOOKUP(VALUE(LEFT(A77, 4)), 'Raw Annual Revenue'!A:E, 5, FALSE) / 4</f>
        <v>419686</v>
      </c>
      <c r="F77" s="31">
        <f>VLOOKUP(VALUE(LEFT(A77, 4)), 'Raw Annual Revenue'!A:F, 6, FALSE) / 4</f>
        <v>373000</v>
      </c>
      <c r="G77" s="31">
        <f>VLOOKUP(VALUE(LEFT(A77, 4)), 'Raw Annual Revenue'!A:G, 7, FALSE) / 4</f>
        <v>134204.75</v>
      </c>
      <c r="H77" s="31">
        <f>VLOOKUP(VALUE(LEFT(A80, 4)), 'Raw Annual Revenue'!A:H, 8, FALSE) / 4</f>
        <v>131854</v>
      </c>
      <c r="I77" s="31">
        <f>VLOOKUP(VALUE(LEFT(A77, 4)), 'Raw Annual Revenue'!A:I, 9, FALSE) / 4</f>
        <v>105427.75</v>
      </c>
      <c r="J77" s="31">
        <f>VLOOKUP(VALUE(LEFT(A80, 4)), 'Raw Annual Revenue'!A:J, 10, FALSE) / 4</f>
        <v>84267</v>
      </c>
      <c r="K77" s="28"/>
      <c r="L77" s="31">
        <f>VLOOKUP(VALUE(LEFT($A77, 4)), 'Raw Annual Revenue'!$A:L, 12, FALSE) / 4</f>
        <v>135071.25</v>
      </c>
      <c r="M77" s="28"/>
      <c r="N77" s="28"/>
      <c r="O77" s="32">
        <f>VLOOKUP(VALUE(LEFT(A79, 4)), 'Raw Annual Revenue'!A:O, 15, FALSE) / 4</f>
        <v>28673.75</v>
      </c>
      <c r="P77" s="28"/>
      <c r="Q77" s="28"/>
      <c r="R77" s="31">
        <f>VLOOKUP(VALUE(LEFT(A77, 4)), 'Raw Annual Revenue'!A:R, 18, FALSE) / 4</f>
        <v>67959.25</v>
      </c>
      <c r="S77" s="28"/>
      <c r="T77" s="28"/>
      <c r="U77" s="28"/>
      <c r="V77" s="28"/>
      <c r="W77" s="30">
        <f>VLOOKUP(VALUE(LEFT($A79, 4)), 'Raw Annual Revenue'!$A:W, 23, FALSE) / 4</f>
        <v>489524</v>
      </c>
      <c r="X77" s="31">
        <f>VLOOKUP(VALUE(LEFT(A77, 4)), 'Raw Annual Revenue'!A:X, 24, FALSE) / 4</f>
        <v>40732.9853</v>
      </c>
      <c r="Y77" s="31">
        <f>VLOOKUP(VALUE(LEFT($A77, 4)), 'Raw Annual Revenue'!$A:Y, 25, FALSE) / 4</f>
        <v>6539</v>
      </c>
      <c r="Z77" s="31">
        <f>VLOOKUP(VALUE(LEFT($A77, 4)), 'Raw Annual Revenue'!$A:Z, 26, FALSE) / 4</f>
        <v>21716</v>
      </c>
      <c r="AA77" s="31"/>
      <c r="AB77" s="31"/>
    </row>
    <row r="78" spans="1:28" ht="13">
      <c r="A78" s="27" t="s">
        <v>103</v>
      </c>
      <c r="B78" s="31">
        <f>VLOOKUP(VALUE(LEFT(A78, 4)), 'Raw Annual Revenue'!A:B, 2, FALSE) / 4</f>
        <v>229760.25</v>
      </c>
      <c r="C78" s="31">
        <f>VLOOKUP(VALUE(LEFT(A78, 4)), 'Raw Annual Revenue'!A:C, 3, FALSE) / 4</f>
        <v>2305996.75</v>
      </c>
      <c r="D78" s="31">
        <f>VLOOKUP(VALUE(LEFT(A78, 4)), 'Raw Annual Revenue'!A:D, 4, FALSE) / 4</f>
        <v>1668079.25</v>
      </c>
      <c r="E78" s="31">
        <f>VLOOKUP(VALUE(LEFT(A78, 4)), 'Raw Annual Revenue'!A:E, 5, FALSE) / 4</f>
        <v>419686</v>
      </c>
      <c r="F78" s="31">
        <f>VLOOKUP(VALUE(LEFT(A78, 4)), 'Raw Annual Revenue'!A:F, 6, FALSE) / 4</f>
        <v>373000</v>
      </c>
      <c r="G78" s="31">
        <f>VLOOKUP(VALUE(LEFT(A78, 4)), 'Raw Annual Revenue'!A:G, 7, FALSE) / 4</f>
        <v>134204.75</v>
      </c>
      <c r="H78" s="31">
        <f>VLOOKUP(VALUE(LEFT(A81, 4)), 'Raw Annual Revenue'!A:H, 8, FALSE) / 4</f>
        <v>131854</v>
      </c>
      <c r="I78" s="31">
        <f>VLOOKUP(VALUE(LEFT(A78, 4)), 'Raw Annual Revenue'!A:I, 9, FALSE) / 4</f>
        <v>105427.75</v>
      </c>
      <c r="J78" s="31">
        <f>VLOOKUP(VALUE(LEFT(A81, 4)), 'Raw Annual Revenue'!A:J, 10, FALSE) / 4</f>
        <v>84267</v>
      </c>
      <c r="K78" s="28"/>
      <c r="L78" s="31">
        <f>VLOOKUP(VALUE(LEFT($A78, 4)), 'Raw Annual Revenue'!$A:L, 12, FALSE) / 4</f>
        <v>135071.25</v>
      </c>
      <c r="M78" s="28"/>
      <c r="N78" s="28"/>
      <c r="O78" s="32">
        <f>VLOOKUP(VALUE(LEFT(A80, 4)), 'Raw Annual Revenue'!A:O, 15, FALSE) / 4</f>
        <v>28673.75</v>
      </c>
      <c r="P78" s="28"/>
      <c r="Q78" s="28"/>
      <c r="R78" s="31">
        <f>VLOOKUP(VALUE(LEFT(A78, 4)), 'Raw Annual Revenue'!A:R, 18, FALSE) / 4</f>
        <v>67959.25</v>
      </c>
      <c r="S78" s="28"/>
      <c r="T78" s="28"/>
      <c r="U78" s="28"/>
      <c r="V78" s="28"/>
      <c r="W78" s="30">
        <f>VLOOKUP(VALUE(LEFT($A80, 4)), 'Raw Annual Revenue'!$A:W, 23, FALSE) / 4</f>
        <v>489524</v>
      </c>
      <c r="X78" s="31">
        <f>VLOOKUP(VALUE(LEFT(A78, 4)), 'Raw Annual Revenue'!A:X, 24, FALSE) / 4</f>
        <v>40732.9853</v>
      </c>
      <c r="Y78" s="31">
        <f>VLOOKUP(VALUE(LEFT($A78, 4)), 'Raw Annual Revenue'!$A:Y, 25, FALSE) / 4</f>
        <v>6539</v>
      </c>
      <c r="Z78" s="31">
        <f>VLOOKUP(VALUE(LEFT($A78, 4)), 'Raw Annual Revenue'!$A:Z, 26, FALSE) / 4</f>
        <v>21716</v>
      </c>
      <c r="AA78" s="31"/>
      <c r="AB78" s="31"/>
    </row>
    <row r="79" spans="1:28" ht="13">
      <c r="A79" s="27" t="s">
        <v>104</v>
      </c>
      <c r="B79" s="31">
        <f>VLOOKUP(VALUE(LEFT(A79, 4)), 'Raw Annual Revenue'!A:B, 2, FALSE) / 4</f>
        <v>413894</v>
      </c>
      <c r="C79" s="35">
        <f ca="1">IFERROR(__xludf.DUMMYFUNCTION("IMPORTRANGE(""https://docs.google.com/spreadsheets/d/1bozxp9FwhaCNzy-RRGPVPfVYTttO4PUGDdaFvbz-Ue0/edit?gid=1870218791#gid=1870218791"", ""Rev vs Mktg &amp; Mktg Mix!C"" &amp; ROW(B15))
"),2148)</f>
        <v>2148</v>
      </c>
      <c r="D79" s="35">
        <f ca="1">IFERROR(__xludf.DUMMYFUNCTION("IMPORTRANGE(""https://docs.google.com/spreadsheets/d/1bozxp9FwhaCNzy-RRGPVPfVYTttO4PUGDdaFvbz-Ue0/edit?gid=1870218791#gid=1870218791"", ""Rev vs Mktg &amp; Mktg Mix!D"" &amp; ROW(C15))
"),1904)</f>
        <v>1904</v>
      </c>
      <c r="E79" s="35">
        <f ca="1">IFERROR(__xludf.DUMMYFUNCTION("IMPORTRANGE(""https://docs.google.com/spreadsheets/d/1bozxp9FwhaCNzy-RRGPVPfVYTttO4PUGDdaFvbz-Ue0/edit?gid=1870218791#gid=1870218791"", ""Rev vs Mktg &amp; Mktg Mix!E"" &amp; ROW(E15))
"),682)</f>
        <v>682</v>
      </c>
      <c r="F79" s="35">
        <f ca="1">IFERROR(__xludf.DUMMYFUNCTION("IMPORTRANGE(""https://docs.google.com/spreadsheets/d/1bozxp9FwhaCNzy-RRGPVPfVYTttO4PUGDdaFvbz-Ue0/edit?gid=1870218791#gid=1870218791"", ""Rev vs Mktg &amp; Mktg Mix!F"" &amp; ROW(G15))
"),352)</f>
        <v>352</v>
      </c>
      <c r="G79" s="35">
        <f ca="1">IFERROR(__xludf.DUMMYFUNCTION("IMPORTRANGE(""https://docs.google.com/spreadsheets/d/1bozxp9FwhaCNzy-RRGPVPfVYTttO4PUGDdaFvbz-Ue0/edit?gid=1870218791#gid=1870218791"", ""Rev vs Mktg &amp; Mktg Mix!G"" &amp; ROW(I15))
"),159.4)</f>
        <v>159.4</v>
      </c>
      <c r="H79" s="31">
        <f>VLOOKUP(VALUE(LEFT(A82, 4)), 'Raw Annual Revenue'!A:H, 8, FALSE) / 4</f>
        <v>131854</v>
      </c>
      <c r="I79" s="35">
        <f ca="1">IFERROR(__xludf.DUMMYFUNCTION("IMPORTRANGE(""https://docs.google.com/spreadsheets/d/1bozxp9FwhaCNzy-RRGPVPfVYTttO4PUGDdaFvbz-Ue0/edit?gid=1870218791#gid=1870218791"", ""Rev vs Mktg &amp; Mktg Mix!I"" &amp; ROW(K15))
"),95)</f>
        <v>95</v>
      </c>
      <c r="J79" s="35">
        <f ca="1">IFERROR(__xludf.DUMMYFUNCTION("IMPORTRANGE(""https://docs.google.com/spreadsheets/d/1bozxp9FwhaCNzy-RRGPVPfVYTttO4PUGDdaFvbz-Ue0/edit?gid=1870218791#gid=1870218791"", ""Rev vs Mktg &amp; Mktg Mix!J"" &amp; ROW(J15))
"),88)</f>
        <v>88</v>
      </c>
      <c r="K79" s="36"/>
      <c r="L79" s="35">
        <f ca="1">IFERROR(__xludf.DUMMYFUNCTION("IMPORTRANGE(""https://docs.google.com/spreadsheets/d/1bozxp9FwhaCNzy-RRGPVPfVYTttO4PUGDdaFvbz-Ue0/edit?gid=1870218791#gid=1870218791"", ""Rev vs Mktg &amp; Mktg Mix!L"" &amp; ROW(N15))
"),142.6729201527)</f>
        <v>142.67292015269999</v>
      </c>
      <c r="M79" s="28"/>
      <c r="N79" s="37">
        <f ca="1">IFERROR(__xludf.DUMMYFUNCTION("IMPORTRANGE(""https://docs.google.com/spreadsheets/d/1bozxp9FwhaCNzy-RRGPVPfVYTttO4PUGDdaFvbz-Ue0/edit?gid=1870218791#gid=1870218791"", ""Rev vs Mktg &amp; Mktg Mix!N"" &amp; ROW(N15))
"),2.108)</f>
        <v>2.1080000000000001</v>
      </c>
      <c r="O79" s="32">
        <f>VLOOKUP(VALUE(LEFT(A81, 4)), 'Raw Annual Revenue'!A:O, 15, FALSE) / 4</f>
        <v>28673.75</v>
      </c>
      <c r="P79" s="28"/>
      <c r="Q79" s="28"/>
      <c r="R79" s="31">
        <f>VLOOKUP(VALUE(LEFT(A79, 4)), 'Raw Annual Revenue'!A:R, 18, FALSE) / 4</f>
        <v>68920.5</v>
      </c>
      <c r="S79" s="28"/>
      <c r="T79" s="28"/>
      <c r="U79" s="28"/>
      <c r="V79" s="28"/>
      <c r="W79" s="30">
        <f>VLOOKUP(VALUE(LEFT($A81, 4)), 'Raw Annual Revenue'!$A:W, 23, FALSE) / 4</f>
        <v>489524</v>
      </c>
      <c r="X79" s="31">
        <f>VLOOKUP(VALUE(LEFT(A79, 4)), 'Raw Annual Revenue'!A:X, 24, FALSE) / 4</f>
        <v>48698.389649999997</v>
      </c>
      <c r="Y79" s="31">
        <f>VLOOKUP(VALUE(LEFT($A79, 4)), 'Raw Annual Revenue'!$A:Y, 25, FALSE) / 4</f>
        <v>9266.25</v>
      </c>
      <c r="Z79" s="31">
        <f>VLOOKUP(VALUE(LEFT($A79, 4)), 'Raw Annual Revenue'!$A:Z, 26, FALSE) / 4</f>
        <v>82239.5</v>
      </c>
      <c r="AA79" s="31"/>
      <c r="AB79" s="31">
        <f>VLOOKUP(VALUE(LEFT($A79, 4)), 'Raw Annual Revenue'!$A:AB, 28, FALSE) / 4</f>
        <v>16580.67625</v>
      </c>
    </row>
    <row r="80" spans="1:28" ht="13">
      <c r="A80" s="27" t="s">
        <v>105</v>
      </c>
      <c r="B80" s="31">
        <f>VLOOKUP(VALUE(LEFT(A80, 4)), 'Raw Annual Revenue'!A:B, 2, FALSE) / 4</f>
        <v>413894</v>
      </c>
      <c r="C80" s="38">
        <f ca="1">IFERROR(__xludf.DUMMYFUNCTION("IMPORTRANGE(""https://docs.google.com/spreadsheets/d/1bozxp9FwhaCNzy-RRGPVPfVYTttO4PUGDdaFvbz-Ue0/edit?gid=1870218791#gid=1870218791"", ""Rev vs Mktg &amp; Mktg Mix!C"" &amp; ROW(B16))
"),2556)</f>
        <v>2556</v>
      </c>
      <c r="D80" s="38">
        <f ca="1">IFERROR(__xludf.DUMMYFUNCTION("IMPORTRANGE(""https://docs.google.com/spreadsheets/d/1bozxp9FwhaCNzy-RRGPVPfVYTttO4PUGDdaFvbz-Ue0/edit?gid=1870218791#gid=1870218791"", ""Rev vs Mktg &amp; Mktg Mix!D"" &amp; ROW(C16))
"),2196)</f>
        <v>2196</v>
      </c>
      <c r="E80" s="38">
        <f ca="1">IFERROR(__xludf.DUMMYFUNCTION("IMPORTRANGE(""https://docs.google.com/spreadsheets/d/1bozxp9FwhaCNzy-RRGPVPfVYTttO4PUGDdaFvbz-Ue0/edit?gid=1870218791#gid=1870218791"", ""Rev vs Mktg &amp; Mktg Mix!E"" &amp; ROW(E16))
"),684)</f>
        <v>684</v>
      </c>
      <c r="F80" s="38">
        <f ca="1">IFERROR(__xludf.DUMMYFUNCTION("IMPORTRANGE(""https://docs.google.com/spreadsheets/d/1bozxp9FwhaCNzy-RRGPVPfVYTttO4PUGDdaFvbz-Ue0/edit?gid=1870218791#gid=1870218791"", ""Rev vs Mktg &amp; Mktg Mix!F"" &amp; ROW(G16))
"),391)</f>
        <v>391</v>
      </c>
      <c r="G80" s="38">
        <f ca="1">IFERROR(__xludf.DUMMYFUNCTION("IMPORTRANGE(""https://docs.google.com/spreadsheets/d/1bozxp9FwhaCNzy-RRGPVPfVYTttO4PUGDdaFvbz-Ue0/edit?gid=1870218791#gid=1870218791"", ""Rev vs Mktg &amp; Mktg Mix!G"" &amp; ROW(I16))
"),179)</f>
        <v>179</v>
      </c>
      <c r="H80" s="31">
        <f>VLOOKUP(VALUE(LEFT(A83, 4)), 'Raw Annual Revenue'!A:H, 8, FALSE) / 4</f>
        <v>130046.25</v>
      </c>
      <c r="I80" s="38">
        <f ca="1">IFERROR(__xludf.DUMMYFUNCTION("IMPORTRANGE(""https://docs.google.com/spreadsheets/d/1bozxp9FwhaCNzy-RRGPVPfVYTttO4PUGDdaFvbz-Ue0/edit?gid=1870218791#gid=1870218791"", ""Rev vs Mktg &amp; Mktg Mix!I"" &amp; ROW(K16))
"),99)</f>
        <v>99</v>
      </c>
      <c r="J80" s="38">
        <f ca="1">IFERROR(__xludf.DUMMYFUNCTION("IMPORTRANGE(""https://docs.google.com/spreadsheets/d/1bozxp9FwhaCNzy-RRGPVPfVYTttO4PUGDdaFvbz-Ue0/edit?gid=1870218791#gid=1870218791"", ""Rev vs Mktg &amp; Mktg Mix!J"" &amp; ROW(J16))
"),121)</f>
        <v>121</v>
      </c>
      <c r="K80" s="28"/>
      <c r="L80" s="38">
        <f ca="1">IFERROR(__xludf.DUMMYFUNCTION("IMPORTRANGE(""https://docs.google.com/spreadsheets/d/1bozxp9FwhaCNzy-RRGPVPfVYTttO4PUGDdaFvbz-Ue0/edit?gid=1870218791#gid=1870218791"", ""Rev vs Mktg &amp; Mktg Mix!L"" &amp; ROW(N16))
"),165.724190268)</f>
        <v>165.724190268</v>
      </c>
      <c r="M80" s="28"/>
      <c r="N80" s="37">
        <f ca="1">IFERROR(__xludf.DUMMYFUNCTION("IMPORTRANGE(""https://docs.google.com/spreadsheets/d/1bozxp9FwhaCNzy-RRGPVPfVYTttO4PUGDdaFvbz-Ue0/edit?gid=1870218791#gid=1870218791"", ""Rev vs Mktg &amp; Mktg Mix!N"" &amp; ROW(N16))
"),2.229)</f>
        <v>2.2290000000000001</v>
      </c>
      <c r="O80" s="32">
        <f>VLOOKUP(VALUE(LEFT(A82, 4)), 'Raw Annual Revenue'!A:O, 15, FALSE) / 4</f>
        <v>28673.75</v>
      </c>
      <c r="P80" s="28"/>
      <c r="Q80" s="28"/>
      <c r="R80" s="31">
        <f>VLOOKUP(VALUE(LEFT(A80, 4)), 'Raw Annual Revenue'!A:R, 18, FALSE) / 4</f>
        <v>68920.5</v>
      </c>
      <c r="S80" s="30">
        <f>VLOOKUP(VALUE(LEFT(A83, 4)), 'Raw Annual Revenue'!A:S, 19, FALSE) / 4</f>
        <v>4927.5</v>
      </c>
      <c r="T80" s="28"/>
      <c r="U80" s="28"/>
      <c r="V80" s="28"/>
      <c r="W80" s="30">
        <f>VLOOKUP(VALUE(LEFT($A82, 4)), 'Raw Annual Revenue'!$A:W, 23, FALSE) / 4</f>
        <v>489524</v>
      </c>
      <c r="X80" s="31">
        <f>VLOOKUP(VALUE(LEFT(A80, 4)), 'Raw Annual Revenue'!A:X, 24, FALSE) / 4</f>
        <v>48698.389649999997</v>
      </c>
      <c r="Y80" s="31">
        <f>VLOOKUP(VALUE(LEFT($A80, 4)), 'Raw Annual Revenue'!$A:Y, 25, FALSE) / 4</f>
        <v>9266.25</v>
      </c>
      <c r="Z80" s="31">
        <f>VLOOKUP(VALUE(LEFT($A80, 4)), 'Raw Annual Revenue'!$A:Z, 26, FALSE) / 4</f>
        <v>82239.5</v>
      </c>
      <c r="AA80" s="31"/>
      <c r="AB80" s="31">
        <f>VLOOKUP(VALUE(LEFT($A80, 4)), 'Raw Annual Revenue'!$A:AB, 28, FALSE) / 4</f>
        <v>16580.67625</v>
      </c>
    </row>
    <row r="81" spans="1:28" ht="13">
      <c r="A81" s="27" t="s">
        <v>106</v>
      </c>
      <c r="B81" s="31">
        <f>VLOOKUP(VALUE(LEFT(A81, 4)), 'Raw Annual Revenue'!A:B, 2, FALSE) / 4</f>
        <v>413894</v>
      </c>
      <c r="C81" s="38">
        <f ca="1">IFERROR(__xludf.DUMMYFUNCTION("IMPORTRANGE(""https://docs.google.com/spreadsheets/d/1bozxp9FwhaCNzy-RRGPVPfVYTttO4PUGDdaFvbz-Ue0/edit?gid=1870218791#gid=1870218791"", ""Rev vs Mktg &amp; Mktg Mix!C"" &amp; ROW(B17))
"),3691)</f>
        <v>3691</v>
      </c>
      <c r="D81" s="38">
        <f ca="1">IFERROR(__xludf.DUMMYFUNCTION("IMPORTRANGE(""https://docs.google.com/spreadsheets/d/1bozxp9FwhaCNzy-RRGPVPfVYTttO4PUGDdaFvbz-Ue0/edit?gid=1870218791#gid=1870218791"", ""Rev vs Mktg &amp; Mktg Mix!D"" &amp; ROW(C17))
"),2581)</f>
        <v>2581</v>
      </c>
      <c r="E81" s="38">
        <f ca="1">IFERROR(__xludf.DUMMYFUNCTION("IMPORTRANGE(""https://docs.google.com/spreadsheets/d/1bozxp9FwhaCNzy-RRGPVPfVYTttO4PUGDdaFvbz-Ue0/edit?gid=1870218791#gid=1870218791"", ""Rev vs Mktg &amp; Mktg Mix!E"" &amp; ROW(E17))
"),850)</f>
        <v>850</v>
      </c>
      <c r="F81" s="38">
        <f ca="1">IFERROR(__xludf.DUMMYFUNCTION("IMPORTRANGE(""https://docs.google.com/spreadsheets/d/1bozxp9FwhaCNzy-RRGPVPfVYTttO4PUGDdaFvbz-Ue0/edit?gid=1870218791#gid=1870218791"", ""Rev vs Mktg &amp; Mktg Mix!F"" &amp; ROW(G17))
"),421)</f>
        <v>421</v>
      </c>
      <c r="G81" s="38">
        <f ca="1">IFERROR(__xludf.DUMMYFUNCTION("IMPORTRANGE(""https://docs.google.com/spreadsheets/d/1bozxp9FwhaCNzy-RRGPVPfVYTttO4PUGDdaFvbz-Ue0/edit?gid=1870218791#gid=1870218791"", ""Rev vs Mktg &amp; Mktg Mix!G"" &amp; ROW(I17))
"),247)</f>
        <v>247</v>
      </c>
      <c r="H81" s="31">
        <f>VLOOKUP(VALUE(LEFT(A84, 4)), 'Raw Annual Revenue'!A:H, 8, FALSE) / 4</f>
        <v>130046.25</v>
      </c>
      <c r="I81" s="38">
        <f ca="1">IFERROR(__xludf.DUMMYFUNCTION("IMPORTRANGE(""https://docs.google.com/spreadsheets/d/1bozxp9FwhaCNzy-RRGPVPfVYTttO4PUGDdaFvbz-Ue0/edit?gid=1870218791#gid=1870218791"", ""Rev vs Mktg &amp; Mktg Mix!I"" &amp; ROW(K17))
"),106)</f>
        <v>106</v>
      </c>
      <c r="J81" s="38">
        <f ca="1">IFERROR(__xludf.DUMMYFUNCTION("IMPORTRANGE(""https://docs.google.com/spreadsheets/d/1bozxp9FwhaCNzy-RRGPVPfVYTttO4PUGDdaFvbz-Ue0/edit?gid=1870218791#gid=1870218791"", ""Rev vs Mktg &amp; Mktg Mix!J"" &amp; ROW(J17))
"),83)</f>
        <v>83</v>
      </c>
      <c r="K81" s="28"/>
      <c r="L81" s="38">
        <f ca="1">IFERROR(__xludf.DUMMYFUNCTION("IMPORTRANGE(""https://docs.google.com/spreadsheets/d/1bozxp9FwhaCNzy-RRGPVPfVYTttO4PUGDdaFvbz-Ue0/edit?gid=1870218791#gid=1870218791"", ""Rev vs Mktg &amp; Mktg Mix!L"" &amp; ROW(N17))
"),139.6045057155)</f>
        <v>139.60450571550001</v>
      </c>
      <c r="M81" s="28"/>
      <c r="N81" s="37">
        <f ca="1">IFERROR(__xludf.DUMMYFUNCTION("IMPORTRANGE(""https://docs.google.com/spreadsheets/d/1bozxp9FwhaCNzy-RRGPVPfVYTttO4PUGDdaFvbz-Ue0/edit?gid=1870218791#gid=1870218791"", ""Rev vs Mktg &amp; Mktg Mix!N"" &amp; ROW(N17))
"),2.574)</f>
        <v>2.5739999999999998</v>
      </c>
      <c r="O81" s="32">
        <f>VLOOKUP(VALUE(LEFT(A83, 4)), 'Raw Annual Revenue'!A:O, 15, FALSE) / 4</f>
        <v>39747.75</v>
      </c>
      <c r="P81" s="28"/>
      <c r="Q81" s="28"/>
      <c r="R81" s="31">
        <f>VLOOKUP(VALUE(LEFT(A81, 4)), 'Raw Annual Revenue'!A:R, 18, FALSE) / 4</f>
        <v>68920.5</v>
      </c>
      <c r="S81" s="30">
        <f>VLOOKUP(VALUE(LEFT(A84, 4)), 'Raw Annual Revenue'!A:S, 19, FALSE) / 4</f>
        <v>4927.5</v>
      </c>
      <c r="T81" s="28"/>
      <c r="U81" s="28"/>
      <c r="V81" s="28"/>
      <c r="W81" s="30">
        <f>VLOOKUP(VALUE(LEFT($A83, 4)), 'Raw Annual Revenue'!$A:W, 23, FALSE) / 4</f>
        <v>509196.75</v>
      </c>
      <c r="X81" s="31">
        <f>VLOOKUP(VALUE(LEFT(A81, 4)), 'Raw Annual Revenue'!A:X, 24, FALSE) / 4</f>
        <v>48698.389649999997</v>
      </c>
      <c r="Y81" s="31">
        <f>VLOOKUP(VALUE(LEFT($A81, 4)), 'Raw Annual Revenue'!$A:Y, 25, FALSE) / 4</f>
        <v>9266.25</v>
      </c>
      <c r="Z81" s="31">
        <f>VLOOKUP(VALUE(LEFT($A81, 4)), 'Raw Annual Revenue'!$A:Z, 26, FALSE) / 4</f>
        <v>82239.5</v>
      </c>
      <c r="AA81" s="31"/>
      <c r="AB81" s="31">
        <f>VLOOKUP(VALUE(LEFT($A81, 4)), 'Raw Annual Revenue'!$A:AB, 28, FALSE) / 4</f>
        <v>16580.67625</v>
      </c>
    </row>
    <row r="82" spans="1:28" ht="13">
      <c r="A82" s="27" t="s">
        <v>107</v>
      </c>
      <c r="B82" s="31">
        <f>VLOOKUP(VALUE(LEFT(A82, 4)), 'Raw Annual Revenue'!A:B, 2, FALSE) / 4</f>
        <v>413894</v>
      </c>
      <c r="C82" s="38">
        <f ca="1">IFERROR(__xludf.DUMMYFUNCTION("IMPORTRANGE(""https://docs.google.com/spreadsheets/d/1bozxp9FwhaCNzy-RRGPVPfVYTttO4PUGDdaFvbz-Ue0/edit?gid=1870218791#gid=1870218791"", ""Rev vs Mktg &amp; Mktg Mix!C"" &amp; ROW(B18))
"),2348)</f>
        <v>2348</v>
      </c>
      <c r="D82" s="38">
        <f ca="1">IFERROR(__xludf.DUMMYFUNCTION("IMPORTRANGE(""https://docs.google.com/spreadsheets/d/1bozxp9FwhaCNzy-RRGPVPfVYTttO4PUGDdaFvbz-Ue0/edit?gid=1870218791#gid=1870218791"", ""Rev vs Mktg &amp; Mktg Mix!D"" &amp; ROW(C18))
"),2093)</f>
        <v>2093</v>
      </c>
      <c r="E82" s="38">
        <f ca="1">IFERROR(__xludf.DUMMYFUNCTION("IMPORTRANGE(""https://docs.google.com/spreadsheets/d/1bozxp9FwhaCNzy-RRGPVPfVYTttO4PUGDdaFvbz-Ue0/edit?gid=1870218791#gid=1870218791"", ""Rev vs Mktg &amp; Mktg Mix!E"" &amp; ROW(E18))
"),746)</f>
        <v>746</v>
      </c>
      <c r="F82" s="38">
        <f ca="1">IFERROR(__xludf.DUMMYFUNCTION("IMPORTRANGE(""https://docs.google.com/spreadsheets/d/1bozxp9FwhaCNzy-RRGPVPfVYTttO4PUGDdaFvbz-Ue0/edit?gid=1870218791#gid=1870218791"", ""Rev vs Mktg &amp; Mktg Mix!F"" &amp; ROW(G18))
"),316)</f>
        <v>316</v>
      </c>
      <c r="G82" s="38">
        <f ca="1">IFERROR(__xludf.DUMMYFUNCTION("IMPORTRANGE(""https://docs.google.com/spreadsheets/d/1bozxp9FwhaCNzy-RRGPVPfVYTttO4PUGDdaFvbz-Ue0/edit?gid=1870218791#gid=1870218791"", ""Rev vs Mktg &amp; Mktg Mix!G"" &amp; ROW(I18))
"),169)</f>
        <v>169</v>
      </c>
      <c r="H82" s="31">
        <f>VLOOKUP(VALUE(LEFT(A85, 4)), 'Raw Annual Revenue'!A:H, 8, FALSE) / 4</f>
        <v>130046.25</v>
      </c>
      <c r="I82" s="38">
        <f ca="1">IFERROR(__xludf.DUMMYFUNCTION("IMPORTRANGE(""https://docs.google.com/spreadsheets/d/1bozxp9FwhaCNzy-RRGPVPfVYTttO4PUGDdaFvbz-Ue0/edit?gid=1870218791#gid=1870218791"", ""Rev vs Mktg &amp; Mktg Mix!I"" &amp; ROW(K18))
"),111)</f>
        <v>111</v>
      </c>
      <c r="J82" s="38">
        <f ca="1">IFERROR(__xludf.DUMMYFUNCTION("IMPORTRANGE(""https://docs.google.com/spreadsheets/d/1bozxp9FwhaCNzy-RRGPVPfVYTttO4PUGDdaFvbz-Ue0/edit?gid=1870218791#gid=1870218791"", ""Rev vs Mktg &amp; Mktg Mix!J"" &amp; ROW(J18))
"),123)</f>
        <v>123</v>
      </c>
      <c r="K82" s="28"/>
      <c r="L82" s="38">
        <f ca="1">IFERROR(__xludf.DUMMYFUNCTION("IMPORTRANGE(""https://docs.google.com/spreadsheets/d/1bozxp9FwhaCNzy-RRGPVPfVYTttO4PUGDdaFvbz-Ue0/edit?gid=1870218791#gid=1870218791"", ""Rev vs Mktg &amp; Mktg Mix!L"" &amp; ROW(N18))
"),123.928525929599)</f>
        <v>123.928525929599</v>
      </c>
      <c r="M82" s="28"/>
      <c r="N82" s="37">
        <f ca="1">IFERROR(__xludf.DUMMYFUNCTION("IMPORTRANGE(""https://docs.google.com/spreadsheets/d/1bozxp9FwhaCNzy-RRGPVPfVYTttO4PUGDdaFvbz-Ue0/edit?gid=1870218791#gid=1870218791"", ""Rev vs Mktg &amp; Mktg Mix!N"" &amp; ROW(N18))
"),2.055)</f>
        <v>2.0550000000000002</v>
      </c>
      <c r="O82" s="32">
        <f>VLOOKUP(VALUE(LEFT(A84, 4)), 'Raw Annual Revenue'!A:O, 15, FALSE) / 4</f>
        <v>39747.75</v>
      </c>
      <c r="P82" s="28"/>
      <c r="Q82" s="28"/>
      <c r="R82" s="31">
        <f>VLOOKUP(VALUE(LEFT(A82, 4)), 'Raw Annual Revenue'!A:R, 18, FALSE) / 4</f>
        <v>68920.5</v>
      </c>
      <c r="S82" s="30">
        <f>VLOOKUP(VALUE(LEFT(A85, 4)), 'Raw Annual Revenue'!A:S, 19, FALSE) / 4</f>
        <v>4927.5</v>
      </c>
      <c r="T82" s="28"/>
      <c r="U82" s="28"/>
      <c r="V82" s="28"/>
      <c r="W82" s="30">
        <f>VLOOKUP(VALUE(LEFT($A84, 4)), 'Raw Annual Revenue'!$A:W, 23, FALSE) / 4</f>
        <v>509196.75</v>
      </c>
      <c r="X82" s="31">
        <f>VLOOKUP(VALUE(LEFT(A82, 4)), 'Raw Annual Revenue'!A:X, 24, FALSE) / 4</f>
        <v>48698.389649999997</v>
      </c>
      <c r="Y82" s="31">
        <f>VLOOKUP(VALUE(LEFT($A82, 4)), 'Raw Annual Revenue'!$A:Y, 25, FALSE) / 4</f>
        <v>9266.25</v>
      </c>
      <c r="Z82" s="31">
        <f>VLOOKUP(VALUE(LEFT($A82, 4)), 'Raw Annual Revenue'!$A:Z, 26, FALSE) / 4</f>
        <v>82239.5</v>
      </c>
      <c r="AA82" s="31"/>
      <c r="AB82" s="31">
        <f>VLOOKUP(VALUE(LEFT($A82, 4)), 'Raw Annual Revenue'!$A:AB, 28, FALSE) / 4</f>
        <v>16580.67625</v>
      </c>
    </row>
    <row r="83" spans="1:28" ht="13">
      <c r="A83" s="27" t="s">
        <v>108</v>
      </c>
      <c r="B83" s="31">
        <f>VLOOKUP(VALUE(LEFT(A83, 4)), 'Raw Annual Revenue'!A:B, 2, FALSE) / 4</f>
        <v>640430.25</v>
      </c>
      <c r="C83" s="38">
        <f ca="1">IFERROR(__xludf.DUMMYFUNCTION("IMPORTRANGE(""https://docs.google.com/spreadsheets/d/1bozxp9FwhaCNzy-RRGPVPfVYTttO4PUGDdaFvbz-Ue0/edit?gid=1870218791#gid=1870218791"", ""Rev vs Mktg &amp; Mktg Mix!C"" &amp; ROW(B19))
"),2419.404)</f>
        <v>2419.404</v>
      </c>
      <c r="D83" s="38">
        <f ca="1">IFERROR(__xludf.DUMMYFUNCTION("IMPORTRANGE(""https://docs.google.com/spreadsheets/d/1bozxp9FwhaCNzy-RRGPVPfVYTttO4PUGDdaFvbz-Ue0/edit?gid=1870218791#gid=1870218791"", ""Rev vs Mktg &amp; Mktg Mix!D"" &amp; ROW(C19))
"),2189)</f>
        <v>2189</v>
      </c>
      <c r="E83" s="38">
        <f ca="1">IFERROR(__xludf.DUMMYFUNCTION("IMPORTRANGE(""https://docs.google.com/spreadsheets/d/1bozxp9FwhaCNzy-RRGPVPfVYTttO4PUGDdaFvbz-Ue0/edit?gid=1870218791#gid=1870218791"", ""Rev vs Mktg &amp; Mktg Mix!E"" &amp; ROW(E19))
"),891)</f>
        <v>891</v>
      </c>
      <c r="F83" s="38">
        <f ca="1">IFERROR(__xludf.DUMMYFUNCTION("IMPORTRANGE(""https://docs.google.com/spreadsheets/d/1bozxp9FwhaCNzy-RRGPVPfVYTttO4PUGDdaFvbz-Ue0/edit?gid=1870218791#gid=1870218791"", ""Rev vs Mktg &amp; Mktg Mix!F"" &amp; ROW(G19))
"),372)</f>
        <v>372</v>
      </c>
      <c r="G83" s="38">
        <f ca="1">IFERROR(__xludf.DUMMYFUNCTION("IMPORTRANGE(""https://docs.google.com/spreadsheets/d/1bozxp9FwhaCNzy-RRGPVPfVYTttO4PUGDdaFvbz-Ue0/edit?gid=1870218791#gid=1870218791"", ""Rev vs Mktg &amp; Mktg Mix!G"" &amp; ROW(I19))
"),267.644)</f>
        <v>267.64400000000001</v>
      </c>
      <c r="H83" s="31">
        <f>VLOOKUP(VALUE(LEFT(A86, 4)), 'Raw Annual Revenue'!A:H, 8, FALSE) / 4</f>
        <v>130046.25</v>
      </c>
      <c r="I83" s="38">
        <f ca="1">IFERROR(__xludf.DUMMYFUNCTION("IMPORTRANGE(""https://docs.google.com/spreadsheets/d/1bozxp9FwhaCNzy-RRGPVPfVYTttO4PUGDdaFvbz-Ue0/edit?gid=1870218791#gid=1870218791"", ""Rev vs Mktg &amp; Mktg Mix!I"" &amp; ROW(K19))
"),124.999)</f>
        <v>124.999</v>
      </c>
      <c r="J83" s="38">
        <f ca="1">IFERROR(__xludf.DUMMYFUNCTION("IMPORTRANGE(""https://docs.google.com/spreadsheets/d/1bozxp9FwhaCNzy-RRGPVPfVYTttO4PUGDdaFvbz-Ue0/edit?gid=1870218791#gid=1870218791"", ""Rev vs Mktg &amp; Mktg Mix!J"" &amp; ROW(J19))
"),120.033)</f>
        <v>120.033</v>
      </c>
      <c r="K83" s="28"/>
      <c r="L83" s="38">
        <f ca="1">IFERROR(__xludf.DUMMYFUNCTION("IMPORTRANGE(""https://docs.google.com/spreadsheets/d/1bozxp9FwhaCNzy-RRGPVPfVYTttO4PUGDdaFvbz-Ue0/edit?gid=1870218791#gid=1870218791"", ""Rev vs Mktg &amp; Mktg Mix!L"" &amp; ROW(N19))
"),124.4476681476)</f>
        <v>124.4476681476</v>
      </c>
      <c r="M83" s="28"/>
      <c r="N83" s="37">
        <f ca="1">IFERROR(__xludf.DUMMYFUNCTION("IMPORTRANGE(""https://docs.google.com/spreadsheets/d/1bozxp9FwhaCNzy-RRGPVPfVYTttO4PUGDdaFvbz-Ue0/edit?gid=1870218791#gid=1870218791"", ""Rev vs Mktg &amp; Mktg Mix!N"" &amp; ROW(N19))
"),2.656)</f>
        <v>2.6560000000000001</v>
      </c>
      <c r="O83" s="32">
        <f>VLOOKUP(VALUE(LEFT(A85, 4)), 'Raw Annual Revenue'!A:O, 15, FALSE) / 4</f>
        <v>39747.75</v>
      </c>
      <c r="P83" s="28"/>
      <c r="Q83" s="28"/>
      <c r="R83" s="31">
        <f>VLOOKUP(VALUE(LEFT(A83, 4)), 'Raw Annual Revenue'!A:R, 18, FALSE) / 4</f>
        <v>77603.75</v>
      </c>
      <c r="S83" s="30">
        <f>VLOOKUP(VALUE(LEFT(A86, 4)), 'Raw Annual Revenue'!A:S, 19, FALSE) / 4</f>
        <v>4927.5</v>
      </c>
      <c r="T83" s="28"/>
      <c r="U83" s="28"/>
      <c r="V83" s="28"/>
      <c r="W83" s="30">
        <f>VLOOKUP(VALUE(LEFT($A85, 4)), 'Raw Annual Revenue'!$A:W, 23, FALSE) / 4</f>
        <v>509196.75</v>
      </c>
      <c r="X83" s="31">
        <f>VLOOKUP(VALUE(LEFT(A83, 4)), 'Raw Annual Revenue'!A:X, 24, FALSE) / 4</f>
        <v>72355.095862500006</v>
      </c>
      <c r="Y83" s="31">
        <f>VLOOKUP(VALUE(LEFT($A83, 4)), 'Raw Annual Revenue'!$A:Y, 25, FALSE) / 4</f>
        <v>12384</v>
      </c>
      <c r="Z83" s="31">
        <f>VLOOKUP(VALUE(LEFT($A83, 4)), 'Raw Annual Revenue'!$A:Z, 26, FALSE) / 4</f>
        <v>215295</v>
      </c>
      <c r="AA83" s="31">
        <f>VLOOKUP(VALUE(LEFT($A83, 4)), 'Raw Annual Revenue'!$A:AA, 27, FALSE) / 4</f>
        <v>12071.5</v>
      </c>
      <c r="AB83" s="31">
        <f>VLOOKUP(VALUE(LEFT($A83, 4)), 'Raw Annual Revenue'!$A:AB, 28, FALSE) / 4</f>
        <v>26326.25</v>
      </c>
    </row>
    <row r="84" spans="1:28" ht="13">
      <c r="A84" s="27" t="s">
        <v>109</v>
      </c>
      <c r="B84" s="31">
        <f>VLOOKUP(VALUE(LEFT(A84, 4)), 'Raw Annual Revenue'!A:B, 2, FALSE) / 4</f>
        <v>640430.25</v>
      </c>
      <c r="C84" s="38">
        <f ca="1">IFERROR(__xludf.DUMMYFUNCTION("IMPORTRANGE(""https://docs.google.com/spreadsheets/d/1bozxp9FwhaCNzy-RRGPVPfVYTttO4PUGDdaFvbz-Ue0/edit?gid=1870218791#gid=1870218791"", ""Rev vs Mktg &amp; Mktg Mix!C"" &amp; ROW(B20))
"),3024.556)</f>
        <v>3024.556</v>
      </c>
      <c r="D84" s="38">
        <f ca="1">IFERROR(__xludf.DUMMYFUNCTION("IMPORTRANGE(""https://docs.google.com/spreadsheets/d/1bozxp9FwhaCNzy-RRGPVPfVYTttO4PUGDdaFvbz-Ue0/edit?gid=1870218791#gid=1870218791"", ""Rev vs Mktg &amp; Mktg Mix!D"" &amp; ROW(C20))
"),2586)</f>
        <v>2586</v>
      </c>
      <c r="E84" s="38">
        <f ca="1">IFERROR(__xludf.DUMMYFUNCTION("IMPORTRANGE(""https://docs.google.com/spreadsheets/d/1bozxp9FwhaCNzy-RRGPVPfVYTttO4PUGDdaFvbz-Ue0/edit?gid=1870218791#gid=1870218791"", ""Rev vs Mktg &amp; Mktg Mix!E"" &amp; ROW(E20))
"),953)</f>
        <v>953</v>
      </c>
      <c r="F84" s="38">
        <f ca="1">IFERROR(__xludf.DUMMYFUNCTION("IMPORTRANGE(""https://docs.google.com/spreadsheets/d/1bozxp9FwhaCNzy-RRGPVPfVYTttO4PUGDdaFvbz-Ue0/edit?gid=1870218791#gid=1870218791"", ""Rev vs Mktg &amp; Mktg Mix!F"" &amp; ROW(G20))
"),424)</f>
        <v>424</v>
      </c>
      <c r="G84" s="38">
        <f ca="1">IFERROR(__xludf.DUMMYFUNCTION("IMPORTRANGE(""https://docs.google.com/spreadsheets/d/1bozxp9FwhaCNzy-RRGPVPfVYTttO4PUGDdaFvbz-Ue0/edit?gid=1870218791#gid=1870218791"", ""Rev vs Mktg &amp; Mktg Mix!G"" &amp; ROW(I20))
"),298.336)</f>
        <v>298.33600000000001</v>
      </c>
      <c r="H84" s="35">
        <f ca="1">IFERROR(__xludf.DUMMYFUNCTION("IMPORTRANGE(""https://docs.google.com/spreadsheets/d/1bozxp9FwhaCNzy-RRGPVPfVYTttO4PUGDdaFvbz-Ue0/edit?gid=1870218791#gid=1870218791"", ""Rev vs Mktg &amp; Mktg Mix!H"" &amp; ROW(H20))
"),148.06)</f>
        <v>148.06</v>
      </c>
      <c r="I84" s="38">
        <f ca="1">IFERROR(__xludf.DUMMYFUNCTION("IMPORTRANGE(""https://docs.google.com/spreadsheets/d/1bozxp9FwhaCNzy-RRGPVPfVYTttO4PUGDdaFvbz-Ue0/edit?gid=1870218791#gid=1870218791"", ""Rev vs Mktg &amp; Mktg Mix!I"" &amp; ROW(K20))
"),123.403)</f>
        <v>123.40300000000001</v>
      </c>
      <c r="J84" s="38">
        <f ca="1">IFERROR(__xludf.DUMMYFUNCTION("IMPORTRANGE(""https://docs.google.com/spreadsheets/d/1bozxp9FwhaCNzy-RRGPVPfVYTttO4PUGDdaFvbz-Ue0/edit?gid=1870218791#gid=1870218791"", ""Rev vs Mktg &amp; Mktg Mix!J"" &amp; ROW(J20))
"),192.056)</f>
        <v>192.05600000000001</v>
      </c>
      <c r="K84" s="28"/>
      <c r="L84" s="38">
        <f ca="1">IFERROR(__xludf.DUMMYFUNCTION("IMPORTRANGE(""https://docs.google.com/spreadsheets/d/1bozxp9FwhaCNzy-RRGPVPfVYTttO4PUGDdaFvbz-Ue0/edit?gid=1870218791#gid=1870218791"", ""Rev vs Mktg &amp; Mktg Mix!L"" &amp; ROW(N20))
"),152.9547692232)</f>
        <v>152.9547692232</v>
      </c>
      <c r="M84" s="28"/>
      <c r="N84" s="37">
        <f ca="1">IFERROR(__xludf.DUMMYFUNCTION("IMPORTRANGE(""https://docs.google.com/spreadsheets/d/1bozxp9FwhaCNzy-RRGPVPfVYTttO4PUGDdaFvbz-Ue0/edit?gid=1870218791#gid=1870218791"", ""Rev vs Mktg &amp; Mktg Mix!N"" &amp; ROW(N20))
"),3.011)</f>
        <v>3.0110000000000001</v>
      </c>
      <c r="O84" s="32">
        <f>VLOOKUP(VALUE(LEFT(A86, 4)), 'Raw Annual Revenue'!A:O, 15, FALSE) / 4</f>
        <v>39747.75</v>
      </c>
      <c r="P84" s="28"/>
      <c r="Q84" s="37"/>
      <c r="R84" s="31">
        <f>VLOOKUP(VALUE(LEFT(A84, 4)), 'Raw Annual Revenue'!A:R, 18, FALSE) / 4</f>
        <v>77603.75</v>
      </c>
      <c r="S84" s="30">
        <f>VLOOKUP(VALUE(LEFT(A87, 4)), 'Raw Annual Revenue'!A:S, 19, FALSE) / 4</f>
        <v>9678.25</v>
      </c>
      <c r="T84" s="28"/>
      <c r="U84" s="28"/>
      <c r="V84" s="28"/>
      <c r="W84" s="30">
        <f>VLOOKUP(VALUE(LEFT($A86, 4)), 'Raw Annual Revenue'!$A:W, 23, FALSE) / 4</f>
        <v>509196.75</v>
      </c>
      <c r="X84" s="31">
        <f>VLOOKUP(VALUE(LEFT(A84, 4)), 'Raw Annual Revenue'!A:X, 24, FALSE) / 4</f>
        <v>72355.095862500006</v>
      </c>
      <c r="Y84" s="31">
        <f>VLOOKUP(VALUE(LEFT($A84, 4)), 'Raw Annual Revenue'!$A:Y, 25, FALSE) / 4</f>
        <v>12384</v>
      </c>
      <c r="Z84" s="31">
        <f>VLOOKUP(VALUE(LEFT($A84, 4)), 'Raw Annual Revenue'!$A:Z, 26, FALSE) / 4</f>
        <v>215295</v>
      </c>
      <c r="AA84" s="31">
        <f>VLOOKUP(VALUE(LEFT($A84, 4)), 'Raw Annual Revenue'!$A:AA, 27, FALSE) / 4</f>
        <v>12071.5</v>
      </c>
      <c r="AB84" s="31">
        <f>VLOOKUP(VALUE(LEFT($A84, 4)), 'Raw Annual Revenue'!$A:AB, 28, FALSE) / 4</f>
        <v>26326.25</v>
      </c>
    </row>
    <row r="85" spans="1:28" ht="13">
      <c r="A85" s="27" t="s">
        <v>110</v>
      </c>
      <c r="B85" s="31">
        <f>VLOOKUP(VALUE(LEFT(A85, 4)), 'Raw Annual Revenue'!A:B, 2, FALSE) / 4</f>
        <v>640430.25</v>
      </c>
      <c r="C85" s="38">
        <f ca="1">IFERROR(__xludf.DUMMYFUNCTION("IMPORTRANGE(""https://docs.google.com/spreadsheets/d/1bozxp9FwhaCNzy-RRGPVPfVYTttO4PUGDdaFvbz-Ue0/edit?gid=1870218791#gid=1870218791"", ""Rev vs Mktg &amp; Mktg Mix!C"" &amp; ROW(B21))
"),4434.029)</f>
        <v>4434.0290000000005</v>
      </c>
      <c r="D85" s="38">
        <f ca="1">IFERROR(__xludf.DUMMYFUNCTION("IMPORTRANGE(""https://docs.google.com/spreadsheets/d/1bozxp9FwhaCNzy-RRGPVPfVYTttO4PUGDdaFvbz-Ue0/edit?gid=1870218791#gid=1870218791"", ""Rev vs Mktg &amp; Mktg Mix!D"" &amp; ROW(C21))
"),2966)</f>
        <v>2966</v>
      </c>
      <c r="E85" s="38">
        <f ca="1">IFERROR(__xludf.DUMMYFUNCTION("IMPORTRANGE(""https://docs.google.com/spreadsheets/d/1bozxp9FwhaCNzy-RRGPVPfVYTttO4PUGDdaFvbz-Ue0/edit?gid=1870218791#gid=1870218791"", ""Rev vs Mktg &amp; Mktg Mix!E"" &amp; ROW(E21))
"),1196)</f>
        <v>1196</v>
      </c>
      <c r="F85" s="38">
        <f ca="1">IFERROR(__xludf.DUMMYFUNCTION("IMPORTRANGE(""https://docs.google.com/spreadsheets/d/1bozxp9FwhaCNzy-RRGPVPfVYTttO4PUGDdaFvbz-Ue0/edit?gid=1870218791#gid=1870218791"", ""Rev vs Mktg &amp; Mktg Mix!F"" &amp; ROW(G21))
"),439)</f>
        <v>439</v>
      </c>
      <c r="G85" s="38">
        <f ca="1">IFERROR(__xludf.DUMMYFUNCTION("IMPORTRANGE(""https://docs.google.com/spreadsheets/d/1bozxp9FwhaCNzy-RRGPVPfVYTttO4PUGDdaFvbz-Ue0/edit?gid=1870218791#gid=1870218791"", ""Rev vs Mktg &amp; Mktg Mix!G"" &amp; ROW(I21))
"),287.86)</f>
        <v>287.86</v>
      </c>
      <c r="H85" s="38">
        <f ca="1">IFERROR(__xludf.DUMMYFUNCTION("IMPORTRANGE(""https://docs.google.com/spreadsheets/d/1bozxp9FwhaCNzy-RRGPVPfVYTttO4PUGDdaFvbz-Ue0/edit?gid=1870218791#gid=1870218791"", ""Rev vs Mktg &amp; Mktg Mix!H"" &amp; ROW(H21))
"),142.12)</f>
        <v>142.12</v>
      </c>
      <c r="I85" s="38">
        <f ca="1">IFERROR(__xludf.DUMMYFUNCTION("IMPORTRANGE(""https://docs.google.com/spreadsheets/d/1bozxp9FwhaCNzy-RRGPVPfVYTttO4PUGDdaFvbz-Ue0/edit?gid=1870218791#gid=1870218791"", ""Rev vs Mktg &amp; Mktg Mix!I"" &amp; ROW(K21))
"),131.468)</f>
        <v>131.46799999999999</v>
      </c>
      <c r="J85" s="38">
        <f ca="1">IFERROR(__xludf.DUMMYFUNCTION("IMPORTRANGE(""https://docs.google.com/spreadsheets/d/1bozxp9FwhaCNzy-RRGPVPfVYTttO4PUGDdaFvbz-Ue0/edit?gid=1870218791#gid=1870218791"", ""Rev vs Mktg &amp; Mktg Mix!J"" &amp; ROW(J21))
"),152.917)</f>
        <v>152.917</v>
      </c>
      <c r="K85" s="28"/>
      <c r="L85" s="38">
        <f ca="1">IFERROR(__xludf.DUMMYFUNCTION("IMPORTRANGE(""https://docs.google.com/spreadsheets/d/1bozxp9FwhaCNzy-RRGPVPfVYTttO4PUGDdaFvbz-Ue0/edit?gid=1870218791#gid=1870218791"", ""Rev vs Mktg &amp; Mktg Mix!L"" &amp; ROW(N21))
"),130.421956707)</f>
        <v>130.42195670699999</v>
      </c>
      <c r="M85" s="28"/>
      <c r="N85" s="37">
        <f ca="1">IFERROR(__xludf.DUMMYFUNCTION("IMPORTRANGE(""https://docs.google.com/spreadsheets/d/1bozxp9FwhaCNzy-RRGPVPfVYTttO4PUGDdaFvbz-Ue0/edit?gid=1870218791#gid=1870218791"", ""Rev vs Mktg &amp; Mktg Mix!N"" &amp; ROW(N21))
"),3.249)</f>
        <v>3.2490000000000001</v>
      </c>
      <c r="O85" s="32">
        <f>VLOOKUP(VALUE(LEFT(A87, 4)), 'Raw Annual Revenue'!A:O, 15, FALSE) / 4</f>
        <v>140685</v>
      </c>
      <c r="P85" s="28"/>
      <c r="Q85" s="37"/>
      <c r="R85" s="31">
        <f>VLOOKUP(VALUE(LEFT(A85, 4)), 'Raw Annual Revenue'!A:R, 18, FALSE) / 4</f>
        <v>77603.75</v>
      </c>
      <c r="S85" s="30">
        <f>VLOOKUP(VALUE(LEFT(A88, 4)), 'Raw Annual Revenue'!A:S, 19, FALSE) / 4</f>
        <v>9678.25</v>
      </c>
      <c r="T85" s="28"/>
      <c r="U85" s="28"/>
      <c r="V85" s="28"/>
      <c r="W85" s="30">
        <f>VLOOKUP(VALUE(LEFT($A87, 4)), 'Raw Annual Revenue'!$A:W, 23, FALSE) / 4</f>
        <v>540590</v>
      </c>
      <c r="X85" s="31">
        <f>VLOOKUP(VALUE(LEFT(A85, 4)), 'Raw Annual Revenue'!A:X, 24, FALSE) / 4</f>
        <v>72355.095862500006</v>
      </c>
      <c r="Y85" s="31">
        <f>VLOOKUP(VALUE(LEFT($A85, 4)), 'Raw Annual Revenue'!$A:Y, 25, FALSE) / 4</f>
        <v>12384</v>
      </c>
      <c r="Z85" s="31">
        <f>VLOOKUP(VALUE(LEFT($A85, 4)), 'Raw Annual Revenue'!$A:Z, 26, FALSE) / 4</f>
        <v>215295</v>
      </c>
      <c r="AA85" s="31">
        <f>VLOOKUP(VALUE(LEFT($A85, 4)), 'Raw Annual Revenue'!$A:AA, 27, FALSE) / 4</f>
        <v>12071.5</v>
      </c>
      <c r="AB85" s="31">
        <f>VLOOKUP(VALUE(LEFT($A85, 4)), 'Raw Annual Revenue'!$A:AB, 28, FALSE) / 4</f>
        <v>26326.25</v>
      </c>
    </row>
    <row r="86" spans="1:28" ht="13">
      <c r="A86" s="27" t="s">
        <v>111</v>
      </c>
      <c r="B86" s="31">
        <f>VLOOKUP(VALUE(LEFT(A86, 4)), 'Raw Annual Revenue'!A:B, 2, FALSE) / 4</f>
        <v>640430.25</v>
      </c>
      <c r="C86" s="38">
        <f ca="1">IFERROR(__xludf.DUMMYFUNCTION("IMPORTRANGE(""https://docs.google.com/spreadsheets/d/1bozxp9FwhaCNzy-RRGPVPfVYTttO4PUGDdaFvbz-Ue0/edit?gid=1870218791#gid=1870218791"", ""Rev vs Mktg &amp; Mktg Mix!C"" &amp; ROW(B22))
"),2803)</f>
        <v>2803</v>
      </c>
      <c r="D86" s="38">
        <f ca="1">IFERROR(__xludf.DUMMYFUNCTION("IMPORTRANGE(""https://docs.google.com/spreadsheets/d/1bozxp9FwhaCNzy-RRGPVPfVYTttO4PUGDdaFvbz-Ue0/edit?gid=1870218791#gid=1870218791"", ""Rev vs Mktg &amp; Mktg Mix!D"" &amp; ROW(C22))
"),2319)</f>
        <v>2319</v>
      </c>
      <c r="E86" s="38">
        <f ca="1">IFERROR(__xludf.DUMMYFUNCTION("IMPORTRANGE(""https://docs.google.com/spreadsheets/d/1bozxp9FwhaCNzy-RRGPVPfVYTttO4PUGDdaFvbz-Ue0/edit?gid=1870218791#gid=1870218791"", ""Rev vs Mktg &amp; Mktg Mix!E"" &amp; ROW(E22))
"),988)</f>
        <v>988</v>
      </c>
      <c r="F86" s="38">
        <f ca="1">IFERROR(__xludf.DUMMYFUNCTION("IMPORTRANGE(""https://docs.google.com/spreadsheets/d/1bozxp9FwhaCNzy-RRGPVPfVYTttO4PUGDdaFvbz-Ue0/edit?gid=1870218791#gid=1870218791"", ""Rev vs Mktg &amp; Mktg Mix!F"" &amp; ROW(G22))
"),321)</f>
        <v>321</v>
      </c>
      <c r="G86" s="38">
        <f ca="1">IFERROR(__xludf.DUMMYFUNCTION("IMPORTRANGE(""https://docs.google.com/spreadsheets/d/1bozxp9FwhaCNzy-RRGPVPfVYTttO4PUGDdaFvbz-Ue0/edit?gid=1870218791#gid=1870218791"", ""Rev vs Mktg &amp; Mktg Mix!G"" &amp; ROW(I22))
"),181.543)</f>
        <v>181.54300000000001</v>
      </c>
      <c r="H86" s="38">
        <f ca="1">IFERROR(__xludf.DUMMYFUNCTION("IMPORTRANGE(""https://docs.google.com/spreadsheets/d/1bozxp9FwhaCNzy-RRGPVPfVYTttO4PUGDdaFvbz-Ue0/edit?gid=1870218791#gid=1870218791"", ""Rev vs Mktg &amp; Mktg Mix!H"" &amp; ROW(H22))
"),125.29)</f>
        <v>125.29</v>
      </c>
      <c r="I86" s="38">
        <f ca="1">IFERROR(__xludf.DUMMYFUNCTION("IMPORTRANGE(""https://docs.google.com/spreadsheets/d/1bozxp9FwhaCNzy-RRGPVPfVYTttO4PUGDdaFvbz-Ue0/edit?gid=1870218791#gid=1870218791"", ""Rev vs Mktg &amp; Mktg Mix!I"" &amp; ROW(K22))
"),144.011)</f>
        <v>144.011</v>
      </c>
      <c r="J86" s="38">
        <f ca="1">IFERROR(__xludf.DUMMYFUNCTION("IMPORTRANGE(""https://docs.google.com/spreadsheets/d/1bozxp9FwhaCNzy-RRGPVPfVYTttO4PUGDdaFvbz-Ue0/edit?gid=1870218791#gid=1870218791"", ""Rev vs Mktg &amp; Mktg Mix!J"" &amp; ROW(J22))
"),172.477)</f>
        <v>172.477</v>
      </c>
      <c r="K86" s="28"/>
      <c r="L86" s="38">
        <f ca="1">IFERROR(__xludf.DUMMYFUNCTION("IMPORTRANGE(""https://docs.google.com/spreadsheets/d/1bozxp9FwhaCNzy-RRGPVPfVYTttO4PUGDdaFvbz-Ue0/edit?gid=1870218791#gid=1870218791"", ""Rev vs Mktg &amp; Mktg Mix!L"" &amp; ROW(N22))
"),154.1173931997)</f>
        <v>154.11739319969999</v>
      </c>
      <c r="M86" s="28"/>
      <c r="N86" s="37">
        <f ca="1">IFERROR(__xludf.DUMMYFUNCTION("IMPORTRANGE(""https://docs.google.com/spreadsheets/d/1bozxp9FwhaCNzy-RRGPVPfVYTttO4PUGDdaFvbz-Ue0/edit?gid=1870218791#gid=1870218791"", ""Rev vs Mktg &amp; Mktg Mix!N"" &amp; ROW(N22))
"),2.923)</f>
        <v>2.923</v>
      </c>
      <c r="O86" s="32">
        <f>VLOOKUP(VALUE(LEFT(A88, 4)), 'Raw Annual Revenue'!A:O, 15, FALSE) / 4</f>
        <v>140685</v>
      </c>
      <c r="P86" s="28"/>
      <c r="Q86" s="37"/>
      <c r="R86" s="31">
        <f>VLOOKUP(VALUE(LEFT(A86, 4)), 'Raw Annual Revenue'!A:R, 18, FALSE) / 4</f>
        <v>77603.75</v>
      </c>
      <c r="S86" s="30">
        <f>VLOOKUP(VALUE(LEFT(A89, 4)), 'Raw Annual Revenue'!A:S, 19, FALSE) / 4</f>
        <v>9678.25</v>
      </c>
      <c r="T86" s="28"/>
      <c r="U86" s="28"/>
      <c r="V86" s="28"/>
      <c r="W86" s="30">
        <f>VLOOKUP(VALUE(LEFT($A88, 4)), 'Raw Annual Revenue'!$A:W, 23, FALSE) / 4</f>
        <v>540590</v>
      </c>
      <c r="X86" s="31">
        <f>VLOOKUP(VALUE(LEFT(A86, 4)), 'Raw Annual Revenue'!A:X, 24, FALSE) / 4</f>
        <v>72355.095862500006</v>
      </c>
      <c r="Y86" s="31">
        <f>VLOOKUP(VALUE(LEFT($A86, 4)), 'Raw Annual Revenue'!$A:Y, 25, FALSE) / 4</f>
        <v>12384</v>
      </c>
      <c r="Z86" s="31">
        <f>VLOOKUP(VALUE(LEFT($A86, 4)), 'Raw Annual Revenue'!$A:Z, 26, FALSE) / 4</f>
        <v>215295</v>
      </c>
      <c r="AA86" s="31">
        <f>VLOOKUP(VALUE(LEFT($A86, 4)), 'Raw Annual Revenue'!$A:AA, 27, FALSE) / 4</f>
        <v>12071.5</v>
      </c>
      <c r="AB86" s="31">
        <f>VLOOKUP(VALUE(LEFT($A86, 4)), 'Raw Annual Revenue'!$A:AB, 28, FALSE) / 4</f>
        <v>26326.25</v>
      </c>
    </row>
    <row r="87" spans="1:28" ht="13">
      <c r="A87" s="27" t="s">
        <v>112</v>
      </c>
      <c r="B87" s="31">
        <f>VLOOKUP(VALUE(LEFT(A87, 4)), 'Raw Annual Revenue'!A:B, 2, FALSE) / 4</f>
        <v>912996.25</v>
      </c>
      <c r="C87" s="38">
        <f ca="1">IFERROR(__xludf.DUMMYFUNCTION("IMPORTRANGE(""https://docs.google.com/spreadsheets/d/1bozxp9FwhaCNzy-RRGPVPfVYTttO4PUGDdaFvbz-Ue0/edit?gid=1870218791#gid=1870218791"", ""Rev vs Mktg &amp; Mktg Mix!C"" &amp; ROW(B23))
"),2928.201)</f>
        <v>2928.201</v>
      </c>
      <c r="D87" s="38">
        <f ca="1">IFERROR(__xludf.DUMMYFUNCTION("IMPORTRANGE(""https://docs.google.com/spreadsheets/d/1bozxp9FwhaCNzy-RRGPVPfVYTttO4PUGDdaFvbz-Ue0/edit?gid=1870218791#gid=1870218791"", ""Rev vs Mktg &amp; Mktg Mix!D"" &amp; ROW(C23))
"),2508)</f>
        <v>2508</v>
      </c>
      <c r="E87" s="38">
        <f ca="1">IFERROR(__xludf.DUMMYFUNCTION("IMPORTRANGE(""https://docs.google.com/spreadsheets/d/1bozxp9FwhaCNzy-RRGPVPfVYTttO4PUGDdaFvbz-Ue0/edit?gid=1870218791#gid=1870218791"", ""Rev vs Mktg &amp; Mktg Mix!E"" &amp; ROW(E23))
"),1079)</f>
        <v>1079</v>
      </c>
      <c r="F87" s="38">
        <f ca="1">IFERROR(__xludf.DUMMYFUNCTION("IMPORTRANGE(""https://docs.google.com/spreadsheets/d/1bozxp9FwhaCNzy-RRGPVPfVYTttO4PUGDdaFvbz-Ue0/edit?gid=1870218791#gid=1870218791"", ""Rev vs Mktg &amp; Mktg Mix!F"" &amp; ROW(G23))
"),378)</f>
        <v>378</v>
      </c>
      <c r="G87" s="38">
        <f ca="1">IFERROR(__xludf.DUMMYFUNCTION("IMPORTRANGE(""https://docs.google.com/spreadsheets/d/1bozxp9FwhaCNzy-RRGPVPfVYTttO4PUGDdaFvbz-Ue0/edit?gid=1870218791#gid=1870218791"", ""Rev vs Mktg &amp; Mktg Mix!G"" &amp; ROW(I23))
"),259.364)</f>
        <v>259.36399999999998</v>
      </c>
      <c r="H87" s="38">
        <f ca="1">IFERROR(__xludf.DUMMYFUNCTION("IMPORTRANGE(""https://docs.google.com/spreadsheets/d/1bozxp9FwhaCNzy-RRGPVPfVYTttO4PUGDdaFvbz-Ue0/edit?gid=1870218791#gid=1870218791"", ""Rev vs Mktg &amp; Mktg Mix!H"" &amp; ROW(H23))
"),154.22)</f>
        <v>154.22</v>
      </c>
      <c r="I87" s="38">
        <f ca="1">IFERROR(__xludf.DUMMYFUNCTION("IMPORTRANGE(""https://docs.google.com/spreadsheets/d/1bozxp9FwhaCNzy-RRGPVPfVYTttO4PUGDdaFvbz-Ue0/edit?gid=1870218791#gid=1870218791"", ""Rev vs Mktg &amp; Mktg Mix!I"" &amp; ROW(K23))
"),148.593)</f>
        <v>148.59299999999999</v>
      </c>
      <c r="J87" s="38">
        <f ca="1">IFERROR(__xludf.DUMMYFUNCTION("IMPORTRANGE(""https://docs.google.com/spreadsheets/d/1bozxp9FwhaCNzy-RRGPVPfVYTttO4PUGDdaFvbz-Ue0/edit?gid=1870218791#gid=1870218791"", ""Rev vs Mktg &amp; Mktg Mix!J"" &amp; ROW(J23))
"),157.806)</f>
        <v>157.80600000000001</v>
      </c>
      <c r="K87" s="28"/>
      <c r="L87" s="38">
        <f ca="1">IFERROR(__xludf.DUMMYFUNCTION("IMPORTRANGE(""https://docs.google.com/spreadsheets/d/1bozxp9FwhaCNzy-RRGPVPfVYTttO4PUGDdaFvbz-Ue0/edit?gid=1870218791#gid=1870218791"", ""Rev vs Mktg &amp; Mktg Mix!L"" &amp; ROW(N23))
"),128.4709752648)</f>
        <v>128.47097526479999</v>
      </c>
      <c r="M87" s="28"/>
      <c r="N87" s="37">
        <f ca="1">IFERROR(__xludf.DUMMYFUNCTION("IMPORTRANGE(""https://docs.google.com/spreadsheets/d/1bozxp9FwhaCNzy-RRGPVPfVYTttO4PUGDdaFvbz-Ue0/edit?gid=1870218791#gid=1870218791"", ""Rev vs Mktg &amp; Mktg Mix!N"" &amp; ROW(N23))
"),4.022)</f>
        <v>4.0220000000000002</v>
      </c>
      <c r="O87" s="32">
        <f>VLOOKUP(VALUE(LEFT(A89, 4)), 'Raw Annual Revenue'!A:O, 15, FALSE) / 4</f>
        <v>140685</v>
      </c>
      <c r="P87" s="28"/>
      <c r="Q87" s="37"/>
      <c r="R87" s="31">
        <f>VLOOKUP(VALUE(LEFT(A87, 4)), 'Raw Annual Revenue'!A:R, 18, FALSE) / 4</f>
        <v>83272.25</v>
      </c>
      <c r="S87" s="30">
        <f>VLOOKUP(VALUE(LEFT(A90, 4)), 'Raw Annual Revenue'!A:S, 19, FALSE) / 4</f>
        <v>9678.25</v>
      </c>
      <c r="T87" s="28"/>
      <c r="U87" s="28"/>
      <c r="V87" s="28"/>
      <c r="W87" s="30">
        <f>VLOOKUP(VALUE(LEFT($A89, 4)), 'Raw Annual Revenue'!$A:W, 23, FALSE) / 4</f>
        <v>540590</v>
      </c>
      <c r="X87" s="31">
        <f>VLOOKUP(VALUE(LEFT(A87, 4)), 'Raw Annual Revenue'!A:X, 24, FALSE) / 4</f>
        <v>82990.800887499994</v>
      </c>
      <c r="Y87" s="31">
        <f>VLOOKUP(VALUE(LEFT($A87, 4)), 'Raw Annual Revenue'!$A:Y, 25, FALSE) / 4</f>
        <v>16488.25</v>
      </c>
      <c r="Z87" s="31">
        <f>VLOOKUP(VALUE(LEFT($A87, 4)), 'Raw Annual Revenue'!$A:Z, 26, FALSE) / 4</f>
        <v>308997.5</v>
      </c>
      <c r="AA87" s="31">
        <f>VLOOKUP(VALUE(LEFT($A87, 4)), 'Raw Annual Revenue'!$A:AA, 27, FALSE) / 4</f>
        <v>11662.5</v>
      </c>
      <c r="AB87" s="31">
        <f>VLOOKUP(VALUE(LEFT($A87, 4)), 'Raw Annual Revenue'!$A:AB, 28, FALSE) / 4</f>
        <v>46508.75</v>
      </c>
    </row>
    <row r="88" spans="1:28" ht="13">
      <c r="A88" s="27" t="s">
        <v>113</v>
      </c>
      <c r="B88" s="31">
        <f>VLOOKUP(VALUE(LEFT(A88, 4)), 'Raw Annual Revenue'!A:B, 2, FALSE) / 4</f>
        <v>912996.25</v>
      </c>
      <c r="C88" s="38">
        <f ca="1">IFERROR(__xludf.DUMMYFUNCTION("IMPORTRANGE(""https://docs.google.com/spreadsheets/d/1bozxp9FwhaCNzy-RRGPVPfVYTttO4PUGDdaFvbz-Ue0/edit?gid=1870218791#gid=1870218791"", ""Rev vs Mktg &amp; Mktg Mix!C"" &amp; ROW(B24))
"),3537.094)</f>
        <v>3537.0940000000001</v>
      </c>
      <c r="D88" s="38">
        <f ca="1">IFERROR(__xludf.DUMMYFUNCTION("IMPORTRANGE(""https://docs.google.com/spreadsheets/d/1bozxp9FwhaCNzy-RRGPVPfVYTttO4PUGDdaFvbz-Ue0/edit?gid=1870218791#gid=1870218791"", ""Rev vs Mktg &amp; Mktg Mix!D"" &amp; ROW(C24))
"),2880)</f>
        <v>2880</v>
      </c>
      <c r="E88" s="38">
        <f ca="1">IFERROR(__xludf.DUMMYFUNCTION("IMPORTRANGE(""https://docs.google.com/spreadsheets/d/1bozxp9FwhaCNzy-RRGPVPfVYTttO4PUGDdaFvbz-Ue0/edit?gid=1870218791#gid=1870218791"", ""Rev vs Mktg &amp; Mktg Mix!E"" &amp; ROW(E24))
"),1112)</f>
        <v>1112</v>
      </c>
      <c r="F88" s="38">
        <f ca="1">IFERROR(__xludf.DUMMYFUNCTION("IMPORTRANGE(""https://docs.google.com/spreadsheets/d/1bozxp9FwhaCNzy-RRGPVPfVYTttO4PUGDdaFvbz-Ue0/edit?gid=1870218791#gid=1870218791"", ""Rev vs Mktg &amp; Mktg Mix!F"" &amp; ROW(G24))
"),433)</f>
        <v>433</v>
      </c>
      <c r="G88" s="38">
        <f ca="1">IFERROR(__xludf.DUMMYFUNCTION("IMPORTRANGE(""https://docs.google.com/spreadsheets/d/1bozxp9FwhaCNzy-RRGPVPfVYTttO4PUGDdaFvbz-Ue0/edit?gid=1870218791#gid=1870218791"", ""Rev vs Mktg &amp; Mktg Mix!G"" &amp; ROW(I24))
"),234.999)</f>
        <v>234.999</v>
      </c>
      <c r="H88" s="38">
        <f ca="1">IFERROR(__xludf.DUMMYFUNCTION("IMPORTRANGE(""https://docs.google.com/spreadsheets/d/1bozxp9FwhaCNzy-RRGPVPfVYTttO4PUGDdaFvbz-Ue0/edit?gid=1870218791#gid=1870218791"", ""Rev vs Mktg &amp; Mktg Mix!H"" &amp; ROW(H24))
"),148.06)</f>
        <v>148.06</v>
      </c>
      <c r="I88" s="38">
        <f ca="1">IFERROR(__xludf.DUMMYFUNCTION("IMPORTRANGE(""https://docs.google.com/spreadsheets/d/1bozxp9FwhaCNzy-RRGPVPfVYTttO4PUGDdaFvbz-Ue0/edit?gid=1870218791#gid=1870218791"", ""Rev vs Mktg &amp; Mktg Mix!I"" &amp; ROW(K24))
"),128.259)</f>
        <v>128.25899999999999</v>
      </c>
      <c r="J88" s="38">
        <f ca="1">IFERROR(__xludf.DUMMYFUNCTION("IMPORTRANGE(""https://docs.google.com/spreadsheets/d/1bozxp9FwhaCNzy-RRGPVPfVYTttO4PUGDdaFvbz-Ue0/edit?gid=1870218791#gid=1870218791"", ""Rev vs Mktg &amp; Mktg Mix!J"" &amp; ROW(J24))
"),137.41)</f>
        <v>137.41</v>
      </c>
      <c r="K88" s="28"/>
      <c r="L88" s="38">
        <f ca="1">IFERROR(__xludf.DUMMYFUNCTION("IMPORTRANGE(""https://docs.google.com/spreadsheets/d/1bozxp9FwhaCNzy-RRGPVPfVYTttO4PUGDdaFvbz-Ue0/edit?gid=1870218791#gid=1870218791"", ""Rev vs Mktg &amp; Mktg Mix!L"" &amp; ROW(N24))
"),141.595687648799)</f>
        <v>141.59568764879899</v>
      </c>
      <c r="M88" s="28"/>
      <c r="N88" s="37">
        <f ca="1">IFERROR(__xludf.DUMMYFUNCTION("IMPORTRANGE(""https://docs.google.com/spreadsheets/d/1bozxp9FwhaCNzy-RRGPVPfVYTttO4PUGDdaFvbz-Ue0/edit?gid=1870218791#gid=1870218791"", ""Rev vs Mktg &amp; Mktg Mix!N"" &amp; ROW(N24))
"),4.345)</f>
        <v>4.3449999999999998</v>
      </c>
      <c r="O88" s="32">
        <f>VLOOKUP(VALUE(LEFT(A90, 4)), 'Raw Annual Revenue'!A:O, 15, FALSE) / 4</f>
        <v>140685</v>
      </c>
      <c r="P88" s="28"/>
      <c r="Q88" s="37"/>
      <c r="R88" s="31">
        <f>VLOOKUP(VALUE(LEFT(A88, 4)), 'Raw Annual Revenue'!A:R, 18, FALSE) / 4</f>
        <v>83272.25</v>
      </c>
      <c r="S88" s="30">
        <f>VLOOKUP(VALUE(LEFT(A91, 4)), 'Raw Annual Revenue'!A:S, 19, FALSE) / 4</f>
        <v>7096.25</v>
      </c>
      <c r="T88" s="28"/>
      <c r="U88" s="28"/>
      <c r="V88" s="28"/>
      <c r="W88" s="30">
        <f>VLOOKUP(VALUE(LEFT($A90, 4)), 'Raw Annual Revenue'!$A:W, 23, FALSE) / 4</f>
        <v>540590</v>
      </c>
      <c r="X88" s="31">
        <f>VLOOKUP(VALUE(LEFT(A88, 4)), 'Raw Annual Revenue'!A:X, 24, FALSE) / 4</f>
        <v>82990.800887499994</v>
      </c>
      <c r="Y88" s="31">
        <f>VLOOKUP(VALUE(LEFT($A88, 4)), 'Raw Annual Revenue'!$A:Y, 25, FALSE) / 4</f>
        <v>16488.25</v>
      </c>
      <c r="Z88" s="31">
        <f>VLOOKUP(VALUE(LEFT($A88, 4)), 'Raw Annual Revenue'!$A:Z, 26, FALSE) / 4</f>
        <v>308997.5</v>
      </c>
      <c r="AA88" s="31">
        <f>VLOOKUP(VALUE(LEFT($A88, 4)), 'Raw Annual Revenue'!$A:AA, 27, FALSE) / 4</f>
        <v>11662.5</v>
      </c>
      <c r="AB88" s="31">
        <f>VLOOKUP(VALUE(LEFT($A88, 4)), 'Raw Annual Revenue'!$A:AB, 28, FALSE) / 4</f>
        <v>46508.75</v>
      </c>
    </row>
    <row r="89" spans="1:28" ht="13">
      <c r="A89" s="27" t="s">
        <v>114</v>
      </c>
      <c r="B89" s="31">
        <f>VLOOKUP(VALUE(LEFT(A89, 4)), 'Raw Annual Revenue'!A:B, 2, FALSE) / 4</f>
        <v>912996.25</v>
      </c>
      <c r="C89" s="38">
        <f ca="1">IFERROR(__xludf.DUMMYFUNCTION("IMPORTRANGE(""https://docs.google.com/spreadsheets/d/1bozxp9FwhaCNzy-RRGPVPfVYTttO4PUGDdaFvbz-Ue0/edit?gid=1870218791#gid=1870218791"", ""Rev vs Mktg &amp; Mktg Mix!C"" &amp; ROW(B25))
"),4849.09)</f>
        <v>4849.09</v>
      </c>
      <c r="D89" s="38">
        <f ca="1">IFERROR(__xludf.DUMMYFUNCTION("IMPORTRANGE(""https://docs.google.com/spreadsheets/d/1bozxp9FwhaCNzy-RRGPVPfVYTttO4PUGDdaFvbz-Ue0/edit?gid=1870218791#gid=1870218791"", ""Rev vs Mktg &amp; Mktg Mix!D"" &amp; ROW(C25))
"),3276)</f>
        <v>3276</v>
      </c>
      <c r="E89" s="38">
        <f ca="1">IFERROR(__xludf.DUMMYFUNCTION("IMPORTRANGE(""https://docs.google.com/spreadsheets/d/1bozxp9FwhaCNzy-RRGPVPfVYTttO4PUGDdaFvbz-Ue0/edit?gid=1870218791#gid=1870218791"", ""Rev vs Mktg &amp; Mktg Mix!E"" &amp; ROW(E25))
"),1368)</f>
        <v>1368</v>
      </c>
      <c r="F89" s="38">
        <f ca="1">IFERROR(__xludf.DUMMYFUNCTION("IMPORTRANGE(""https://docs.google.com/spreadsheets/d/1bozxp9FwhaCNzy-RRGPVPfVYTttO4PUGDdaFvbz-Ue0/edit?gid=1870218791#gid=1870218791"", ""Rev vs Mktg &amp; Mktg Mix!F"" &amp; ROW(G25))
"),458)</f>
        <v>458</v>
      </c>
      <c r="G89" s="38">
        <f ca="1">IFERROR(__xludf.DUMMYFUNCTION("IMPORTRANGE(""https://docs.google.com/spreadsheets/d/1bozxp9FwhaCNzy-RRGPVPfVYTttO4PUGDdaFvbz-Ue0/edit?gid=1870218791#gid=1870218791"", ""Rev vs Mktg &amp; Mktg Mix!G"" &amp; ROW(I25))
"),253.675)</f>
        <v>253.67500000000001</v>
      </c>
      <c r="H89" s="38">
        <f ca="1">IFERROR(__xludf.DUMMYFUNCTION("IMPORTRANGE(""https://docs.google.com/spreadsheets/d/1bozxp9FwhaCNzy-RRGPVPfVYTttO4PUGDdaFvbz-Ue0/edit?gid=1870218791#gid=1870218791"", ""Rev vs Mktg &amp; Mktg Mix!H"" &amp; ROW(H25))
"),146.19)</f>
        <v>146.19</v>
      </c>
      <c r="I89" s="38">
        <f ca="1">IFERROR(__xludf.DUMMYFUNCTION("IMPORTRANGE(""https://docs.google.com/spreadsheets/d/1bozxp9FwhaCNzy-RRGPVPfVYTttO4PUGDdaFvbz-Ue0/edit?gid=1870218791#gid=1870218791"", ""Rev vs Mktg &amp; Mktg Mix!I"" &amp; ROW(K25))
"),121.247)</f>
        <v>121.247</v>
      </c>
      <c r="J89" s="38">
        <f ca="1">IFERROR(__xludf.DUMMYFUNCTION("IMPORTRANGE(""https://docs.google.com/spreadsheets/d/1bozxp9FwhaCNzy-RRGPVPfVYTttO4PUGDdaFvbz-Ue0/edit?gid=1870218791#gid=1870218791"", ""Rev vs Mktg &amp; Mktg Mix!J"" &amp; ROW(J25))
"),103.609)</f>
        <v>103.60899999999999</v>
      </c>
      <c r="K89" s="30"/>
      <c r="L89" s="38">
        <f ca="1">IFERROR(__xludf.DUMMYFUNCTION("IMPORTRANGE(""https://docs.google.com/spreadsheets/d/1bozxp9FwhaCNzy-RRGPVPfVYTttO4PUGDdaFvbz-Ue0/edit?gid=1870218791#gid=1870218791"", ""Rev vs Mktg &amp; Mktg Mix!L"" &amp; ROW(N25))
"),131.0961532377)</f>
        <v>131.09615323770001</v>
      </c>
      <c r="M89" s="36"/>
      <c r="N89" s="37">
        <f ca="1">IFERROR(__xludf.DUMMYFUNCTION("IMPORTRANGE(""https://docs.google.com/spreadsheets/d/1bozxp9FwhaCNzy-RRGPVPfVYTttO4PUGDdaFvbz-Ue0/edit?gid=1870218791#gid=1870218791"", ""Rev vs Mktg &amp; Mktg Mix!N"" &amp; ROW(N25))
"),5.105)</f>
        <v>5.1050000000000004</v>
      </c>
      <c r="O89" s="39">
        <f ca="1">IFERROR(__xludf.DUMMYFUNCTION("IMPORTRANGE(""https://docs.google.com/spreadsheets/d/1bozxp9FwhaCNzy-RRGPVPfVYTttO4PUGDdaFvbz-Ue0/edit?gid=1870218791#gid=1870218791"", ""Rev vs Mktg &amp; Mktg Mix!O"" &amp; ROW(O25))
"),57.135)</f>
        <v>57.134999999999998</v>
      </c>
      <c r="P89" s="28"/>
      <c r="Q89" s="37"/>
      <c r="R89" s="31">
        <f>VLOOKUP(VALUE(LEFT(A89, 4)), 'Raw Annual Revenue'!A:R, 18, FALSE) / 4</f>
        <v>83272.25</v>
      </c>
      <c r="S89" s="30">
        <f>VLOOKUP(VALUE(LEFT(A92, 4)), 'Raw Annual Revenue'!A:S, 19, FALSE) / 4</f>
        <v>7096.25</v>
      </c>
      <c r="T89" s="28"/>
      <c r="U89" s="28"/>
      <c r="V89" s="28"/>
      <c r="W89" s="30">
        <f>VLOOKUP(VALUE(LEFT($A91, 4)), 'Raw Annual Revenue'!$A:W, 23, FALSE) / 4</f>
        <v>532422</v>
      </c>
      <c r="X89" s="31">
        <f>VLOOKUP(VALUE(LEFT(A89, 4)), 'Raw Annual Revenue'!A:X, 24, FALSE) / 4</f>
        <v>82990.800887499994</v>
      </c>
      <c r="Y89" s="31">
        <f>VLOOKUP(VALUE(LEFT($A89, 4)), 'Raw Annual Revenue'!$A:Y, 25, FALSE) / 4</f>
        <v>16488.25</v>
      </c>
      <c r="Z89" s="31">
        <f>VLOOKUP(VALUE(LEFT($A89, 4)), 'Raw Annual Revenue'!$A:Z, 26, FALSE) / 4</f>
        <v>308997.5</v>
      </c>
      <c r="AA89" s="31">
        <f>VLOOKUP(VALUE(LEFT($A89, 4)), 'Raw Annual Revenue'!$A:AA, 27, FALSE) / 4</f>
        <v>11662.5</v>
      </c>
      <c r="AB89" s="31">
        <f>VLOOKUP(VALUE(LEFT($A89, 4)), 'Raw Annual Revenue'!$A:AB, 28, FALSE) / 4</f>
        <v>46508.75</v>
      </c>
    </row>
    <row r="90" spans="1:28" ht="13">
      <c r="A90" s="27" t="s">
        <v>115</v>
      </c>
      <c r="B90" s="31">
        <f>VLOOKUP(VALUE(LEFT(A90, 4)), 'Raw Annual Revenue'!A:B, 2, FALSE) / 4</f>
        <v>912996.25</v>
      </c>
      <c r="C90" s="38">
        <f ca="1">IFERROR(__xludf.DUMMYFUNCTION("IMPORTRANGE(""https://docs.google.com/spreadsheets/d/1bozxp9FwhaCNzy-RRGPVPfVYTttO4PUGDdaFvbz-Ue0/edit?gid=1870218791#gid=1870218791"", ""Rev vs Mktg &amp; Mktg Mix!C"" &amp; ROW(B26))
"),3213)</f>
        <v>3213</v>
      </c>
      <c r="D90" s="38">
        <f ca="1">IFERROR(__xludf.DUMMYFUNCTION("IMPORTRANGE(""https://docs.google.com/spreadsheets/d/1bozxp9FwhaCNzy-RRGPVPfVYTttO4PUGDdaFvbz-Ue0/edit?gid=1870218791#gid=1870218791"", ""Rev vs Mktg &amp; Mktg Mix!D"" &amp; ROW(C26))
"),2559)</f>
        <v>2559</v>
      </c>
      <c r="E90" s="38">
        <f ca="1">IFERROR(__xludf.DUMMYFUNCTION("IMPORTRANGE(""https://docs.google.com/spreadsheets/d/1bozxp9FwhaCNzy-RRGPVPfVYTttO4PUGDdaFvbz-Ue0/edit?gid=1870218791#gid=1870218791"", ""Rev vs Mktg &amp; Mktg Mix!E"" &amp; ROW(E26))
"),1103)</f>
        <v>1103</v>
      </c>
      <c r="F90" s="38">
        <f ca="1">IFERROR(__xludf.DUMMYFUNCTION("IMPORTRANGE(""https://docs.google.com/spreadsheets/d/1bozxp9FwhaCNzy-RRGPVPfVYTttO4PUGDdaFvbz-Ue0/edit?gid=1870218791#gid=1870218791"", ""Rev vs Mktg &amp; Mktg Mix!F"" &amp; ROW(G26))
"),346)</f>
        <v>346</v>
      </c>
      <c r="G90" s="38">
        <f ca="1">IFERROR(__xludf.DUMMYFUNCTION("IMPORTRANGE(""https://docs.google.com/spreadsheets/d/1bozxp9FwhaCNzy-RRGPVPfVYTttO4PUGDdaFvbz-Ue0/edit?gid=1870218791#gid=1870218791"", ""Rev vs Mktg &amp; Mktg Mix!G"" &amp; ROW(I26))
"),166.778)</f>
        <v>166.77799999999999</v>
      </c>
      <c r="H90" s="38">
        <f ca="1">IFERROR(__xludf.DUMMYFUNCTION("IMPORTRANGE(""https://docs.google.com/spreadsheets/d/1bozxp9FwhaCNzy-RRGPVPfVYTttO4PUGDdaFvbz-Ue0/edit?gid=1870218791#gid=1870218791"", ""Rev vs Mktg &amp; Mktg Mix!H"" &amp; ROW(H26))
"),125.4)</f>
        <v>125.4</v>
      </c>
      <c r="I90" s="38">
        <f ca="1">IFERROR(__xludf.DUMMYFUNCTION("IMPORTRANGE(""https://docs.google.com/spreadsheets/d/1bozxp9FwhaCNzy-RRGPVPfVYTttO4PUGDdaFvbz-Ue0/edit?gid=1870218791#gid=1870218791"", ""Rev vs Mktg &amp; Mktg Mix!I"" &amp; ROW(K26))
"),132.515)</f>
        <v>132.51499999999999</v>
      </c>
      <c r="J90" s="38">
        <f ca="1">IFERROR(__xludf.DUMMYFUNCTION("IMPORTRANGE(""https://docs.google.com/spreadsheets/d/1bozxp9FwhaCNzy-RRGPVPfVYTttO4PUGDdaFvbz-Ue0/edit?gid=1870218791#gid=1870218791"", ""Rev vs Mktg &amp; Mktg Mix!J"" &amp; ROW(J26))
"),124.815)</f>
        <v>124.815</v>
      </c>
      <c r="K90" s="30"/>
      <c r="L90" s="38">
        <f ca="1">IFERROR(__xludf.DUMMYFUNCTION("IMPORTRANGE(""https://docs.google.com/spreadsheets/d/1bozxp9FwhaCNzy-RRGPVPfVYTttO4PUGDdaFvbz-Ue0/edit?gid=1870218791#gid=1870218791"", ""Rev vs Mktg &amp; Mktg Mix!L"" &amp; ROW(N26))
"),118.264680970799)</f>
        <v>118.26468097079901</v>
      </c>
      <c r="M90" s="28"/>
      <c r="N90" s="37">
        <f ca="1">IFERROR(__xludf.DUMMYFUNCTION("IMPORTRANGE(""https://docs.google.com/spreadsheets/d/1bozxp9FwhaCNzy-RRGPVPfVYTttO4PUGDdaFvbz-Ue0/edit?gid=1870218791#gid=1870218791"", ""Rev vs Mktg &amp; Mktg Mix!N"" &amp; ROW(N26))
"),5.52)</f>
        <v>5.52</v>
      </c>
      <c r="O90" s="37">
        <f ca="1">IFERROR(__xludf.DUMMYFUNCTION("IMPORTRANGE(""https://docs.google.com/spreadsheets/d/1bozxp9FwhaCNzy-RRGPVPfVYTttO4PUGDdaFvbz-Ue0/edit?gid=1870218791#gid=1870218791"", ""Rev vs Mktg &amp; Mktg Mix!O"" &amp; ROW(O26))
"),57.135)</f>
        <v>57.134999999999998</v>
      </c>
      <c r="P90" s="28"/>
      <c r="Q90" s="37"/>
      <c r="R90" s="31">
        <f>VLOOKUP(VALUE(LEFT(A90, 4)), 'Raw Annual Revenue'!A:R, 18, FALSE) / 4</f>
        <v>83272.25</v>
      </c>
      <c r="S90" s="30">
        <f>VLOOKUP(VALUE(LEFT(A93, 4)), 'Raw Annual Revenue'!A:S, 19, FALSE) / 4</f>
        <v>7096.25</v>
      </c>
      <c r="T90" s="28"/>
      <c r="U90" s="28"/>
      <c r="V90" s="28"/>
      <c r="W90" s="30">
        <f>VLOOKUP(VALUE(LEFT($A92, 4)), 'Raw Annual Revenue'!$A:W, 23, FALSE) / 4</f>
        <v>532422</v>
      </c>
      <c r="X90" s="31">
        <f>VLOOKUP(VALUE(LEFT(A90, 4)), 'Raw Annual Revenue'!A:X, 24, FALSE) / 4</f>
        <v>82990.800887499994</v>
      </c>
      <c r="Y90" s="31">
        <f>VLOOKUP(VALUE(LEFT($A90, 4)), 'Raw Annual Revenue'!$A:Y, 25, FALSE) / 4</f>
        <v>16488.25</v>
      </c>
      <c r="Z90" s="31">
        <f>VLOOKUP(VALUE(LEFT($A90, 4)), 'Raw Annual Revenue'!$A:Z, 26, FALSE) / 4</f>
        <v>308997.5</v>
      </c>
      <c r="AA90" s="31">
        <f>VLOOKUP(VALUE(LEFT($A90, 4)), 'Raw Annual Revenue'!$A:AA, 27, FALSE) / 4</f>
        <v>11662.5</v>
      </c>
      <c r="AB90" s="31">
        <f>VLOOKUP(VALUE(LEFT($A90, 4)), 'Raw Annual Revenue'!$A:AB, 28, FALSE) / 4</f>
        <v>46508.75</v>
      </c>
    </row>
    <row r="91" spans="1:28" ht="13">
      <c r="A91" s="27" t="s">
        <v>116</v>
      </c>
      <c r="B91" s="35">
        <f ca="1">IFERROR(__xludf.DUMMYFUNCTION("IMPORTRANGE(""https://docs.google.com/spreadsheets/d/1bozxp9FwhaCNzy-RRGPVPfVYTttO4PUGDdaFvbz-Ue0/edit?gid=1870218791#gid=1870218791"", ""Rev vs Mktg &amp; Mktg Mix!B"" &amp; ROW(A27))
"),839)</f>
        <v>839</v>
      </c>
      <c r="C91" s="38">
        <f ca="1">IFERROR(__xludf.DUMMYFUNCTION("IMPORTRANGE(""https://docs.google.com/spreadsheets/d/1bozxp9FwhaCNzy-RRGPVPfVYTttO4PUGDdaFvbz-Ue0/edit?gid=1870218791#gid=1870218791"", ""Rev vs Mktg &amp; Mktg Mix!C"" &amp; ROW(B27))
"),2837)</f>
        <v>2837</v>
      </c>
      <c r="D91" s="38">
        <f ca="1">IFERROR(__xludf.DUMMYFUNCTION("IMPORTRANGE(""https://docs.google.com/spreadsheets/d/1bozxp9FwhaCNzy-RRGPVPfVYTttO4PUGDdaFvbz-Ue0/edit?gid=1870218791#gid=1870218791"", ""Rev vs Mktg &amp; Mktg Mix!D"" &amp; ROW(C27))
"),2609)</f>
        <v>2609</v>
      </c>
      <c r="E91" s="38">
        <f ca="1">IFERROR(__xludf.DUMMYFUNCTION("IMPORTRANGE(""https://docs.google.com/spreadsheets/d/1bozxp9FwhaCNzy-RRGPVPfVYTttO4PUGDdaFvbz-Ue0/edit?gid=1870218791#gid=1870218791"", ""Rev vs Mktg &amp; Mktg Mix!E"" &amp; ROW(E27))
"),1218)</f>
        <v>1218</v>
      </c>
      <c r="F91" s="38">
        <f ca="1">IFERROR(__xludf.DUMMYFUNCTION("IMPORTRANGE(""https://docs.google.com/spreadsheets/d/1bozxp9FwhaCNzy-RRGPVPfVYTttO4PUGDdaFvbz-Ue0/edit?gid=1870218791#gid=1870218791"", ""Rev vs Mktg &amp; Mktg Mix!F"" &amp; ROW(G27))
"),376)</f>
        <v>376</v>
      </c>
      <c r="G91" s="38">
        <f ca="1">IFERROR(__xludf.DUMMYFUNCTION("IMPORTRANGE(""https://docs.google.com/spreadsheets/d/1bozxp9FwhaCNzy-RRGPVPfVYTttO4PUGDdaFvbz-Ue0/edit?gid=1870218791#gid=1870218791"", ""Rev vs Mktg &amp; Mktg Mix!G"" &amp; ROW(I27))
"),208.96)</f>
        <v>208.96</v>
      </c>
      <c r="H91" s="38">
        <f ca="1">IFERROR(__xludf.DUMMYFUNCTION("IMPORTRANGE(""https://docs.google.com/spreadsheets/d/1bozxp9FwhaCNzy-RRGPVPfVYTttO4PUGDdaFvbz-Ue0/edit?gid=1870218791#gid=1870218791"", ""Rev vs Mktg &amp; Mktg Mix!H"" &amp; ROW(H27))
"),166.54)</f>
        <v>166.54</v>
      </c>
      <c r="I91" s="38">
        <f ca="1">IFERROR(__xludf.DUMMYFUNCTION("IMPORTRANGE(""https://docs.google.com/spreadsheets/d/1bozxp9FwhaCNzy-RRGPVPfVYTttO4PUGDdaFvbz-Ue0/edit?gid=1870218791#gid=1870218791"", ""Rev vs Mktg &amp; Mktg Mix!I"" &amp; ROW(K27))
"),133.1)</f>
        <v>133.1</v>
      </c>
      <c r="J91" s="38">
        <f ca="1">IFERROR(__xludf.DUMMYFUNCTION("IMPORTRANGE(""https://docs.google.com/spreadsheets/d/1bozxp9FwhaCNzy-RRGPVPfVYTttO4PUGDdaFvbz-Ue0/edit?gid=1870218791#gid=1870218791"", ""Rev vs Mktg &amp; Mktg Mix!J"" &amp; ROW(J27))
"),120.177)</f>
        <v>120.17700000000001</v>
      </c>
      <c r="K91" s="30"/>
      <c r="L91" s="38">
        <f ca="1">IFERROR(__xludf.DUMMYFUNCTION("IMPORTRANGE(""https://docs.google.com/spreadsheets/d/1bozxp9FwhaCNzy-RRGPVPfVYTttO4PUGDdaFvbz-Ue0/edit?gid=1870218791#gid=1870218791"", ""Rev vs Mktg &amp; Mktg Mix!L"" &amp; ROW(N27))
"),80.6095416)</f>
        <v>80.6095416</v>
      </c>
      <c r="M91" s="37">
        <f ca="1">IFERROR(__xludf.DUMMYFUNCTION("IMPORTRANGE(""https://docs.google.com/spreadsheets/d/1bozxp9FwhaCNzy-RRGPVPfVYTttO4PUGDdaFvbz-Ue0/edit?gid=1870218791#gid=1870218791"", ""Rev vs Mktg &amp; Mktg Mix!M"" &amp; ROW(M27))
"),17.1780476308609)</f>
        <v>17.178047630860899</v>
      </c>
      <c r="N91" s="37">
        <f ca="1">IFERROR(__xludf.DUMMYFUNCTION("IMPORTRANGE(""https://docs.google.com/spreadsheets/d/1bozxp9FwhaCNzy-RRGPVPfVYTttO4PUGDdaFvbz-Ue0/edit?gid=1870218791#gid=1870218791"", ""Rev vs Mktg &amp; Mktg Mix!N"" &amp; ROW(N27))
"),6.081)</f>
        <v>6.0810000000000004</v>
      </c>
      <c r="O91" s="37">
        <f ca="1">IFERROR(__xludf.DUMMYFUNCTION("IMPORTRANGE(""https://docs.google.com/spreadsheets/d/1bozxp9FwhaCNzy-RRGPVPfVYTttO4PUGDdaFvbz-Ue0/edit?gid=1870218791#gid=1870218791"", ""Rev vs Mktg &amp; Mktg Mix!O"" &amp; ROW(O27))
"),62.2699999999999)</f>
        <v>62.269999999999897</v>
      </c>
      <c r="P91" s="28"/>
      <c r="Q91" s="37"/>
      <c r="R91" s="35">
        <f ca="1">IFERROR(__xludf.DUMMYFUNCTION("IMPORTRANGE(""https://docs.google.com/spreadsheets/d/1bozxp9FwhaCNzy-RRGPVPfVYTttO4PUGDdaFvbz-Ue0/edit?gid=1870218791#gid=1870218791"", ""Rev vs Mktg &amp; Mktg Mix!s"" &amp; ROW(S27))
"),94.45095)</f>
        <v>94.450950000000006</v>
      </c>
      <c r="S91" s="30">
        <f>VLOOKUP(VALUE(LEFT(A94, 4)), 'Raw Annual Revenue'!A:S, 19, FALSE) / 4</f>
        <v>7096.25</v>
      </c>
      <c r="T91" s="40" t="str">
        <f ca="1">IFERROR(__xludf.DUMMYFUNCTION("IMPORTRANGE(""https://docs.google.com/spreadsheets/d/1bozxp9FwhaCNzy-RRGPVPfVYTttO4PUGDdaFvbz-Ue0/edit?gid=1870218791#gid=1870218791"", ""Rev vs Mktg &amp; Mktg Mix!T"" &amp; ROW(Y27))
"),"")</f>
        <v/>
      </c>
      <c r="U91" s="28"/>
      <c r="V91" s="28"/>
      <c r="W91" s="30">
        <f>VLOOKUP(VALUE(LEFT($A93, 4)), 'Raw Annual Revenue'!$A:W, 23, FALSE) / 4</f>
        <v>532422</v>
      </c>
      <c r="X91" s="31">
        <f>VLOOKUP(VALUE(LEFT(A91, 4)), 'Raw Annual Revenue'!A:X, 24, FALSE) / 4</f>
        <v>102150.221425</v>
      </c>
      <c r="Y91" s="31">
        <f>VLOOKUP(VALUE(LEFT($A91, 4)), 'Raw Annual Revenue'!$A:Y, 25, FALSE) / 4</f>
        <v>24060.5</v>
      </c>
      <c r="Z91" s="31">
        <f>VLOOKUP(VALUE(LEFT($A91, 4)), 'Raw Annual Revenue'!$A:Z, 26, FALSE) / 4</f>
        <v>356927.5</v>
      </c>
      <c r="AA91" s="31">
        <f>VLOOKUP(VALUE(LEFT($A91, 4)), 'Raw Annual Revenue'!$A:AA, 27, FALSE) / 4</f>
        <v>10254.25</v>
      </c>
      <c r="AB91" s="31">
        <f>VLOOKUP(VALUE(LEFT($A91, 4)), 'Raw Annual Revenue'!$A:AB, 28, FALSE) / 4</f>
        <v>58839.25</v>
      </c>
    </row>
    <row r="92" spans="1:28" ht="13">
      <c r="A92" s="27" t="s">
        <v>117</v>
      </c>
      <c r="B92" s="38">
        <f ca="1">IFERROR(__xludf.DUMMYFUNCTION("IMPORTRANGE(""https://docs.google.com/spreadsheets/d/1bozxp9FwhaCNzy-RRGPVPfVYTttO4PUGDdaFvbz-Ue0/edit?gid=1870218791#gid=1870218791"", ""Rev vs Mktg &amp; Mktg Mix!B"" &amp; ROW(A28))
"),1214)</f>
        <v>1214</v>
      </c>
      <c r="C92" s="38">
        <f ca="1">IFERROR(__xludf.DUMMYFUNCTION("IMPORTRANGE(""https://docs.google.com/spreadsheets/d/1bozxp9FwhaCNzy-RRGPVPfVYTttO4PUGDdaFvbz-Ue0/edit?gid=1870218791#gid=1870218791"", ""Rev vs Mktg &amp; Mktg Mix!C"" &amp; ROW(B28))
"),3850)</f>
        <v>3850</v>
      </c>
      <c r="D92" s="38">
        <f ca="1">IFERROR(__xludf.DUMMYFUNCTION("IMPORTRANGE(""https://docs.google.com/spreadsheets/d/1bozxp9FwhaCNzy-RRGPVPfVYTttO4PUGDdaFvbz-Ue0/edit?gid=1870218791#gid=1870218791"", ""Rev vs Mktg &amp; Mktg Mix!D"" &amp; ROW(C28))
"),3153)</f>
        <v>3153</v>
      </c>
      <c r="E92" s="38">
        <f ca="1">IFERROR(__xludf.DUMMYFUNCTION("IMPORTRANGE(""https://docs.google.com/spreadsheets/d/1bozxp9FwhaCNzy-RRGPVPfVYTttO4PUGDdaFvbz-Ue0/edit?gid=1870218791#gid=1870218791"", ""Rev vs Mktg &amp; Mktg Mix!E"" &amp; ROW(E28))
"),1267)</f>
        <v>1267</v>
      </c>
      <c r="F92" s="38">
        <f ca="1">IFERROR(__xludf.DUMMYFUNCTION("IMPORTRANGE(""https://docs.google.com/spreadsheets/d/1bozxp9FwhaCNzy-RRGPVPfVYTttO4PUGDdaFvbz-Ue0/edit?gid=1870218791#gid=1870218791"", ""Rev vs Mktg &amp; Mktg Mix!F"" &amp; ROW(G28))
"),422)</f>
        <v>422</v>
      </c>
      <c r="G92" s="38">
        <f ca="1">IFERROR(__xludf.DUMMYFUNCTION("IMPORTRANGE(""https://docs.google.com/spreadsheets/d/1bozxp9FwhaCNzy-RRGPVPfVYTttO4PUGDdaFvbz-Ue0/edit?gid=1870218791#gid=1870218791"", ""Rev vs Mktg &amp; Mktg Mix!G"" &amp; ROW(I28))
"),223.7)</f>
        <v>223.7</v>
      </c>
      <c r="H92" s="38">
        <f ca="1">IFERROR(__xludf.DUMMYFUNCTION("IMPORTRANGE(""https://docs.google.com/spreadsheets/d/1bozxp9FwhaCNzy-RRGPVPfVYTttO4PUGDdaFvbz-Ue0/edit?gid=1870218791#gid=1870218791"", ""Rev vs Mktg &amp; Mktg Mix!H"" &amp; ROW(H28))
"),155.65)</f>
        <v>155.65</v>
      </c>
      <c r="I92" s="38">
        <f ca="1">IFERROR(__xludf.DUMMYFUNCTION("IMPORTRANGE(""https://docs.google.com/spreadsheets/d/1bozxp9FwhaCNzy-RRGPVPfVYTttO4PUGDdaFvbz-Ue0/edit?gid=1870218791#gid=1870218791"", ""Rev vs Mktg &amp; Mktg Mix!I"" &amp; ROW(K28))
"),114.1)</f>
        <v>114.1</v>
      </c>
      <c r="J92" s="38">
        <f ca="1">IFERROR(__xludf.DUMMYFUNCTION("IMPORTRANGE(""https://docs.google.com/spreadsheets/d/1bozxp9FwhaCNzy-RRGPVPfVYTttO4PUGDdaFvbz-Ue0/edit?gid=1870218791#gid=1870218791"", ""Rev vs Mktg &amp; Mktg Mix!J"" &amp; ROW(J28))
"),141.737)</f>
        <v>141.73699999999999</v>
      </c>
      <c r="K92" s="30"/>
      <c r="L92" s="38">
        <f ca="1">IFERROR(__xludf.DUMMYFUNCTION("IMPORTRANGE(""https://docs.google.com/spreadsheets/d/1bozxp9FwhaCNzy-RRGPVPfVYTttO4PUGDdaFvbz-Ue0/edit?gid=1870218791#gid=1870218791"", ""Rev vs Mktg &amp; Mktg Mix!L"" &amp; ROW(N28))
"),91.0117731831)</f>
        <v>91.011773183100004</v>
      </c>
      <c r="M92" s="37">
        <f ca="1">IFERROR(__xludf.DUMMYFUNCTION("IMPORTRANGE(""https://docs.google.com/spreadsheets/d/1bozxp9FwhaCNzy-RRGPVPfVYTttO4PUGDdaFvbz-Ue0/edit?gid=1870218791#gid=1870218791"", ""Rev vs Mktg &amp; Mktg Mix!M"" &amp; ROW(M28))
"),58.249721916057)</f>
        <v>58.249721916056998</v>
      </c>
      <c r="N92" s="37">
        <f ca="1">IFERROR(__xludf.DUMMYFUNCTION("IMPORTRANGE(""https://docs.google.com/spreadsheets/d/1bozxp9FwhaCNzy-RRGPVPfVYTttO4PUGDdaFvbz-Ue0/edit?gid=1870218791#gid=1870218791"", ""Rev vs Mktg &amp; Mktg Mix!N"" &amp; ROW(N28))
"),7.423)</f>
        <v>7.423</v>
      </c>
      <c r="O92" s="37">
        <f ca="1">IFERROR(__xludf.DUMMYFUNCTION("IMPORTRANGE(""https://docs.google.com/spreadsheets/d/1bozxp9FwhaCNzy-RRGPVPfVYTttO4PUGDdaFvbz-Ue0/edit?gid=1870218791#gid=1870218791"", ""Rev vs Mktg &amp; Mktg Mix!O"" &amp; ROW(O28))
"),62.2699999999999)</f>
        <v>62.269999999999897</v>
      </c>
      <c r="P92" s="28"/>
      <c r="Q92" s="37"/>
      <c r="R92" s="35">
        <f ca="1">IFERROR(__xludf.DUMMYFUNCTION("IMPORTRANGE(""https://docs.google.com/spreadsheets/d/1bozxp9FwhaCNzy-RRGPVPfVYTttO4PUGDdaFvbz-Ue0/edit?gid=1870218791#gid=1870218791"", ""Rev vs Mktg &amp; Mktg Mix!s"" &amp; ROW(S28))
"),94.45095)</f>
        <v>94.450950000000006</v>
      </c>
      <c r="S92" s="30">
        <f>VLOOKUP(VALUE(LEFT(A95, 4)), 'Raw Annual Revenue'!A:S, 19, FALSE) / 4</f>
        <v>5648.75</v>
      </c>
      <c r="T92" s="36" t="str">
        <f ca="1">IFERROR(__xludf.DUMMYFUNCTION("IMPORTRANGE(""https://docs.google.com/spreadsheets/d/1bozxp9FwhaCNzy-RRGPVPfVYTttO4PUGDdaFvbz-Ue0/edit?gid=1870218791#gid=1870218791"", ""Rev vs Mktg &amp; Mktg Mix!T"" &amp; ROW(Y28))
"),"")</f>
        <v/>
      </c>
      <c r="U92" s="28"/>
      <c r="V92" s="28"/>
      <c r="W92" s="30">
        <f>VLOOKUP(VALUE(LEFT($A94, 4)), 'Raw Annual Revenue'!$A:W, 23, FALSE) / 4</f>
        <v>532422</v>
      </c>
      <c r="X92" s="31">
        <f>VLOOKUP(VALUE(LEFT(A92, 4)), 'Raw Annual Revenue'!A:X, 24, FALSE) / 4</f>
        <v>102150.221425</v>
      </c>
      <c r="Y92" s="31">
        <f>VLOOKUP(VALUE(LEFT($A92, 4)), 'Raw Annual Revenue'!$A:Y, 25, FALSE) / 4</f>
        <v>24060.5</v>
      </c>
      <c r="Z92" s="31">
        <f>VLOOKUP(VALUE(LEFT($A92, 4)), 'Raw Annual Revenue'!$A:Z, 26, FALSE) / 4</f>
        <v>356927.5</v>
      </c>
      <c r="AA92" s="31">
        <f>VLOOKUP(VALUE(LEFT($A92, 4)), 'Raw Annual Revenue'!$A:AA, 27, FALSE) / 4</f>
        <v>10254.25</v>
      </c>
      <c r="AB92" s="31">
        <f>VLOOKUP(VALUE(LEFT($A92, 4)), 'Raw Annual Revenue'!$A:AB, 28, FALSE) / 4</f>
        <v>58839.25</v>
      </c>
    </row>
    <row r="93" spans="1:28" ht="13">
      <c r="A93" s="27" t="s">
        <v>118</v>
      </c>
      <c r="B93" s="38">
        <f ca="1">IFERROR(__xludf.DUMMYFUNCTION("IMPORTRANGE(""https://docs.google.com/spreadsheets/d/1bozxp9FwhaCNzy-RRGPVPfVYTttO4PUGDdaFvbz-Ue0/edit?gid=1870218791#gid=1870218791"", ""Rev vs Mktg &amp; Mktg Mix!B"" &amp; ROW(A29))
"),1646)</f>
        <v>1646</v>
      </c>
      <c r="C93" s="38">
        <f ca="1">IFERROR(__xludf.DUMMYFUNCTION("IMPORTRANGE(""https://docs.google.com/spreadsheets/d/1bozxp9FwhaCNzy-RRGPVPfVYTttO4PUGDdaFvbz-Ue0/edit?gid=1870218791#gid=1870218791"", ""Rev vs Mktg &amp; Mktg Mix!C"" &amp; ROW(B29))
"),5040)</f>
        <v>5040</v>
      </c>
      <c r="D93" s="38">
        <f ca="1">IFERROR(__xludf.DUMMYFUNCTION("IMPORTRANGE(""https://docs.google.com/spreadsheets/d/1bozxp9FwhaCNzy-RRGPVPfVYTttO4PUGDdaFvbz-Ue0/edit?gid=1870218791#gid=1870218791"", ""Rev vs Mktg &amp; Mktg Mix!D"" &amp; ROW(C29))
"),3558)</f>
        <v>3558</v>
      </c>
      <c r="E93" s="38">
        <f ca="1">IFERROR(__xludf.DUMMYFUNCTION("IMPORTRANGE(""https://docs.google.com/spreadsheets/d/1bozxp9FwhaCNzy-RRGPVPfVYTttO4PUGDdaFvbz-Ue0/edit?gid=1870218791#gid=1870218791"", ""Rev vs Mktg &amp; Mktg Mix!E"" &amp; ROW(E29))
"),1469)</f>
        <v>1469</v>
      </c>
      <c r="F93" s="38">
        <f ca="1">IFERROR(__xludf.DUMMYFUNCTION("IMPORTRANGE(""https://docs.google.com/spreadsheets/d/1bozxp9FwhaCNzy-RRGPVPfVYTttO4PUGDdaFvbz-Ue0/edit?gid=1870218791#gid=1870218791"", ""Rev vs Mktg &amp; Mktg Mix!F"" &amp; ROW(G29))
"),428)</f>
        <v>428</v>
      </c>
      <c r="G93" s="38">
        <f ca="1">IFERROR(__xludf.DUMMYFUNCTION("IMPORTRANGE(""https://docs.google.com/spreadsheets/d/1bozxp9FwhaCNzy-RRGPVPfVYTttO4PUGDdaFvbz-Ue0/edit?gid=1870218791#gid=1870218791"", ""Rev vs Mktg &amp; Mktg Mix!G"" &amp; ROW(I29))
"),250.5)</f>
        <v>250.5</v>
      </c>
      <c r="H93" s="38">
        <f ca="1">IFERROR(__xludf.DUMMYFUNCTION("IMPORTRANGE(""https://docs.google.com/spreadsheets/d/1bozxp9FwhaCNzy-RRGPVPfVYTttO4PUGDdaFvbz-Ue0/edit?gid=1870218791#gid=1870218791"", ""Rev vs Mktg &amp; Mktg Mix!H"" &amp; ROW(H29))
"),153.67)</f>
        <v>153.66999999999999</v>
      </c>
      <c r="I93" s="38">
        <f ca="1">IFERROR(__xludf.DUMMYFUNCTION("IMPORTRANGE(""https://docs.google.com/spreadsheets/d/1bozxp9FwhaCNzy-RRGPVPfVYTttO4PUGDdaFvbz-Ue0/edit?gid=1870218791#gid=1870218791"", ""Rev vs Mktg &amp; Mktg Mix!I"" &amp; ROW(K29))
"),132)</f>
        <v>132</v>
      </c>
      <c r="J93" s="38">
        <f ca="1">IFERROR(__xludf.DUMMYFUNCTION("IMPORTRANGE(""https://docs.google.com/spreadsheets/d/1bozxp9FwhaCNzy-RRGPVPfVYTttO4PUGDdaFvbz-Ue0/edit?gid=1870218791#gid=1870218791"", ""Rev vs Mktg &amp; Mktg Mix!J"" &amp; ROW(J29))
"),117.957)</f>
        <v>117.95699999999999</v>
      </c>
      <c r="K93" s="30"/>
      <c r="L93" s="38">
        <f ca="1">IFERROR(__xludf.DUMMYFUNCTION("IMPORTRANGE(""https://docs.google.com/spreadsheets/d/1bozxp9FwhaCNzy-RRGPVPfVYTttO4PUGDdaFvbz-Ue0/edit?gid=1870218791#gid=1870218791"", ""Rev vs Mktg &amp; Mktg Mix!L"" &amp; ROW(N29))
"),93.142308)</f>
        <v>93.142308</v>
      </c>
      <c r="M93" s="37">
        <f ca="1">IFERROR(__xludf.DUMMYFUNCTION("IMPORTRANGE(""https://docs.google.com/spreadsheets/d/1bozxp9FwhaCNzy-RRGPVPfVYTttO4PUGDdaFvbz-Ue0/edit?gid=1870218791#gid=1870218791"", ""Rev vs Mktg &amp; Mktg Mix!M"" &amp; ROW(M29))
"),64.9364787119626)</f>
        <v>64.936478711962593</v>
      </c>
      <c r="N93" s="37">
        <f ca="1">IFERROR(__xludf.DUMMYFUNCTION("IMPORTRANGE(""https://docs.google.com/spreadsheets/d/1bozxp9FwhaCNzy-RRGPVPfVYTttO4PUGDdaFvbz-Ue0/edit?gid=1870218791#gid=1870218791"", ""Rev vs Mktg &amp; Mktg Mix!N"" &amp; ROW(N29))
"),8.043)</f>
        <v>8.0429999999999993</v>
      </c>
      <c r="O93" s="37">
        <f ca="1">IFERROR(__xludf.DUMMYFUNCTION("IMPORTRANGE(""https://docs.google.com/spreadsheets/d/1bozxp9FwhaCNzy-RRGPVPfVYTttO4PUGDdaFvbz-Ue0/edit?gid=1870218791#gid=1870218791"", ""Rev vs Mktg &amp; Mktg Mix!O"" &amp; ROW(O29))
"),70.9149999999999)</f>
        <v>70.914999999999907</v>
      </c>
      <c r="P93" s="28"/>
      <c r="Q93" s="37"/>
      <c r="R93" s="35">
        <f ca="1">IFERROR(__xludf.DUMMYFUNCTION("IMPORTRANGE(""https://docs.google.com/spreadsheets/d/1bozxp9FwhaCNzy-RRGPVPfVYTttO4PUGDdaFvbz-Ue0/edit?gid=1870218791#gid=1870218791"", ""Rev vs Mktg &amp; Mktg Mix!s"" &amp; ROW(S29))
"),97.5238)</f>
        <v>97.523799999999994</v>
      </c>
      <c r="S93" s="30">
        <f>VLOOKUP(VALUE(LEFT(A96, 4)), 'Raw Annual Revenue'!A:S, 19, FALSE) / 4</f>
        <v>5648.75</v>
      </c>
      <c r="T93" s="36" t="str">
        <f ca="1">IFERROR(__xludf.DUMMYFUNCTION("IMPORTRANGE(""https://docs.google.com/spreadsheets/d/1bozxp9FwhaCNzy-RRGPVPfVYTttO4PUGDdaFvbz-Ue0/edit?gid=1870218791#gid=1870218791"", ""Rev vs Mktg &amp; Mktg Mix!T"" &amp; ROW(Y29))
"),"")</f>
        <v/>
      </c>
      <c r="U93" s="28"/>
      <c r="V93" s="28"/>
      <c r="W93" s="30">
        <f>VLOOKUP(VALUE(LEFT($A95, 4)), 'Raw Annual Revenue'!$A:W, 23, FALSE) / 4</f>
        <v>350714.75</v>
      </c>
      <c r="X93" s="31">
        <f>VLOOKUP(VALUE(LEFT(A93, 4)), 'Raw Annual Revenue'!A:X, 24, FALSE) / 4</f>
        <v>102150.221425</v>
      </c>
      <c r="Y93" s="31">
        <f>VLOOKUP(VALUE(LEFT($A93, 4)), 'Raw Annual Revenue'!$A:Y, 25, FALSE) / 4</f>
        <v>24060.5</v>
      </c>
      <c r="Z93" s="31">
        <f>VLOOKUP(VALUE(LEFT($A93, 4)), 'Raw Annual Revenue'!$A:Z, 26, FALSE) / 4</f>
        <v>356927.5</v>
      </c>
      <c r="AA93" s="31">
        <f>VLOOKUP(VALUE(LEFT($A93, 4)), 'Raw Annual Revenue'!$A:AA, 27, FALSE) / 4</f>
        <v>10254.25</v>
      </c>
      <c r="AB93" s="31">
        <f>VLOOKUP(VALUE(LEFT($A93, 4)), 'Raw Annual Revenue'!$A:AB, 28, FALSE) / 4</f>
        <v>58839.25</v>
      </c>
    </row>
    <row r="94" spans="1:28" ht="13">
      <c r="A94" s="27" t="s">
        <v>119</v>
      </c>
      <c r="B94" s="38">
        <f ca="1">IFERROR(__xludf.DUMMYFUNCTION("IMPORTRANGE(""https://docs.google.com/spreadsheets/d/1bozxp9FwhaCNzy-RRGPVPfVYTttO4PUGDdaFvbz-Ue0/edit?gid=1870218791#gid=1870218791"", ""Rev vs Mktg &amp; Mktg Mix!B"" &amp; ROW(A30))
"),1107)</f>
        <v>1107</v>
      </c>
      <c r="C94" s="38">
        <f ca="1">IFERROR(__xludf.DUMMYFUNCTION("IMPORTRANGE(""https://docs.google.com/spreadsheets/d/1bozxp9FwhaCNzy-RRGPVPfVYTttO4PUGDdaFvbz-Ue0/edit?gid=1870218791#gid=1870218791"", ""Rev vs Mktg &amp; Mktg Mix!C"" &amp; ROW(B30))
"),3339)</f>
        <v>3339</v>
      </c>
      <c r="D94" s="38">
        <f ca="1">IFERROR(__xludf.DUMMYFUNCTION("IMPORTRANGE(""https://docs.google.com/spreadsheets/d/1bozxp9FwhaCNzy-RRGPVPfVYTttO4PUGDdaFvbz-Ue0/edit?gid=1870218791#gid=1870218791"", ""Rev vs Mktg &amp; Mktg Mix!D"" &amp; ROW(C30))
"),2747)</f>
        <v>2747</v>
      </c>
      <c r="E94" s="38">
        <f ca="1">IFERROR(__xludf.DUMMYFUNCTION("IMPORTRANGE(""https://docs.google.com/spreadsheets/d/1bozxp9FwhaCNzy-RRGPVPfVYTttO4PUGDdaFvbz-Ue0/edit?gid=1870218791#gid=1870218791"", ""Rev vs Mktg &amp; Mktg Mix!E"" &amp; ROW(E30))
"),1150)</f>
        <v>1150</v>
      </c>
      <c r="F94" s="38">
        <f ca="1">IFERROR(__xludf.DUMMYFUNCTION("IMPORTRANGE(""https://docs.google.com/spreadsheets/d/1bozxp9FwhaCNzy-RRGPVPfVYTttO4PUGDdaFvbz-Ue0/edit?gid=1870218791#gid=1870218791"", ""Rev vs Mktg &amp; Mktg Mix!F"" &amp; ROW(G30))
"),335)</f>
        <v>335</v>
      </c>
      <c r="G94" s="38">
        <f ca="1">IFERROR(__xludf.DUMMYFUNCTION("IMPORTRANGE(""https://docs.google.com/spreadsheets/d/1bozxp9FwhaCNzy-RRGPVPfVYTttO4PUGDdaFvbz-Ue0/edit?gid=1870218791#gid=1870218791"", ""Rev vs Mktg &amp; Mktg Mix!G"" &amp; ROW(I30))
"),155.5)</f>
        <v>155.5</v>
      </c>
      <c r="H94" s="38">
        <f ca="1">IFERROR(__xludf.DUMMYFUNCTION("IMPORTRANGE(""https://docs.google.com/spreadsheets/d/1bozxp9FwhaCNzy-RRGPVPfVYTttO4PUGDdaFvbz-Ue0/edit?gid=1870218791#gid=1870218791"", ""Rev vs Mktg &amp; Mktg Mix!H"" &amp; ROW(H30))
"),144.87)</f>
        <v>144.87</v>
      </c>
      <c r="I94" s="38">
        <f ca="1">IFERROR(__xludf.DUMMYFUNCTION("IMPORTRANGE(""https://docs.google.com/spreadsheets/d/1bozxp9FwhaCNzy-RRGPVPfVYTttO4PUGDdaFvbz-Ue0/edit?gid=1870218791#gid=1870218791"", ""Rev vs Mktg &amp; Mktg Mix!I"" &amp; ROW(K30))
"),145.6)</f>
        <v>145.6</v>
      </c>
      <c r="J94" s="38">
        <f ca="1">IFERROR(__xludf.DUMMYFUNCTION("IMPORTRANGE(""https://docs.google.com/spreadsheets/d/1bozxp9FwhaCNzy-RRGPVPfVYTttO4PUGDdaFvbz-Ue0/edit?gid=1870218791#gid=1870218791"", ""Rev vs Mktg &amp; Mktg Mix!J"" &amp; ROW(J30))
"),146.889)</f>
        <v>146.88900000000001</v>
      </c>
      <c r="K94" s="30"/>
      <c r="L94" s="38">
        <f ca="1">IFERROR(__xludf.DUMMYFUNCTION("IMPORTRANGE(""https://docs.google.com/spreadsheets/d/1bozxp9FwhaCNzy-RRGPVPfVYTttO4PUGDdaFvbz-Ue0/edit?gid=1870218791#gid=1870218791"", ""Rev vs Mktg &amp; Mktg Mix!L"" &amp; ROW(N30))
"),74.7462773169)</f>
        <v>74.746277316900006</v>
      </c>
      <c r="M94" s="37">
        <f ca="1">IFERROR(__xludf.DUMMYFUNCTION("IMPORTRANGE(""https://docs.google.com/spreadsheets/d/1bozxp9FwhaCNzy-RRGPVPfVYTttO4PUGDdaFvbz-Ue0/edit?gid=1870218791#gid=1870218791"", ""Rev vs Mktg &amp; Mktg Mix!M"" &amp; ROW(M30))
"),60.5266778939731)</f>
        <v>60.526677893973101</v>
      </c>
      <c r="N94" s="37">
        <f ca="1">IFERROR(__xludf.DUMMYFUNCTION("IMPORTRANGE(""https://docs.google.com/spreadsheets/d/1bozxp9FwhaCNzy-RRGPVPfVYTttO4PUGDdaFvbz-Ue0/edit?gid=1870218791#gid=1870218791"", ""Rev vs Mktg &amp; Mktg Mix!N"" &amp; ROW(N30))
"),7.562)</f>
        <v>7.5620000000000003</v>
      </c>
      <c r="O94" s="37">
        <f ca="1">IFERROR(__xludf.DUMMYFUNCTION("IMPORTRANGE(""https://docs.google.com/spreadsheets/d/1bozxp9FwhaCNzy-RRGPVPfVYTttO4PUGDdaFvbz-Ue0/edit?gid=1870218791#gid=1870218791"", ""Rev vs Mktg &amp; Mktg Mix!O"" &amp; ROW(O30))
"),70.9149999999999)</f>
        <v>70.914999999999907</v>
      </c>
      <c r="P94" s="28"/>
      <c r="Q94" s="37"/>
      <c r="R94" s="35">
        <f ca="1">IFERROR(__xludf.DUMMYFUNCTION("IMPORTRANGE(""https://docs.google.com/spreadsheets/d/1bozxp9FwhaCNzy-RRGPVPfVYTttO4PUGDdaFvbz-Ue0/edit?gid=1870218791#gid=1870218791"", ""Rev vs Mktg &amp; Mktg Mix!s"" &amp; ROW(S30))
"),97.5238)</f>
        <v>97.523799999999994</v>
      </c>
      <c r="S94" s="30">
        <f>VLOOKUP(VALUE(LEFT(A97, 4)), 'Raw Annual Revenue'!A:S, 19, FALSE) / 4</f>
        <v>5648.75</v>
      </c>
      <c r="T94" s="36" t="str">
        <f ca="1">IFERROR(__xludf.DUMMYFUNCTION("IMPORTRANGE(""https://docs.google.com/spreadsheets/d/1bozxp9FwhaCNzy-RRGPVPfVYTttO4PUGDdaFvbz-Ue0/edit?gid=1870218791#gid=1870218791"", ""Rev vs Mktg &amp; Mktg Mix!T"" &amp; ROW(Y30))
"),"")</f>
        <v/>
      </c>
      <c r="U94" s="28"/>
      <c r="V94" s="28"/>
      <c r="W94" s="30">
        <f>VLOOKUP(VALUE(LEFT($A96, 4)), 'Raw Annual Revenue'!$A:W, 23, FALSE) / 4</f>
        <v>350714.75</v>
      </c>
      <c r="X94" s="31">
        <f>VLOOKUP(VALUE(LEFT(A94, 4)), 'Raw Annual Revenue'!A:X, 24, FALSE) / 4</f>
        <v>102150.221425</v>
      </c>
      <c r="Y94" s="31">
        <f>VLOOKUP(VALUE(LEFT($A94, 4)), 'Raw Annual Revenue'!$A:Y, 25, FALSE) / 4</f>
        <v>24060.5</v>
      </c>
      <c r="Z94" s="31">
        <f>VLOOKUP(VALUE(LEFT($A94, 4)), 'Raw Annual Revenue'!$A:Z, 26, FALSE) / 4</f>
        <v>356927.5</v>
      </c>
      <c r="AA94" s="31">
        <f>VLOOKUP(VALUE(LEFT($A94, 4)), 'Raw Annual Revenue'!$A:AA, 27, FALSE) / 4</f>
        <v>10254.25</v>
      </c>
      <c r="AB94" s="31">
        <f>VLOOKUP(VALUE(LEFT($A94, 4)), 'Raw Annual Revenue'!$A:AB, 28, FALSE) / 4</f>
        <v>58839.25</v>
      </c>
    </row>
    <row r="95" spans="1:28" ht="13">
      <c r="A95" s="27" t="s">
        <v>120</v>
      </c>
      <c r="B95" s="38">
        <f ca="1">IFERROR(__xludf.DUMMYFUNCTION("IMPORTRANGE(""https://docs.google.com/spreadsheets/d/1bozxp9FwhaCNzy-RRGPVPfVYTttO4PUGDdaFvbz-Ue0/edit?gid=1870218791#gid=1870218791"", ""Rev vs Mktg &amp; Mktg Mix!B"" &amp; ROW(A31))
"),841.83)</f>
        <v>841.83</v>
      </c>
      <c r="C95" s="38">
        <f ca="1">IFERROR(__xludf.DUMMYFUNCTION("IMPORTRANGE(""https://docs.google.com/spreadsheets/d/1bozxp9FwhaCNzy-RRGPVPfVYTttO4PUGDdaFvbz-Ue0/edit?gid=1870218791#gid=1870218791"", ""Rev vs Mktg &amp; Mktg Mix!C"" &amp; ROW(B31))
"),2288)</f>
        <v>2288</v>
      </c>
      <c r="D95" s="38">
        <f ca="1">IFERROR(__xludf.DUMMYFUNCTION("IMPORTRANGE(""https://docs.google.com/spreadsheets/d/1bozxp9FwhaCNzy-RRGPVPfVYTttO4PUGDdaFvbz-Ue0/edit?gid=1870218791#gid=1870218791"", ""Rev vs Mktg &amp; Mktg Mix!D"" &amp; ROW(C31))
"),2209)</f>
        <v>2209</v>
      </c>
      <c r="E95" s="38">
        <f ca="1">IFERROR(__xludf.DUMMYFUNCTION("IMPORTRANGE(""https://docs.google.com/spreadsheets/d/1bozxp9FwhaCNzy-RRGPVPfVYTttO4PUGDdaFvbz-Ue0/edit?gid=1870218791#gid=1870218791"", ""Rev vs Mktg &amp; Mktg Mix!E"" &amp; ROW(E31))
"),669)</f>
        <v>669</v>
      </c>
      <c r="F95" s="38">
        <f ca="1">IFERROR(__xludf.DUMMYFUNCTION("IMPORTRANGE(""https://docs.google.com/spreadsheets/d/1bozxp9FwhaCNzy-RRGPVPfVYTttO4PUGDdaFvbz-Ue0/edit?gid=1870218791#gid=1870218791"", ""Rev vs Mktg &amp; Mktg Mix!F"" &amp; ROW(G31))
"),278)</f>
        <v>278</v>
      </c>
      <c r="G95" s="38">
        <f ca="1">IFERROR(__xludf.DUMMYFUNCTION("IMPORTRANGE(""https://docs.google.com/spreadsheets/d/1bozxp9FwhaCNzy-RRGPVPfVYTttO4PUGDdaFvbz-Ue0/edit?gid=1870218791#gid=1870218791"", ""Rev vs Mktg &amp; Mktg Mix!G"" &amp; ROW(I31))
"),139.8)</f>
        <v>139.80000000000001</v>
      </c>
      <c r="H95" s="38">
        <f ca="1">IFERROR(__xludf.DUMMYFUNCTION("IMPORTRANGE(""https://docs.google.com/spreadsheets/d/1bozxp9FwhaCNzy-RRGPVPfVYTttO4PUGDdaFvbz-Ue0/edit?gid=1870218791#gid=1870218791"", ""Rev vs Mktg &amp; Mktg Mix!H"" &amp; ROW(H31))
"),127.27)</f>
        <v>127.27</v>
      </c>
      <c r="I95" s="38">
        <f ca="1">IFERROR(__xludf.DUMMYFUNCTION("IMPORTRANGE(""https://docs.google.com/spreadsheets/d/1bozxp9FwhaCNzy-RRGPVPfVYTttO4PUGDdaFvbz-Ue0/edit?gid=1870218791#gid=1870218791"", ""Rev vs Mktg &amp; Mktg Mix!I"" &amp; ROW(K31))
"),76.1)</f>
        <v>76.099999999999994</v>
      </c>
      <c r="J95" s="38">
        <f ca="1">IFERROR(__xludf.DUMMYFUNCTION("IMPORTRANGE(""https://docs.google.com/spreadsheets/d/1bozxp9FwhaCNzy-RRGPVPfVYTttO4PUGDdaFvbz-Ue0/edit?gid=1870218791#gid=1870218791"", ""Rev vs Mktg &amp; Mktg Mix!J"" &amp; ROW(J31))
"),104.946)</f>
        <v>104.946</v>
      </c>
      <c r="K95" s="30"/>
      <c r="L95" s="38">
        <f ca="1">IFERROR(__xludf.DUMMYFUNCTION("IMPORTRANGE(""https://docs.google.com/spreadsheets/d/1bozxp9FwhaCNzy-RRGPVPfVYTttO4PUGDdaFvbz-Ue0/edit?gid=1870218791#gid=1870218791"", ""Rev vs Mktg &amp; Mktg Mix!L"" &amp; ROW(N31))
"),49.3937697162)</f>
        <v>49.393769716199998</v>
      </c>
      <c r="M95" s="37">
        <f ca="1">IFERROR(__xludf.DUMMYFUNCTION("IMPORTRANGE(""https://docs.google.com/spreadsheets/d/1bozxp9FwhaCNzy-RRGPVPfVYTttO4PUGDdaFvbz-Ue0/edit?gid=1870218791#gid=1870218791"", ""Rev vs Mktg &amp; Mktg Mix!M"" &amp; ROW(M31))
"),34.0678729860363)</f>
        <v>34.067872986036299</v>
      </c>
      <c r="N95" s="37">
        <f ca="1">IFERROR(__xludf.DUMMYFUNCTION("IMPORTRANGE(""https://docs.google.com/spreadsheets/d/1bozxp9FwhaCNzy-RRGPVPfVYTttO4PUGDdaFvbz-Ue0/edit?gid=1870218791#gid=1870218791"", ""Rev vs Mktg &amp; Mktg Mix!N"" &amp; ROW(N31))
"),5.335)</f>
        <v>5.335</v>
      </c>
      <c r="O95" s="37">
        <f ca="1">IFERROR(__xludf.DUMMYFUNCTION("IMPORTRANGE(""https://docs.google.com/spreadsheets/d/1bozxp9FwhaCNzy-RRGPVPfVYTttO4PUGDdaFvbz-Ue0/edit?gid=1870218791#gid=1870218791"", ""Rev vs Mktg &amp; Mktg Mix!O"" &amp; ROW(O31))
"),15.8274999999999)</f>
        <v>15.827499999999899</v>
      </c>
      <c r="P95" s="28"/>
      <c r="Q95" s="37"/>
      <c r="R95" s="35">
        <f ca="1">IFERROR(__xludf.DUMMYFUNCTION("IMPORTRANGE(""https://docs.google.com/spreadsheets/d/1bozxp9FwhaCNzy-RRGPVPfVYTttO4PUGDdaFvbz-Ue0/edit?gid=1870218791#gid=1870218791"", ""Rev vs Mktg &amp; Mktg Mix!s"" &amp; ROW(S31))
"),37.07385)</f>
        <v>37.07385</v>
      </c>
      <c r="S95" s="30">
        <f>VLOOKUP(VALUE(LEFT(A98, 4)), 'Raw Annual Revenue'!A:S, 19, FALSE) / 4</f>
        <v>5648.75</v>
      </c>
      <c r="T95" s="36" t="str">
        <f ca="1">IFERROR(__xludf.DUMMYFUNCTION("IMPORTRANGE(""https://docs.google.com/spreadsheets/d/1bozxp9FwhaCNzy-RRGPVPfVYTttO4PUGDdaFvbz-Ue0/edit?gid=1870218791#gid=1870218791"", ""Rev vs Mktg &amp; Mktg Mix!T"" &amp; ROW(Y31))
"),"")</f>
        <v/>
      </c>
      <c r="U95" s="28"/>
      <c r="V95" s="28"/>
      <c r="W95" s="30">
        <f>VLOOKUP(VALUE(LEFT($A97, 4)), 'Raw Annual Revenue'!$A:W, 23, FALSE) / 4</f>
        <v>350714.75</v>
      </c>
      <c r="X95" s="31">
        <f>VLOOKUP(VALUE(LEFT(A95, 4)), 'Raw Annual Revenue'!A:X, 24, FALSE) / 4</f>
        <v>34439.745999999999</v>
      </c>
      <c r="Y95" s="31">
        <f>VLOOKUP(VALUE(LEFT($A95, 4)), 'Raw Annual Revenue'!$A:Y, 25, FALSE) / 4</f>
        <v>9721</v>
      </c>
      <c r="Z95" s="31">
        <f>VLOOKUP(VALUE(LEFT($A95, 4)), 'Raw Annual Revenue'!$A:Z, 26, FALSE) / 4</f>
        <v>137360.25</v>
      </c>
      <c r="AA95" s="31">
        <f>VLOOKUP(VALUE(LEFT($A95, 4)), 'Raw Annual Revenue'!$A:AA, 27, FALSE) / 4</f>
        <v>3658.75</v>
      </c>
      <c r="AB95" s="31">
        <f>VLOOKUP(VALUE(LEFT($A95, 4)), 'Raw Annual Revenue'!$A:AB, 28, FALSE) / 4</f>
        <v>37002.75</v>
      </c>
    </row>
    <row r="96" spans="1:28" ht="13">
      <c r="A96" s="27" t="s">
        <v>121</v>
      </c>
      <c r="B96" s="38">
        <f ca="1">IFERROR(__xludf.DUMMYFUNCTION("IMPORTRANGE(""https://docs.google.com/spreadsheets/d/1bozxp9FwhaCNzy-RRGPVPfVYTttO4PUGDdaFvbz-Ue0/edit?gid=1870218791#gid=1870218791"", ""Rev vs Mktg &amp; Mktg Mix!B"" &amp; ROW(A32))
"),334.774)</f>
        <v>334.774</v>
      </c>
      <c r="C96" s="38">
        <f ca="1">IFERROR(__xludf.DUMMYFUNCTION("IMPORTRANGE(""https://docs.google.com/spreadsheets/d/1bozxp9FwhaCNzy-RRGPVPfVYTttO4PUGDdaFvbz-Ue0/edit?gid=1870218791#gid=1870218791"", ""Rev vs Mktg &amp; Mktg Mix!C"" &amp; ROW(B32))
"),630)</f>
        <v>630</v>
      </c>
      <c r="D96" s="38">
        <f ca="1">IFERROR(__xludf.DUMMYFUNCTION("IMPORTRANGE(""https://docs.google.com/spreadsheets/d/1bozxp9FwhaCNzy-RRGPVPfVYTttO4PUGDdaFvbz-Ue0/edit?gid=1870218791#gid=1870218791"", ""Rev vs Mktg &amp; Mktg Mix!D"" &amp; ROW(C32))
"),566)</f>
        <v>566</v>
      </c>
      <c r="E96" s="38">
        <f ca="1">IFERROR(__xludf.DUMMYFUNCTION("IMPORTRANGE(""https://docs.google.com/spreadsheets/d/1bozxp9FwhaCNzy-RRGPVPfVYTttO4PUGDdaFvbz-Ue0/edit?gid=1870218791#gid=1870218791"", ""Rev vs Mktg &amp; Mktg Mix!E"" &amp; ROW(E32))
"),448)</f>
        <v>448</v>
      </c>
      <c r="F96" s="38">
        <f ca="1">IFERROR(__xludf.DUMMYFUNCTION("IMPORTRANGE(""https://docs.google.com/spreadsheets/d/1bozxp9FwhaCNzy-RRGPVPfVYTttO4PUGDdaFvbz-Ue0/edit?gid=1870218791#gid=1870218791"", ""Rev vs Mktg &amp; Mktg Mix!F"" &amp; ROW(G32))
"),59)</f>
        <v>59</v>
      </c>
      <c r="G96" s="38">
        <f ca="1">IFERROR(__xludf.DUMMYFUNCTION("IMPORTRANGE(""https://docs.google.com/spreadsheets/d/1bozxp9FwhaCNzy-RRGPVPfVYTttO4PUGDdaFvbz-Ue0/edit?gid=1870218791#gid=1870218791"", ""Rev vs Mktg &amp; Mktg Mix!G"" &amp; ROW(I32))
"),16.1)</f>
        <v>16.100000000000001</v>
      </c>
      <c r="H96" s="38">
        <f ca="1">IFERROR(__xludf.DUMMYFUNCTION("IMPORTRANGE(""https://docs.google.com/spreadsheets/d/1bozxp9FwhaCNzy-RRGPVPfVYTttO4PUGDdaFvbz-Ue0/edit?gid=1870218791#gid=1870218791"", ""Rev vs Mktg &amp; Mktg Mix!H"" &amp; ROW(H32))
"),18.26)</f>
        <v>18.260000000000002</v>
      </c>
      <c r="I96" s="38">
        <f ca="1">IFERROR(__xludf.DUMMYFUNCTION("IMPORTRANGE(""https://docs.google.com/spreadsheets/d/1bozxp9FwhaCNzy-RRGPVPfVYTttO4PUGDdaFvbz-Ue0/edit?gid=1870218791#gid=1870218791"", ""Rev vs Mktg &amp; Mktg Mix!I"" &amp; ROW(K32))
"),-9.7)</f>
        <v>-9.6999999999999993</v>
      </c>
      <c r="J96" s="38">
        <f ca="1">IFERROR(__xludf.DUMMYFUNCTION("IMPORTRANGE(""https://docs.google.com/spreadsheets/d/1bozxp9FwhaCNzy-RRGPVPfVYTttO4PUGDdaFvbz-Ue0/edit?gid=1870218791#gid=1870218791"", ""Rev vs Mktg &amp; Mktg Mix!J"" &amp; ROW(J32))
"),6.361)</f>
        <v>6.3609999999999998</v>
      </c>
      <c r="K96" s="31">
        <f>VLOOKUP(VALUE(LEFT(A99, 4)), 'Raw Annual Revenue'!A:K, 11, FALSE) / 4</f>
        <v>4673.25</v>
      </c>
      <c r="L96" s="38">
        <f ca="1">IFERROR(__xludf.DUMMYFUNCTION("IMPORTRANGE(""https://docs.google.com/spreadsheets/d/1bozxp9FwhaCNzy-RRGPVPfVYTttO4PUGDdaFvbz-Ue0/edit?gid=1870218791#gid=1870218791"", ""Rev vs Mktg &amp; Mktg Mix!L"" &amp; ROW(N32))
"),7.02434459999999)</f>
        <v>7.0243445999999903</v>
      </c>
      <c r="M96" s="37">
        <f ca="1">IFERROR(__xludf.DUMMYFUNCTION("IMPORTRANGE(""https://docs.google.com/spreadsheets/d/1bozxp9FwhaCNzy-RRGPVPfVYTttO4PUGDdaFvbz-Ue0/edit?gid=1870218791#gid=1870218791"", ""Rev vs Mktg &amp; Mktg Mix!M"" &amp; ROW(M32))
"),5.73562328614317)</f>
        <v>5.73562328614317</v>
      </c>
      <c r="N96" s="37">
        <f ca="1">IFERROR(__xludf.DUMMYFUNCTION("IMPORTRANGE(""https://docs.google.com/spreadsheets/d/1bozxp9FwhaCNzy-RRGPVPfVYTttO4PUGDdaFvbz-Ue0/edit?gid=1870218791#gid=1870218791"", ""Rev vs Mktg &amp; Mktg Mix!N"" &amp; ROW(N32))
"),0.27)</f>
        <v>0.27</v>
      </c>
      <c r="O96" s="37">
        <f ca="1">IFERROR(__xludf.DUMMYFUNCTION("IMPORTRANGE(""https://docs.google.com/spreadsheets/d/1bozxp9FwhaCNzy-RRGPVPfVYTttO4PUGDdaFvbz-Ue0/edit?gid=1870218791#gid=1870218791"", ""Rev vs Mktg &amp; Mktg Mix!O"" &amp; ROW(O32))
"),15.8274999999999)</f>
        <v>15.827499999999899</v>
      </c>
      <c r="P96" s="28"/>
      <c r="Q96" s="37"/>
      <c r="R96" s="35">
        <f ca="1">IFERROR(__xludf.DUMMYFUNCTION("IMPORTRANGE(""https://docs.google.com/spreadsheets/d/1bozxp9FwhaCNzy-RRGPVPfVYTttO4PUGDdaFvbz-Ue0/edit?gid=1870218791#gid=1870218791"", ""Rev vs Mktg &amp; Mktg Mix!s"" &amp; ROW(S32))
"),37.07385)</f>
        <v>37.07385</v>
      </c>
      <c r="S96" s="30">
        <f>VLOOKUP(VALUE(LEFT(A99, 4)), 'Raw Annual Revenue'!A:S, 19, FALSE) / 4</f>
        <v>4755.25</v>
      </c>
      <c r="T96" s="41">
        <f ca="1">IFERROR(__xludf.DUMMYFUNCTION("IMPORTRANGE(""https://docs.google.com/spreadsheets/d/1bozxp9FwhaCNzy-RRGPVPfVYTttO4PUGDdaFvbz-Ue0/edit?gid=1870218791#gid=1870218791"", ""Rev vs Mktg &amp; Mktg Mix!T"" &amp; ROW(Y32))
"),1.46341463414634)</f>
        <v>1.4634146341463401</v>
      </c>
      <c r="U96" s="28"/>
      <c r="V96" s="28"/>
      <c r="W96" s="30">
        <f>VLOOKUP(VALUE(LEFT($A98, 4)), 'Raw Annual Revenue'!$A:W, 23, FALSE) / 4</f>
        <v>350714.75</v>
      </c>
      <c r="X96" s="31">
        <f>VLOOKUP(VALUE(LEFT(A96, 4)), 'Raw Annual Revenue'!A:X, 24, FALSE) / 4</f>
        <v>34439.745999999999</v>
      </c>
      <c r="Y96" s="31">
        <f>VLOOKUP(VALUE(LEFT($A96, 4)), 'Raw Annual Revenue'!$A:Y, 25, FALSE) / 4</f>
        <v>9721</v>
      </c>
      <c r="Z96" s="31">
        <f>VLOOKUP(VALUE(LEFT($A96, 4)), 'Raw Annual Revenue'!$A:Z, 26, FALSE) / 4</f>
        <v>137360.25</v>
      </c>
      <c r="AA96" s="31">
        <f>VLOOKUP(VALUE(LEFT($A96, 4)), 'Raw Annual Revenue'!$A:AA, 27, FALSE) / 4</f>
        <v>3658.75</v>
      </c>
      <c r="AB96" s="31">
        <f>VLOOKUP(VALUE(LEFT($A96, 4)), 'Raw Annual Revenue'!$A:AB, 28, FALSE) / 4</f>
        <v>37002.75</v>
      </c>
    </row>
    <row r="97" spans="1:28" ht="13">
      <c r="A97" s="27" t="s">
        <v>122</v>
      </c>
      <c r="B97" s="38">
        <f ca="1">IFERROR(__xludf.DUMMYFUNCTION("IMPORTRANGE(""https://docs.google.com/spreadsheets/d/1bozxp9FwhaCNzy-RRGPVPfVYTttO4PUGDdaFvbz-Ue0/edit?gid=1870218791#gid=1870218791"", ""Rev vs Mktg &amp; Mktg Mix!B"" &amp; ROW(A33))
"),1342)</f>
        <v>1342</v>
      </c>
      <c r="C97" s="38">
        <f ca="1">IFERROR(__xludf.DUMMYFUNCTION("IMPORTRANGE(""https://docs.google.com/spreadsheets/d/1bozxp9FwhaCNzy-RRGPVPfVYTttO4PUGDdaFvbz-Ue0/edit?gid=1870218791#gid=1870218791"", ""Rev vs Mktg &amp; Mktg Mix!C"" &amp; ROW(B33))
"),2640)</f>
        <v>2640</v>
      </c>
      <c r="D97" s="38">
        <f ca="1">IFERROR(__xludf.DUMMYFUNCTION("IMPORTRANGE(""https://docs.google.com/spreadsheets/d/1bozxp9FwhaCNzy-RRGPVPfVYTttO4PUGDdaFvbz-Ue0/edit?gid=1870218791#gid=1870218791"", ""Rev vs Mktg &amp; Mktg Mix!D"" &amp; ROW(C33))
"),1504)</f>
        <v>1504</v>
      </c>
      <c r="E97" s="38">
        <f ca="1">IFERROR(__xludf.DUMMYFUNCTION("IMPORTRANGE(""https://docs.google.com/spreadsheets/d/1bozxp9FwhaCNzy-RRGPVPfVYTttO4PUGDdaFvbz-Ue0/edit?gid=1870218791#gid=1870218791"", ""Rev vs Mktg &amp; Mktg Mix!E"" &amp; ROW(E33))
"),805)</f>
        <v>805</v>
      </c>
      <c r="F97" s="38">
        <f ca="1">IFERROR(__xludf.DUMMYFUNCTION("IMPORTRANGE(""https://docs.google.com/spreadsheets/d/1bozxp9FwhaCNzy-RRGPVPfVYTttO4PUGDdaFvbz-Ue0/edit?gid=1870218791#gid=1870218791"", ""Rev vs Mktg &amp; Mktg Mix!F"" &amp; ROW(G33))
"),151)</f>
        <v>151</v>
      </c>
      <c r="G97" s="38">
        <f ca="1">IFERROR(__xludf.DUMMYFUNCTION("IMPORTRANGE(""https://docs.google.com/spreadsheets/d/1bozxp9FwhaCNzy-RRGPVPfVYTttO4PUGDdaFvbz-Ue0/edit?gid=1870218791#gid=1870218791"", ""Rev vs Mktg &amp; Mktg Mix!G"" &amp; ROW(I33))
"),60.6)</f>
        <v>60.6</v>
      </c>
      <c r="H97" s="38">
        <f ca="1">IFERROR(__xludf.DUMMYFUNCTION("IMPORTRANGE(""https://docs.google.com/spreadsheets/d/1bozxp9FwhaCNzy-RRGPVPfVYTttO4PUGDdaFvbz-Ue0/edit?gid=1870218791#gid=1870218791"", ""Rev vs Mktg &amp; Mktg Mix!H"" &amp; ROW(H33))
"),37.84)</f>
        <v>37.840000000000003</v>
      </c>
      <c r="I97" s="38">
        <f ca="1">IFERROR(__xludf.DUMMYFUNCTION("IMPORTRANGE(""https://docs.google.com/spreadsheets/d/1bozxp9FwhaCNzy-RRGPVPfVYTttO4PUGDdaFvbz-Ue0/edit?gid=1870218791#gid=1870218791"", ""Rev vs Mktg &amp; Mktg Mix!I"" &amp; ROW(K33))
"),11.7)</f>
        <v>11.7</v>
      </c>
      <c r="J97" s="38">
        <f ca="1">IFERROR(__xludf.DUMMYFUNCTION("IMPORTRANGE(""https://docs.google.com/spreadsheets/d/1bozxp9FwhaCNzy-RRGPVPfVYTttO4PUGDdaFvbz-Ue0/edit?gid=1870218791#gid=1870218791"", ""Rev vs Mktg &amp; Mktg Mix!J"" &amp; ROW(J33))
"),23.0389999999999)</f>
        <v>23.038999999999898</v>
      </c>
      <c r="K97" s="31">
        <f>VLOOKUP(VALUE(LEFT(A100, 4)), 'Raw Annual Revenue'!A:K, 11, FALSE) / 4</f>
        <v>4673.25</v>
      </c>
      <c r="L97" s="38">
        <f ca="1">IFERROR(__xludf.DUMMYFUNCTION("IMPORTRANGE(""https://docs.google.com/spreadsheets/d/1bozxp9FwhaCNzy-RRGPVPfVYTttO4PUGDdaFvbz-Ue0/edit?gid=1870218791#gid=1870218791"", ""Rev vs Mktg &amp; Mktg Mix!L"" &amp; ROW(N33))
"),8.0420718)</f>
        <v>8.0420718000000004</v>
      </c>
      <c r="M97" s="37">
        <f ca="1">IFERROR(__xludf.DUMMYFUNCTION("IMPORTRANGE(""https://docs.google.com/spreadsheets/d/1bozxp9FwhaCNzy-RRGPVPfVYTttO4PUGDdaFvbz-Ue0/edit?gid=1870218791#gid=1870218791"", ""Rev vs Mktg &amp; Mktg Mix!M"" &amp; ROW(M33))
"),12.1918022615003)</f>
        <v>12.1918022615003</v>
      </c>
      <c r="N97" s="37">
        <f ca="1">IFERROR(__xludf.DUMMYFUNCTION("IMPORTRANGE(""https://docs.google.com/spreadsheets/d/1bozxp9FwhaCNzy-RRGPVPfVYTttO4PUGDdaFvbz-Ue0/edit?gid=1870218791#gid=1870218791"", ""Rev vs Mktg &amp; Mktg Mix!N"" &amp; ROW(N33))
"),0.921)</f>
        <v>0.92100000000000004</v>
      </c>
      <c r="O97" s="37">
        <f ca="1">IFERROR(__xludf.DUMMYFUNCTION("IMPORTRANGE(""https://docs.google.com/spreadsheets/d/1bozxp9FwhaCNzy-RRGPVPfVYTttO4PUGDdaFvbz-Ue0/edit?gid=1870218791#gid=1870218791"", ""Rev vs Mktg &amp; Mktg Mix!O"" &amp; ROW(O33))
"),7.4425)</f>
        <v>7.4424999999999999</v>
      </c>
      <c r="P97" s="28"/>
      <c r="Q97" s="37"/>
      <c r="R97" s="35">
        <f ca="1">IFERROR(__xludf.DUMMYFUNCTION("IMPORTRANGE(""https://docs.google.com/spreadsheets/d/1bozxp9FwhaCNzy-RRGPVPfVYTttO4PUGDdaFvbz-Ue0/edit?gid=1870218791#gid=1870218791"", ""Rev vs Mktg &amp; Mktg Mix!s"" &amp; ROW(S33))
"),20.4787)</f>
        <v>20.4787</v>
      </c>
      <c r="S97" s="30">
        <f>VLOOKUP(VALUE(LEFT(A100, 4)), 'Raw Annual Revenue'!A:S, 19, FALSE) / 4</f>
        <v>4755.25</v>
      </c>
      <c r="T97" s="41" t="str">
        <f ca="1">IFERROR(__xludf.DUMMYFUNCTION("IMPORTRANGE(""https://docs.google.com/spreadsheets/d/1bozxp9FwhaCNzy-RRGPVPfVYTttO4PUGDdaFvbz-Ue0/edit?gid=1870218791#gid=1870218791"", ""Rev vs Mktg &amp; Mktg Mix!T"" &amp; ROW(Y33))
"),"")</f>
        <v/>
      </c>
      <c r="U97" s="28"/>
      <c r="V97" s="28"/>
      <c r="W97" s="30">
        <f>VLOOKUP(VALUE(LEFT($A99, 4)), 'Raw Annual Revenue'!$A:W, 23, FALSE) / 4</f>
        <v>118636.5</v>
      </c>
      <c r="X97" s="31">
        <f>VLOOKUP(VALUE(LEFT(A97, 4)), 'Raw Annual Revenue'!A:X, 24, FALSE) / 4</f>
        <v>34439.745999999999</v>
      </c>
      <c r="Y97" s="31">
        <f>VLOOKUP(VALUE(LEFT($A97, 4)), 'Raw Annual Revenue'!$A:Y, 25, FALSE) / 4</f>
        <v>9721</v>
      </c>
      <c r="Z97" s="31">
        <f>VLOOKUP(VALUE(LEFT($A97, 4)), 'Raw Annual Revenue'!$A:Z, 26, FALSE) / 4</f>
        <v>137360.25</v>
      </c>
      <c r="AA97" s="31">
        <f>VLOOKUP(VALUE(LEFT($A97, 4)), 'Raw Annual Revenue'!$A:AA, 27, FALSE) / 4</f>
        <v>3658.75</v>
      </c>
      <c r="AB97" s="31">
        <f>VLOOKUP(VALUE(LEFT($A97, 4)), 'Raw Annual Revenue'!$A:AB, 28, FALSE) / 4</f>
        <v>37002.75</v>
      </c>
    </row>
    <row r="98" spans="1:28" ht="13">
      <c r="A98" s="27" t="s">
        <v>123</v>
      </c>
      <c r="B98" s="38">
        <f ca="1">IFERROR(__xludf.DUMMYFUNCTION("IMPORTRANGE(""https://docs.google.com/spreadsheets/d/1bozxp9FwhaCNzy-RRGPVPfVYTttO4PUGDdaFvbz-Ue0/edit?gid=1870218791#gid=1870218791"", ""Rev vs Mktg &amp; Mktg Mix!B"" &amp; ROW(A34))
"),859)</f>
        <v>859</v>
      </c>
      <c r="C98" s="38">
        <f ca="1">IFERROR(__xludf.DUMMYFUNCTION("IMPORTRANGE(""https://docs.google.com/spreadsheets/d/1bozxp9FwhaCNzy-RRGPVPfVYTttO4PUGDdaFvbz-Ue0/edit?gid=1870218791#gid=1870218791"", ""Rev vs Mktg &amp; Mktg Mix!C"" &amp; ROW(B34))
"),1238)</f>
        <v>1238</v>
      </c>
      <c r="D98" s="38">
        <f ca="1">IFERROR(__xludf.DUMMYFUNCTION("IMPORTRANGE(""https://docs.google.com/spreadsheets/d/1bozxp9FwhaCNzy-RRGPVPfVYTttO4PUGDdaFvbz-Ue0/edit?gid=1870218791#gid=1870218791"", ""Rev vs Mktg &amp; Mktg Mix!D"" &amp; ROW(C34))
"),920)</f>
        <v>920</v>
      </c>
      <c r="E98" s="38">
        <f ca="1">IFERROR(__xludf.DUMMYFUNCTION("IMPORTRANGE(""https://docs.google.com/spreadsheets/d/1bozxp9FwhaCNzy-RRGPVPfVYTttO4PUGDdaFvbz-Ue0/edit?gid=1870218791#gid=1870218791"", ""Rev vs Mktg &amp; Mktg Mix!E"" &amp; ROW(E34))
"),761)</f>
        <v>761</v>
      </c>
      <c r="F98" s="38">
        <f ca="1">IFERROR(__xludf.DUMMYFUNCTION("IMPORTRANGE(""https://docs.google.com/spreadsheets/d/1bozxp9FwhaCNzy-RRGPVPfVYTttO4PUGDdaFvbz-Ue0/edit?gid=1870218791#gid=1870218791"", ""Rev vs Mktg &amp; Mktg Mix!F"" &amp; ROW(G34))
"),116)</f>
        <v>116</v>
      </c>
      <c r="G98" s="38">
        <f ca="1">IFERROR(__xludf.DUMMYFUNCTION("IMPORTRANGE(""https://docs.google.com/spreadsheets/d/1bozxp9FwhaCNzy-RRGPVPfVYTttO4PUGDdaFvbz-Ue0/edit?gid=1870218791#gid=1870218791"", ""Rev vs Mktg &amp; Mktg Mix!G"" &amp; ROW(I34))
"),32.3)</f>
        <v>32.299999999999997</v>
      </c>
      <c r="H98" s="38">
        <f ca="1">IFERROR(__xludf.DUMMYFUNCTION("IMPORTRANGE(""https://docs.google.com/spreadsheets/d/1bozxp9FwhaCNzy-RRGPVPfVYTttO4PUGDdaFvbz-Ue0/edit?gid=1870218791#gid=1870218791"", ""Rev vs Mktg &amp; Mktg Mix!H"" &amp; ROW(H34))
"),33)</f>
        <v>33</v>
      </c>
      <c r="I98" s="38">
        <f ca="1">IFERROR(__xludf.DUMMYFUNCTION("IMPORTRANGE(""https://docs.google.com/spreadsheets/d/1bozxp9FwhaCNzy-RRGPVPfVYTttO4PUGDdaFvbz-Ue0/edit?gid=1870218791#gid=1870218791"", ""Rev vs Mktg &amp; Mktg Mix!I"" &amp; ROW(K34))
"),53.246)</f>
        <v>53.246000000000002</v>
      </c>
      <c r="J98" s="38">
        <f ca="1">IFERROR(__xludf.DUMMYFUNCTION("IMPORTRANGE(""https://docs.google.com/spreadsheets/d/1bozxp9FwhaCNzy-RRGPVPfVYTttO4PUGDdaFvbz-Ue0/edit?gid=1870218791#gid=1870218791"", ""Rev vs Mktg &amp; Mktg Mix!J"" &amp; ROW(J34))
"),56.806)</f>
        <v>56.805999999999997</v>
      </c>
      <c r="K98" s="31">
        <f>VLOOKUP(VALUE(LEFT(A101, 4)), 'Raw Annual Revenue'!A:K, 11, FALSE) / 4</f>
        <v>4673.25</v>
      </c>
      <c r="L98" s="38">
        <f ca="1">IFERROR(__xludf.DUMMYFUNCTION("IMPORTRANGE(""https://docs.google.com/spreadsheets/d/1bozxp9FwhaCNzy-RRGPVPfVYTttO4PUGDdaFvbz-Ue0/edit?gid=1870218791#gid=1870218791"", ""Rev vs Mktg &amp; Mktg Mix!L"" &amp; ROW(N34))
"),17.4055124838)</f>
        <v>17.405512483799999</v>
      </c>
      <c r="M98" s="37">
        <f ca="1">IFERROR(__xludf.DUMMYFUNCTION("IMPORTRANGE(""https://docs.google.com/spreadsheets/d/1bozxp9FwhaCNzy-RRGPVPfVYTttO4PUGDdaFvbz-Ue0/edit?gid=1870218791#gid=1870218791"", ""Rev vs Mktg &amp; Mktg Mix!M"" &amp; ROW(M34))
"),17.8409588649378)</f>
        <v>17.8409588649378</v>
      </c>
      <c r="N98" s="37">
        <f ca="1">IFERROR(__xludf.DUMMYFUNCTION("IMPORTRANGE(""https://docs.google.com/spreadsheets/d/1bozxp9FwhaCNzy-RRGPVPfVYTttO4PUGDdaFvbz-Ue0/edit?gid=1870218791#gid=1870218791"", ""Rev vs Mktg &amp; Mktg Mix!N"" &amp; ROW(N34))
"),1.671)</f>
        <v>1.671</v>
      </c>
      <c r="O98" s="37">
        <f ca="1">IFERROR(__xludf.DUMMYFUNCTION("IMPORTRANGE(""https://docs.google.com/spreadsheets/d/1bozxp9FwhaCNzy-RRGPVPfVYTttO4PUGDdaFvbz-Ue0/edit?gid=1870218791#gid=1870218791"", ""Rev vs Mktg &amp; Mktg Mix!O"" &amp; ROW(O34))
"),7.4425)</f>
        <v>7.4424999999999999</v>
      </c>
      <c r="P98" s="28"/>
      <c r="Q98" s="37"/>
      <c r="R98" s="35">
        <f ca="1">IFERROR(__xludf.DUMMYFUNCTION("IMPORTRANGE(""https://docs.google.com/spreadsheets/d/1bozxp9FwhaCNzy-RRGPVPfVYTttO4PUGDdaFvbz-Ue0/edit?gid=1870218791#gid=1870218791"", ""Rev vs Mktg &amp; Mktg Mix!s"" &amp; ROW(S34))
"),20.4787)</f>
        <v>20.4787</v>
      </c>
      <c r="S98" s="30">
        <f>VLOOKUP(VALUE(LEFT(A101, 4)), 'Raw Annual Revenue'!A:S, 19, FALSE) / 4</f>
        <v>4755.25</v>
      </c>
      <c r="T98" s="41" t="str">
        <f ca="1">IFERROR(__xludf.DUMMYFUNCTION("IMPORTRANGE(""https://docs.google.com/spreadsheets/d/1bozxp9FwhaCNzy-RRGPVPfVYTttO4PUGDdaFvbz-Ue0/edit?gid=1870218791#gid=1870218791"", ""Rev vs Mktg &amp; Mktg Mix!T"" &amp; ROW(Y34))
"),"")</f>
        <v/>
      </c>
      <c r="U98" s="28"/>
      <c r="V98" s="28"/>
      <c r="W98" s="30">
        <f>VLOOKUP(VALUE(LEFT($A100, 4)), 'Raw Annual Revenue'!$A:W, 23, FALSE) / 4</f>
        <v>118636.5</v>
      </c>
      <c r="X98" s="31">
        <f>VLOOKUP(VALUE(LEFT(A98, 4)), 'Raw Annual Revenue'!A:X, 24, FALSE) / 4</f>
        <v>34439.745999999999</v>
      </c>
      <c r="Y98" s="31">
        <f>VLOOKUP(VALUE(LEFT($A98, 4)), 'Raw Annual Revenue'!$A:Y, 25, FALSE) / 4</f>
        <v>9721</v>
      </c>
      <c r="Z98" s="31">
        <f>VLOOKUP(VALUE(LEFT($A98, 4)), 'Raw Annual Revenue'!$A:Z, 26, FALSE) / 4</f>
        <v>137360.25</v>
      </c>
      <c r="AA98" s="31">
        <f>VLOOKUP(VALUE(LEFT($A98, 4)), 'Raw Annual Revenue'!$A:AA, 27, FALSE) / 4</f>
        <v>3658.75</v>
      </c>
      <c r="AB98" s="31">
        <f>VLOOKUP(VALUE(LEFT($A98, 4)), 'Raw Annual Revenue'!$A:AB, 28, FALSE) / 4</f>
        <v>37002.75</v>
      </c>
    </row>
    <row r="99" spans="1:28" ht="13">
      <c r="A99" s="27" t="s">
        <v>124</v>
      </c>
      <c r="B99" s="38">
        <f ca="1">IFERROR(__xludf.DUMMYFUNCTION("IMPORTRANGE(""https://docs.google.com/spreadsheets/d/1bozxp9FwhaCNzy-RRGPVPfVYTttO4PUGDdaFvbz-Ue0/edit?gid=1870218791#gid=1870218791"", ""Rev vs Mktg &amp; Mktg Mix!B"" &amp; ROW(A35))
"),886.936)</f>
        <v>886.93600000000004</v>
      </c>
      <c r="C99" s="38">
        <f ca="1">IFERROR(__xludf.DUMMYFUNCTION("IMPORTRANGE(""https://docs.google.com/spreadsheets/d/1bozxp9FwhaCNzy-RRGPVPfVYTttO4PUGDdaFvbz-Ue0/edit?gid=1870218791#gid=1870218791"", ""Rev vs Mktg &amp; Mktg Mix!C"" &amp; ROW(B35))
"),1141)</f>
        <v>1141</v>
      </c>
      <c r="D99" s="38">
        <f ca="1">IFERROR(__xludf.DUMMYFUNCTION("IMPORTRANGE(""https://docs.google.com/spreadsheets/d/1bozxp9FwhaCNzy-RRGPVPfVYTttO4PUGDdaFvbz-Ue0/edit?gid=1870218791#gid=1870218791"", ""Rev vs Mktg &amp; Mktg Mix!D"" &amp; ROW(C35))
"),1246)</f>
        <v>1246</v>
      </c>
      <c r="E99" s="38">
        <f ca="1">IFERROR(__xludf.DUMMYFUNCTION("IMPORTRANGE(""https://docs.google.com/spreadsheets/d/1bozxp9FwhaCNzy-RRGPVPfVYTttO4PUGDdaFvbz-Ue0/edit?gid=1870218791#gid=1870218791"", ""Rev vs Mktg &amp; Mktg Mix!E"" &amp; ROW(E35))
"),628)</f>
        <v>628</v>
      </c>
      <c r="F99" s="38">
        <f ca="1">IFERROR(__xludf.DUMMYFUNCTION("IMPORTRANGE(""https://docs.google.com/spreadsheets/d/1bozxp9FwhaCNzy-RRGPVPfVYTttO4PUGDdaFvbz-Ue0/edit?gid=1870218791#gid=1870218791"", ""Rev vs Mktg &amp; Mktg Mix!F"" &amp; ROW(G35))
"),123)</f>
        <v>123</v>
      </c>
      <c r="G99" s="38">
        <f ca="1">IFERROR(__xludf.DUMMYFUNCTION("IMPORTRANGE(""https://docs.google.com/spreadsheets/d/1bozxp9FwhaCNzy-RRGPVPfVYTttO4PUGDdaFvbz-Ue0/edit?gid=1870218791#gid=1870218791"", ""Rev vs Mktg &amp; Mktg Mix!G"" &amp; ROW(I35))
"),38.2)</f>
        <v>38.200000000000003</v>
      </c>
      <c r="H99" s="38">
        <f ca="1">IFERROR(__xludf.DUMMYFUNCTION("IMPORTRANGE(""https://docs.google.com/spreadsheets/d/1bozxp9FwhaCNzy-RRGPVPfVYTttO4PUGDdaFvbz-Ue0/edit?gid=1870218791#gid=1870218791"", ""Rev vs Mktg &amp; Mktg Mix!H"" &amp; ROW(H35))
"),33.11)</f>
        <v>33.11</v>
      </c>
      <c r="I99" s="38">
        <f ca="1">IFERROR(__xludf.DUMMYFUNCTION("IMPORTRANGE(""https://docs.google.com/spreadsheets/d/1bozxp9FwhaCNzy-RRGPVPfVYTttO4PUGDdaFvbz-Ue0/edit?gid=1870218791#gid=1870218791"", ""Rev vs Mktg &amp; Mktg Mix!I"" &amp; ROW(K35))
"),51.85)</f>
        <v>51.85</v>
      </c>
      <c r="J99" s="38">
        <f ca="1">IFERROR(__xludf.DUMMYFUNCTION("IMPORTRANGE(""https://docs.google.com/spreadsheets/d/1bozxp9FwhaCNzy-RRGPVPfVYTttO4PUGDdaFvbz-Ue0/edit?gid=1870218791#gid=1870218791"", ""Rev vs Mktg &amp; Mktg Mix!J"" &amp; ROW(J35))
"),79.221)</f>
        <v>79.221000000000004</v>
      </c>
      <c r="K99" s="31">
        <f>VLOOKUP(VALUE(LEFT(A102, 4)), 'Raw Annual Revenue'!A:K, 11, FALSE) / 4</f>
        <v>4673.25</v>
      </c>
      <c r="L99" s="38">
        <f ca="1">IFERROR(__xludf.DUMMYFUNCTION("IMPORTRANGE(""https://docs.google.com/spreadsheets/d/1bozxp9FwhaCNzy-RRGPVPfVYTttO4PUGDdaFvbz-Ue0/edit?gid=1870218791#gid=1870218791"", ""Rev vs Mktg &amp; Mktg Mix!L"" &amp; ROW(N35))
"),15.6171519)</f>
        <v>15.6171519</v>
      </c>
      <c r="M99" s="37">
        <f ca="1">IFERROR(__xludf.DUMMYFUNCTION("IMPORTRANGE(""https://docs.google.com/spreadsheets/d/1bozxp9FwhaCNzy-RRGPVPfVYTttO4PUGDdaFvbz-Ue0/edit?gid=1870218791#gid=1870218791"", ""Rev vs Mktg &amp; Mktg Mix!M"" &amp; ROW(M35))
"),20.2620259806967)</f>
        <v>20.262025980696698</v>
      </c>
      <c r="N99" s="37">
        <f ca="1">IFERROR(__xludf.DUMMYFUNCTION("IMPORTRANGE(""https://docs.google.com/spreadsheets/d/1bozxp9FwhaCNzy-RRGPVPfVYTttO4PUGDdaFvbz-Ue0/edit?gid=1870218791#gid=1870218791"", ""Rev vs Mktg &amp; Mktg Mix!N"" &amp; ROW(N35))
"),1.655)</f>
        <v>1.655</v>
      </c>
      <c r="O99" s="37">
        <f ca="1">IFERROR(__xludf.DUMMYFUNCTION("IMPORTRANGE(""https://docs.google.com/spreadsheets/d/1bozxp9FwhaCNzy-RRGPVPfVYTttO4PUGDdaFvbz-Ue0/edit?gid=1870218791#gid=1870218791"", ""Rev vs Mktg &amp; Mktg Mix!O"" &amp; ROW(O35))
"),5.135)</f>
        <v>5.1349999999999998</v>
      </c>
      <c r="P99" s="37">
        <f ca="1">IFERROR(__xludf.DUMMYFUNCTION("IMPORTRANGE(""https://docs.google.com/spreadsheets/d/1bozxp9FwhaCNzy-RRGPVPfVYTttO4PUGDdaFvbz-Ue0/edit?gid=1870218791#gid=1870218791"", ""Rev vs Mktg &amp; Mktg Mix!P"" &amp; ROW(P35))
"),7.41)</f>
        <v>7.41</v>
      </c>
      <c r="Q99" s="37"/>
      <c r="R99" s="35">
        <f ca="1">IFERROR(__xludf.DUMMYFUNCTION("IMPORTRANGE(""https://docs.google.com/spreadsheets/d/1bozxp9FwhaCNzy-RRGPVPfVYTttO4PUGDdaFvbz-Ue0/edit?gid=1870218791#gid=1870218791"", ""Rev vs Mktg &amp; Mktg Mix!s"" &amp; ROW(S35))
"),29.0664)</f>
        <v>29.066400000000002</v>
      </c>
      <c r="S99" s="30">
        <f>VLOOKUP(VALUE(LEFT(A102, 4)), 'Raw Annual Revenue'!A:S, 19, FALSE) / 4</f>
        <v>4755.25</v>
      </c>
      <c r="T99" s="41" t="str">
        <f ca="1">IFERROR(__xludf.DUMMYFUNCTION("IMPORTRANGE(""https://docs.google.com/spreadsheets/d/1bozxp9FwhaCNzy-RRGPVPfVYTttO4PUGDdaFvbz-Ue0/edit?gid=1870218791#gid=1870218791"", ""Rev vs Mktg &amp; Mktg Mix!T"" &amp; ROW(Y35))
"),"")</f>
        <v/>
      </c>
      <c r="U99" s="28"/>
      <c r="V99" s="28"/>
      <c r="W99" s="30">
        <f>VLOOKUP(VALUE(LEFT($A101, 4)), 'Raw Annual Revenue'!$A:W, 23, FALSE) / 4</f>
        <v>118636.5</v>
      </c>
      <c r="X99" s="31">
        <f>VLOOKUP(VALUE(LEFT(A99, 4)), 'Raw Annual Revenue'!A:X, 24, FALSE) / 4</f>
        <v>38294.288699999997</v>
      </c>
      <c r="Y99" s="31">
        <f>VLOOKUP(VALUE(LEFT($A99, 4)), 'Raw Annual Revenue'!$A:Y, 25, FALSE) / 4</f>
        <v>12928.5</v>
      </c>
      <c r="Z99" s="31">
        <f>VLOOKUP(VALUE(LEFT($A99, 4)), 'Raw Annual Revenue'!$A:Z, 26, FALSE) / 4</f>
        <v>194090.5</v>
      </c>
      <c r="AA99" s="31">
        <f>VLOOKUP(VALUE(LEFT($A99, 4)), 'Raw Annual Revenue'!$A:AA, 27, FALSE) / 4</f>
        <v>3825.75</v>
      </c>
      <c r="AB99" s="31">
        <f>VLOOKUP(VALUE(LEFT($A99, 4)), 'Raw Annual Revenue'!$A:AB, 28, FALSE) / 4</f>
        <v>32912</v>
      </c>
    </row>
    <row r="100" spans="1:28" ht="13">
      <c r="A100" s="27" t="s">
        <v>125</v>
      </c>
      <c r="B100" s="38">
        <f ca="1">IFERROR(__xludf.DUMMYFUNCTION("IMPORTRANGE(""https://docs.google.com/spreadsheets/d/1bozxp9FwhaCNzy-RRGPVPfVYTttO4PUGDdaFvbz-Ue0/edit?gid=1870218791#gid=1870218791"", ""Rev vs Mktg &amp; Mktg Mix!B"" &amp; ROW(A36))
"),1335.196)</f>
        <v>1335.1959999999999</v>
      </c>
      <c r="C100" s="38">
        <f ca="1">IFERROR(__xludf.DUMMYFUNCTION("IMPORTRANGE(""https://docs.google.com/spreadsheets/d/1bozxp9FwhaCNzy-RRGPVPfVYTttO4PUGDdaFvbz-Ue0/edit?gid=1870218791#gid=1870218791"", ""Rev vs Mktg &amp; Mktg Mix!C"" &amp; ROW(B36))
"),2160)</f>
        <v>2160</v>
      </c>
      <c r="D100" s="38">
        <f ca="1">IFERROR(__xludf.DUMMYFUNCTION("IMPORTRANGE(""https://docs.google.com/spreadsheets/d/1bozxp9FwhaCNzy-RRGPVPfVYTttO4PUGDdaFvbz-Ue0/edit?gid=1870218791#gid=1870218791"", ""Rev vs Mktg &amp; Mktg Mix!D"" &amp; ROW(C36))
"),2111)</f>
        <v>2111</v>
      </c>
      <c r="E100" s="38">
        <f ca="1">IFERROR(__xludf.DUMMYFUNCTION("IMPORTRANGE(""https://docs.google.com/spreadsheets/d/1bozxp9FwhaCNzy-RRGPVPfVYTttO4PUGDdaFvbz-Ue0/edit?gid=1870218791#gid=1870218791"", ""Rev vs Mktg &amp; Mktg Mix!E"" &amp; ROW(E36))
"),912)</f>
        <v>912</v>
      </c>
      <c r="F100" s="38">
        <f ca="1">IFERROR(__xludf.DUMMYFUNCTION("IMPORTRANGE(""https://docs.google.com/spreadsheets/d/1bozxp9FwhaCNzy-RRGPVPfVYTttO4PUGDdaFvbz-Ue0/edit?gid=1870218791#gid=1870218791"", ""Rev vs Mktg &amp; Mktg Mix!F"" &amp; ROW(G36))
"),235)</f>
        <v>235</v>
      </c>
      <c r="G100" s="38">
        <f ca="1">IFERROR(__xludf.DUMMYFUNCTION("IMPORTRANGE(""https://docs.google.com/spreadsheets/d/1bozxp9FwhaCNzy-RRGPVPfVYTttO4PUGDdaFvbz-Ue0/edit?gid=1870218791#gid=1870218791"", ""Rev vs Mktg &amp; Mktg Mix!G"" &amp; ROW(I36))
"),95.474)</f>
        <v>95.474000000000004</v>
      </c>
      <c r="H100" s="38">
        <f ca="1">IFERROR(__xludf.DUMMYFUNCTION("IMPORTRANGE(""https://docs.google.com/spreadsheets/d/1bozxp9FwhaCNzy-RRGPVPfVYTttO4PUGDdaFvbz-Ue0/edit?gid=1870218791#gid=1870218791"", ""Rev vs Mktg &amp; Mktg Mix!H"" &amp; ROW(H36))
"),75.24)</f>
        <v>75.239999999999995</v>
      </c>
      <c r="I100" s="38">
        <f ca="1">IFERROR(__xludf.DUMMYFUNCTION("IMPORTRANGE(""https://docs.google.com/spreadsheets/d/1bozxp9FwhaCNzy-RRGPVPfVYTttO4PUGDdaFvbz-Ue0/edit?gid=1870218791#gid=1870218791"", ""Rev vs Mktg &amp; Mktg Mix!I"" &amp; ROW(K36))
"),63.069)</f>
        <v>63.069000000000003</v>
      </c>
      <c r="J100" s="38">
        <f ca="1">IFERROR(__xludf.DUMMYFUNCTION("IMPORTRANGE(""https://docs.google.com/spreadsheets/d/1bozxp9FwhaCNzy-RRGPVPfVYTttO4PUGDdaFvbz-Ue0/edit?gid=1870218791#gid=1870218791"", ""Rev vs Mktg &amp; Mktg Mix!J"" &amp; ROW(J36))
"),32.833)</f>
        <v>32.832999999999998</v>
      </c>
      <c r="K100" s="31">
        <f>VLOOKUP(VALUE(LEFT(A103, 4)), 'Raw Annual Revenue'!A:K, 11, FALSE) / 4</f>
        <v>12553.25</v>
      </c>
      <c r="L100" s="38">
        <f ca="1">IFERROR(__xludf.DUMMYFUNCTION("IMPORTRANGE(""https://docs.google.com/spreadsheets/d/1bozxp9FwhaCNzy-RRGPVPfVYTttO4PUGDdaFvbz-Ue0/edit?gid=1870218791#gid=1870218791"", ""Rev vs Mktg &amp; Mktg Mix!L"" &amp; ROW(N36))
"),46.5334151499)</f>
        <v>46.533415149900001</v>
      </c>
      <c r="M100" s="37">
        <f ca="1">IFERROR(__xludf.DUMMYFUNCTION("IMPORTRANGE(""https://docs.google.com/spreadsheets/d/1bozxp9FwhaCNzy-RRGPVPfVYTttO4PUGDdaFvbz-Ue0/edit?gid=1870218791#gid=1870218791"", ""Rev vs Mktg &amp; Mktg Mix!M"" &amp; ROW(M36))
"),23.7495155164923)</f>
        <v>23.749515516492298</v>
      </c>
      <c r="N100" s="37">
        <f ca="1">IFERROR(__xludf.DUMMYFUNCTION("IMPORTRANGE(""https://docs.google.com/spreadsheets/d/1bozxp9FwhaCNzy-RRGPVPfVYTttO4PUGDdaFvbz-Ue0/edit?gid=1870218791#gid=1870218791"", ""Rev vs Mktg &amp; Mktg Mix!N"" &amp; ROW(N36))
"),2.132)</f>
        <v>2.1320000000000001</v>
      </c>
      <c r="O100" s="37">
        <f ca="1">IFERROR(__xludf.DUMMYFUNCTION("IMPORTRANGE(""https://docs.google.com/spreadsheets/d/1bozxp9FwhaCNzy-RRGPVPfVYTttO4PUGDdaFvbz-Ue0/edit?gid=1870218791#gid=1870218791"", ""Rev vs Mktg &amp; Mktg Mix!O"" &amp; ROW(O36))
"),18.1025)</f>
        <v>18.102499999999999</v>
      </c>
      <c r="P100" s="37">
        <f ca="1">IFERROR(__xludf.DUMMYFUNCTION("IMPORTRANGE(""https://docs.google.com/spreadsheets/d/1bozxp9FwhaCNzy-RRGPVPfVYTttO4PUGDdaFvbz-Ue0/edit?gid=1870218791#gid=1870218791"", ""Rev vs Mktg &amp; Mktg Mix!P"" &amp; ROW(P36))
"),7.41)</f>
        <v>7.41</v>
      </c>
      <c r="Q100" s="37"/>
      <c r="R100" s="35">
        <f ca="1">IFERROR(__xludf.DUMMYFUNCTION("IMPORTRANGE(""https://docs.google.com/spreadsheets/d/1bozxp9FwhaCNzy-RRGPVPfVYTttO4PUGDdaFvbz-Ue0/edit?gid=1870218791#gid=1870218791"", ""Rev vs Mktg &amp; Mktg Mix!s"" &amp; ROW(S36))
"),29.0664)</f>
        <v>29.066400000000002</v>
      </c>
      <c r="S100" s="30">
        <f>VLOOKUP(VALUE(LEFT(A103, 4)), 'Raw Annual Revenue'!A:S, 19, FALSE) / 4</f>
        <v>7847</v>
      </c>
      <c r="T100" s="41">
        <f ca="1">IFERROR(__xludf.DUMMYFUNCTION("IMPORTRANGE(""https://docs.google.com/spreadsheets/d/1bozxp9FwhaCNzy-RRGPVPfVYTttO4PUGDdaFvbz-Ue0/edit?gid=1870218791#gid=1870218791"", ""Rev vs Mktg &amp; Mktg Mix!T"" &amp; ROW(Y36))
"),4.23780487804878)</f>
        <v>4.23780487804878</v>
      </c>
      <c r="U100" s="28"/>
      <c r="V100" s="28"/>
      <c r="W100" s="30">
        <f>VLOOKUP(VALUE(LEFT($A102, 4)), 'Raw Annual Revenue'!$A:W, 23, FALSE) / 4</f>
        <v>118636.5</v>
      </c>
      <c r="X100" s="31">
        <f>VLOOKUP(VALUE(LEFT(A100, 4)), 'Raw Annual Revenue'!A:X, 24, FALSE) / 4</f>
        <v>38294.288699999997</v>
      </c>
      <c r="Y100" s="31">
        <f>VLOOKUP(VALUE(LEFT($A100, 4)), 'Raw Annual Revenue'!$A:Y, 25, FALSE) / 4</f>
        <v>12928.5</v>
      </c>
      <c r="Z100" s="31">
        <f>VLOOKUP(VALUE(LEFT($A100, 4)), 'Raw Annual Revenue'!$A:Z, 26, FALSE) / 4</f>
        <v>194090.5</v>
      </c>
      <c r="AA100" s="31">
        <f>VLOOKUP(VALUE(LEFT($A100, 4)), 'Raw Annual Revenue'!$A:AA, 27, FALSE) / 4</f>
        <v>3825.75</v>
      </c>
      <c r="AB100" s="31">
        <f>VLOOKUP(VALUE(LEFT($A100, 4)), 'Raw Annual Revenue'!$A:AB, 28, FALSE) / 4</f>
        <v>32912</v>
      </c>
    </row>
    <row r="101" spans="1:28" ht="13">
      <c r="A101" s="27" t="s">
        <v>126</v>
      </c>
      <c r="B101" s="38">
        <f ca="1">IFERROR(__xludf.DUMMYFUNCTION("IMPORTRANGE(""https://docs.google.com/spreadsheets/d/1bozxp9FwhaCNzy-RRGPVPfVYTttO4PUGDdaFvbz-Ue0/edit?gid=1870218791#gid=1870218791"", ""Rev vs Mktg &amp; Mktg Mix!B"" &amp; ROW(A37))
"),2237.432)</f>
        <v>2237.4319999999998</v>
      </c>
      <c r="C101" s="38">
        <f ca="1">IFERROR(__xludf.DUMMYFUNCTION("IMPORTRANGE(""https://docs.google.com/spreadsheets/d/1bozxp9FwhaCNzy-RRGPVPfVYTttO4PUGDdaFvbz-Ue0/edit?gid=1870218791#gid=1870218791"", ""Rev vs Mktg &amp; Mktg Mix!C"" &amp; ROW(B37))
"),4676)</f>
        <v>4676</v>
      </c>
      <c r="D101" s="38">
        <f ca="1">IFERROR(__xludf.DUMMYFUNCTION("IMPORTRANGE(""https://docs.google.com/spreadsheets/d/1bozxp9FwhaCNzy-RRGPVPfVYTttO4PUGDdaFvbz-Ue0/edit?gid=1870218791#gid=1870218791"", ""Rev vs Mktg &amp; Mktg Mix!D"" &amp; ROW(C37))
"),2962)</f>
        <v>2962</v>
      </c>
      <c r="E101" s="38">
        <f ca="1">IFERROR(__xludf.DUMMYFUNCTION("IMPORTRANGE(""https://docs.google.com/spreadsheets/d/1bozxp9FwhaCNzy-RRGPVPfVYTttO4PUGDdaFvbz-Ue0/edit?gid=1870218791#gid=1870218791"", ""Rev vs Mktg &amp; Mktg Mix!E"" &amp; ROW(E37))
"),831)</f>
        <v>831</v>
      </c>
      <c r="F101" s="38">
        <f ca="1">IFERROR(__xludf.DUMMYFUNCTION("IMPORTRANGE(""https://docs.google.com/spreadsheets/d/1bozxp9FwhaCNzy-RRGPVPfVYTttO4PUGDdaFvbz-Ue0/edit?gid=1870218791#gid=1870218791"", ""Rev vs Mktg &amp; Mktg Mix!F"" &amp; ROW(G37))
"),303)</f>
        <v>303</v>
      </c>
      <c r="G101" s="38">
        <f ca="1">IFERROR(__xludf.DUMMYFUNCTION("IMPORTRANGE(""https://docs.google.com/spreadsheets/d/1bozxp9FwhaCNzy-RRGPVPfVYTttO4PUGDdaFvbz-Ue0/edit?gid=1870218791#gid=1870218791"", ""Rev vs Mktg &amp; Mktg Mix!G"" &amp; ROW(I37))
"),138.6)</f>
        <v>138.6</v>
      </c>
      <c r="H101" s="38">
        <f ca="1">IFERROR(__xludf.DUMMYFUNCTION("IMPORTRANGE(""https://docs.google.com/spreadsheets/d/1bozxp9FwhaCNzy-RRGPVPfVYTttO4PUGDdaFvbz-Ue0/edit?gid=1870218791#gid=1870218791"", ""Rev vs Mktg &amp; Mktg Mix!H"" &amp; ROW(H37))
"),109.89)</f>
        <v>109.89</v>
      </c>
      <c r="I101" s="38">
        <f ca="1">IFERROR(__xludf.DUMMYFUNCTION("IMPORTRANGE(""https://docs.google.com/spreadsheets/d/1bozxp9FwhaCNzy-RRGPVPfVYTttO4PUGDdaFvbz-Ue0/edit?gid=1870218791#gid=1870218791"", ""Rev vs Mktg &amp; Mktg Mix!I"" &amp; ROW(K37))
"),83.368)</f>
        <v>83.367999999999995</v>
      </c>
      <c r="J101" s="38">
        <f ca="1">IFERROR(__xludf.DUMMYFUNCTION("IMPORTRANGE(""https://docs.google.com/spreadsheets/d/1bozxp9FwhaCNzy-RRGPVPfVYTttO4PUGDdaFvbz-Ue0/edit?gid=1870218791#gid=1870218791"", ""Rev vs Mktg &amp; Mktg Mix!J"" &amp; ROW(J37))
"),67.479)</f>
        <v>67.478999999999999</v>
      </c>
      <c r="K101" s="31">
        <f>VLOOKUP(VALUE(LEFT(A104, 4)), 'Raw Annual Revenue'!A:K, 11, FALSE) / 4</f>
        <v>12553.25</v>
      </c>
      <c r="L101" s="38">
        <f ca="1">IFERROR(__xludf.DUMMYFUNCTION("IMPORTRANGE(""https://docs.google.com/spreadsheets/d/1bozxp9FwhaCNzy-RRGPVPfVYTttO4PUGDdaFvbz-Ue0/edit?gid=1870218791#gid=1870218791"", ""Rev vs Mktg &amp; Mktg Mix!L"" &amp; ROW(N37))
"),49.6275245318999)</f>
        <v>49.627524531899901</v>
      </c>
      <c r="M101" s="37">
        <f ca="1">IFERROR(__xludf.DUMMYFUNCTION("IMPORTRANGE(""https://docs.google.com/spreadsheets/d/1bozxp9FwhaCNzy-RRGPVPfVYTttO4PUGDdaFvbz-Ue0/edit?gid=1870218791#gid=1870218791"", ""Rev vs Mktg &amp; Mktg Mix!M"" &amp; ROW(M37))
"),17.7544921822321)</f>
        <v>17.754492182232099</v>
      </c>
      <c r="N101" s="37">
        <f ca="1">IFERROR(__xludf.DUMMYFUNCTION("IMPORTRANGE(""https://docs.google.com/spreadsheets/d/1bozxp9FwhaCNzy-RRGPVPfVYTttO4PUGDdaFvbz-Ue0/edit?gid=1870218791#gid=1870218791"", ""Rev vs Mktg &amp; Mktg Mix!N"" &amp; ROW(N37))
"),3.014)</f>
        <v>3.0139999999999998</v>
      </c>
      <c r="O101" s="37">
        <f ca="1">IFERROR(__xludf.DUMMYFUNCTION("IMPORTRANGE(""https://docs.google.com/spreadsheets/d/1bozxp9FwhaCNzy-RRGPVPfVYTttO4PUGDdaFvbz-Ue0/edit?gid=1870218791#gid=1870218791"", ""Rev vs Mktg &amp; Mktg Mix!O"" &amp; ROW(O37))
"),18.1025)</f>
        <v>18.102499999999999</v>
      </c>
      <c r="P101" s="37">
        <f ca="1">IFERROR(__xludf.DUMMYFUNCTION("IMPORTRANGE(""https://docs.google.com/spreadsheets/d/1bozxp9FwhaCNzy-RRGPVPfVYTttO4PUGDdaFvbz-Ue0/edit?gid=1870218791#gid=1870218791"", ""Rev vs Mktg &amp; Mktg Mix!P"" &amp; ROW(P37))
"),7.41)</f>
        <v>7.41</v>
      </c>
      <c r="Q101" s="37"/>
      <c r="R101" s="35">
        <f ca="1">IFERROR(__xludf.DUMMYFUNCTION("IMPORTRANGE(""https://docs.google.com/spreadsheets/d/1bozxp9FwhaCNzy-RRGPVPfVYTttO4PUGDdaFvbz-Ue0/edit?gid=1870218791#gid=1870218791"", ""Rev vs Mktg &amp; Mktg Mix!s"" &amp; ROW(S37))
"),49.36745)</f>
        <v>49.367449999999998</v>
      </c>
      <c r="S101" s="30">
        <f>VLOOKUP(VALUE(LEFT(A104, 4)), 'Raw Annual Revenue'!A:S, 19, FALSE) / 4</f>
        <v>7847</v>
      </c>
      <c r="T101" s="41" t="str">
        <f ca="1">IFERROR(__xludf.DUMMYFUNCTION("IMPORTRANGE(""https://docs.google.com/spreadsheets/d/1bozxp9FwhaCNzy-RRGPVPfVYTttO4PUGDdaFvbz-Ue0/edit?gid=1870218791#gid=1870218791"", ""Rev vs Mktg &amp; Mktg Mix!T"" &amp; ROW(Y37))
"),"")</f>
        <v/>
      </c>
      <c r="U101" s="28"/>
      <c r="V101" s="28"/>
      <c r="W101" s="30">
        <f>VLOOKUP(VALUE(LEFT($A103, 4)), 'Raw Annual Revenue'!$A:W, 23, FALSE) / 4</f>
        <v>180008.5</v>
      </c>
      <c r="X101" s="31">
        <f>VLOOKUP(VALUE(LEFT(A101, 4)), 'Raw Annual Revenue'!A:X, 24, FALSE) / 4</f>
        <v>38294.288699999997</v>
      </c>
      <c r="Y101" s="31">
        <f>VLOOKUP(VALUE(LEFT($A101, 4)), 'Raw Annual Revenue'!$A:Y, 25, FALSE) / 4</f>
        <v>12928.5</v>
      </c>
      <c r="Z101" s="31">
        <f>VLOOKUP(VALUE(LEFT($A101, 4)), 'Raw Annual Revenue'!$A:Z, 26, FALSE) / 4</f>
        <v>194090.5</v>
      </c>
      <c r="AA101" s="31">
        <f>VLOOKUP(VALUE(LEFT($A101, 4)), 'Raw Annual Revenue'!$A:AA, 27, FALSE) / 4</f>
        <v>3825.75</v>
      </c>
      <c r="AB101" s="31">
        <f>VLOOKUP(VALUE(LEFT($A101, 4)), 'Raw Annual Revenue'!$A:AB, 28, FALSE) / 4</f>
        <v>32912</v>
      </c>
    </row>
    <row r="102" spans="1:28" ht="13">
      <c r="A102" s="27" t="s">
        <v>127</v>
      </c>
      <c r="B102" s="38">
        <f ca="1">IFERROR(__xludf.DUMMYFUNCTION("IMPORTRANGE(""https://docs.google.com/spreadsheets/d/1bozxp9FwhaCNzy-RRGPVPfVYTttO4PUGDdaFvbz-Ue0/edit?gid=1870218791#gid=1870218791"", ""Rev vs Mktg &amp; Mktg Mix!B"" &amp; ROW(A38))
"),1532.196)</f>
        <v>1532.1959999999999</v>
      </c>
      <c r="C102" s="38">
        <f ca="1">IFERROR(__xludf.DUMMYFUNCTION("IMPORTRANGE(""https://docs.google.com/spreadsheets/d/1bozxp9FwhaCNzy-RRGPVPfVYTttO4PUGDdaFvbz-Ue0/edit?gid=1870218791#gid=1870218791"", ""Rev vs Mktg &amp; Mktg Mix!C"" &amp; ROW(B38))
"),2981)</f>
        <v>2981</v>
      </c>
      <c r="D102" s="38">
        <f ca="1">IFERROR(__xludf.DUMMYFUNCTION("IMPORTRANGE(""https://docs.google.com/spreadsheets/d/1bozxp9FwhaCNzy-RRGPVPfVYTttO4PUGDdaFvbz-Ue0/edit?gid=1870218791#gid=1870218791"", ""Rev vs Mktg &amp; Mktg Mix!D"" &amp; ROW(C38))
"),2279)</f>
        <v>2279</v>
      </c>
      <c r="E102" s="38">
        <f ca="1">IFERROR(__xludf.DUMMYFUNCTION("IMPORTRANGE(""https://docs.google.com/spreadsheets/d/1bozxp9FwhaCNzy-RRGPVPfVYTttO4PUGDdaFvbz-Ue0/edit?gid=1870218791#gid=1870218791"", ""Rev vs Mktg &amp; Mktg Mix!E"" &amp; ROW(E38))
"),735)</f>
        <v>735</v>
      </c>
      <c r="F102" s="38">
        <f ca="1">IFERROR(__xludf.DUMMYFUNCTION("IMPORTRANGE(""https://docs.google.com/spreadsheets/d/1bozxp9FwhaCNzy-RRGPVPfVYTttO4PUGDdaFvbz-Ue0/edit?gid=1870218791#gid=1870218791"", ""Rev vs Mktg &amp; Mktg Mix!F"" &amp; ROW(G38))
"),241)</f>
        <v>241</v>
      </c>
      <c r="G102" s="38">
        <f ca="1">IFERROR(__xludf.DUMMYFUNCTION("IMPORTRANGE(""https://docs.google.com/spreadsheets/d/1bozxp9FwhaCNzy-RRGPVPfVYTttO4PUGDdaFvbz-Ue0/edit?gid=1870218791#gid=1870218791"", ""Rev vs Mktg &amp; Mktg Mix!G"" &amp; ROW(I38))
"),89.126)</f>
        <v>89.126000000000005</v>
      </c>
      <c r="H102" s="38">
        <f ca="1">IFERROR(__xludf.DUMMYFUNCTION("IMPORTRANGE(""https://docs.google.com/spreadsheets/d/1bozxp9FwhaCNzy-RRGPVPfVYTttO4PUGDdaFvbz-Ue0/edit?gid=1870218791#gid=1870218791"", ""Rev vs Mktg &amp; Mktg Mix!H"" &amp; ROW(H38))
"),104.94)</f>
        <v>104.94</v>
      </c>
      <c r="I102" s="38">
        <f ca="1">IFERROR(__xludf.DUMMYFUNCTION("IMPORTRANGE(""https://docs.google.com/spreadsheets/d/1bozxp9FwhaCNzy-RRGPVPfVYTttO4PUGDdaFvbz-Ue0/edit?gid=1870218791#gid=1870218791"", ""Rev vs Mktg &amp; Mktg Mix!I"" &amp; ROW(K38))
"),124.556)</f>
        <v>124.556</v>
      </c>
      <c r="J102" s="38">
        <f ca="1">IFERROR(__xludf.DUMMYFUNCTION("IMPORTRANGE(""https://docs.google.com/spreadsheets/d/1bozxp9FwhaCNzy-RRGPVPfVYTttO4PUGDdaFvbz-Ue0/edit?gid=1870218791#gid=1870218791"", ""Rev vs Mktg &amp; Mktg Mix!J"" &amp; ROW(J38))
"),115.023)</f>
        <v>115.023</v>
      </c>
      <c r="K102" s="31">
        <f>VLOOKUP(VALUE(LEFT(A105, 4)), 'Raw Annual Revenue'!A:K, 11, FALSE) / 4</f>
        <v>12553.25</v>
      </c>
      <c r="L102" s="38">
        <f ca="1">IFERROR(__xludf.DUMMYFUNCTION("IMPORTRANGE(""https://docs.google.com/spreadsheets/d/1bozxp9FwhaCNzy-RRGPVPfVYTttO4PUGDdaFvbz-Ue0/edit?gid=1870218791#gid=1870218791"", ""Rev vs Mktg &amp; Mktg Mix!L"" &amp; ROW(N38))
"),50.0815124733)</f>
        <v>50.081512473300002</v>
      </c>
      <c r="M102" s="37">
        <f ca="1">IFERROR(__xludf.DUMMYFUNCTION("IMPORTRANGE(""https://docs.google.com/spreadsheets/d/1bozxp9FwhaCNzy-RRGPVPfVYTttO4PUGDdaFvbz-Ue0/edit?gid=1870218791#gid=1870218791"", ""Rev vs Mktg &amp; Mktg Mix!M"" &amp; ROW(M38))
"),38.7370738521428)</f>
        <v>38.7370738521428</v>
      </c>
      <c r="N102" s="37">
        <f ca="1">IFERROR(__xludf.DUMMYFUNCTION("IMPORTRANGE(""https://docs.google.com/spreadsheets/d/1bozxp9FwhaCNzy-RRGPVPfVYTttO4PUGDdaFvbz-Ue0/edit?gid=1870218791#gid=1870218791"", ""Rev vs Mktg &amp; Mktg Mix!N"" &amp; ROW(N38))
"),3.837)</f>
        <v>3.8370000000000002</v>
      </c>
      <c r="O102" s="37">
        <f ca="1">IFERROR(__xludf.DUMMYFUNCTION("IMPORTRANGE(""https://docs.google.com/spreadsheets/d/1bozxp9FwhaCNzy-RRGPVPfVYTttO4PUGDdaFvbz-Ue0/edit?gid=1870218791#gid=1870218791"", ""Rev vs Mktg &amp; Mktg Mix!O"" &amp; ROW(O38))
"),26.9749999999999)</f>
        <v>26.974999999999898</v>
      </c>
      <c r="P102" s="37">
        <f ca="1">IFERROR(__xludf.DUMMYFUNCTION("IMPORTRANGE(""https://docs.google.com/spreadsheets/d/1bozxp9FwhaCNzy-RRGPVPfVYTttO4PUGDdaFvbz-Ue0/edit?gid=1870218791#gid=1870218791"", ""Rev vs Mktg &amp; Mktg Mix!P"" &amp; ROW(P38))
"),6.2075)</f>
        <v>6.2074999999999996</v>
      </c>
      <c r="Q102" s="37"/>
      <c r="R102" s="35">
        <f ca="1">IFERROR(__xludf.DUMMYFUNCTION("IMPORTRANGE(""https://docs.google.com/spreadsheets/d/1bozxp9FwhaCNzy-RRGPVPfVYTttO4PUGDdaFvbz-Ue0/edit?gid=1870218791#gid=1870218791"", ""Rev vs Mktg &amp; Mktg Mix!s"" &amp; ROW(S38))
"),49.36745)</f>
        <v>49.367449999999998</v>
      </c>
      <c r="S102" s="30">
        <f>VLOOKUP(VALUE(LEFT(A105, 4)), 'Raw Annual Revenue'!A:S, 19, FALSE) / 4</f>
        <v>7847</v>
      </c>
      <c r="T102" s="41" t="str">
        <f ca="1">IFERROR(__xludf.DUMMYFUNCTION("IMPORTRANGE(""https://docs.google.com/spreadsheets/d/1bozxp9FwhaCNzy-RRGPVPfVYTttO4PUGDdaFvbz-Ue0/edit?gid=1870218791#gid=1870218791"", ""Rev vs Mktg &amp; Mktg Mix!T"" &amp; ROW(Y38))
"),"")</f>
        <v/>
      </c>
      <c r="U102" s="28"/>
      <c r="V102" s="28"/>
      <c r="W102" s="30">
        <f>VLOOKUP(VALUE(LEFT($A104, 4)), 'Raw Annual Revenue'!$A:W, 23, FALSE) / 4</f>
        <v>180008.5</v>
      </c>
      <c r="X102" s="31">
        <f>VLOOKUP(VALUE(LEFT(A102, 4)), 'Raw Annual Revenue'!A:X, 24, FALSE) / 4</f>
        <v>38294.288699999997</v>
      </c>
      <c r="Y102" s="31">
        <f>VLOOKUP(VALUE(LEFT($A102, 4)), 'Raw Annual Revenue'!$A:Y, 25, FALSE) / 4</f>
        <v>12928.5</v>
      </c>
      <c r="Z102" s="31">
        <f>VLOOKUP(VALUE(LEFT($A102, 4)), 'Raw Annual Revenue'!$A:Z, 26, FALSE) / 4</f>
        <v>194090.5</v>
      </c>
      <c r="AA102" s="31">
        <f>VLOOKUP(VALUE(LEFT($A102, 4)), 'Raw Annual Revenue'!$A:AA, 27, FALSE) / 4</f>
        <v>3825.75</v>
      </c>
      <c r="AB102" s="31">
        <f>VLOOKUP(VALUE(LEFT($A102, 4)), 'Raw Annual Revenue'!$A:AB, 28, FALSE) / 4</f>
        <v>32912</v>
      </c>
    </row>
    <row r="103" spans="1:28" ht="13">
      <c r="A103" s="27" t="s">
        <v>128</v>
      </c>
      <c r="B103" s="38">
        <f ca="1">IFERROR(__xludf.DUMMYFUNCTION("IMPORTRANGE(""https://docs.google.com/spreadsheets/d/1bozxp9FwhaCNzy-RRGPVPfVYTttO4PUGDdaFvbz-Ue0/edit?gid=1870218791#gid=1870218791"", ""Rev vs Mktg &amp; Mktg Mix!B"" &amp; ROW(A39))
"),1508.937)</f>
        <v>1508.9369999999999</v>
      </c>
      <c r="C103" s="38">
        <f ca="1">IFERROR(__xludf.DUMMYFUNCTION("IMPORTRANGE(""https://docs.google.com/spreadsheets/d/1bozxp9FwhaCNzy-RRGPVPfVYTttO4PUGDdaFvbz-Ue0/edit?gid=1870218791#gid=1870218791"", ""Rev vs Mktg &amp; Mktg Mix!C"" &amp; ROW(B39))
"),2695)</f>
        <v>2695</v>
      </c>
      <c r="D103" s="38">
        <f ca="1">IFERROR(__xludf.DUMMYFUNCTION("IMPORTRANGE(""https://docs.google.com/spreadsheets/d/1bozxp9FwhaCNzy-RRGPVPfVYTttO4PUGDdaFvbz-Ue0/edit?gid=1870218791#gid=1870218791"", ""Rev vs Mktg &amp; Mktg Mix!D"" &amp; ROW(C39))
"),2249)</f>
        <v>2249</v>
      </c>
      <c r="E103" s="38">
        <f ca="1">IFERROR(__xludf.DUMMYFUNCTION("IMPORTRANGE(""https://docs.google.com/spreadsheets/d/1bozxp9FwhaCNzy-RRGPVPfVYTttO4PUGDdaFvbz-Ue0/edit?gid=1870218791#gid=1870218791"", ""Rev vs Mktg &amp; Mktg Mix!E"" &amp; ROW(E39))
"),649)</f>
        <v>649</v>
      </c>
      <c r="F103" s="38">
        <f ca="1">IFERROR(__xludf.DUMMYFUNCTION("IMPORTRANGE(""https://docs.google.com/spreadsheets/d/1bozxp9FwhaCNzy-RRGPVPfVYTttO4PUGDdaFvbz-Ue0/edit?gid=1870218791#gid=1870218791"", ""Rev vs Mktg &amp; Mktg Mix!F"" &amp; ROW(G39))
"),262)</f>
        <v>262</v>
      </c>
      <c r="G103" s="38">
        <f ca="1">IFERROR(__xludf.DUMMYFUNCTION("IMPORTRANGE(""https://docs.google.com/spreadsheets/d/1bozxp9FwhaCNzy-RRGPVPfVYTttO4PUGDdaFvbz-Ue0/edit?gid=1870218791#gid=1870218791"", ""Rev vs Mktg &amp; Mktg Mix!G"" &amp; ROW(I39))
"),101.638)</f>
        <v>101.63800000000001</v>
      </c>
      <c r="H103" s="38">
        <f ca="1">IFERROR(__xludf.DUMMYFUNCTION("IMPORTRANGE(""https://docs.google.com/spreadsheets/d/1bozxp9FwhaCNzy-RRGPVPfVYTttO4PUGDdaFvbz-Ue0/edit?gid=1870218791#gid=1870218791"", ""Rev vs Mktg &amp; Mktg Mix!H"" &amp; ROW(H39))
"),130.79)</f>
        <v>130.79</v>
      </c>
      <c r="I103" s="38">
        <f ca="1">IFERROR(__xludf.DUMMYFUNCTION("IMPORTRANGE(""https://docs.google.com/spreadsheets/d/1bozxp9FwhaCNzy-RRGPVPfVYTttO4PUGDdaFvbz-Ue0/edit?gid=1870218791#gid=1870218791"", ""Rev vs Mktg &amp; Mktg Mix!I"" &amp; ROW(K39))
"),112.414)</f>
        <v>112.414</v>
      </c>
      <c r="J103" s="38">
        <f ca="1">IFERROR(__xludf.DUMMYFUNCTION("IMPORTRANGE(""https://docs.google.com/spreadsheets/d/1bozxp9FwhaCNzy-RRGPVPfVYTttO4PUGDdaFvbz-Ue0/edit?gid=1870218791#gid=1870218791"", ""Rev vs Mktg &amp; Mktg Mix!J"" &amp; ROW(J39))
"),88.587)</f>
        <v>88.587000000000003</v>
      </c>
      <c r="K103" s="31">
        <f>VLOOKUP(VALUE(LEFT(A106, 4)), 'Raw Annual Revenue'!A:K, 11, FALSE) / 4</f>
        <v>12553.25</v>
      </c>
      <c r="L103" s="38">
        <f ca="1">IFERROR(__xludf.DUMMYFUNCTION("IMPORTRANGE(""https://docs.google.com/spreadsheets/d/1bozxp9FwhaCNzy-RRGPVPfVYTttO4PUGDdaFvbz-Ue0/edit?gid=1870218791#gid=1870218791"", ""Rev vs Mktg &amp; Mktg Mix!L"" &amp; ROW(N39))
"),42.05933676)</f>
        <v>42.059336760000001</v>
      </c>
      <c r="M103" s="37">
        <f ca="1">IFERROR(__xludf.DUMMYFUNCTION("IMPORTRANGE(""https://docs.google.com/spreadsheets/d/1bozxp9FwhaCNzy-RRGPVPfVYTttO4PUGDdaFvbz-Ue0/edit?gid=1870218791#gid=1870218791"", ""Rev vs Mktg &amp; Mktg Mix!M"" &amp; ROW(M39))
"),35.4711)</f>
        <v>35.4711</v>
      </c>
      <c r="N103" s="37">
        <f ca="1">IFERROR(__xludf.DUMMYFUNCTION("IMPORTRANGE(""https://docs.google.com/spreadsheets/d/1bozxp9FwhaCNzy-RRGPVPfVYTttO4PUGDdaFvbz-Ue0/edit?gid=1870218791#gid=1870218791"", ""Rev vs Mktg &amp; Mktg Mix!N"" &amp; ROW(N39))
"),4.076)</f>
        <v>4.0759999999999996</v>
      </c>
      <c r="O103" s="37">
        <f ca="1">IFERROR(__xludf.DUMMYFUNCTION("IMPORTRANGE(""https://docs.google.com/spreadsheets/d/1bozxp9FwhaCNzy-RRGPVPfVYTttO4PUGDdaFvbz-Ue0/edit?gid=1870218791#gid=1870218791"", ""Rev vs Mktg &amp; Mktg Mix!O"" &amp; ROW(O39))
"),26.9749999999999)</f>
        <v>26.974999999999898</v>
      </c>
      <c r="P103" s="37">
        <f ca="1">IFERROR(__xludf.DUMMYFUNCTION("IMPORTRANGE(""https://docs.google.com/spreadsheets/d/1bozxp9FwhaCNzy-RRGPVPfVYTttO4PUGDdaFvbz-Ue0/edit?gid=1870218791#gid=1870218791"", ""Rev vs Mktg &amp; Mktg Mix!P"" &amp; ROW(P39))
"),6.2075)</f>
        <v>6.2074999999999996</v>
      </c>
      <c r="Q103" s="37"/>
      <c r="R103" s="35">
        <f ca="1">IFERROR(__xludf.DUMMYFUNCTION("IMPORTRANGE(""https://docs.google.com/spreadsheets/d/1bozxp9FwhaCNzy-RRGPVPfVYTttO4PUGDdaFvbz-Ue0/edit?gid=1870218791#gid=1870218791"", ""Rev vs Mktg &amp; Mktg Mix!s"" &amp; ROW(S39))
"),85.42325)</f>
        <v>85.423249999999996</v>
      </c>
      <c r="S103" s="30">
        <f>VLOOKUP(VALUE(LEFT(A106, 4)), 'Raw Annual Revenue'!A:S, 19, FALSE) / 4</f>
        <v>7847</v>
      </c>
      <c r="T103" s="41" t="str">
        <f ca="1">IFERROR(__xludf.DUMMYFUNCTION("IMPORTRANGE(""https://docs.google.com/spreadsheets/d/1bozxp9FwhaCNzy-RRGPVPfVYTttO4PUGDdaFvbz-Ue0/edit?gid=1870218791#gid=1870218791"", ""Rev vs Mktg &amp; Mktg Mix!T"" &amp; ROW(Y39))
"),"")</f>
        <v/>
      </c>
      <c r="U103" s="28"/>
      <c r="V103" s="28"/>
      <c r="W103" s="30">
        <f>VLOOKUP(VALUE(LEFT($A105, 4)), 'Raw Annual Revenue'!$A:W, 23, FALSE) / 4</f>
        <v>180008.5</v>
      </c>
      <c r="X103" s="31">
        <f>VLOOKUP(VALUE(LEFT(A103, 4)), 'Raw Annual Revenue'!A:X, 24, FALSE) / 4</f>
        <v>85651.121500000008</v>
      </c>
      <c r="Y103" s="31">
        <f>VLOOKUP(VALUE(LEFT($A103, 4)), 'Raw Annual Revenue'!$A:Y, 25, FALSE) / 4</f>
        <v>28811.75</v>
      </c>
      <c r="Z103" s="31">
        <f>VLOOKUP(VALUE(LEFT($A103, 4)), 'Raw Annual Revenue'!$A:Z, 26, FALSE) / 4</f>
        <v>66020.25</v>
      </c>
      <c r="AA103" s="31">
        <f>VLOOKUP(VALUE(LEFT($A103, 4)), 'Raw Annual Revenue'!$A:AA, 27, FALSE) / 4</f>
        <v>2910</v>
      </c>
      <c r="AB103" s="31">
        <f>VLOOKUP(VALUE(LEFT($A103, 4)), 'Raw Annual Revenue'!$A:AB, 28, FALSE) / 4</f>
        <v>56762.75</v>
      </c>
    </row>
    <row r="104" spans="1:28" ht="13">
      <c r="A104" s="27" t="s">
        <v>129</v>
      </c>
      <c r="B104" s="38">
        <f ca="1">IFERROR(__xludf.DUMMYFUNCTION("IMPORTRANGE(""https://docs.google.com/spreadsheets/d/1bozxp9FwhaCNzy-RRGPVPfVYTttO4PUGDdaFvbz-Ue0/edit?gid=1870218791#gid=1870218791"", ""Rev vs Mktg &amp; Mktg Mix!B"" &amp; ROW(A40))
"),2104.107)</f>
        <v>2104.107</v>
      </c>
      <c r="C104" s="38">
        <f ca="1">IFERROR(__xludf.DUMMYFUNCTION("IMPORTRANGE(""https://docs.google.com/spreadsheets/d/1bozxp9FwhaCNzy-RRGPVPfVYTttO4PUGDdaFvbz-Ue0/edit?gid=1870218791#gid=1870218791"", ""Rev vs Mktg &amp; Mktg Mix!C"" &amp; ROW(B40))
"),4294)</f>
        <v>4294</v>
      </c>
      <c r="D104" s="38">
        <f ca="1">IFERROR(__xludf.DUMMYFUNCTION("IMPORTRANGE(""https://docs.google.com/spreadsheets/d/1bozxp9FwhaCNzy-RRGPVPfVYTttO4PUGDdaFvbz-Ue0/edit?gid=1870218791#gid=1870218791"", ""Rev vs Mktg &amp; Mktg Mix!D"" &amp; ROW(C40))
"),3181)</f>
        <v>3181</v>
      </c>
      <c r="E104" s="38">
        <f ca="1">IFERROR(__xludf.DUMMYFUNCTION("IMPORTRANGE(""https://docs.google.com/spreadsheets/d/1bozxp9FwhaCNzy-RRGPVPfVYTttO4PUGDdaFvbz-Ue0/edit?gid=1870218791#gid=1870218791"", ""Rev vs Mktg &amp; Mktg Mix!E"" &amp; ROW(E40))
"),599)</f>
        <v>599</v>
      </c>
      <c r="F104" s="38">
        <f ca="1">IFERROR(__xludf.DUMMYFUNCTION("IMPORTRANGE(""https://docs.google.com/spreadsheets/d/1bozxp9FwhaCNzy-RRGPVPfVYTttO4PUGDdaFvbz-Ue0/edit?gid=1870218791#gid=1870218791"", ""Rev vs Mktg &amp; Mktg Mix!F"" &amp; ROW(G40))
"),417)</f>
        <v>417</v>
      </c>
      <c r="G104" s="38">
        <f ca="1">IFERROR(__xludf.DUMMYFUNCTION("IMPORTRANGE(""https://docs.google.com/spreadsheets/d/1bozxp9FwhaCNzy-RRGPVPfVYTttO4PUGDdaFvbz-Ue0/edit?gid=1870218791#gid=1870218791"", ""Rev vs Mktg &amp; Mktg Mix!G"" &amp; ROW(I40))
"),144.769)</f>
        <v>144.76900000000001</v>
      </c>
      <c r="H104" s="38">
        <f ca="1">IFERROR(__xludf.DUMMYFUNCTION("IMPORTRANGE(""https://docs.google.com/spreadsheets/d/1bozxp9FwhaCNzy-RRGPVPfVYTttO4PUGDdaFvbz-Ue0/edit?gid=1870218791#gid=1870218791"", ""Rev vs Mktg &amp; Mktg Mix!H"" &amp; ROW(H40))
"),160.27)</f>
        <v>160.27000000000001</v>
      </c>
      <c r="I104" s="38">
        <f ca="1">IFERROR(__xludf.DUMMYFUNCTION("IMPORTRANGE(""https://docs.google.com/spreadsheets/d/1bozxp9FwhaCNzy-RRGPVPfVYTttO4PUGDdaFvbz-Ue0/edit?gid=1870218791#gid=1870218791"", ""Rev vs Mktg &amp; Mktg Mix!I"" &amp; ROW(K40))
"),134.421)</f>
        <v>134.42099999999999</v>
      </c>
      <c r="J104" s="38">
        <f ca="1">IFERROR(__xludf.DUMMYFUNCTION("IMPORTRANGE(""https://docs.google.com/spreadsheets/d/1bozxp9FwhaCNzy-RRGPVPfVYTttO4PUGDdaFvbz-Ue0/edit?gid=1870218791#gid=1870218791"", ""Rev vs Mktg &amp; Mktg Mix!J"" &amp; ROW(J40))
"),142.733)</f>
        <v>142.733</v>
      </c>
      <c r="K104" s="31">
        <f>VLOOKUP(VALUE(LEFT(A107, 4)), 'Raw Annual Revenue'!A:K, 11, FALSE) / 4</f>
        <v>15251.75</v>
      </c>
      <c r="L104" s="38">
        <f ca="1">IFERROR(__xludf.DUMMYFUNCTION("IMPORTRANGE(""https://docs.google.com/spreadsheets/d/1bozxp9FwhaCNzy-RRGPVPfVYTttO4PUGDdaFvbz-Ue0/edit?gid=1870218791#gid=1870218791"", ""Rev vs Mktg &amp; Mktg Mix!L"" &amp; ROW(N40))
"),59.3056621479)</f>
        <v>59.305662147900001</v>
      </c>
      <c r="M104" s="37">
        <f ca="1">IFERROR(__xludf.DUMMYFUNCTION("IMPORTRANGE(""https://docs.google.com/spreadsheets/d/1bozxp9FwhaCNzy-RRGPVPfVYTttO4PUGDdaFvbz-Ue0/edit?gid=1870218791#gid=1870218791"", ""Rev vs Mktg &amp; Mktg Mix!M"" &amp; ROW(M40))
"),32.004)</f>
        <v>32.003999999999998</v>
      </c>
      <c r="N104" s="37">
        <f ca="1">IFERROR(__xludf.DUMMYFUNCTION("IMPORTRANGE(""https://docs.google.com/spreadsheets/d/1bozxp9FwhaCNzy-RRGPVPfVYTttO4PUGDdaFvbz-Ue0/edit?gid=1870218791#gid=1870218791"", ""Rev vs Mktg &amp; Mktg Mix!N"" &amp; ROW(N40))
"),5.556)</f>
        <v>5.556</v>
      </c>
      <c r="O104" s="37">
        <f ca="1">IFERROR(__xludf.DUMMYFUNCTION("IMPORTRANGE(""https://docs.google.com/spreadsheets/d/1bozxp9FwhaCNzy-RRGPVPfVYTttO4PUGDdaFvbz-Ue0/edit?gid=1870218791#gid=1870218791"", ""Rev vs Mktg &amp; Mktg Mix!O"" &amp; ROW(O40))
"),57.135)</f>
        <v>57.134999999999998</v>
      </c>
      <c r="P104" s="37">
        <f ca="1">IFERROR(__xludf.DUMMYFUNCTION("IMPORTRANGE(""https://docs.google.com/spreadsheets/d/1bozxp9FwhaCNzy-RRGPVPfVYTttO4PUGDdaFvbz-Ue0/edit?gid=1870218791#gid=1870218791"", ""Rev vs Mktg &amp; Mktg Mix!P"" &amp; ROW(P40))
"),16.835)</f>
        <v>16.835000000000001</v>
      </c>
      <c r="Q104" s="37"/>
      <c r="R104" s="35">
        <f ca="1">IFERROR(__xludf.DUMMYFUNCTION("IMPORTRANGE(""https://docs.google.com/spreadsheets/d/1bozxp9FwhaCNzy-RRGPVPfVYTttO4PUGDdaFvbz-Ue0/edit?gid=1870218791#gid=1870218791"", ""Rev vs Mktg &amp; Mktg Mix!s"" &amp; ROW(S40))
"),85.42325)</f>
        <v>85.423249999999996</v>
      </c>
      <c r="S104" s="42">
        <f ca="1">IFERROR(__xludf.DUMMYFUNCTION("IMPORTRANGE(""https://docs.google.com/spreadsheets/d/1bozxp9FwhaCNzy-RRGPVPfVYTttO4PUGDdaFvbz-Ue0/edit?gid=1870218791#gid=1870218791"", ""Rev vs Mktg &amp; Mktg Mix!T"" &amp; ROW(X40))
"),10.6974390243902)</f>
        <v>10.697439024390199</v>
      </c>
      <c r="T104" s="41">
        <f ca="1">IFERROR(__xludf.DUMMYFUNCTION("IMPORTRANGE(""https://docs.google.com/spreadsheets/d/1bozxp9FwhaCNzy-RRGPVPfVYTttO4PUGDdaFvbz-Ue0/edit?gid=1870218791#gid=1870218791"", ""Rev vs Mktg &amp; Mktg Mix!U"" &amp; ROW(Y40))
"),11.377)</f>
        <v>11.377000000000001</v>
      </c>
      <c r="U104" s="28"/>
      <c r="V104" s="28"/>
      <c r="W104" s="30">
        <f>VLOOKUP(VALUE(LEFT($A106, 4)), 'Raw Annual Revenue'!$A:W, 23, FALSE) / 4</f>
        <v>180008.5</v>
      </c>
      <c r="X104" s="31">
        <f>VLOOKUP(VALUE(LEFT(A104, 4)), 'Raw Annual Revenue'!A:X, 24, FALSE) / 4</f>
        <v>85651.121500000008</v>
      </c>
      <c r="Y104" s="31">
        <f>VLOOKUP(VALUE(LEFT($A104, 4)), 'Raw Annual Revenue'!$A:Y, 25, FALSE) / 4</f>
        <v>28811.75</v>
      </c>
      <c r="Z104" s="31">
        <f>VLOOKUP(VALUE(LEFT($A104, 4)), 'Raw Annual Revenue'!$A:Z, 26, FALSE) / 4</f>
        <v>66020.25</v>
      </c>
      <c r="AA104" s="31">
        <f>VLOOKUP(VALUE(LEFT($A104, 4)), 'Raw Annual Revenue'!$A:AA, 27, FALSE) / 4</f>
        <v>2910</v>
      </c>
      <c r="AB104" s="31">
        <f>VLOOKUP(VALUE(LEFT($A104, 4)), 'Raw Annual Revenue'!$A:AB, 28, FALSE) / 4</f>
        <v>56762.75</v>
      </c>
    </row>
    <row r="105" spans="1:28" ht="13">
      <c r="A105" s="27" t="s">
        <v>130</v>
      </c>
      <c r="B105" s="38">
        <f ca="1">IFERROR(__xludf.DUMMYFUNCTION("IMPORTRANGE(""https://docs.google.com/spreadsheets/d/1bozxp9FwhaCNzy-RRGPVPfVYTttO4PUGDdaFvbz-Ue0/edit?gid=1870218791#gid=1870218791"", ""Rev vs Mktg &amp; Mktg Mix!B"" &amp; ROW(A41))
"),2884.41)</f>
        <v>2884.41</v>
      </c>
      <c r="C105" s="38">
        <f ca="1">IFERROR(__xludf.DUMMYFUNCTION("IMPORTRANGE(""https://docs.google.com/spreadsheets/d/1bozxp9FwhaCNzy-RRGPVPfVYTttO4PUGDdaFvbz-Ue0/edit?gid=1870218791#gid=1870218791"", ""Rev vs Mktg &amp; Mktg Mix!C"" &amp; ROW(B41))
"),6052)</f>
        <v>6052</v>
      </c>
      <c r="D105" s="38">
        <f ca="1">IFERROR(__xludf.DUMMYFUNCTION("IMPORTRANGE(""https://docs.google.com/spreadsheets/d/1bozxp9FwhaCNzy-RRGPVPfVYTttO4PUGDdaFvbz-Ue0/edit?gid=1870218791#gid=1870218791"", ""Rev vs Mktg &amp; Mktg Mix!D"" &amp; ROW(C41))
"),3619)</f>
        <v>3619</v>
      </c>
      <c r="E105" s="38">
        <f ca="1">IFERROR(__xludf.DUMMYFUNCTION("IMPORTRANGE(""https://docs.google.com/spreadsheets/d/1bozxp9FwhaCNzy-RRGPVPfVYTttO4PUGDdaFvbz-Ue0/edit?gid=1870218791#gid=1870218791"", ""Rev vs Mktg &amp; Mktg Mix!E"" &amp; ROW(E41))
"),969)</f>
        <v>969</v>
      </c>
      <c r="F105" s="38">
        <f ca="1">IFERROR(__xludf.DUMMYFUNCTION("IMPORTRANGE(""https://docs.google.com/spreadsheets/d/1bozxp9FwhaCNzy-RRGPVPfVYTttO4PUGDdaFvbz-Ue0/edit?gid=1870218791#gid=1870218791"", ""Rev vs Mktg &amp; Mktg Mix!F"" &amp; ROW(G41))
"),459)</f>
        <v>459</v>
      </c>
      <c r="G105" s="38">
        <f ca="1">IFERROR(__xludf.DUMMYFUNCTION("IMPORTRANGE(""https://docs.google.com/spreadsheets/d/1bozxp9FwhaCNzy-RRGPVPfVYTttO4PUGDdaFvbz-Ue0/edit?gid=1870218791#gid=1870218791"", ""Rev vs Mktg &amp; Mktg Mix!G"" &amp; ROW(I41))
"),183.7)</f>
        <v>183.7</v>
      </c>
      <c r="H105" s="38">
        <f ca="1">IFERROR(__xludf.DUMMYFUNCTION("IMPORTRANGE(""https://docs.google.com/spreadsheets/d/1bozxp9FwhaCNzy-RRGPVPfVYTttO4PUGDdaFvbz-Ue0/edit?gid=1870218791#gid=1870218791"", ""Rev vs Mktg &amp; Mktg Mix!H"" &amp; ROW(H41))
"),157.63)</f>
        <v>157.63</v>
      </c>
      <c r="I105" s="38">
        <f ca="1">IFERROR(__xludf.DUMMYFUNCTION("IMPORTRANGE(""https://docs.google.com/spreadsheets/d/1bozxp9FwhaCNzy-RRGPVPfVYTttO4PUGDdaFvbz-Ue0/edit?gid=1870218791#gid=1870218791"", ""Rev vs Mktg &amp; Mktg Mix!I"" &amp; ROW(K41))
"),145.596)</f>
        <v>145.596</v>
      </c>
      <c r="J105" s="38">
        <f ca="1">IFERROR(__xludf.DUMMYFUNCTION("IMPORTRANGE(""https://docs.google.com/spreadsheets/d/1bozxp9FwhaCNzy-RRGPVPfVYTttO4PUGDdaFvbz-Ue0/edit?gid=1870218791#gid=1870218791"", ""Rev vs Mktg &amp; Mktg Mix!J"" &amp; ROW(J41))
"),131.254)</f>
        <v>131.25399999999999</v>
      </c>
      <c r="K105" s="31">
        <f>VLOOKUP(VALUE(LEFT(A108, 4)), 'Raw Annual Revenue'!A:K, 11, FALSE) / 4</f>
        <v>15251.75</v>
      </c>
      <c r="L105" s="38">
        <f ca="1">IFERROR(__xludf.DUMMYFUNCTION("IMPORTRANGE(""https://docs.google.com/spreadsheets/d/1bozxp9FwhaCNzy-RRGPVPfVYTttO4PUGDdaFvbz-Ue0/edit?gid=1870218791#gid=1870218791"", ""Rev vs Mktg &amp; Mktg Mix!L"" &amp; ROW(N41))
"),67.9769752598999)</f>
        <v>67.976975259899902</v>
      </c>
      <c r="M105" s="37">
        <f ca="1">IFERROR(__xludf.DUMMYFUNCTION("IMPORTRANGE(""https://docs.google.com/spreadsheets/d/1bozxp9FwhaCNzy-RRGPVPfVYTttO4PUGDdaFvbz-Ue0/edit?gid=1870218791#gid=1870218791"", ""Rev vs Mktg &amp; Mktg Mix!M"" &amp; ROW(M41))
"),35.2044)</f>
        <v>35.2044</v>
      </c>
      <c r="N105" s="37">
        <f ca="1">IFERROR(__xludf.DUMMYFUNCTION("IMPORTRANGE(""https://docs.google.com/spreadsheets/d/1bozxp9FwhaCNzy-RRGPVPfVYTttO4PUGDdaFvbz-Ue0/edit?gid=1870218791#gid=1870218791"", ""Rev vs Mktg &amp; Mktg Mix!N"" &amp; ROW(N41))
"),6.112)</f>
        <v>6.1120000000000001</v>
      </c>
      <c r="O105" s="37">
        <f ca="1">IFERROR(__xludf.DUMMYFUNCTION("IMPORTRANGE(""https://docs.google.com/spreadsheets/d/1bozxp9FwhaCNzy-RRGPVPfVYTttO4PUGDdaFvbz-Ue0/edit?gid=1870218791#gid=1870218791"", ""Rev vs Mktg &amp; Mktg Mix!O"" &amp; ROW(O41))
"),57.135)</f>
        <v>57.134999999999998</v>
      </c>
      <c r="P105" s="37">
        <f ca="1">IFERROR(__xludf.DUMMYFUNCTION("IMPORTRANGE(""https://docs.google.com/spreadsheets/d/1bozxp9FwhaCNzy-RRGPVPfVYTttO4PUGDdaFvbz-Ue0/edit?gid=1870218791#gid=1870218791"", ""Rev vs Mktg &amp; Mktg Mix!P"" &amp; ROW(P41))
"),16.835)</f>
        <v>16.835000000000001</v>
      </c>
      <c r="Q105" s="37"/>
      <c r="R105" s="35">
        <f ca="1">IFERROR(__xludf.DUMMYFUNCTION("IMPORTRANGE(""https://docs.google.com/spreadsheets/d/1bozxp9FwhaCNzy-RRGPVPfVYTttO4PUGDdaFvbz-Ue0/edit?gid=1870218791#gid=1870218791"", ""Rev vs Mktg &amp; Mktg Mix!s"" &amp; ROW(S41))
"),76.47475)</f>
        <v>76.47475</v>
      </c>
      <c r="S105" s="42">
        <f ca="1">IFERROR(__xludf.DUMMYFUNCTION("IMPORTRANGE(""https://docs.google.com/spreadsheets/d/1bozxp9FwhaCNzy-RRGPVPfVYTttO4PUGDdaFvbz-Ue0/edit?gid=1870218791#gid=1870218791"", ""Rev vs Mktg &amp; Mktg Mix!T"" &amp; ROW(X41))
"),13.1760975609756)</f>
        <v>13.176097560975601</v>
      </c>
      <c r="T105" s="41">
        <f ca="1">IFERROR(__xludf.DUMMYFUNCTION("IMPORTRANGE(""https://docs.google.com/spreadsheets/d/1bozxp9FwhaCNzy-RRGPVPfVYTttO4PUGDdaFvbz-Ue0/edit?gid=1870218791#gid=1870218791"", ""Rev vs Mktg &amp; Mktg Mix!U"" &amp; ROW(Y41))
"),10.217)</f>
        <v>10.217000000000001</v>
      </c>
      <c r="U105" s="28"/>
      <c r="V105" s="28"/>
      <c r="W105" s="30">
        <f>VLOOKUP(VALUE(LEFT($A107, 4)), 'Raw Annual Revenue'!$A:W, 23, FALSE) / 4</f>
        <v>378176.25</v>
      </c>
      <c r="X105" s="31">
        <f>VLOOKUP(VALUE(LEFT(A105, 4)), 'Raw Annual Revenue'!A:X, 24, FALSE) / 4</f>
        <v>85651.121500000008</v>
      </c>
      <c r="Y105" s="31">
        <f>VLOOKUP(VALUE(LEFT($A105, 4)), 'Raw Annual Revenue'!$A:Y, 25, FALSE) / 4</f>
        <v>28811.75</v>
      </c>
      <c r="Z105" s="31">
        <f>VLOOKUP(VALUE(LEFT($A105, 4)), 'Raw Annual Revenue'!$A:Z, 26, FALSE) / 4</f>
        <v>66020.25</v>
      </c>
      <c r="AA105" s="31">
        <f>VLOOKUP(VALUE(LEFT($A105, 4)), 'Raw Annual Revenue'!$A:AA, 27, FALSE) / 4</f>
        <v>2910</v>
      </c>
      <c r="AB105" s="31">
        <f>VLOOKUP(VALUE(LEFT($A105, 4)), 'Raw Annual Revenue'!$A:AB, 28, FALSE) / 4</f>
        <v>56762.75</v>
      </c>
    </row>
    <row r="106" spans="1:28" ht="13">
      <c r="A106" s="27" t="s">
        <v>131</v>
      </c>
      <c r="B106" s="38">
        <f ca="1">IFERROR(__xludf.DUMMYFUNCTION("IMPORTRANGE(""https://docs.google.com/spreadsheets/d/1bozxp9FwhaCNzy-RRGPVPfVYTttO4PUGDdaFvbz-Ue0/edit?gid=1870218791#gid=1870218791"", ""Rev vs Mktg &amp; Mktg Mix!B"" &amp; ROW(A42))
"),1902)</f>
        <v>1902</v>
      </c>
      <c r="C106" s="38">
        <f ca="1">IFERROR(__xludf.DUMMYFUNCTION("IMPORTRANGE(""https://docs.google.com/spreadsheets/d/1bozxp9FwhaCNzy-RRGPVPfVYTttO4PUGDdaFvbz-Ue0/edit?gid=1870218791#gid=1870218791"", ""Rev vs Mktg &amp; Mktg Mix!C"" &amp; ROW(B42))
"),4049)</f>
        <v>4049</v>
      </c>
      <c r="D106" s="38">
        <f ca="1">IFERROR(__xludf.DUMMYFUNCTION("IMPORTRANGE(""https://docs.google.com/spreadsheets/d/1bozxp9FwhaCNzy-RRGPVPfVYTttO4PUGDdaFvbz-Ue0/edit?gid=1870218791#gid=1870218791"", ""Rev vs Mktg &amp; Mktg Mix!D"" &amp; ROW(C42))
"),2618)</f>
        <v>2618</v>
      </c>
      <c r="E106" s="38">
        <f ca="1">IFERROR(__xludf.DUMMYFUNCTION("IMPORTRANGE(""https://docs.google.com/spreadsheets/d/1bozxp9FwhaCNzy-RRGPVPfVYTttO4PUGDdaFvbz-Ue0/edit?gid=1870218791#gid=1870218791"", ""Rev vs Mktg &amp; Mktg Mix!E"" &amp; ROW(E42))
"),730)</f>
        <v>730</v>
      </c>
      <c r="F106" s="38">
        <f ca="1">IFERROR(__xludf.DUMMYFUNCTION("IMPORTRANGE(""https://docs.google.com/spreadsheets/d/1bozxp9FwhaCNzy-RRGPVPfVYTttO4PUGDdaFvbz-Ue0/edit?gid=1870218791#gid=1870218791"", ""Rev vs Mktg &amp; Mktg Mix!F"" &amp; ROW(G42))
"),354)</f>
        <v>354</v>
      </c>
      <c r="G106" s="38">
        <f ca="1">IFERROR(__xludf.DUMMYFUNCTION("IMPORTRANGE(""https://docs.google.com/spreadsheets/d/1bozxp9FwhaCNzy-RRGPVPfVYTttO4PUGDdaFvbz-Ue0/edit?gid=1870218791#gid=1870218791"", ""Rev vs Mktg &amp; Mktg Mix!G"" &amp; ROW(I42))
"),104.889)</f>
        <v>104.889</v>
      </c>
      <c r="H106" s="38">
        <f ca="1">IFERROR(__xludf.DUMMYFUNCTION("IMPORTRANGE(""https://docs.google.com/spreadsheets/d/1bozxp9FwhaCNzy-RRGPVPfVYTttO4PUGDdaFvbz-Ue0/edit?gid=1870218791#gid=1870218791"", ""Rev vs Mktg &amp; Mktg Mix!H"" &amp; ROW(H42))
"),143.55)</f>
        <v>143.55000000000001</v>
      </c>
      <c r="I106" s="38">
        <f ca="1">IFERROR(__xludf.DUMMYFUNCTION("IMPORTRANGE(""https://docs.google.com/spreadsheets/d/1bozxp9FwhaCNzy-RRGPVPfVYTttO4PUGDdaFvbz-Ue0/edit?gid=1870218791#gid=1870218791"", ""Rev vs Mktg &amp; Mktg Mix!I"" &amp; ROW(K42))
"),145.542)</f>
        <v>145.542</v>
      </c>
      <c r="J106" s="38">
        <f ca="1">IFERROR(__xludf.DUMMYFUNCTION("IMPORTRANGE(""https://docs.google.com/spreadsheets/d/1bozxp9FwhaCNzy-RRGPVPfVYTttO4PUGDdaFvbz-Ue0/edit?gid=1870218791#gid=1870218791"", ""Rev vs Mktg &amp; Mktg Mix!J"" &amp; ROW(J42))
"),170.526)</f>
        <v>170.52600000000001</v>
      </c>
      <c r="K106" s="31">
        <f>VLOOKUP(VALUE(LEFT(A109, 4)), 'Raw Annual Revenue'!A:K, 11, FALSE) / 4</f>
        <v>15251.75</v>
      </c>
      <c r="L106" s="38">
        <f ca="1">IFERROR(__xludf.DUMMYFUNCTION("IMPORTRANGE(""https://docs.google.com/spreadsheets/d/1bozxp9FwhaCNzy-RRGPVPfVYTttO4PUGDdaFvbz-Ue0/edit?gid=1870218791#gid=1870218791"", ""Rev vs Mktg &amp; Mktg Mix!L"" &amp; ROW(N42))
"),77.1258984656999)</f>
        <v>77.125898465699905</v>
      </c>
      <c r="M106" s="37">
        <f ca="1">IFERROR(__xludf.DUMMYFUNCTION("IMPORTRANGE(""https://docs.google.com/spreadsheets/d/1bozxp9FwhaCNzy-RRGPVPfVYTttO4PUGDdaFvbz-Ue0/edit?gid=1870218791#gid=1870218791"", ""Rev vs Mktg &amp; Mktg Mix!M"" &amp; ROW(M42))
"),30.6705)</f>
        <v>30.670500000000001</v>
      </c>
      <c r="N106" s="37">
        <f ca="1">IFERROR(__xludf.DUMMYFUNCTION("IMPORTRANGE(""https://docs.google.com/spreadsheets/d/1bozxp9FwhaCNzy-RRGPVPfVYTttO4PUGDdaFvbz-Ue0/edit?gid=1870218791#gid=1870218791"", ""Rev vs Mktg &amp; Mktg Mix!N"" &amp; ROW(N42))
"),5.487)</f>
        <v>5.4870000000000001</v>
      </c>
      <c r="O106" s="37">
        <f ca="1">IFERROR(__xludf.DUMMYFUNCTION("IMPORTRANGE(""https://docs.google.com/spreadsheets/d/1bozxp9FwhaCNzy-RRGPVPfVYTttO4PUGDdaFvbz-Ue0/edit?gid=1870218791#gid=1870218791"", ""Rev vs Mktg &amp; Mktg Mix!O"" &amp; ROW(O42))
"),61.2949999999999)</f>
        <v>61.294999999999902</v>
      </c>
      <c r="P106" s="37">
        <f ca="1">IFERROR(__xludf.DUMMYFUNCTION("IMPORTRANGE(""https://docs.google.com/spreadsheets/d/1bozxp9FwhaCNzy-RRGPVPfVYTttO4PUGDdaFvbz-Ue0/edit?gid=1870218791#gid=1870218791"", ""Rev vs Mktg &amp; Mktg Mix!P"" &amp; ROW(P42))
"),18.2)</f>
        <v>18.2</v>
      </c>
      <c r="Q106" s="37"/>
      <c r="R106" s="35">
        <f ca="1">IFERROR(__xludf.DUMMYFUNCTION("IMPORTRANGE(""https://docs.google.com/spreadsheets/d/1bozxp9FwhaCNzy-RRGPVPfVYTttO4PUGDdaFvbz-Ue0/edit?gid=1870218791#gid=1870218791"", ""Rev vs Mktg &amp; Mktg Mix!s"" &amp; ROW(S42))
"),76.47475)</f>
        <v>76.47475</v>
      </c>
      <c r="S106" s="42">
        <f ca="1">IFERROR(__xludf.DUMMYFUNCTION("IMPORTRANGE(""https://docs.google.com/spreadsheets/d/1bozxp9FwhaCNzy-RRGPVPfVYTttO4PUGDdaFvbz-Ue0/edit?gid=1870218791#gid=1870218791"", ""Rev vs Mktg &amp; Mktg Mix!T"" &amp; ROW(X42))
"),16.3684146341463)</f>
        <v>16.368414634146301</v>
      </c>
      <c r="T106" s="41">
        <f ca="1">IFERROR(__xludf.DUMMYFUNCTION("IMPORTRANGE(""https://docs.google.com/spreadsheets/d/1bozxp9FwhaCNzy-RRGPVPfVYTttO4PUGDdaFvbz-Ue0/edit?gid=1870218791#gid=1870218791"", ""Rev vs Mktg &amp; Mktg Mix!U"" &amp; ROW(Y42))
"),10.911)</f>
        <v>10.911</v>
      </c>
      <c r="U106" s="28"/>
      <c r="V106" s="28"/>
      <c r="W106" s="30">
        <f>VLOOKUP(VALUE(LEFT($A108, 4)), 'Raw Annual Revenue'!$A:W, 23, FALSE) / 4</f>
        <v>378176.25</v>
      </c>
      <c r="X106" s="31">
        <f>VLOOKUP(VALUE(LEFT(A106, 4)), 'Raw Annual Revenue'!A:X, 24, FALSE) / 4</f>
        <v>85651.121500000008</v>
      </c>
      <c r="Y106" s="31">
        <f>VLOOKUP(VALUE(LEFT($A106, 4)), 'Raw Annual Revenue'!$A:Y, 25, FALSE) / 4</f>
        <v>28811.75</v>
      </c>
      <c r="Z106" s="31">
        <f>VLOOKUP(VALUE(LEFT($A106, 4)), 'Raw Annual Revenue'!$A:Z, 26, FALSE) / 4</f>
        <v>66020.25</v>
      </c>
      <c r="AA106" s="31">
        <f>VLOOKUP(VALUE(LEFT($A106, 4)), 'Raw Annual Revenue'!$A:AA, 27, FALSE) / 4</f>
        <v>2910</v>
      </c>
      <c r="AB106" s="31">
        <f>VLOOKUP(VALUE(LEFT($A106, 4)), 'Raw Annual Revenue'!$A:AB, 28, FALSE) / 4</f>
        <v>56762.75</v>
      </c>
    </row>
    <row r="107" spans="1:28" ht="13">
      <c r="A107" s="27" t="s">
        <v>132</v>
      </c>
      <c r="B107" s="38">
        <f ca="1">IFERROR(__xludf.DUMMYFUNCTION("IMPORTRANGE(""https://docs.google.com/spreadsheets/d/1bozxp9FwhaCNzy-RRGPVPfVYTttO4PUGDdaFvbz-Ue0/edit?gid=1870218791#gid=1870218791"", ""Rev vs Mktg &amp; Mktg Mix!B"" &amp; ROW(A43))
"),1818)</f>
        <v>1818</v>
      </c>
      <c r="C107" s="38">
        <f ca="1">IFERROR(__xludf.DUMMYFUNCTION("IMPORTRANGE(""https://docs.google.com/spreadsheets/d/1bozxp9FwhaCNzy-RRGPVPfVYTttO4PUGDdaFvbz-Ue0/edit?gid=1870218791#gid=1870218791"", ""Rev vs Mktg &amp; Mktg Mix!C"" &amp; ROW(B43))
"),3778)</f>
        <v>3778</v>
      </c>
      <c r="D107" s="38">
        <f ca="1">IFERROR(__xludf.DUMMYFUNCTION("IMPORTRANGE(""https://docs.google.com/spreadsheets/d/1bozxp9FwhaCNzy-RRGPVPfVYTttO4PUGDdaFvbz-Ue0/edit?gid=1870218791#gid=1870218791"", ""Rev vs Mktg &amp; Mktg Mix!D"" &amp; ROW(C43))
"),2665)</f>
        <v>2665</v>
      </c>
      <c r="E107" s="38">
        <f ca="1">IFERROR(__xludf.DUMMYFUNCTION("IMPORTRANGE(""https://docs.google.com/spreadsheets/d/1bozxp9FwhaCNzy-RRGPVPfVYTttO4PUGDdaFvbz-Ue0/edit?gid=1870218791#gid=1870218791"", ""Rev vs Mktg &amp; Mktg Mix!E"" &amp; ROW(E43))
"),1341)</f>
        <v>1341</v>
      </c>
      <c r="F107" s="38">
        <f ca="1">IFERROR(__xludf.DUMMYFUNCTION("IMPORTRANGE(""https://docs.google.com/spreadsheets/d/1bozxp9FwhaCNzy-RRGPVPfVYTttO4PUGDdaFvbz-Ue0/edit?gid=1870218791#gid=1870218791"", ""Rev vs Mktg &amp; Mktg Mix!F"" &amp; ROW(G43))
"),371)</f>
        <v>371</v>
      </c>
      <c r="G107" s="38">
        <f ca="1">IFERROR(__xludf.DUMMYFUNCTION("IMPORTRANGE(""https://docs.google.com/spreadsheets/d/1bozxp9FwhaCNzy-RRGPVPfVYTttO4PUGDdaFvbz-Ue0/edit?gid=1870218791#gid=1870218791"", ""Rev vs Mktg &amp; Mktg Mix!G"" &amp; ROW(I43))
"),111.036)</f>
        <v>111.036</v>
      </c>
      <c r="H107" s="38">
        <f ca="1">IFERROR(__xludf.DUMMYFUNCTION("IMPORTRANGE(""https://docs.google.com/spreadsheets/d/1bozxp9FwhaCNzy-RRGPVPfVYTttO4PUGDdaFvbz-Ue0/edit?gid=1870218791#gid=1870218791"", ""Rev vs Mktg &amp; Mktg Mix!H"" &amp; ROW(H43))
"),165.11)</f>
        <v>165.11</v>
      </c>
      <c r="I107" s="38">
        <f ca="1">IFERROR(__xludf.DUMMYFUNCTION("IMPORTRANGE(""https://docs.google.com/spreadsheets/d/1bozxp9FwhaCNzy-RRGPVPfVYTttO4PUGDdaFvbz-Ue0/edit?gid=1870218791#gid=1870218791"", ""Rev vs Mktg &amp; Mktg Mix!I"" &amp; ROW(K43))
"),158.707)</f>
        <v>158.70699999999999</v>
      </c>
      <c r="J107" s="38">
        <f ca="1">IFERROR(__xludf.DUMMYFUNCTION("IMPORTRANGE(""https://docs.google.com/spreadsheets/d/1bozxp9FwhaCNzy-RRGPVPfVYTttO4PUGDdaFvbz-Ue0/edit?gid=1870218791#gid=1870218791"", ""Rev vs Mktg &amp; Mktg Mix!J"" &amp; ROW(J43))
"),148.523)</f>
        <v>148.523</v>
      </c>
      <c r="K107" s="31">
        <f>VLOOKUP(VALUE(LEFT(A110, 4)), 'Raw Annual Revenue'!A:K, 11, FALSE) / 4</f>
        <v>15251.75</v>
      </c>
      <c r="L107" s="38">
        <f ca="1">IFERROR(__xludf.DUMMYFUNCTION("IMPORTRANGE(""https://docs.google.com/spreadsheets/d/1bozxp9FwhaCNzy-RRGPVPfVYTttO4PUGDdaFvbz-Ue0/edit?gid=1870218791#gid=1870218791"", ""Rev vs Mktg &amp; Mktg Mix!L"" &amp; ROW(N43))
"),83.1454142778)</f>
        <v>83.1454142778</v>
      </c>
      <c r="M107" s="37">
        <f ca="1">IFERROR(__xludf.DUMMYFUNCTION("IMPORTRANGE(""https://docs.google.com/spreadsheets/d/1bozxp9FwhaCNzy-RRGPVPfVYTttO4PUGDdaFvbz-Ue0/edit?gid=1870218791#gid=1870218791"", ""Rev vs Mktg &amp; Mktg Mix!M"" &amp; ROW(M43))
"),45.0723)</f>
        <v>45.072299999999998</v>
      </c>
      <c r="N107" s="37">
        <f ca="1">IFERROR(__xludf.DUMMYFUNCTION("IMPORTRANGE(""https://docs.google.com/spreadsheets/d/1bozxp9FwhaCNzy-RRGPVPfVYTttO4PUGDdaFvbz-Ue0/edit?gid=1870218791#gid=1870218791"", ""Rev vs Mktg &amp; Mktg Mix!N"" &amp; ROW(N43))
"),6.422)</f>
        <v>6.4219999999999997</v>
      </c>
      <c r="O107" s="37">
        <f ca="1">IFERROR(__xludf.DUMMYFUNCTION("IMPORTRANGE(""https://docs.google.com/spreadsheets/d/1bozxp9FwhaCNzy-RRGPVPfVYTttO4PUGDdaFvbz-Ue0/edit?gid=1870218791#gid=1870218791"", ""Rev vs Mktg &amp; Mktg Mix!O"" &amp; ROW(O43))
"),61.2949999999999)</f>
        <v>61.294999999999902</v>
      </c>
      <c r="P107" s="37">
        <f ca="1">IFERROR(__xludf.DUMMYFUNCTION("IMPORTRANGE(""https://docs.google.com/spreadsheets/d/1bozxp9FwhaCNzy-RRGPVPfVYTttO4PUGDdaFvbz-Ue0/edit?gid=1870218791#gid=1870218791"", ""Rev vs Mktg &amp; Mktg Mix!P"" &amp; ROW(P43))
"),18.2)</f>
        <v>18.2</v>
      </c>
      <c r="Q107" s="37"/>
      <c r="R107" s="35">
        <f ca="1">IFERROR(__xludf.DUMMYFUNCTION("IMPORTRANGE(""https://docs.google.com/spreadsheets/d/1bozxp9FwhaCNzy-RRGPVPfVYTttO4PUGDdaFvbz-Ue0/edit?gid=1870218791#gid=1870218791"", ""Rev vs Mktg &amp; Mktg Mix!s"" &amp; ROW(S43))
"),98.01)</f>
        <v>98.01</v>
      </c>
      <c r="S107" s="42">
        <f ca="1">IFERROR(__xludf.DUMMYFUNCTION("IMPORTRANGE(""https://docs.google.com/spreadsheets/d/1bozxp9FwhaCNzy-RRGPVPfVYTttO4PUGDdaFvbz-Ue0/edit?gid=1870218791#gid=1870218791"", ""Rev vs Mktg &amp; Mktg Mix!T"" &amp; ROW(X43))
"),14.1228048780487)</f>
        <v>14.122804878048701</v>
      </c>
      <c r="T107" s="41">
        <f ca="1">IFERROR(__xludf.DUMMYFUNCTION("IMPORTRANGE(""https://docs.google.com/spreadsheets/d/1bozxp9FwhaCNzy-RRGPVPfVYTttO4PUGDdaFvbz-Ue0/edit?gid=1870218791#gid=1870218791"", ""Rev vs Mktg &amp; Mktg Mix!U"" &amp; ROW(Y43))
"),14.531)</f>
        <v>14.531000000000001</v>
      </c>
      <c r="U107" s="28"/>
      <c r="V107" s="28"/>
      <c r="W107" s="30">
        <f>VLOOKUP(VALUE(LEFT($A109, 4)), 'Raw Annual Revenue'!$A:W, 23, FALSE) / 4</f>
        <v>378176.25</v>
      </c>
      <c r="X107" s="31">
        <f>VLOOKUP(VALUE(LEFT(A107, 4)), 'Raw Annual Revenue'!A:X, 24, FALSE) / 4</f>
        <v>109197.5</v>
      </c>
      <c r="Y107" s="31">
        <f>VLOOKUP(VALUE(LEFT($A107, 4)), 'Raw Annual Revenue'!$A:Y, 25, FALSE) / 4</f>
        <v>51823.75</v>
      </c>
      <c r="Z107" s="31">
        <f>VLOOKUP(VALUE(LEFT($A107, 4)), 'Raw Annual Revenue'!$A:Z, 26, FALSE) / 4</f>
        <v>78524</v>
      </c>
      <c r="AA107" s="31">
        <f>VLOOKUP(VALUE(LEFT($A107, 4)), 'Raw Annual Revenue'!$A:AA, 27, FALSE) / 4</f>
        <v>0</v>
      </c>
      <c r="AB107" s="31">
        <f>VLOOKUP(VALUE(LEFT($A107, 4)), 'Raw Annual Revenue'!$A:AB, 28, FALSE) / 4</f>
        <v>74501</v>
      </c>
    </row>
    <row r="108" spans="1:28" ht="13">
      <c r="A108" s="27" t="s">
        <v>133</v>
      </c>
      <c r="B108" s="38">
        <f ca="1">IFERROR(__xludf.DUMMYFUNCTION("IMPORTRANGE(""https://docs.google.com/spreadsheets/d/1bozxp9FwhaCNzy-RRGPVPfVYTttO4PUGDdaFvbz-Ue0/edit?gid=1870218791#gid=1870218791"", ""Rev vs Mktg &amp; Mktg Mix!B"" &amp; ROW(A44))
"),2484)</f>
        <v>2484</v>
      </c>
      <c r="C108" s="38">
        <f ca="1">IFERROR(__xludf.DUMMYFUNCTION("IMPORTRANGE(""https://docs.google.com/spreadsheets/d/1bozxp9FwhaCNzy-RRGPVPfVYTttO4PUGDdaFvbz-Ue0/edit?gid=1870218791#gid=1870218791"", ""Rev vs Mktg &amp; Mktg Mix!C"" &amp; ROW(B44))
"),5462)</f>
        <v>5462</v>
      </c>
      <c r="D108" s="38">
        <f ca="1">IFERROR(__xludf.DUMMYFUNCTION("IMPORTRANGE(""https://docs.google.com/spreadsheets/d/1bozxp9FwhaCNzy-RRGPVPfVYTttO4PUGDdaFvbz-Ue0/edit?gid=1870218791#gid=1870218791"", ""Rev vs Mktg &amp; Mktg Mix!D"" &amp; ROW(C44))
"),3358)</f>
        <v>3358</v>
      </c>
      <c r="E108" s="38">
        <f ca="1">IFERROR(__xludf.DUMMYFUNCTION("IMPORTRANGE(""https://docs.google.com/spreadsheets/d/1bozxp9FwhaCNzy-RRGPVPfVYTttO4PUGDdaFvbz-Ue0/edit?gid=1870218791#gid=1870218791"", ""Rev vs Mktg &amp; Mktg Mix!E"" &amp; ROW(E44))
"),1554)</f>
        <v>1554</v>
      </c>
      <c r="F108" s="38">
        <f ca="1">IFERROR(__xludf.DUMMYFUNCTION("IMPORTRANGE(""https://docs.google.com/spreadsheets/d/1bozxp9FwhaCNzy-RRGPVPfVYTttO4PUGDdaFvbz-Ue0/edit?gid=1870218791#gid=1870218791"", ""Rev vs Mktg &amp; Mktg Mix!F"" &amp; ROW(G44))
"),494)</f>
        <v>494</v>
      </c>
      <c r="G108" s="38">
        <f ca="1">IFERROR(__xludf.DUMMYFUNCTION("IMPORTRANGE(""https://docs.google.com/spreadsheets/d/1bozxp9FwhaCNzy-RRGPVPfVYTttO4PUGDdaFvbz-Ue0/edit?gid=1870218791#gid=1870218791"", ""Rev vs Mktg &amp; Mktg Mix!G"" &amp; ROW(I44))
"),124.436)</f>
        <v>124.43600000000001</v>
      </c>
      <c r="H108" s="38">
        <f ca="1">IFERROR(__xludf.DUMMYFUNCTION("IMPORTRANGE(""https://docs.google.com/spreadsheets/d/1bozxp9FwhaCNzy-RRGPVPfVYTttO4PUGDdaFvbz-Ue0/edit?gid=1870218791#gid=1870218791"", ""Rev vs Mktg &amp; Mktg Mix!H"" &amp; ROW(H44))
"),173.25)</f>
        <v>173.25</v>
      </c>
      <c r="I108" s="38">
        <f ca="1">IFERROR(__xludf.DUMMYFUNCTION("IMPORTRANGE(""https://docs.google.com/spreadsheets/d/1bozxp9FwhaCNzy-RRGPVPfVYTttO4PUGDdaFvbz-Ue0/edit?gid=1870218791#gid=1870218791"", ""Rev vs Mktg &amp; Mktg Mix!I"" &amp; ROW(K44))
"),165.524)</f>
        <v>165.524</v>
      </c>
      <c r="J108" s="38">
        <f ca="1">IFERROR(__xludf.DUMMYFUNCTION("IMPORTRANGE(""https://docs.google.com/spreadsheets/d/1bozxp9FwhaCNzy-RRGPVPfVYTttO4PUGDdaFvbz-Ue0/edit?gid=1870218791#gid=1870218791"", ""Rev vs Mktg &amp; Mktg Mix!J"" &amp; ROW(J44))
"),196.731)</f>
        <v>196.73099999999999</v>
      </c>
      <c r="K108" s="31">
        <f>VLOOKUP(VALUE(LEFT(A111, 4)), 'Raw Annual Revenue'!A:K, 11, FALSE) / 4</f>
        <v>19943</v>
      </c>
      <c r="L108" s="38">
        <f ca="1">IFERROR(__xludf.DUMMYFUNCTION("IMPORTRANGE(""https://docs.google.com/spreadsheets/d/1bozxp9FwhaCNzy-RRGPVPfVYTttO4PUGDdaFvbz-Ue0/edit?gid=1870218791#gid=1870218791"", ""Rev vs Mktg &amp; Mktg Mix!L"" &amp; ROW(N44))
"),91.962064488)</f>
        <v>91.962064487999996</v>
      </c>
      <c r="M108" s="37">
        <f ca="1">IFERROR(__xludf.DUMMYFUNCTION("IMPORTRANGE(""https://docs.google.com/spreadsheets/d/1bozxp9FwhaCNzy-RRGPVPfVYTttO4PUGDdaFvbz-Ue0/edit?gid=1870218791#gid=1870218791"", ""Rev vs Mktg &amp; Mktg Mix!M"" &amp; ROW(M44))
"),49.6062)</f>
        <v>49.606200000000001</v>
      </c>
      <c r="N108" s="37">
        <f ca="1">IFERROR(__xludf.DUMMYFUNCTION("IMPORTRANGE(""https://docs.google.com/spreadsheets/d/1bozxp9FwhaCNzy-RRGPVPfVYTttO4PUGDdaFvbz-Ue0/edit?gid=1870218791#gid=1870218791"", ""Rev vs Mktg &amp; Mktg Mix!N"" &amp; ROW(N44))
"),7.795)</f>
        <v>7.7949999999999999</v>
      </c>
      <c r="O108" s="37">
        <f ca="1">IFERROR(__xludf.DUMMYFUNCTION("IMPORTRANGE(""https://docs.google.com/spreadsheets/d/1bozxp9FwhaCNzy-RRGPVPfVYTttO4PUGDdaFvbz-Ue0/edit?gid=1870218791#gid=1870218791"", ""Rev vs Mktg &amp; Mktg Mix!O"" &amp; ROW(O44))
"),79.4625)</f>
        <v>79.462500000000006</v>
      </c>
      <c r="P108" s="37">
        <f ca="1">IFERROR(__xludf.DUMMYFUNCTION("IMPORTRANGE(""https://docs.google.com/spreadsheets/d/1bozxp9FwhaCNzy-RRGPVPfVYTttO4PUGDdaFvbz-Ue0/edit?gid=1870218791#gid=1870218791"", ""Rev vs Mktg &amp; Mktg Mix!P"" &amp; ROW(P44))
"),17.8425)</f>
        <v>17.842500000000001</v>
      </c>
      <c r="Q108" s="37"/>
      <c r="R108" s="35">
        <f ca="1">IFERROR(__xludf.DUMMYFUNCTION("IMPORTRANGE(""https://docs.google.com/spreadsheets/d/1bozxp9FwhaCNzy-RRGPVPfVYTttO4PUGDdaFvbz-Ue0/edit?gid=1870218791#gid=1870218791"", ""Rev vs Mktg &amp; Mktg Mix!s"" &amp; ROW(S44))
"),99.99)</f>
        <v>99.99</v>
      </c>
      <c r="S108" s="42">
        <f ca="1">IFERROR(__xludf.DUMMYFUNCTION("IMPORTRANGE(""https://docs.google.com/spreadsheets/d/1bozxp9FwhaCNzy-RRGPVPfVYTttO4PUGDdaFvbz-Ue0/edit?gid=1870218791#gid=1870218791"", ""Rev vs Mktg &amp; Mktg Mix!T"" &amp; ROW(X44))
"),12.8603658536585)</f>
        <v>12.8603658536585</v>
      </c>
      <c r="T108" s="41">
        <f ca="1">IFERROR(__xludf.DUMMYFUNCTION("IMPORTRANGE(""https://docs.google.com/spreadsheets/d/1bozxp9FwhaCNzy-RRGPVPfVYTttO4PUGDdaFvbz-Ue0/edit?gid=1870218791#gid=1870218791"", ""Rev vs Mktg &amp; Mktg Mix!U"" &amp; ROW(Y44))
"),13.476)</f>
        <v>13.476000000000001</v>
      </c>
      <c r="U108" s="28"/>
      <c r="V108" s="28"/>
      <c r="W108" s="30">
        <f>VLOOKUP(VALUE(LEFT($A110, 4)), 'Raw Annual Revenue'!$A:W, 23, FALSE) / 4</f>
        <v>378176.25</v>
      </c>
      <c r="X108" s="31">
        <f>VLOOKUP(VALUE(LEFT(A108, 4)), 'Raw Annual Revenue'!A:X, 24, FALSE) / 4</f>
        <v>109197.5</v>
      </c>
      <c r="Y108" s="31">
        <f>VLOOKUP(VALUE(LEFT($A108, 4)), 'Raw Annual Revenue'!$A:Y, 25, FALSE) / 4</f>
        <v>51823.75</v>
      </c>
      <c r="Z108" s="31">
        <f>VLOOKUP(VALUE(LEFT($A108, 4)), 'Raw Annual Revenue'!$A:Z, 26, FALSE) / 4</f>
        <v>78524</v>
      </c>
      <c r="AA108" s="31">
        <f>VLOOKUP(VALUE(LEFT($A108, 4)), 'Raw Annual Revenue'!$A:AA, 27, FALSE) / 4</f>
        <v>0</v>
      </c>
      <c r="AB108" s="31">
        <f>VLOOKUP(VALUE(LEFT($A108, 4)), 'Raw Annual Revenue'!$A:AB, 28, FALSE) / 4</f>
        <v>74501</v>
      </c>
    </row>
    <row r="109" spans="1:28" ht="13">
      <c r="A109" s="27" t="s">
        <v>134</v>
      </c>
      <c r="B109" s="38">
        <f ca="1">IFERROR(__xludf.DUMMYFUNCTION("IMPORTRANGE(""https://docs.google.com/spreadsheets/d/1bozxp9FwhaCNzy-RRGPVPfVYTttO4PUGDdaFvbz-Ue0/edit?gid=1870218791#gid=1870218791"", ""Rev vs Mktg &amp; Mktg Mix!B"" &amp; ROW(A45))
"),3397)</f>
        <v>3397</v>
      </c>
      <c r="C109" s="38">
        <f ca="1">IFERROR(__xludf.DUMMYFUNCTION("IMPORTRANGE(""https://docs.google.com/spreadsheets/d/1bozxp9FwhaCNzy-RRGPVPfVYTttO4PUGDdaFvbz-Ue0/edit?gid=1870218791#gid=1870218791"", ""Rev vs Mktg &amp; Mktg Mix!C"" &amp; ROW(B45))
"),7341)</f>
        <v>7341</v>
      </c>
      <c r="D109" s="38">
        <f ca="1">IFERROR(__xludf.DUMMYFUNCTION("IMPORTRANGE(""https://docs.google.com/spreadsheets/d/1bozxp9FwhaCNzy-RRGPVPfVYTttO4PUGDdaFvbz-Ue0/edit?gid=1870218791#gid=1870218791"", ""Rev vs Mktg &amp; Mktg Mix!D"" &amp; ROW(C45))
"),3929)</f>
        <v>3929</v>
      </c>
      <c r="E109" s="38">
        <f ca="1">IFERROR(__xludf.DUMMYFUNCTION("IMPORTRANGE(""https://docs.google.com/spreadsheets/d/1bozxp9FwhaCNzy-RRGPVPfVYTttO4PUGDdaFvbz-Ue0/edit?gid=1870218791#gid=1870218791"", ""Rev vs Mktg &amp; Mktg Mix!E"" &amp; ROW(E45))
"),1885)</f>
        <v>1885</v>
      </c>
      <c r="F109" s="38">
        <f ca="1">IFERROR(__xludf.DUMMYFUNCTION("IMPORTRANGE(""https://docs.google.com/spreadsheets/d/1bozxp9FwhaCNzy-RRGPVPfVYTttO4PUGDdaFvbz-Ue0/edit?gid=1870218791#gid=1870218791"", ""Rev vs Mktg &amp; Mktg Mix!F"" &amp; ROW(G45))
"),533)</f>
        <v>533</v>
      </c>
      <c r="G109" s="38">
        <f ca="1">IFERROR(__xludf.DUMMYFUNCTION("IMPORTRANGE(""https://docs.google.com/spreadsheets/d/1bozxp9FwhaCNzy-RRGPVPfVYTttO4PUGDdaFvbz-Ue0/edit?gid=1870218791#gid=1870218791"", ""Rev vs Mktg &amp; Mktg Mix!G"" &amp; ROW(I45))
"),157.862)</f>
        <v>157.86199999999999</v>
      </c>
      <c r="H109" s="38">
        <f ca="1">IFERROR(__xludf.DUMMYFUNCTION("IMPORTRANGE(""https://docs.google.com/spreadsheets/d/1bozxp9FwhaCNzy-RRGPVPfVYTttO4PUGDdaFvbz-Ue0/edit?gid=1870218791#gid=1870218791"", ""Rev vs Mktg &amp; Mktg Mix!H"" &amp; ROW(H45))
"),186.45)</f>
        <v>186.45</v>
      </c>
      <c r="I109" s="38">
        <f ca="1">IFERROR(__xludf.DUMMYFUNCTION("IMPORTRANGE(""https://docs.google.com/spreadsheets/d/1bozxp9FwhaCNzy-RRGPVPfVYTttO4PUGDdaFvbz-Ue0/edit?gid=1870218791#gid=1870218791"", ""Rev vs Mktg &amp; Mktg Mix!I"" &amp; ROW(K45))
"),178.1)</f>
        <v>178.1</v>
      </c>
      <c r="J109" s="38">
        <f ca="1">IFERROR(__xludf.DUMMYFUNCTION("IMPORTRANGE(""https://docs.google.com/spreadsheets/d/1bozxp9FwhaCNzy-RRGPVPfVYTttO4PUGDdaFvbz-Ue0/edit?gid=1870218791#gid=1870218791"", ""Rev vs Mktg &amp; Mktg Mix!J"" &amp; ROW(J45))
"),168.69)</f>
        <v>168.69</v>
      </c>
      <c r="K109" s="31">
        <f>VLOOKUP(VALUE(LEFT(A112, 4)), 'Raw Annual Revenue'!A:K, 11, FALSE) / 4</f>
        <v>19943</v>
      </c>
      <c r="L109" s="38">
        <f ca="1">IFERROR(__xludf.DUMMYFUNCTION("IMPORTRANGE(""https://docs.google.com/spreadsheets/d/1bozxp9FwhaCNzy-RRGPVPfVYTttO4PUGDdaFvbz-Ue0/edit?gid=1870218791#gid=1870218791"", ""Rev vs Mktg &amp; Mktg Mix!L"" &amp; ROW(N45))
"),94.8913778063999)</f>
        <v>94.891377806399902</v>
      </c>
      <c r="M109" s="37">
        <f ca="1">IFERROR(__xludf.DUMMYFUNCTION("IMPORTRANGE(""https://docs.google.com/spreadsheets/d/1bozxp9FwhaCNzy-RRGPVPfVYTttO4PUGDdaFvbz-Ue0/edit?gid=1870218791#gid=1870218791"", ""Rev vs Mktg &amp; Mktg Mix!M"" &amp; ROW(M45))
"),55.7403)</f>
        <v>55.740299999999998</v>
      </c>
      <c r="N109" s="37">
        <f ca="1">IFERROR(__xludf.DUMMYFUNCTION("IMPORTRANGE(""https://docs.google.com/spreadsheets/d/1bozxp9FwhaCNzy-RRGPVPfVYTttO4PUGDdaFvbz-Ue0/edit?gid=1870218791#gid=1870218791"", ""Rev vs Mktg &amp; Mktg Mix!N"" &amp; ROW(N45))
"),8.136)</f>
        <v>8.1359999999999992</v>
      </c>
      <c r="O109" s="37">
        <f ca="1">IFERROR(__xludf.DUMMYFUNCTION("IMPORTRANGE(""https://docs.google.com/spreadsheets/d/1bozxp9FwhaCNzy-RRGPVPfVYTttO4PUGDdaFvbz-Ue0/edit?gid=1870218791#gid=1870218791"", ""Rev vs Mktg &amp; Mktg Mix!O"" &amp; ROW(O45))
"),79.4625)</f>
        <v>79.462500000000006</v>
      </c>
      <c r="P109" s="37">
        <f ca="1">IFERROR(__xludf.DUMMYFUNCTION("IMPORTRANGE(""https://docs.google.com/spreadsheets/d/1bozxp9FwhaCNzy-RRGPVPfVYTttO4PUGDdaFvbz-Ue0/edit?gid=1870218791#gid=1870218791"", ""Rev vs Mktg &amp; Mktg Mix!P"" &amp; ROW(P45))
"),17.8425)</f>
        <v>17.842500000000001</v>
      </c>
      <c r="Q109" s="37"/>
      <c r="R109" s="35">
        <f ca="1">IFERROR(__xludf.DUMMYFUNCTION("IMPORTRANGE(""https://docs.google.com/spreadsheets/d/1bozxp9FwhaCNzy-RRGPVPfVYTttO4PUGDdaFvbz-Ue0/edit?gid=1870218791#gid=1870218791"", ""Rev vs Mktg &amp; Mktg Mix!s"" &amp; ROW(S45))
"),89.65)</f>
        <v>89.65</v>
      </c>
      <c r="S109" s="42">
        <f ca="1">IFERROR(__xludf.DUMMYFUNCTION("IMPORTRANGE(""https://docs.google.com/spreadsheets/d/1bozxp9FwhaCNzy-RRGPVPfVYTttO4PUGDdaFvbz-Ue0/edit?gid=1870218791#gid=1870218791"", ""Rev vs Mktg &amp; Mktg Mix!T"" &amp; ROW(X45))
"),15.0586585365853)</f>
        <v>15.0586585365853</v>
      </c>
      <c r="T109" s="41">
        <f ca="1">IFERROR(__xludf.DUMMYFUNCTION("IMPORTRANGE(""https://docs.google.com/spreadsheets/d/1bozxp9FwhaCNzy-RRGPVPfVYTttO4PUGDdaFvbz-Ue0/edit?gid=1870218791#gid=1870218791"", ""Rev vs Mktg &amp; Mktg Mix!U"" &amp; ROW(Y45))
"),11.405)</f>
        <v>11.404999999999999</v>
      </c>
      <c r="U109" s="28"/>
      <c r="V109" s="28"/>
      <c r="W109" s="30">
        <f>VLOOKUP(VALUE(LEFT($A111, 4)), 'Raw Annual Revenue'!$A:W, 23, FALSE) / 4</f>
        <v>457716.25</v>
      </c>
      <c r="X109" s="31">
        <f>VLOOKUP(VALUE(LEFT(A109, 4)), 'Raw Annual Revenue'!A:X, 24, FALSE) / 4</f>
        <v>109197.5</v>
      </c>
      <c r="Y109" s="31">
        <f>VLOOKUP(VALUE(LEFT($A109, 4)), 'Raw Annual Revenue'!$A:Y, 25, FALSE) / 4</f>
        <v>51823.75</v>
      </c>
      <c r="Z109" s="31">
        <f>VLOOKUP(VALUE(LEFT($A109, 4)), 'Raw Annual Revenue'!$A:Z, 26, FALSE) / 4</f>
        <v>78524</v>
      </c>
      <c r="AA109" s="31">
        <f>VLOOKUP(VALUE(LEFT($A109, 4)), 'Raw Annual Revenue'!$A:AA, 27, FALSE) / 4</f>
        <v>0</v>
      </c>
      <c r="AB109" s="31">
        <f>VLOOKUP(VALUE(LEFT($A109, 4)), 'Raw Annual Revenue'!$A:AB, 28, FALSE) / 4</f>
        <v>74501</v>
      </c>
    </row>
    <row r="110" spans="1:28" ht="13">
      <c r="A110" s="27" t="s">
        <v>135</v>
      </c>
      <c r="B110" s="38">
        <f ca="1">IFERROR(__xludf.DUMMYFUNCTION("IMPORTRANGE(""https://docs.google.com/spreadsheets/d/1bozxp9FwhaCNzy-RRGPVPfVYTttO4PUGDdaFvbz-Ue0/edit?gid=1870218791#gid=1870218791"", ""Rev vs Mktg &amp; Mktg Mix!B"" &amp; ROW(A46))
"),2218)</f>
        <v>2218</v>
      </c>
      <c r="C110" s="38">
        <f ca="1">IFERROR(__xludf.DUMMYFUNCTION("IMPORTRANGE(""https://docs.google.com/spreadsheets/d/1bozxp9FwhaCNzy-RRGPVPfVYTttO4PUGDdaFvbz-Ue0/edit?gid=1870218791#gid=1870218791"", ""Rev vs Mktg &amp; Mktg Mix!C"" &amp; ROW(B46))
"),4784)</f>
        <v>4784</v>
      </c>
      <c r="D110" s="38">
        <f ca="1">IFERROR(__xludf.DUMMYFUNCTION("IMPORTRANGE(""https://docs.google.com/spreadsheets/d/1bozxp9FwhaCNzy-RRGPVPfVYTttO4PUGDdaFvbz-Ue0/edit?gid=1870218791#gid=1870218791"", ""Rev vs Mktg &amp; Mktg Mix!D"" &amp; ROW(C46))
"),2887)</f>
        <v>2887</v>
      </c>
      <c r="E110" s="38">
        <f ca="1">IFERROR(__xludf.DUMMYFUNCTION("IMPORTRANGE(""https://docs.google.com/spreadsheets/d/1bozxp9FwhaCNzy-RRGPVPfVYTttO4PUGDdaFvbz-Ue0/edit?gid=1870218791#gid=1870218791"", ""Rev vs Mktg &amp; Mktg Mix!E"" &amp; ROW(E46))
"),1456)</f>
        <v>1456</v>
      </c>
      <c r="F110" s="38">
        <f ca="1">IFERROR(__xludf.DUMMYFUNCTION("IMPORTRANGE(""https://docs.google.com/spreadsheets/d/1bozxp9FwhaCNzy-RRGPVPfVYTttO4PUGDdaFvbz-Ue0/edit?gid=1870218791#gid=1870218791"", ""Rev vs Mktg &amp; Mktg Mix!F"" &amp; ROW(G46))
"),390)</f>
        <v>390</v>
      </c>
      <c r="G110" s="38">
        <f ca="1">IFERROR(__xludf.DUMMYFUNCTION("IMPORTRANGE(""https://docs.google.com/spreadsheets/d/1bozxp9FwhaCNzy-RRGPVPfVYTttO4PUGDdaFvbz-Ue0/edit?gid=1870218791#gid=1870218791"", ""Rev vs Mktg &amp; Mktg Mix!G"" &amp; ROW(I46))
"),91.697)</f>
        <v>91.697000000000003</v>
      </c>
      <c r="H110" s="38">
        <f ca="1">IFERROR(__xludf.DUMMYFUNCTION("IMPORTRANGE(""https://docs.google.com/spreadsheets/d/1bozxp9FwhaCNzy-RRGPVPfVYTttO4PUGDdaFvbz-Ue0/edit?gid=1870218791#gid=1870218791"", ""Rev vs Mktg &amp; Mktg Mix!H"" &amp; ROW(H46))
"),161.92)</f>
        <v>161.91999999999999</v>
      </c>
      <c r="I110" s="38">
        <f ca="1">IFERROR(__xludf.DUMMYFUNCTION("IMPORTRANGE(""https://docs.google.com/spreadsheets/d/1bozxp9FwhaCNzy-RRGPVPfVYTttO4PUGDdaFvbz-Ue0/edit?gid=1870218791#gid=1870218791"", ""Rev vs Mktg &amp; Mktg Mix!I"" &amp; ROW(K46))
"),203.66)</f>
        <v>203.66</v>
      </c>
      <c r="J110" s="38">
        <f ca="1">IFERROR(__xludf.DUMMYFUNCTION("IMPORTRANGE(""https://docs.google.com/spreadsheets/d/1bozxp9FwhaCNzy-RRGPVPfVYTttO4PUGDdaFvbz-Ue0/edit?gid=1870218791#gid=1870218791"", ""Rev vs Mktg &amp; Mktg Mix!J"" &amp; ROW(J46))
"),214.216)</f>
        <v>214.21600000000001</v>
      </c>
      <c r="K110" s="31">
        <f>VLOOKUP(VALUE(LEFT(A113, 4)), 'Raw Annual Revenue'!A:K, 11, FALSE) / 4</f>
        <v>19943</v>
      </c>
      <c r="L110" s="38">
        <f ca="1">IFERROR(__xludf.DUMMYFUNCTION("IMPORTRANGE(""https://docs.google.com/spreadsheets/d/1bozxp9FwhaCNzy-RRGPVPfVYTttO4PUGDdaFvbz-Ue0/edit?gid=1870218791#gid=1870218791"", ""Rev vs Mktg &amp; Mktg Mix!L"" &amp; ROW(N46))
"),106.6247488278)</f>
        <v>106.6247488278</v>
      </c>
      <c r="M110" s="37">
        <f ca="1">IFERROR(__xludf.DUMMYFUNCTION("IMPORTRANGE(""https://docs.google.com/spreadsheets/d/1bozxp9FwhaCNzy-RRGPVPfVYTttO4PUGDdaFvbz-Ue0/edit?gid=1870218791#gid=1870218791"", ""Rev vs Mktg &amp; Mktg Mix!M"" &amp; ROW(M46))
"),68.7223806906)</f>
        <v>68.722380690600005</v>
      </c>
      <c r="N110" s="37">
        <f ca="1">IFERROR(__xludf.DUMMYFUNCTION("IMPORTRANGE(""https://docs.google.com/spreadsheets/d/1bozxp9FwhaCNzy-RRGPVPfVYTttO4PUGDdaFvbz-Ue0/edit?gid=1870218791#gid=1870218791"", ""Rev vs Mktg &amp; Mktg Mix!N"" &amp; ROW(N46))
"),8.255)</f>
        <v>8.2550000000000008</v>
      </c>
      <c r="O110" s="37">
        <f ca="1">IFERROR(__xludf.DUMMYFUNCTION("IMPORTRANGE(""https://docs.google.com/spreadsheets/d/1bozxp9FwhaCNzy-RRGPVPfVYTttO4PUGDdaFvbz-Ue0/edit?gid=1870218791#gid=1870218791"", ""Rev vs Mktg &amp; Mktg Mix!O"" &amp; ROW(O46))
"),73.775)</f>
        <v>73.775000000000006</v>
      </c>
      <c r="P110" s="37">
        <f ca="1">IFERROR(__xludf.DUMMYFUNCTION("IMPORTRANGE(""https://docs.google.com/spreadsheets/d/1bozxp9FwhaCNzy-RRGPVPfVYTttO4PUGDdaFvbz-Ue0/edit?gid=1870218791#gid=1870218791"", ""Rev vs Mktg &amp; Mktg Mix!P"" &amp; ROW(P46))
"),19.5)</f>
        <v>19.5</v>
      </c>
      <c r="Q110" s="37"/>
      <c r="R110" s="35">
        <f ca="1">IFERROR(__xludf.DUMMYFUNCTION("IMPORTRANGE(""https://docs.google.com/spreadsheets/d/1bozxp9FwhaCNzy-RRGPVPfVYTttO4PUGDdaFvbz-Ue0/edit?gid=1870218791#gid=1870218791"", ""Rev vs Mktg &amp; Mktg Mix!s"" &amp; ROW(S46))
"),65.78)</f>
        <v>65.78</v>
      </c>
      <c r="S110" s="42">
        <f ca="1">IFERROR(__xludf.DUMMYFUNCTION("IMPORTRANGE(""https://docs.google.com/spreadsheets/d/1bozxp9FwhaCNzy-RRGPVPfVYTttO4PUGDdaFvbz-Ue0/edit?gid=1870218791#gid=1870218791"", ""Rev vs Mktg &amp; Mktg Mix!T"" &amp; ROW(X46))
"),16.2540243902439)</f>
        <v>16.254024390243899</v>
      </c>
      <c r="T110" s="41">
        <f ca="1">IFERROR(__xludf.DUMMYFUNCTION("IMPORTRANGE(""https://docs.google.com/spreadsheets/d/1bozxp9FwhaCNzy-RRGPVPfVYTttO4PUGDdaFvbz-Ue0/edit?gid=1870218791#gid=1870218791"", ""Rev vs Mktg &amp; Mktg Mix!U"" &amp; ROW(Y46))
"),13.368)</f>
        <v>13.368</v>
      </c>
      <c r="U110" s="28"/>
      <c r="V110" s="28"/>
      <c r="W110" s="30">
        <f>VLOOKUP(VALUE(LEFT($A112, 4)), 'Raw Annual Revenue'!$A:W, 23, FALSE) / 4</f>
        <v>457716.25</v>
      </c>
      <c r="X110" s="31">
        <f>VLOOKUP(VALUE(LEFT(A110, 4)), 'Raw Annual Revenue'!A:X, 24, FALSE) / 4</f>
        <v>109197.5</v>
      </c>
      <c r="Y110" s="31">
        <f>VLOOKUP(VALUE(LEFT($A110, 4)), 'Raw Annual Revenue'!$A:Y, 25, FALSE) / 4</f>
        <v>51823.75</v>
      </c>
      <c r="Z110" s="31">
        <f>VLOOKUP(VALUE(LEFT($A110, 4)), 'Raw Annual Revenue'!$A:Z, 26, FALSE) / 4</f>
        <v>78524</v>
      </c>
      <c r="AA110" s="31">
        <f>VLOOKUP(VALUE(LEFT($A110, 4)), 'Raw Annual Revenue'!$A:AA, 27, FALSE) / 4</f>
        <v>0</v>
      </c>
      <c r="AB110" s="31">
        <f>VLOOKUP(VALUE(LEFT($A110, 4)), 'Raw Annual Revenue'!$A:AB, 28, FALSE) / 4</f>
        <v>74501</v>
      </c>
    </row>
    <row r="111" spans="1:28" ht="13">
      <c r="A111" s="27" t="s">
        <v>136</v>
      </c>
      <c r="B111" s="38">
        <f ca="1">IFERROR(__xludf.DUMMYFUNCTION("IMPORTRANGE(""https://docs.google.com/spreadsheets/d/1bozxp9FwhaCNzy-RRGPVPfVYTttO4PUGDdaFvbz-Ue0/edit?gid=1870218791#gid=1870218791"", ""Rev vs Mktg &amp; Mktg Mix!B"" &amp; ROW(A47))
"),2142)</f>
        <v>2142</v>
      </c>
      <c r="C111" s="38">
        <f ca="1">IFERROR(__xludf.DUMMYFUNCTION("IMPORTRANGE(""https://docs.google.com/spreadsheets/d/1bozxp9FwhaCNzy-RRGPVPfVYTttO4PUGDdaFvbz-Ue0/edit?gid=1870218791#gid=1870218791"", ""Rev vs Mktg &amp; Mktg Mix!C"" &amp; ROW(B47))
"),4415)</f>
        <v>4415</v>
      </c>
      <c r="D111" s="38">
        <f ca="1">IFERROR(__xludf.DUMMYFUNCTION("IMPORTRANGE(""https://docs.google.com/spreadsheets/d/1bozxp9FwhaCNzy-RRGPVPfVYTttO4PUGDdaFvbz-Ue0/edit?gid=1870218791#gid=1870218791"", ""Rev vs Mktg &amp; Mktg Mix!D"" &amp; ROW(C47))
"),2889)</f>
        <v>2889</v>
      </c>
      <c r="E111" s="38">
        <f ca="1">IFERROR(__xludf.DUMMYFUNCTION("IMPORTRANGE(""https://docs.google.com/spreadsheets/d/1bozxp9FwhaCNzy-RRGPVPfVYTttO4PUGDdaFvbz-Ue0/edit?gid=1870218791#gid=1870218791"", ""Rev vs Mktg &amp; Mktg Mix!E"" &amp; ROW(E47))
"),1651)</f>
        <v>1651</v>
      </c>
      <c r="F111" s="38">
        <f ca="1">IFERROR(__xludf.DUMMYFUNCTION("IMPORTRANGE(""https://docs.google.com/spreadsheets/d/1bozxp9FwhaCNzy-RRGPVPfVYTttO4PUGDdaFvbz-Ue0/edit?gid=1870218791#gid=1870218791"", ""Rev vs Mktg &amp; Mktg Mix!F"" &amp; ROW(G47))
"),395)</f>
        <v>395</v>
      </c>
      <c r="G111" s="38">
        <f ca="1">IFERROR(__xludf.DUMMYFUNCTION("IMPORTRANGE(""https://docs.google.com/spreadsheets/d/1bozxp9FwhaCNzy-RRGPVPfVYTttO4PUGDdaFvbz-Ue0/edit?gid=1870218791#gid=1870218791"", ""Rev vs Mktg &amp; Mktg Mix!G"" &amp; ROW(I47))
"),101.43)</f>
        <v>101.43</v>
      </c>
      <c r="H111" s="38">
        <f ca="1">IFERROR(__xludf.DUMMYFUNCTION("IMPORTRANGE(""https://docs.google.com/spreadsheets/d/1bozxp9FwhaCNzy-RRGPVPfVYTttO4PUGDdaFvbz-Ue0/edit?gid=1870218791#gid=1870218791"", ""Rev vs Mktg &amp; Mktg Mix!H"" &amp; ROW(H47))
"),185.24)</f>
        <v>185.24</v>
      </c>
      <c r="I111" s="38">
        <f ca="1">IFERROR(__xludf.DUMMYFUNCTION("IMPORTRANGE(""https://docs.google.com/spreadsheets/d/1bozxp9FwhaCNzy-RRGPVPfVYTttO4PUGDdaFvbz-Ue0/edit?gid=1870218791#gid=1870218791"", ""Rev vs Mktg &amp; Mktg Mix!I"" &amp; ROW(K47))
"),173.7)</f>
        <v>173.7</v>
      </c>
      <c r="J111" s="38">
        <f ca="1">IFERROR(__xludf.DUMMYFUNCTION("IMPORTRANGE(""https://docs.google.com/spreadsheets/d/1bozxp9FwhaCNzy-RRGPVPfVYTttO4PUGDdaFvbz-Ue0/edit?gid=1870218791#gid=1870218791"", ""Rev vs Mktg &amp; Mktg Mix!J"" &amp; ROW(J47))
"),202.887)</f>
        <v>202.887</v>
      </c>
      <c r="K111" s="43">
        <f ca="1">IFERROR(__xludf.DUMMYFUNCTION("IMPORTRANGE(""https://docs.google.com/spreadsheets/d/1bozxp9FwhaCNzy-RRGPVPfVYTttO4PUGDdaFvbz-Ue0/edit?gid=1870218791#gid=1870218791"", ""Rev vs Mktg &amp; Mktg Mix!K"" &amp; ROW(M47))*1000
"),20486.9512195121)</f>
        <v>20486.951219512099</v>
      </c>
      <c r="L111" s="38">
        <f ca="1">IFERROR(__xludf.DUMMYFUNCTION("IMPORTRANGE(""https://docs.google.com/spreadsheets/d/1bozxp9FwhaCNzy-RRGPVPfVYTttO4PUGDdaFvbz-Ue0/edit?gid=1870218791#gid=1870218791"", ""Rev vs Mktg &amp; Mktg Mix!L"" &amp; ROW(N47))
"),122.772867090299)</f>
        <v>122.772867090299</v>
      </c>
      <c r="M111" s="37">
        <f ca="1">IFERROR(__xludf.DUMMYFUNCTION("IMPORTRANGE(""https://docs.google.com/spreadsheets/d/1bozxp9FwhaCNzy-RRGPVPfVYTttO4PUGDdaFvbz-Ue0/edit?gid=1870218791#gid=1870218791"", ""Rev vs Mktg &amp; Mktg Mix!M"" &amp; ROW(M47))
"),54.2572157043)</f>
        <v>54.257215704300002</v>
      </c>
      <c r="N111" s="37">
        <f ca="1">IFERROR(__xludf.DUMMYFUNCTION("IMPORTRANGE(""https://docs.google.com/spreadsheets/d/1bozxp9FwhaCNzy-RRGPVPfVYTttO4PUGDdaFvbz-Ue0/edit?gid=1870218791#gid=1870218791"", ""Rev vs Mktg &amp; Mktg Mix!N"" &amp; ROW(N47))
"),8.969)</f>
        <v>8.9689999999999994</v>
      </c>
      <c r="O111" s="37">
        <f ca="1">IFERROR(__xludf.DUMMYFUNCTION("IMPORTRANGE(""https://docs.google.com/spreadsheets/d/1bozxp9FwhaCNzy-RRGPVPfVYTttO4PUGDdaFvbz-Ue0/edit?gid=1870218791#gid=1870218791"", ""Rev vs Mktg &amp; Mktg Mix!O"" &amp; ROW(O47))
"),73.775)</f>
        <v>73.775000000000006</v>
      </c>
      <c r="P111" s="37">
        <f ca="1">IFERROR(__xludf.DUMMYFUNCTION("IMPORTRANGE(""https://docs.google.com/spreadsheets/d/1bozxp9FwhaCNzy-RRGPVPfVYTttO4PUGDdaFvbz-Ue0/edit?gid=1870218791#gid=1870218791"", ""Rev vs Mktg &amp; Mktg Mix!P"" &amp; ROW(P47))
"),19.5)</f>
        <v>19.5</v>
      </c>
      <c r="Q111" s="37"/>
      <c r="R111" s="35">
        <f ca="1">IFERROR(__xludf.DUMMYFUNCTION("IMPORTRANGE(""https://docs.google.com/spreadsheets/d/1bozxp9FwhaCNzy-RRGPVPfVYTttO4PUGDdaFvbz-Ue0/edit?gid=1870218791#gid=1870218791"", ""Rev vs Mktg &amp; Mktg Mix!s"" &amp; ROW(S47))
"),86.24)</f>
        <v>86.24</v>
      </c>
      <c r="S111" s="42">
        <f ca="1">IFERROR(__xludf.DUMMYFUNCTION("IMPORTRANGE(""https://docs.google.com/spreadsheets/d/1bozxp9FwhaCNzy-RRGPVPfVYTttO4PUGDdaFvbz-Ue0/edit?gid=1870218791#gid=1870218791"", ""Rev vs Mktg &amp; Mktg Mix!T"" &amp; ROW(X47))
"),16.7436585365853)</f>
        <v>16.743658536585301</v>
      </c>
      <c r="T111" s="41">
        <f ca="1">IFERROR(__xludf.DUMMYFUNCTION("IMPORTRANGE(""https://docs.google.com/spreadsheets/d/1bozxp9FwhaCNzy-RRGPVPfVYTttO4PUGDdaFvbz-Ue0/edit?gid=1870218791#gid=1870218791"", ""Rev vs Mktg &amp; Mktg Mix!U"" &amp; ROW(Y47))
"),12.872)</f>
        <v>12.872</v>
      </c>
      <c r="U111" s="28"/>
      <c r="V111" s="28"/>
      <c r="W111" s="30">
        <f>VLOOKUP(VALUE(LEFT($A113, 4)), 'Raw Annual Revenue'!$A:W, 23, FALSE) / 4</f>
        <v>457716.25</v>
      </c>
      <c r="X111" s="31"/>
      <c r="Y111" s="31"/>
      <c r="Z111" s="31"/>
      <c r="AA111" s="31"/>
      <c r="AB111" s="31"/>
    </row>
    <row r="112" spans="1:28" ht="13">
      <c r="A112" s="27" t="s">
        <v>137</v>
      </c>
      <c r="B112" s="38">
        <f ca="1">IFERROR(__xludf.DUMMYFUNCTION("IMPORTRANGE(""https://docs.google.com/spreadsheets/d/1bozxp9FwhaCNzy-RRGPVPfVYTttO4PUGDdaFvbz-Ue0/edit?gid=1870218791#gid=1870218791"", ""Rev vs Mktg &amp; Mktg Mix!B"" &amp; ROW(A48))
"),2748)</f>
        <v>2748</v>
      </c>
      <c r="C112" s="38">
        <f ca="1">IFERROR(__xludf.DUMMYFUNCTION("IMPORTRANGE(""https://docs.google.com/spreadsheets/d/1bozxp9FwhaCNzy-RRGPVPfVYTttO4PUGDdaFvbz-Ue0/edit?gid=1870218791#gid=1870218791"", ""Rev vs Mktg &amp; Mktg Mix!C"" &amp; ROW(B48))
"),5859)</f>
        <v>5859</v>
      </c>
      <c r="D112" s="38">
        <f ca="1">IFERROR(__xludf.DUMMYFUNCTION("IMPORTRANGE(""https://docs.google.com/spreadsheets/d/1bozxp9FwhaCNzy-RRGPVPfVYTttO4PUGDdaFvbz-Ue0/edit?gid=1870218791#gid=1870218791"", ""Rev vs Mktg &amp; Mktg Mix!D"" &amp; ROW(C48))
"),3558)</f>
        <v>3558</v>
      </c>
      <c r="E112" s="38">
        <f ca="1">IFERROR(__xludf.DUMMYFUNCTION("IMPORTRANGE(""https://docs.google.com/spreadsheets/d/1bozxp9FwhaCNzy-RRGPVPfVYTttO4PUGDdaFvbz-Ue0/edit?gid=1870218791#gid=1870218791"", ""Rev vs Mktg &amp; Mktg Mix!E"" &amp; ROW(E48))
"),1759)</f>
        <v>1759</v>
      </c>
      <c r="F112" s="38">
        <f ca="1">IFERROR(__xludf.DUMMYFUNCTION("IMPORTRANGE(""https://docs.google.com/spreadsheets/d/1bozxp9FwhaCNzy-RRGPVPfVYTttO4PUGDdaFvbz-Ue0/edit?gid=1870218791#gid=1870218791"", ""Rev vs Mktg &amp; Mktg Mix!F"" &amp; ROW(G48))
"),497)</f>
        <v>497</v>
      </c>
      <c r="G112" s="38">
        <f ca="1">IFERROR(__xludf.DUMMYFUNCTION("IMPORTRANGE(""https://docs.google.com/spreadsheets/d/1bozxp9FwhaCNzy-RRGPVPfVYTttO4PUGDdaFvbz-Ue0/edit?gid=1870218791#gid=1870218791"", ""Rev vs Mktg &amp; Mktg Mix!G"" &amp; ROW(I48))
"),118.557)</f>
        <v>118.557</v>
      </c>
      <c r="H112" s="38">
        <f ca="1">IFERROR(__xludf.DUMMYFUNCTION("IMPORTRANGE(""https://docs.google.com/spreadsheets/d/1bozxp9FwhaCNzy-RRGPVPfVYTttO4PUGDdaFvbz-Ue0/edit?gid=1870218791#gid=1870218791"", ""Rev vs Mktg &amp; Mktg Mix!H"" &amp; ROW(H48))
"),176)</f>
        <v>176</v>
      </c>
      <c r="I112" s="38">
        <f ca="1">IFERROR(__xludf.DUMMYFUNCTION("IMPORTRANGE(""https://docs.google.com/spreadsheets/d/1bozxp9FwhaCNzy-RRGPVPfVYTttO4PUGDdaFvbz-Ue0/edit?gid=1870218791#gid=1870218791"", ""Rev vs Mktg &amp; Mktg Mix!I"" &amp; ROW(K48))
"),185.047)</f>
        <v>185.047</v>
      </c>
      <c r="J112" s="38">
        <f ca="1">IFERROR(__xludf.DUMMYFUNCTION("IMPORTRANGE(""https://docs.google.com/spreadsheets/d/1bozxp9FwhaCNzy-RRGPVPfVYTttO4PUGDdaFvbz-Ue0/edit?gid=1870218791#gid=1870218791"", ""Rev vs Mktg &amp; Mktg Mix!J"" &amp; ROW(J48))
"),254.519)</f>
        <v>254.51900000000001</v>
      </c>
      <c r="K112" s="31">
        <f ca="1">IFERROR(__xludf.DUMMYFUNCTION("IMPORTRANGE(""https://docs.google.com/spreadsheets/d/1bozxp9FwhaCNzy-RRGPVPfVYTttO4PUGDdaFvbz-Ue0/edit?gid=1870218791#gid=1870218791"", ""Rev vs Mktg &amp; Mktg Mix!K"" &amp; ROW(M48))*1000
"),22473.1707317073)</f>
        <v>22473.170731707301</v>
      </c>
      <c r="L112" s="38">
        <f ca="1">IFERROR(__xludf.DUMMYFUNCTION("IMPORTRANGE(""https://docs.google.com/spreadsheets/d/1bozxp9FwhaCNzy-RRGPVPfVYTttO4PUGDdaFvbz-Ue0/edit?gid=1870218791#gid=1870218791"", ""Rev vs Mktg &amp; Mktg Mix!L"" &amp; ROW(N48))
"),115.729635863099)</f>
        <v>115.72963586309901</v>
      </c>
      <c r="M112" s="37">
        <f ca="1">IFERROR(__xludf.DUMMYFUNCTION("IMPORTRANGE(""https://docs.google.com/spreadsheets/d/1bozxp9FwhaCNzy-RRGPVPfVYTttO4PUGDdaFvbz-Ue0/edit?gid=1870218791#gid=1870218791"", ""Rev vs Mktg &amp; Mktg Mix!M"" &amp; ROW(M48))
"),86.4108)</f>
        <v>86.410799999999995</v>
      </c>
      <c r="N112" s="37">
        <f ca="1">IFERROR(__xludf.DUMMYFUNCTION("IMPORTRANGE(""https://docs.google.com/spreadsheets/d/1bozxp9FwhaCNzy-RRGPVPfVYTttO4PUGDdaFvbz-Ue0/edit?gid=1870218791#gid=1870218791"", ""Rev vs Mktg &amp; Mktg Mix!N"" &amp; ROW(N48))
"),12.68)</f>
        <v>12.68</v>
      </c>
      <c r="O112" s="37" t="str">
        <f ca="1">IFERROR(__xludf.DUMMYFUNCTION("IMPORTRANGE(""https://docs.google.com/spreadsheets/d/1bozxp9FwhaCNzy-RRGPVPfVYTttO4PUGDdaFvbz-Ue0/edit?gid=1870218791#gid=1870218791"", ""Rev vs Mktg &amp; Mktg Mix!O"" &amp; ROW(O48))
"),"")</f>
        <v/>
      </c>
      <c r="P112" s="37">
        <f ca="1">IFERROR(__xludf.DUMMYFUNCTION("IMPORTRANGE(""https://docs.google.com/spreadsheets/d/1bozxp9FwhaCNzy-RRGPVPfVYTttO4PUGDdaFvbz-Ue0/edit?gid=1870218791#gid=1870218791"", ""Rev vs Mktg &amp; Mktg Mix!P"" &amp; ROW(P48))
"),20.1825)</f>
        <v>20.182500000000001</v>
      </c>
      <c r="Q112" s="37"/>
      <c r="R112" s="35">
        <f ca="1">IFERROR(__xludf.DUMMYFUNCTION("IMPORTRANGE(""https://docs.google.com/spreadsheets/d/1bozxp9FwhaCNzy-RRGPVPfVYTttO4PUGDdaFvbz-Ue0/edit?gid=1870218791#gid=1870218791"", ""Rev vs Mktg &amp; Mktg Mix!s"" &amp; ROW(S48))
"),94.82)</f>
        <v>94.82</v>
      </c>
      <c r="S112" s="42">
        <f ca="1">IFERROR(__xludf.DUMMYFUNCTION("IMPORTRANGE(""https://docs.google.com/spreadsheets/d/1bozxp9FwhaCNzy-RRGPVPfVYTttO4PUGDdaFvbz-Ue0/edit?gid=1870218791#gid=1870218791"", ""Rev vs Mktg &amp; Mktg Mix!T"" &amp; ROW(X48))
"),13.3703658536585)</f>
        <v>13.3703658536585</v>
      </c>
      <c r="T112" s="41">
        <f ca="1">IFERROR(__xludf.DUMMYFUNCTION("IMPORTRANGE(""https://docs.google.com/spreadsheets/d/1bozxp9FwhaCNzy-RRGPVPfVYTttO4PUGDdaFvbz-Ue0/edit?gid=1870218791#gid=1870218791"", ""Rev vs Mktg &amp; Mktg Mix!U"" &amp; ROW(Y48))
"),12.609)</f>
        <v>12.609</v>
      </c>
      <c r="U112" s="28"/>
      <c r="V112" s="28"/>
      <c r="W112" s="30">
        <f>VLOOKUP(VALUE(LEFT($A114, 4)), 'Raw Annual Revenue'!$A:W, 23, FALSE) / 4</f>
        <v>457716.25</v>
      </c>
      <c r="X112" s="31"/>
      <c r="Y112" s="31"/>
      <c r="Z112" s="31"/>
      <c r="AA112" s="31"/>
      <c r="AB112" s="31"/>
    </row>
    <row r="113" spans="1:28" ht="13">
      <c r="A113" s="27" t="s">
        <v>138</v>
      </c>
      <c r="B113" s="38">
        <f ca="1">IFERROR(__xludf.DUMMYFUNCTION("IMPORTRANGE(""https://docs.google.com/spreadsheets/d/1bozxp9FwhaCNzy-RRGPVPfVYTttO4PUGDdaFvbz-Ue0/edit?gid=1870218791#gid=1870218791"", ""Rev vs Mktg &amp; Mktg Mix!B"" &amp; ROW(A49))
"),3732)</f>
        <v>3732</v>
      </c>
      <c r="C113" s="38">
        <f ca="1">IFERROR(__xludf.DUMMYFUNCTION("IMPORTRANGE(""https://docs.google.com/spreadsheets/d/1bozxp9FwhaCNzy-RRGPVPfVYTttO4PUGDdaFvbz-Ue0/edit?gid=1870218791#gid=1870218791"", ""Rev vs Mktg &amp; Mktg Mix!C"" &amp; ROW(B49))
"),7994)</f>
        <v>7994</v>
      </c>
      <c r="D113" s="38">
        <f ca="1">IFERROR(__xludf.DUMMYFUNCTION("IMPORTRANGE(""https://docs.google.com/spreadsheets/d/1bozxp9FwhaCNzy-RRGPVPfVYTttO4PUGDdaFvbz-Ue0/edit?gid=1870218791#gid=1870218791"", ""Rev vs Mktg &amp; Mktg Mix!D"" &amp; ROW(C49))
"),4060)</f>
        <v>4060</v>
      </c>
      <c r="E113" s="38">
        <f ca="1">IFERROR(__xludf.DUMMYFUNCTION("IMPORTRANGE(""https://docs.google.com/spreadsheets/d/1bozxp9FwhaCNzy-RRGPVPfVYTttO4PUGDdaFvbz-Ue0/edit?gid=1870218791#gid=1870218791"", ""Rev vs Mktg &amp; Mktg Mix!E"" &amp; ROW(E49))
"),2265)</f>
        <v>2265</v>
      </c>
      <c r="F113" s="38">
        <f ca="1">IFERROR(__xludf.DUMMYFUNCTION("IMPORTRANGE(""https://docs.google.com/spreadsheets/d/1bozxp9FwhaCNzy-RRGPVPfVYTttO4PUGDdaFvbz-Ue0/edit?gid=1870218791#gid=1870218791"", ""Rev vs Mktg &amp; Mktg Mix!F"" &amp; ROW(G49))
"),532)</f>
        <v>532</v>
      </c>
      <c r="G113" s="38">
        <f ca="1">IFERROR(__xludf.DUMMYFUNCTION("IMPORTRANGE(""https://docs.google.com/spreadsheets/d/1bozxp9FwhaCNzy-RRGPVPfVYTttO4PUGDdaFvbz-Ue0/edit?gid=1870218791#gid=1870218791"", ""Rev vs Mktg &amp; Mktg Mix!G"" &amp; ROW(I49))
"),146.087)</f>
        <v>146.08699999999999</v>
      </c>
      <c r="H113" s="38">
        <f ca="1">IFERROR(__xludf.DUMMYFUNCTION("IMPORTRANGE(""https://docs.google.com/spreadsheets/d/1bozxp9FwhaCNzy-RRGPVPfVYTttO4PUGDdaFvbz-Ue0/edit?gid=1870218791#gid=1870218791"", ""Rev vs Mktg &amp; Mktg Mix!H"" &amp; ROW(H49))
"),184.58)</f>
        <v>184.58</v>
      </c>
      <c r="I113" s="38">
        <f ca="1">IFERROR(__xludf.DUMMYFUNCTION("IMPORTRANGE(""https://docs.google.com/spreadsheets/d/1bozxp9FwhaCNzy-RRGPVPfVYTttO4PUGDdaFvbz-Ue0/edit?gid=1870218791#gid=1870218791"", ""Rev vs Mktg &amp; Mktg Mix!I"" &amp; ROW(K49))
"),193.9)</f>
        <v>193.9</v>
      </c>
      <c r="J113" s="38">
        <f ca="1">IFERROR(__xludf.DUMMYFUNCTION("IMPORTRANGE(""https://docs.google.com/spreadsheets/d/1bozxp9FwhaCNzy-RRGPVPfVYTttO4PUGDdaFvbz-Ue0/edit?gid=1870218791#gid=1870218791"", ""Rev vs Mktg &amp; Mktg Mix!J"" &amp; ROW(J49))
"),210.993)</f>
        <v>210.99299999999999</v>
      </c>
      <c r="K113" s="31">
        <f ca="1">IFERROR(__xludf.DUMMYFUNCTION("IMPORTRANGE(""https://docs.google.com/spreadsheets/d/1bozxp9FwhaCNzy-RRGPVPfVYTttO4PUGDdaFvbz-Ue0/edit?gid=1870218791#gid=1870218791"", ""Rev vs Mktg &amp; Mktg Mix!K"" &amp; ROW(M49))*1000
"),25716.4634146341)</f>
        <v>25716.463414634101</v>
      </c>
      <c r="L113" s="38">
        <f ca="1">IFERROR(__xludf.DUMMYFUNCTION("IMPORTRANGE(""https://docs.google.com/spreadsheets/d/1bozxp9FwhaCNzy-RRGPVPfVYTttO4PUGDdaFvbz-Ue0/edit?gid=1870218791#gid=1870218791"", ""Rev vs Mktg &amp; Mktg Mix!L"" &amp; ROW(N49))
"),117.8816667)</f>
        <v>117.8816667</v>
      </c>
      <c r="M113" s="37">
        <f ca="1">IFERROR(__xludf.DUMMYFUNCTION("IMPORTRANGE(""https://docs.google.com/spreadsheets/d/1bozxp9FwhaCNzy-RRGPVPfVYTttO4PUGDdaFvbz-Ue0/edit?gid=1870218791#gid=1870218791"", ""Rev vs Mktg &amp; Mktg Mix!M"" &amp; ROW(M49))
"),56.187881274)</f>
        <v>56.187881273999999</v>
      </c>
      <c r="N113" s="37">
        <f ca="1">IFERROR(__xludf.DUMMYFUNCTION("IMPORTRANGE(""https://docs.google.com/spreadsheets/d/1bozxp9FwhaCNzy-RRGPVPfVYTttO4PUGDdaFvbz-Ue0/edit?gid=1870218791#gid=1870218791"", ""Rev vs Mktg &amp; Mktg Mix!N"" &amp; ROW(N49))
"),14.33)</f>
        <v>14.33</v>
      </c>
      <c r="O113" s="37" t="str">
        <f ca="1">IFERROR(__xludf.DUMMYFUNCTION("IMPORTRANGE(""https://docs.google.com/spreadsheets/d/1bozxp9FwhaCNzy-RRGPVPfVYTttO4PUGDdaFvbz-Ue0/edit?gid=1870218791#gid=1870218791"", ""Rev vs Mktg &amp; Mktg Mix!O"" &amp; ROW(O49))
"),"")</f>
        <v/>
      </c>
      <c r="P113" s="37">
        <f ca="1">IFERROR(__xludf.DUMMYFUNCTION("IMPORTRANGE(""https://docs.google.com/spreadsheets/d/1bozxp9FwhaCNzy-RRGPVPfVYTttO4PUGDdaFvbz-Ue0/edit?gid=1870218791#gid=1870218791"", ""Rev vs Mktg &amp; Mktg Mix!P"" &amp; ROW(P49))
"),20.1825)</f>
        <v>20.182500000000001</v>
      </c>
      <c r="Q113" s="28"/>
      <c r="R113" s="35">
        <f ca="1">IFERROR(__xludf.DUMMYFUNCTION("IMPORTRANGE(""https://docs.google.com/spreadsheets/d/1bozxp9FwhaCNzy-RRGPVPfVYTttO4PUGDdaFvbz-Ue0/edit?gid=1870218791#gid=1870218791"", ""Rev vs Mktg &amp; Mktg Mix!s"" &amp; ROW(S49))
"),95.37)</f>
        <v>95.37</v>
      </c>
      <c r="S113" s="42">
        <f ca="1">IFERROR(__xludf.DUMMYFUNCTION("IMPORTRANGE(""https://docs.google.com/spreadsheets/d/1bozxp9FwhaCNzy-RRGPVPfVYTttO4PUGDdaFvbz-Ue0/edit?gid=1870218791#gid=1870218791"", ""Rev vs Mktg &amp; Mktg Mix!T"" &amp; ROW(X49))
"),13.3143902439024)</f>
        <v>13.3143902439024</v>
      </c>
      <c r="T113" s="41">
        <f ca="1">IFERROR(__xludf.DUMMYFUNCTION("IMPORTRANGE(""https://docs.google.com/spreadsheets/d/1bozxp9FwhaCNzy-RRGPVPfVYTttO4PUGDdaFvbz-Ue0/edit?gid=1870218791#gid=1870218791"", ""Rev vs Mktg &amp; Mktg Mix!U"" &amp; ROW(Y49))
"),28.216)</f>
        <v>28.216000000000001</v>
      </c>
      <c r="U113" s="28"/>
      <c r="V113" s="28"/>
      <c r="W113" s="30"/>
      <c r="X113" s="31"/>
      <c r="Y113" s="31"/>
      <c r="Z113" s="31"/>
      <c r="AA113" s="31"/>
      <c r="AB113" s="31"/>
    </row>
    <row r="114" spans="1:28" ht="13">
      <c r="A114" s="27" t="s">
        <v>139</v>
      </c>
      <c r="B114" s="36" t="str">
        <f ca="1">IFERROR(__xludf.DUMMYFUNCTION("IMPORTRANGE(""https://docs.google.com/spreadsheets/d/1bozxp9FwhaCNzy-RRGPVPfVYTttO4PUGDdaFvbz-Ue0/edit?gid=1870218791#gid=1870218791"", ""Rev vs Mktg &amp; Mktg Mix!B"" &amp; ROW(A50))
"),"")</f>
        <v/>
      </c>
      <c r="C114" s="28"/>
      <c r="D114" s="44"/>
      <c r="E114" s="28"/>
      <c r="F114" s="36" t="str">
        <f ca="1">IFERROR(__xludf.DUMMYFUNCTION("IMPORTRANGE(""https://docs.google.com/spreadsheets/d/1bozxp9FwhaCNzy-RRGPVPfVYTttO4PUGDdaFvbz-Ue0/edit?gid=1870218791#gid=1870218791"", ""Rev vs Mktg &amp; Mktg Mix!F"" &amp; ROW(G50))
"),"")</f>
        <v/>
      </c>
      <c r="G114" s="28"/>
      <c r="H114" s="36" t="str">
        <f ca="1">IFERROR(__xludf.DUMMYFUNCTION("IMPORTRANGE(""https://docs.google.com/spreadsheets/d/1bozxp9FwhaCNzy-RRGPVPfVYTttO4PUGDdaFvbz-Ue0/edit?gid=1870218791#gid=1870218791"", ""Rev vs Mktg &amp; Mktg Mix!H"" &amp; ROW(H50))
"),"")</f>
        <v/>
      </c>
      <c r="I114" s="36" t="str">
        <f ca="1">IFERROR(__xludf.DUMMYFUNCTION("IMPORTRANGE(""https://docs.google.com/spreadsheets/d/1bozxp9FwhaCNzy-RRGPVPfVYTttO4PUGDdaFvbz-Ue0/edit?gid=1870218791#gid=1870218791"", ""Rev vs Mktg &amp; Mktg Mix!I"" &amp; ROW(K50))
"),"")</f>
        <v/>
      </c>
      <c r="J114" s="28"/>
      <c r="K114" s="31"/>
      <c r="L114" s="36" t="str">
        <f ca="1">IFERROR(__xludf.DUMMYFUNCTION("IMPORTRANGE(""https://docs.google.com/spreadsheets/d/1bozxp9FwhaCNzy-RRGPVPfVYTttO4PUGDdaFvbz-Ue0/edit?gid=1870218791#gid=1870218791"", ""Rev vs Mktg &amp; Mktg Mix!L"" &amp; ROW(N50))
"),"")</f>
        <v/>
      </c>
      <c r="M114" s="28"/>
      <c r="N114" s="28"/>
      <c r="O114" s="29"/>
      <c r="P114" s="28"/>
      <c r="Q114" s="28"/>
      <c r="R114" s="28"/>
      <c r="S114" s="28"/>
      <c r="T114" s="28"/>
      <c r="U114" s="28"/>
      <c r="V114" s="28"/>
      <c r="W114" s="30"/>
      <c r="X114" s="31"/>
      <c r="Y114" s="31"/>
      <c r="Z114" s="31"/>
      <c r="AA114" s="31"/>
      <c r="AB114" s="31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C1001"/>
  <sheetViews>
    <sheetView workbookViewId="0">
      <pane xSplit="1" ySplit="1" topLeftCell="B88" activePane="bottomRight" state="frozen"/>
      <selection pane="topRight" activeCell="B1" sqref="B1"/>
      <selection pane="bottomLeft" activeCell="A2" sqref="A2"/>
      <selection pane="bottomRight" activeCell="B114" sqref="B114"/>
    </sheetView>
  </sheetViews>
  <sheetFormatPr baseColWidth="10" defaultColWidth="12.6640625" defaultRowHeight="15.75" customHeight="1"/>
  <cols>
    <col min="1" max="1" width="24.332031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27</v>
      </c>
      <c r="B2" s="45"/>
      <c r="C2" s="45"/>
      <c r="D2" s="45"/>
      <c r="E2" s="46" t="str">
        <f>IFERROR('Quarterly Revenue&amp;EBITDA'!E2/#REF! - 1, "")</f>
        <v/>
      </c>
      <c r="F2" s="46" t="str">
        <f>IFERROR('Quarterly Revenue&amp;EBITDA'!F2/#REF! - 1, "")</f>
        <v/>
      </c>
      <c r="G2" s="46" t="str">
        <f>IFERROR('Quarterly Revenue&amp;EBITDA'!G2/#REF! - 1, "")</f>
        <v/>
      </c>
      <c r="H2" s="46" t="str">
        <f>IFERROR('Quarterly Revenue&amp;EBITDA'!H2/#REF! - 1, "")</f>
        <v/>
      </c>
      <c r="I2" s="46" t="str">
        <f>IFERROR('Quarterly Revenue&amp;EBITDA'!I2/#REF! - 1, "")</f>
        <v/>
      </c>
      <c r="J2" s="46" t="str">
        <f>IFERROR('Quarterly Revenue&amp;EBITDA'!J2/#REF! - 1, "")</f>
        <v/>
      </c>
      <c r="K2" s="46" t="str">
        <f>IFERROR('Quarterly Revenue&amp;EBITDA'!K2/#REF! - 1, "")</f>
        <v/>
      </c>
      <c r="L2" s="46" t="str">
        <f>IFERROR('Quarterly Revenue&amp;EBITDA'!L2/#REF! - 1, "")</f>
        <v/>
      </c>
      <c r="M2" s="46" t="str">
        <f>IFERROR('Quarterly Revenue&amp;EBITDA'!M2/#REF! - 1, "")</f>
        <v/>
      </c>
      <c r="N2" s="46" t="str">
        <f>IFERROR('Quarterly Revenue&amp;EBITDA'!N2/#REF! - 1, "")</f>
        <v/>
      </c>
      <c r="O2" s="46" t="str">
        <f>IFERROR('Quarterly Revenue&amp;EBITDA'!O2/#REF! - 1, "")</f>
        <v/>
      </c>
      <c r="P2" s="46" t="str">
        <f>IFERROR('Quarterly Revenue&amp;EBITDA'!P2/#REF! - 1, "")</f>
        <v/>
      </c>
      <c r="Q2" s="46" t="str">
        <f>IFERROR('Quarterly Revenue&amp;EBITDA'!Q2/#REF! - 1, "")</f>
        <v/>
      </c>
      <c r="R2" s="46" t="str">
        <f>IFERROR('Quarterly Revenue&amp;EBITDA'!R2/#REF! - 1, "")</f>
        <v/>
      </c>
      <c r="S2" s="46" t="str">
        <f>IFERROR('Quarterly Revenue&amp;EBITDA'!S2/#REF! - 1, "")</f>
        <v/>
      </c>
      <c r="T2" s="46" t="str">
        <f>IFERROR('Quarterly Revenue&amp;EBITDA'!T2/#REF! - 1, "")</f>
        <v/>
      </c>
      <c r="U2" s="46"/>
      <c r="V2" s="46"/>
      <c r="W2" s="45"/>
      <c r="X2" s="28"/>
      <c r="Y2" s="28"/>
      <c r="Z2" s="28"/>
      <c r="AA2" s="28"/>
      <c r="AB2" s="28"/>
      <c r="AC2" s="28"/>
    </row>
    <row r="3" spans="1:29" ht="13">
      <c r="A3" s="27" t="s">
        <v>28</v>
      </c>
      <c r="B3" s="45"/>
      <c r="C3" s="45"/>
      <c r="D3" s="46" t="str">
        <f>IFERROR('Quarterly Revenue&amp;EBITDA'!D3/#REF! - 1, "")</f>
        <v/>
      </c>
      <c r="E3" s="46" t="str">
        <f>IFERROR('Quarterly Revenue&amp;EBITDA'!E3/#REF! - 1, "")</f>
        <v/>
      </c>
      <c r="F3" s="46" t="str">
        <f>IFERROR('Quarterly Revenue&amp;EBITDA'!F3/#REF! - 1, "")</f>
        <v/>
      </c>
      <c r="G3" s="46" t="str">
        <f>IFERROR('Quarterly Revenue&amp;EBITDA'!G3/#REF! - 1, "")</f>
        <v/>
      </c>
      <c r="H3" s="46" t="str">
        <f>IFERROR('Quarterly Revenue&amp;EBITDA'!H3/#REF! - 1, "")</f>
        <v/>
      </c>
      <c r="I3" s="46" t="str">
        <f>IFERROR('Quarterly Revenue&amp;EBITDA'!I3/#REF! - 1, "")</f>
        <v/>
      </c>
      <c r="J3" s="46" t="str">
        <f>IFERROR('Quarterly Revenue&amp;EBITDA'!J3/#REF! - 1, "")</f>
        <v/>
      </c>
      <c r="K3" s="46" t="str">
        <f>IFERROR('Quarterly Revenue&amp;EBITDA'!K3/#REF! - 1, "")</f>
        <v/>
      </c>
      <c r="L3" s="46" t="str">
        <f>IFERROR('Quarterly Revenue&amp;EBITDA'!L3/#REF! - 1, "")</f>
        <v/>
      </c>
      <c r="M3" s="46" t="str">
        <f>IFERROR('Quarterly Revenue&amp;EBITDA'!M3/#REF! - 1, "")</f>
        <v/>
      </c>
      <c r="N3" s="46" t="str">
        <f>IFERROR('Quarterly Revenue&amp;EBITDA'!N3/#REF! - 1, "")</f>
        <v/>
      </c>
      <c r="O3" s="46" t="str">
        <f>IFERROR('Quarterly Revenue&amp;EBITDA'!O3/#REF! - 1, "")</f>
        <v/>
      </c>
      <c r="P3" s="46" t="str">
        <f>IFERROR('Quarterly Revenue&amp;EBITDA'!P3/#REF! - 1, "")</f>
        <v/>
      </c>
      <c r="Q3" s="46" t="str">
        <f>IFERROR('Quarterly Revenue&amp;EBITDA'!Q3/#REF! - 1, "")</f>
        <v/>
      </c>
      <c r="R3" s="46" t="str">
        <f>IFERROR('Quarterly Revenue&amp;EBITDA'!R3/#REF! - 1, "")</f>
        <v/>
      </c>
      <c r="S3" s="46" t="str">
        <f>IFERROR('Quarterly Revenue&amp;EBITDA'!S3/#REF! - 1, "")</f>
        <v/>
      </c>
      <c r="T3" s="46" t="str">
        <f>IFERROR('Quarterly Revenue&amp;EBITDA'!T3/#REF! - 1, "")</f>
        <v/>
      </c>
      <c r="U3" s="46" t="str">
        <f>IFERROR('Quarterly Revenue&amp;EBITDA'!U3/#REF! - 1, "")</f>
        <v/>
      </c>
      <c r="V3" s="46" t="str">
        <f>IFERROR('Quarterly Revenue&amp;EBITDA'!V3/#REF! - 1, "")</f>
        <v/>
      </c>
      <c r="W3" s="45"/>
      <c r="X3" s="28"/>
      <c r="Y3" s="28"/>
      <c r="Z3" s="28"/>
      <c r="AA3" s="28"/>
      <c r="AB3" s="28"/>
      <c r="AC3" s="28"/>
    </row>
    <row r="4" spans="1:29" ht="13">
      <c r="A4" s="27" t="s">
        <v>29</v>
      </c>
      <c r="B4" s="45"/>
      <c r="C4" s="45"/>
      <c r="D4" s="46" t="str">
        <f>IFERROR('Quarterly Revenue&amp;EBITDA'!D4/#REF! - 1, "")</f>
        <v/>
      </c>
      <c r="E4" s="46" t="str">
        <f>IFERROR('Quarterly Revenue&amp;EBITDA'!E4/#REF! - 1, "")</f>
        <v/>
      </c>
      <c r="F4" s="46" t="str">
        <f>IFERROR('Quarterly Revenue&amp;EBITDA'!F4/#REF! - 1, "")</f>
        <v/>
      </c>
      <c r="G4" s="46" t="str">
        <f>IFERROR('Quarterly Revenue&amp;EBITDA'!G4/#REF! - 1, "")</f>
        <v/>
      </c>
      <c r="H4" s="46" t="str">
        <f>IFERROR('Quarterly Revenue&amp;EBITDA'!H4/#REF! - 1, "")</f>
        <v/>
      </c>
      <c r="I4" s="46" t="str">
        <f>IFERROR('Quarterly Revenue&amp;EBITDA'!I4/#REF! - 1, "")</f>
        <v/>
      </c>
      <c r="J4" s="46" t="str">
        <f>IFERROR('Quarterly Revenue&amp;EBITDA'!J4/#REF! - 1, "")</f>
        <v/>
      </c>
      <c r="K4" s="46" t="str">
        <f>IFERROR('Quarterly Revenue&amp;EBITDA'!K4/#REF! - 1, "")</f>
        <v/>
      </c>
      <c r="L4" s="46" t="str">
        <f>IFERROR('Quarterly Revenue&amp;EBITDA'!L4/#REF! - 1, "")</f>
        <v/>
      </c>
      <c r="M4" s="46" t="str">
        <f>IFERROR('Quarterly Revenue&amp;EBITDA'!M4/#REF! - 1, "")</f>
        <v/>
      </c>
      <c r="N4" s="46" t="str">
        <f>IFERROR('Quarterly Revenue&amp;EBITDA'!N4/#REF! - 1, "")</f>
        <v/>
      </c>
      <c r="O4" s="46" t="str">
        <f>IFERROR('Quarterly Revenue&amp;EBITDA'!O4/#REF! - 1, "")</f>
        <v/>
      </c>
      <c r="P4" s="46" t="str">
        <f>IFERROR('Quarterly Revenue&amp;EBITDA'!P4/#REF! - 1, "")</f>
        <v/>
      </c>
      <c r="Q4" s="46" t="str">
        <f>IFERROR('Quarterly Revenue&amp;EBITDA'!Q4/#REF! - 1, "")</f>
        <v/>
      </c>
      <c r="R4" s="46" t="str">
        <f>IFERROR('Quarterly Revenue&amp;EBITDA'!R4/#REF! - 1, "")</f>
        <v/>
      </c>
      <c r="S4" s="46" t="str">
        <f>IFERROR('Quarterly Revenue&amp;EBITDA'!S4/#REF! - 1, "")</f>
        <v/>
      </c>
      <c r="T4" s="46" t="str">
        <f>IFERROR('Quarterly Revenue&amp;EBITDA'!T4/#REF! - 1, "")</f>
        <v/>
      </c>
      <c r="U4" s="46" t="str">
        <f>IFERROR('Quarterly Revenue&amp;EBITDA'!U4/#REF! - 1, "")</f>
        <v/>
      </c>
      <c r="V4" s="46" t="str">
        <f>IFERROR('Quarterly Revenue&amp;EBITDA'!V4/#REF! - 1, "")</f>
        <v/>
      </c>
      <c r="W4" s="45"/>
      <c r="X4" s="28"/>
      <c r="Y4" s="28"/>
      <c r="Z4" s="28"/>
      <c r="AA4" s="28"/>
      <c r="AB4" s="28"/>
      <c r="AC4" s="28"/>
    </row>
    <row r="5" spans="1:29" ht="13">
      <c r="A5" s="27" t="s">
        <v>30</v>
      </c>
      <c r="B5" s="45"/>
      <c r="C5" s="45"/>
      <c r="D5" s="46" t="str">
        <f>IFERROR('Quarterly Revenue&amp;EBITDA'!D5/'Quarterly Revenue&amp;EBITDA'!D1 - 1, "")</f>
        <v/>
      </c>
      <c r="E5" s="46" t="str">
        <f>IFERROR('Quarterly Revenue&amp;EBITDA'!E5/'Quarterly Revenue&amp;EBITDA'!E1 - 1, "")</f>
        <v/>
      </c>
      <c r="F5" s="46" t="str">
        <f>IFERROR('Quarterly Revenue&amp;EBITDA'!F5/'Quarterly Revenue&amp;EBITDA'!F1 - 1, "")</f>
        <v/>
      </c>
      <c r="G5" s="46" t="str">
        <f>IFERROR('Quarterly Revenue&amp;EBITDA'!G5/'Quarterly Revenue&amp;EBITDA'!G1 - 1, "")</f>
        <v/>
      </c>
      <c r="H5" s="46" t="str">
        <f>IFERROR('Quarterly Revenue&amp;EBITDA'!H5/'Quarterly Revenue&amp;EBITDA'!H1 - 1, "")</f>
        <v/>
      </c>
      <c r="I5" s="46" t="str">
        <f>IFERROR('Quarterly Revenue&amp;EBITDA'!I5/'Quarterly Revenue&amp;EBITDA'!I1 - 1, "")</f>
        <v/>
      </c>
      <c r="J5" s="46" t="str">
        <f>IFERROR('Quarterly Revenue&amp;EBITDA'!J5/'Quarterly Revenue&amp;EBITDA'!J1 - 1, "")</f>
        <v/>
      </c>
      <c r="K5" s="46" t="str">
        <f>IFERROR('Quarterly Revenue&amp;EBITDA'!K5/'Quarterly Revenue&amp;EBITDA'!K1 - 1, "")</f>
        <v/>
      </c>
      <c r="L5" s="46" t="str">
        <f>IFERROR('Quarterly Revenue&amp;EBITDA'!L5/'Quarterly Revenue&amp;EBITDA'!L1 - 1, "")</f>
        <v/>
      </c>
      <c r="M5" s="46" t="str">
        <f>IFERROR('Quarterly Revenue&amp;EBITDA'!M5/'Quarterly Revenue&amp;EBITDA'!M1 - 1, "")</f>
        <v/>
      </c>
      <c r="N5" s="46" t="str">
        <f>IFERROR('Quarterly Revenue&amp;EBITDA'!N5/'Quarterly Revenue&amp;EBITDA'!N1 - 1, "")</f>
        <v/>
      </c>
      <c r="O5" s="46" t="str">
        <f>IFERROR('Quarterly Revenue&amp;EBITDA'!O5/'Quarterly Revenue&amp;EBITDA'!O1 - 1, "")</f>
        <v/>
      </c>
      <c r="P5" s="46" t="str">
        <f>IFERROR('Quarterly Revenue&amp;EBITDA'!P5/'Quarterly Revenue&amp;EBITDA'!P1 - 1, "")</f>
        <v/>
      </c>
      <c r="Q5" s="46" t="str">
        <f>IFERROR('Quarterly Revenue&amp;EBITDA'!Q5/'Quarterly Revenue&amp;EBITDA'!Q1 - 1, "")</f>
        <v/>
      </c>
      <c r="R5" s="46" t="str">
        <f>IFERROR('Quarterly Revenue&amp;EBITDA'!R5/'Quarterly Revenue&amp;EBITDA'!R1 - 1, "")</f>
        <v/>
      </c>
      <c r="S5" s="46" t="str">
        <f>IFERROR('Quarterly Revenue&amp;EBITDA'!S5/'Quarterly Revenue&amp;EBITDA'!S1 - 1, "")</f>
        <v/>
      </c>
      <c r="T5" s="46" t="str">
        <f>IFERROR('Quarterly Revenue&amp;EBITDA'!T5/'Quarterly Revenue&amp;EBITDA'!T1 - 1, "")</f>
        <v/>
      </c>
      <c r="U5" s="46" t="str">
        <f>IFERROR('Quarterly Revenue&amp;EBITDA'!U5/'Quarterly Revenue&amp;EBITDA'!U1 - 1, "")</f>
        <v/>
      </c>
      <c r="V5" s="46" t="str">
        <f>IFERROR('Quarterly Revenue&amp;EBITDA'!V5/'Quarterly Revenue&amp;EBITDA'!V1 - 1, "")</f>
        <v/>
      </c>
      <c r="W5" s="45"/>
      <c r="X5" s="28"/>
      <c r="Y5" s="28"/>
      <c r="Z5" s="28"/>
      <c r="AA5" s="28"/>
      <c r="AB5" s="28"/>
      <c r="AC5" s="28"/>
    </row>
    <row r="6" spans="1:29" ht="13">
      <c r="A6" s="27" t="s">
        <v>31</v>
      </c>
      <c r="B6" s="45"/>
      <c r="C6" s="45"/>
      <c r="D6" s="46" t="str">
        <f>IFERROR('Quarterly Revenue&amp;EBITDA'!D6/'Quarterly Revenue&amp;EBITDA'!D2 - 1, "")</f>
        <v/>
      </c>
      <c r="E6" s="46" t="str">
        <f>IFERROR('Quarterly Revenue&amp;EBITDA'!E6/'Quarterly Revenue&amp;EBITDA'!E2 - 1, "")</f>
        <v/>
      </c>
      <c r="F6" s="46" t="str">
        <f>IFERROR('Quarterly Revenue&amp;EBITDA'!F6/'Quarterly Revenue&amp;EBITDA'!F2 - 1, "")</f>
        <v/>
      </c>
      <c r="G6" s="46" t="str">
        <f>IFERROR('Quarterly Revenue&amp;EBITDA'!G6/'Quarterly Revenue&amp;EBITDA'!G2 - 1, "")</f>
        <v/>
      </c>
      <c r="H6" s="46" t="str">
        <f>IFERROR('Quarterly Revenue&amp;EBITDA'!H6/'Quarterly Revenue&amp;EBITDA'!H2 - 1, "")</f>
        <v/>
      </c>
      <c r="I6" s="46" t="str">
        <f>IFERROR('Quarterly Revenue&amp;EBITDA'!I6/'Quarterly Revenue&amp;EBITDA'!I2 - 1, "")</f>
        <v/>
      </c>
      <c r="J6" s="46" t="str">
        <f>IFERROR('Quarterly Revenue&amp;EBITDA'!J6/'Quarterly Revenue&amp;EBITDA'!J2 - 1, "")</f>
        <v/>
      </c>
      <c r="K6" s="46" t="str">
        <f>IFERROR('Quarterly Revenue&amp;EBITDA'!K6/'Quarterly Revenue&amp;EBITDA'!K2 - 1, "")</f>
        <v/>
      </c>
      <c r="L6" s="46" t="str">
        <f>IFERROR('Quarterly Revenue&amp;EBITDA'!L6/'Quarterly Revenue&amp;EBITDA'!L2 - 1, "")</f>
        <v/>
      </c>
      <c r="M6" s="46" t="str">
        <f>IFERROR('Quarterly Revenue&amp;EBITDA'!M6/'Quarterly Revenue&amp;EBITDA'!M2 - 1, "")</f>
        <v/>
      </c>
      <c r="N6" s="46" t="str">
        <f>IFERROR('Quarterly Revenue&amp;EBITDA'!N6/'Quarterly Revenue&amp;EBITDA'!N2 - 1, "")</f>
        <v/>
      </c>
      <c r="O6" s="46" t="str">
        <f>IFERROR('Quarterly Revenue&amp;EBITDA'!O6/'Quarterly Revenue&amp;EBITDA'!O2 - 1, "")</f>
        <v/>
      </c>
      <c r="P6" s="46" t="str">
        <f>IFERROR('Quarterly Revenue&amp;EBITDA'!P6/'Quarterly Revenue&amp;EBITDA'!P2 - 1, "")</f>
        <v/>
      </c>
      <c r="Q6" s="46" t="str">
        <f>IFERROR('Quarterly Revenue&amp;EBITDA'!Q6/'Quarterly Revenue&amp;EBITDA'!Q2 - 1, "")</f>
        <v/>
      </c>
      <c r="R6" s="46" t="str">
        <f>IFERROR('Quarterly Revenue&amp;EBITDA'!R6/'Quarterly Revenue&amp;EBITDA'!R2 - 1, "")</f>
        <v/>
      </c>
      <c r="S6" s="46" t="str">
        <f>IFERROR('Quarterly Revenue&amp;EBITDA'!S6/'Quarterly Revenue&amp;EBITDA'!S2 - 1, "")</f>
        <v/>
      </c>
      <c r="T6" s="46" t="str">
        <f>IFERROR('Quarterly Revenue&amp;EBITDA'!T6/'Quarterly Revenue&amp;EBITDA'!T2 - 1, "")</f>
        <v/>
      </c>
      <c r="U6" s="46" t="str">
        <f>IFERROR('Quarterly Revenue&amp;EBITDA'!U6/'Quarterly Revenue&amp;EBITDA'!U2 - 1, "")</f>
        <v/>
      </c>
      <c r="V6" s="46" t="str">
        <f>IFERROR('Quarterly Revenue&amp;EBITDA'!V6/'Quarterly Revenue&amp;EBITDA'!V2 - 1, "")</f>
        <v/>
      </c>
      <c r="W6" s="45"/>
      <c r="X6" s="28"/>
      <c r="Y6" s="28"/>
      <c r="Z6" s="28"/>
      <c r="AA6" s="28"/>
      <c r="AB6" s="28"/>
      <c r="AC6" s="28"/>
    </row>
    <row r="7" spans="1:29" ht="13">
      <c r="A7" s="27" t="s">
        <v>32</v>
      </c>
      <c r="B7" s="45"/>
      <c r="C7" s="46" t="str">
        <f>IFERROR('Quarterly Revenue&amp;EBITDA'!C7/'Quarterly Revenue&amp;EBITDA'!C3 - 1, "")</f>
        <v/>
      </c>
      <c r="D7" s="46"/>
      <c r="E7" s="46" t="str">
        <f>IFERROR('Quarterly Revenue&amp;EBITDA'!E7/'Quarterly Revenue&amp;EBITDA'!E3 - 1, "")</f>
        <v/>
      </c>
      <c r="F7" s="46" t="str">
        <f>IFERROR('Quarterly Revenue&amp;EBITDA'!F7/'Quarterly Revenue&amp;EBITDA'!F3 - 1, "")</f>
        <v/>
      </c>
      <c r="G7" s="46" t="str">
        <f>IFERROR('Quarterly Revenue&amp;EBITDA'!G7/'Quarterly Revenue&amp;EBITDA'!G3 - 1, "")</f>
        <v/>
      </c>
      <c r="H7" s="46" t="str">
        <f>IFERROR('Quarterly Revenue&amp;EBITDA'!H7/'Quarterly Revenue&amp;EBITDA'!H3 - 1, "")</f>
        <v/>
      </c>
      <c r="I7" s="46" t="str">
        <f>IFERROR('Quarterly Revenue&amp;EBITDA'!I7/'Quarterly Revenue&amp;EBITDA'!I3 - 1, "")</f>
        <v/>
      </c>
      <c r="J7" s="46" t="str">
        <f>IFERROR('Quarterly Revenue&amp;EBITDA'!J7/'Quarterly Revenue&amp;EBITDA'!J3 - 1, "")</f>
        <v/>
      </c>
      <c r="K7" s="46" t="str">
        <f>IFERROR('Quarterly Revenue&amp;EBITDA'!K7/'Quarterly Revenue&amp;EBITDA'!K3 - 1, "")</f>
        <v/>
      </c>
      <c r="L7" s="46" t="str">
        <f>IFERROR('Quarterly Revenue&amp;EBITDA'!L7/'Quarterly Revenue&amp;EBITDA'!L3 - 1, "")</f>
        <v/>
      </c>
      <c r="M7" s="46" t="str">
        <f>IFERROR('Quarterly Revenue&amp;EBITDA'!M7/'Quarterly Revenue&amp;EBITDA'!M3 - 1, "")</f>
        <v/>
      </c>
      <c r="N7" s="46" t="str">
        <f>IFERROR('Quarterly Revenue&amp;EBITDA'!N7/'Quarterly Revenue&amp;EBITDA'!N3 - 1, "")</f>
        <v/>
      </c>
      <c r="O7" s="46" t="str">
        <f>IFERROR('Quarterly Revenue&amp;EBITDA'!O7/'Quarterly Revenue&amp;EBITDA'!O3 - 1, "")</f>
        <v/>
      </c>
      <c r="P7" s="46" t="str">
        <f>IFERROR('Quarterly Revenue&amp;EBITDA'!P7/'Quarterly Revenue&amp;EBITDA'!P3 - 1, "")</f>
        <v/>
      </c>
      <c r="Q7" s="46" t="str">
        <f>IFERROR('Quarterly Revenue&amp;EBITDA'!Q7/'Quarterly Revenue&amp;EBITDA'!Q3 - 1, "")</f>
        <v/>
      </c>
      <c r="R7" s="46" t="str">
        <f>IFERROR('Quarterly Revenue&amp;EBITDA'!R7/'Quarterly Revenue&amp;EBITDA'!R3 - 1, "")</f>
        <v/>
      </c>
      <c r="S7" s="46" t="str">
        <f>IFERROR('Quarterly Revenue&amp;EBITDA'!S7/'Quarterly Revenue&amp;EBITDA'!S3 - 1, "")</f>
        <v/>
      </c>
      <c r="T7" s="46" t="str">
        <f>IFERROR('Quarterly Revenue&amp;EBITDA'!T7/'Quarterly Revenue&amp;EBITDA'!T3 - 1, "")</f>
        <v/>
      </c>
      <c r="U7" s="46" t="str">
        <f>IFERROR('Quarterly Revenue&amp;EBITDA'!U7/'Quarterly Revenue&amp;EBITDA'!U3 - 1, "")</f>
        <v/>
      </c>
      <c r="V7" s="46">
        <f>IFERROR('Quarterly Revenue&amp;EBITDA'!V7/'Quarterly Revenue&amp;EBITDA'!V3 - 1, "")</f>
        <v>1.2868525896414345</v>
      </c>
      <c r="W7" s="46">
        <f>IFERROR('Quarterly Revenue&amp;EBITDA'!W7/'Quarterly Revenue&amp;EBITDA'!W3 - 1, "")</f>
        <v>7.3787041824266986E-3</v>
      </c>
      <c r="X7" s="28"/>
      <c r="Y7" s="28"/>
      <c r="Z7" s="28"/>
      <c r="AA7" s="28"/>
      <c r="AB7" s="28"/>
      <c r="AC7" s="28"/>
    </row>
    <row r="8" spans="1:29" ht="13">
      <c r="A8" s="27" t="s">
        <v>33</v>
      </c>
      <c r="B8" s="45"/>
      <c r="C8" s="46" t="str">
        <f>IFERROR('Quarterly Revenue&amp;EBITDA'!C8/'Quarterly Revenue&amp;EBITDA'!C4 - 1, "")</f>
        <v/>
      </c>
      <c r="D8" s="46"/>
      <c r="E8" s="46" t="str">
        <f>IFERROR('Quarterly Revenue&amp;EBITDA'!E8/'Quarterly Revenue&amp;EBITDA'!E4 - 1, "")</f>
        <v/>
      </c>
      <c r="F8" s="46" t="str">
        <f>IFERROR('Quarterly Revenue&amp;EBITDA'!F8/'Quarterly Revenue&amp;EBITDA'!F4 - 1, "")</f>
        <v/>
      </c>
      <c r="G8" s="46" t="str">
        <f>IFERROR('Quarterly Revenue&amp;EBITDA'!G8/'Quarterly Revenue&amp;EBITDA'!G4 - 1, "")</f>
        <v/>
      </c>
      <c r="H8" s="46" t="str">
        <f>IFERROR('Quarterly Revenue&amp;EBITDA'!H8/'Quarterly Revenue&amp;EBITDA'!H4 - 1, "")</f>
        <v/>
      </c>
      <c r="I8" s="46" t="str">
        <f>IFERROR('Quarterly Revenue&amp;EBITDA'!I8/'Quarterly Revenue&amp;EBITDA'!I4 - 1, "")</f>
        <v/>
      </c>
      <c r="J8" s="46" t="str">
        <f>IFERROR('Quarterly Revenue&amp;EBITDA'!J8/'Quarterly Revenue&amp;EBITDA'!J4 - 1, "")</f>
        <v/>
      </c>
      <c r="K8" s="46" t="str">
        <f>IFERROR('Quarterly Revenue&amp;EBITDA'!K8/'Quarterly Revenue&amp;EBITDA'!K4 - 1, "")</f>
        <v/>
      </c>
      <c r="L8" s="46" t="str">
        <f>IFERROR('Quarterly Revenue&amp;EBITDA'!L8/'Quarterly Revenue&amp;EBITDA'!L4 - 1, "")</f>
        <v/>
      </c>
      <c r="M8" s="46" t="str">
        <f>IFERROR('Quarterly Revenue&amp;EBITDA'!M8/'Quarterly Revenue&amp;EBITDA'!M4 - 1, "")</f>
        <v/>
      </c>
      <c r="N8" s="46" t="str">
        <f>IFERROR('Quarterly Revenue&amp;EBITDA'!N8/'Quarterly Revenue&amp;EBITDA'!N4 - 1, "")</f>
        <v/>
      </c>
      <c r="O8" s="46" t="str">
        <f>IFERROR('Quarterly Revenue&amp;EBITDA'!O8/'Quarterly Revenue&amp;EBITDA'!O4 - 1, "")</f>
        <v/>
      </c>
      <c r="P8" s="46" t="str">
        <f>IFERROR('Quarterly Revenue&amp;EBITDA'!P8/'Quarterly Revenue&amp;EBITDA'!P4 - 1, "")</f>
        <v/>
      </c>
      <c r="Q8" s="46" t="str">
        <f>IFERROR('Quarterly Revenue&amp;EBITDA'!Q8/'Quarterly Revenue&amp;EBITDA'!Q4 - 1, "")</f>
        <v/>
      </c>
      <c r="R8" s="46" t="str">
        <f>IFERROR('Quarterly Revenue&amp;EBITDA'!R8/'Quarterly Revenue&amp;EBITDA'!R4 - 1, "")</f>
        <v/>
      </c>
      <c r="S8" s="46" t="str">
        <f>IFERROR('Quarterly Revenue&amp;EBITDA'!S8/'Quarterly Revenue&amp;EBITDA'!S4 - 1, "")</f>
        <v/>
      </c>
      <c r="T8" s="46" t="str">
        <f>IFERROR('Quarterly Revenue&amp;EBITDA'!T8/'Quarterly Revenue&amp;EBITDA'!T4 - 1, "")</f>
        <v/>
      </c>
      <c r="U8" s="46" t="str">
        <f>IFERROR('Quarterly Revenue&amp;EBITDA'!U8/'Quarterly Revenue&amp;EBITDA'!U4 - 1, "")</f>
        <v/>
      </c>
      <c r="V8" s="46">
        <f>IFERROR('Quarterly Revenue&amp;EBITDA'!V8/'Quarterly Revenue&amp;EBITDA'!V4 - 1, "")</f>
        <v>1.2868525896414345</v>
      </c>
      <c r="W8" s="46">
        <f>IFERROR('Quarterly Revenue&amp;EBITDA'!W8/'Quarterly Revenue&amp;EBITDA'!W4 - 1, "")</f>
        <v>7.3787041824266986E-3</v>
      </c>
      <c r="X8" s="28"/>
      <c r="Y8" s="28"/>
      <c r="Z8" s="28"/>
      <c r="AA8" s="28"/>
      <c r="AB8" s="28"/>
      <c r="AC8" s="28"/>
    </row>
    <row r="9" spans="1:29" ht="13">
      <c r="A9" s="27" t="s">
        <v>34</v>
      </c>
      <c r="B9" s="45"/>
      <c r="C9" s="46" t="str">
        <f>IFERROR('Quarterly Revenue&amp;EBITDA'!C9/'Quarterly Revenue&amp;EBITDA'!C5 - 1, "")</f>
        <v/>
      </c>
      <c r="D9" s="46"/>
      <c r="E9" s="46" t="str">
        <f>IFERROR('Quarterly Revenue&amp;EBITDA'!E9/'Quarterly Revenue&amp;EBITDA'!E5 - 1, "")</f>
        <v/>
      </c>
      <c r="F9" s="46" t="str">
        <f>IFERROR('Quarterly Revenue&amp;EBITDA'!F9/'Quarterly Revenue&amp;EBITDA'!F5 - 1, "")</f>
        <v/>
      </c>
      <c r="G9" s="46" t="str">
        <f>IFERROR('Quarterly Revenue&amp;EBITDA'!G9/'Quarterly Revenue&amp;EBITDA'!G5 - 1, "")</f>
        <v/>
      </c>
      <c r="H9" s="46" t="str">
        <f>IFERROR('Quarterly Revenue&amp;EBITDA'!H9/'Quarterly Revenue&amp;EBITDA'!H5 - 1, "")</f>
        <v/>
      </c>
      <c r="I9" s="46" t="str">
        <f>IFERROR('Quarterly Revenue&amp;EBITDA'!I9/'Quarterly Revenue&amp;EBITDA'!I5 - 1, "")</f>
        <v/>
      </c>
      <c r="J9" s="46" t="str">
        <f>IFERROR('Quarterly Revenue&amp;EBITDA'!J9/'Quarterly Revenue&amp;EBITDA'!J5 - 1, "")</f>
        <v/>
      </c>
      <c r="K9" s="46" t="str">
        <f>IFERROR('Quarterly Revenue&amp;EBITDA'!K9/'Quarterly Revenue&amp;EBITDA'!K5 - 1, "")</f>
        <v/>
      </c>
      <c r="L9" s="46" t="str">
        <f>IFERROR('Quarterly Revenue&amp;EBITDA'!L9/'Quarterly Revenue&amp;EBITDA'!L5 - 1, "")</f>
        <v/>
      </c>
      <c r="M9" s="46" t="str">
        <f>IFERROR('Quarterly Revenue&amp;EBITDA'!M9/'Quarterly Revenue&amp;EBITDA'!M5 - 1, "")</f>
        <v/>
      </c>
      <c r="N9" s="46" t="str">
        <f>IFERROR('Quarterly Revenue&amp;EBITDA'!N9/'Quarterly Revenue&amp;EBITDA'!N5 - 1, "")</f>
        <v/>
      </c>
      <c r="O9" s="46" t="str">
        <f>IFERROR('Quarterly Revenue&amp;EBITDA'!O9/'Quarterly Revenue&amp;EBITDA'!O5 - 1, "")</f>
        <v/>
      </c>
      <c r="P9" s="46" t="str">
        <f>IFERROR('Quarterly Revenue&amp;EBITDA'!P9/'Quarterly Revenue&amp;EBITDA'!P5 - 1, "")</f>
        <v/>
      </c>
      <c r="Q9" s="46" t="str">
        <f>IFERROR('Quarterly Revenue&amp;EBITDA'!Q9/'Quarterly Revenue&amp;EBITDA'!Q5 - 1, "")</f>
        <v/>
      </c>
      <c r="R9" s="46" t="str">
        <f>IFERROR('Quarterly Revenue&amp;EBITDA'!R9/'Quarterly Revenue&amp;EBITDA'!R5 - 1, "")</f>
        <v/>
      </c>
      <c r="S9" s="46" t="str">
        <f>IFERROR('Quarterly Revenue&amp;EBITDA'!S9/'Quarterly Revenue&amp;EBITDA'!S5 - 1, "")</f>
        <v/>
      </c>
      <c r="T9" s="46" t="str">
        <f>IFERROR('Quarterly Revenue&amp;EBITDA'!T9/'Quarterly Revenue&amp;EBITDA'!T5 - 1, "")</f>
        <v/>
      </c>
      <c r="U9" s="46" t="str">
        <f>IFERROR('Quarterly Revenue&amp;EBITDA'!U9/'Quarterly Revenue&amp;EBITDA'!U5 - 1, "")</f>
        <v/>
      </c>
      <c r="V9" s="46">
        <f>IFERROR('Quarterly Revenue&amp;EBITDA'!V9/'Quarterly Revenue&amp;EBITDA'!V5 - 1, "")</f>
        <v>1.2868525896414345</v>
      </c>
      <c r="W9" s="46">
        <f>IFERROR('Quarterly Revenue&amp;EBITDA'!W9/'Quarterly Revenue&amp;EBITDA'!W5 - 1, "")</f>
        <v>0.30945517253301991</v>
      </c>
      <c r="X9" s="28"/>
      <c r="Y9" s="28"/>
      <c r="Z9" s="28"/>
      <c r="AA9" s="28"/>
      <c r="AB9" s="28"/>
      <c r="AC9" s="28"/>
    </row>
    <row r="10" spans="1:29" ht="13">
      <c r="A10" s="27" t="s">
        <v>35</v>
      </c>
      <c r="B10" s="45"/>
      <c r="C10" s="46" t="str">
        <f>IFERROR('Quarterly Revenue&amp;EBITDA'!C10/'Quarterly Revenue&amp;EBITDA'!C6 - 1, "")</f>
        <v/>
      </c>
      <c r="D10" s="46"/>
      <c r="E10" s="46" t="str">
        <f>IFERROR('Quarterly Revenue&amp;EBITDA'!E10/'Quarterly Revenue&amp;EBITDA'!E6 - 1, "")</f>
        <v/>
      </c>
      <c r="F10" s="46" t="str">
        <f>IFERROR('Quarterly Revenue&amp;EBITDA'!F10/'Quarterly Revenue&amp;EBITDA'!F6 - 1, "")</f>
        <v/>
      </c>
      <c r="G10" s="46" t="str">
        <f>IFERROR('Quarterly Revenue&amp;EBITDA'!G10/'Quarterly Revenue&amp;EBITDA'!G6 - 1, "")</f>
        <v/>
      </c>
      <c r="H10" s="46" t="str">
        <f>IFERROR('Quarterly Revenue&amp;EBITDA'!H10/'Quarterly Revenue&amp;EBITDA'!H6 - 1, "")</f>
        <v/>
      </c>
      <c r="I10" s="46" t="str">
        <f>IFERROR('Quarterly Revenue&amp;EBITDA'!I10/'Quarterly Revenue&amp;EBITDA'!I6 - 1, "")</f>
        <v/>
      </c>
      <c r="J10" s="46" t="str">
        <f>IFERROR('Quarterly Revenue&amp;EBITDA'!J10/'Quarterly Revenue&amp;EBITDA'!J6 - 1, "")</f>
        <v/>
      </c>
      <c r="K10" s="46" t="str">
        <f>IFERROR('Quarterly Revenue&amp;EBITDA'!K10/'Quarterly Revenue&amp;EBITDA'!K6 - 1, "")</f>
        <v/>
      </c>
      <c r="L10" s="46" t="str">
        <f>IFERROR('Quarterly Revenue&amp;EBITDA'!L10/'Quarterly Revenue&amp;EBITDA'!L6 - 1, "")</f>
        <v/>
      </c>
      <c r="M10" s="46" t="str">
        <f>IFERROR('Quarterly Revenue&amp;EBITDA'!M10/'Quarterly Revenue&amp;EBITDA'!M6 - 1, "")</f>
        <v/>
      </c>
      <c r="N10" s="46" t="str">
        <f>IFERROR('Quarterly Revenue&amp;EBITDA'!N10/'Quarterly Revenue&amp;EBITDA'!N6 - 1, "")</f>
        <v/>
      </c>
      <c r="O10" s="46" t="str">
        <f>IFERROR('Quarterly Revenue&amp;EBITDA'!O10/'Quarterly Revenue&amp;EBITDA'!O6 - 1, "")</f>
        <v/>
      </c>
      <c r="P10" s="46" t="str">
        <f>IFERROR('Quarterly Revenue&amp;EBITDA'!P10/'Quarterly Revenue&amp;EBITDA'!P6 - 1, "")</f>
        <v/>
      </c>
      <c r="Q10" s="46" t="str">
        <f>IFERROR('Quarterly Revenue&amp;EBITDA'!Q10/'Quarterly Revenue&amp;EBITDA'!Q6 - 1, "")</f>
        <v/>
      </c>
      <c r="R10" s="46" t="str">
        <f>IFERROR('Quarterly Revenue&amp;EBITDA'!R10/'Quarterly Revenue&amp;EBITDA'!R6 - 1, "")</f>
        <v/>
      </c>
      <c r="S10" s="46" t="str">
        <f>IFERROR('Quarterly Revenue&amp;EBITDA'!S10/'Quarterly Revenue&amp;EBITDA'!S6 - 1, "")</f>
        <v/>
      </c>
      <c r="T10" s="46" t="str">
        <f>IFERROR('Quarterly Revenue&amp;EBITDA'!T10/'Quarterly Revenue&amp;EBITDA'!T6 - 1, "")</f>
        <v/>
      </c>
      <c r="U10" s="46" t="str">
        <f>IFERROR('Quarterly Revenue&amp;EBITDA'!U10/'Quarterly Revenue&amp;EBITDA'!U6 - 1, "")</f>
        <v/>
      </c>
      <c r="V10" s="46">
        <f>IFERROR('Quarterly Revenue&amp;EBITDA'!V10/'Quarterly Revenue&amp;EBITDA'!V6 - 1, "")</f>
        <v>1.2868525896414345</v>
      </c>
      <c r="W10" s="46">
        <f>IFERROR('Quarterly Revenue&amp;EBITDA'!W10/'Quarterly Revenue&amp;EBITDA'!W6 - 1, "")</f>
        <v>0.30945517253301991</v>
      </c>
      <c r="X10" s="28"/>
      <c r="Y10" s="28"/>
      <c r="Z10" s="28"/>
      <c r="AA10" s="28"/>
      <c r="AB10" s="28"/>
      <c r="AC10" s="28"/>
    </row>
    <row r="11" spans="1:29" ht="13">
      <c r="A11" s="27" t="s">
        <v>36</v>
      </c>
      <c r="B11" s="45"/>
      <c r="C11" s="46"/>
      <c r="D11" s="46">
        <f>IFERROR('Quarterly Revenue&amp;EBITDA'!D11/'Quarterly Revenue&amp;EBITDA'!D7 - 1, "")</f>
        <v>1.7987994503507632</v>
      </c>
      <c r="E11" s="46" t="str">
        <f>IFERROR('Quarterly Revenue&amp;EBITDA'!E11/'Quarterly Revenue&amp;EBITDA'!E7 - 1, "")</f>
        <v/>
      </c>
      <c r="F11" s="46" t="str">
        <f>IFERROR('Quarterly Revenue&amp;EBITDA'!F11/'Quarterly Revenue&amp;EBITDA'!F7 - 1, "")</f>
        <v/>
      </c>
      <c r="G11" s="46" t="str">
        <f>IFERROR('Quarterly Revenue&amp;EBITDA'!G11/'Quarterly Revenue&amp;EBITDA'!G7 - 1, "")</f>
        <v/>
      </c>
      <c r="H11" s="46" t="str">
        <f>IFERROR('Quarterly Revenue&amp;EBITDA'!H11/'Quarterly Revenue&amp;EBITDA'!H7 - 1, "")</f>
        <v/>
      </c>
      <c r="I11" s="46" t="str">
        <f>IFERROR('Quarterly Revenue&amp;EBITDA'!I11/'Quarterly Revenue&amp;EBITDA'!I7 - 1, "")</f>
        <v/>
      </c>
      <c r="J11" s="46" t="str">
        <f>IFERROR('Quarterly Revenue&amp;EBITDA'!J11/'Quarterly Revenue&amp;EBITDA'!J7 - 1, "")</f>
        <v/>
      </c>
      <c r="K11" s="46" t="str">
        <f>IFERROR('Quarterly Revenue&amp;EBITDA'!K11/'Quarterly Revenue&amp;EBITDA'!K7 - 1, "")</f>
        <v/>
      </c>
      <c r="L11" s="46" t="str">
        <f>IFERROR('Quarterly Revenue&amp;EBITDA'!L11/'Quarterly Revenue&amp;EBITDA'!L7 - 1, "")</f>
        <v/>
      </c>
      <c r="M11" s="46" t="str">
        <f>IFERROR('Quarterly Revenue&amp;EBITDA'!M11/'Quarterly Revenue&amp;EBITDA'!M7 - 1, "")</f>
        <v/>
      </c>
      <c r="N11" s="46" t="str">
        <f>IFERROR('Quarterly Revenue&amp;EBITDA'!N11/'Quarterly Revenue&amp;EBITDA'!N7 - 1, "")</f>
        <v/>
      </c>
      <c r="O11" s="46" t="str">
        <f>IFERROR('Quarterly Revenue&amp;EBITDA'!O11/'Quarterly Revenue&amp;EBITDA'!O7 - 1, "")</f>
        <v/>
      </c>
      <c r="P11" s="46" t="str">
        <f>IFERROR('Quarterly Revenue&amp;EBITDA'!P11/'Quarterly Revenue&amp;EBITDA'!P7 - 1, "")</f>
        <v/>
      </c>
      <c r="Q11" s="46" t="str">
        <f>IFERROR('Quarterly Revenue&amp;EBITDA'!Q11/'Quarterly Revenue&amp;EBITDA'!Q7 - 1, "")</f>
        <v/>
      </c>
      <c r="R11" s="46" t="str">
        <f>IFERROR('Quarterly Revenue&amp;EBITDA'!R11/'Quarterly Revenue&amp;EBITDA'!R7 - 1, "")</f>
        <v/>
      </c>
      <c r="S11" s="46" t="str">
        <f>IFERROR('Quarterly Revenue&amp;EBITDA'!S11/'Quarterly Revenue&amp;EBITDA'!S7 - 1, "")</f>
        <v/>
      </c>
      <c r="T11" s="46" t="str">
        <f>IFERROR('Quarterly Revenue&amp;EBITDA'!T11/'Quarterly Revenue&amp;EBITDA'!T7 - 1, "")</f>
        <v/>
      </c>
      <c r="U11" s="46" t="str">
        <f>IFERROR('Quarterly Revenue&amp;EBITDA'!U11/'Quarterly Revenue&amp;EBITDA'!U7 - 1, "")</f>
        <v/>
      </c>
      <c r="V11" s="46">
        <f>IFERROR('Quarterly Revenue&amp;EBITDA'!V11/'Quarterly Revenue&amp;EBITDA'!V7 - 1, "")</f>
        <v>2.0222714003201809</v>
      </c>
      <c r="W11" s="46">
        <f>IFERROR('Quarterly Revenue&amp;EBITDA'!W11/'Quarterly Revenue&amp;EBITDA'!W7 - 1, "")</f>
        <v>0.30945517253301991</v>
      </c>
      <c r="X11" s="28"/>
      <c r="Y11" s="28"/>
      <c r="Z11" s="28"/>
      <c r="AA11" s="28"/>
      <c r="AB11" s="28"/>
      <c r="AC11" s="28"/>
    </row>
    <row r="12" spans="1:29" ht="13">
      <c r="A12" s="27" t="s">
        <v>37</v>
      </c>
      <c r="B12" s="45"/>
      <c r="C12" s="46"/>
      <c r="D12" s="46">
        <f>IFERROR('Quarterly Revenue&amp;EBITDA'!D12/'Quarterly Revenue&amp;EBITDA'!D8 - 1, "")</f>
        <v>1.7987994503507632</v>
      </c>
      <c r="E12" s="46" t="str">
        <f>IFERROR('Quarterly Revenue&amp;EBITDA'!E12/'Quarterly Revenue&amp;EBITDA'!E8 - 1, "")</f>
        <v/>
      </c>
      <c r="F12" s="46" t="str">
        <f>IFERROR('Quarterly Revenue&amp;EBITDA'!F12/'Quarterly Revenue&amp;EBITDA'!F8 - 1, "")</f>
        <v/>
      </c>
      <c r="G12" s="46" t="str">
        <f>IFERROR('Quarterly Revenue&amp;EBITDA'!G12/'Quarterly Revenue&amp;EBITDA'!G8 - 1, "")</f>
        <v/>
      </c>
      <c r="H12" s="46" t="str">
        <f>IFERROR('Quarterly Revenue&amp;EBITDA'!H12/'Quarterly Revenue&amp;EBITDA'!H8 - 1, "")</f>
        <v/>
      </c>
      <c r="I12" s="46" t="str">
        <f>IFERROR('Quarterly Revenue&amp;EBITDA'!I12/'Quarterly Revenue&amp;EBITDA'!I8 - 1, "")</f>
        <v/>
      </c>
      <c r="J12" s="46" t="str">
        <f>IFERROR('Quarterly Revenue&amp;EBITDA'!J12/'Quarterly Revenue&amp;EBITDA'!J8 - 1, "")</f>
        <v/>
      </c>
      <c r="K12" s="46" t="str">
        <f>IFERROR('Quarterly Revenue&amp;EBITDA'!K12/'Quarterly Revenue&amp;EBITDA'!K8 - 1, "")</f>
        <v/>
      </c>
      <c r="L12" s="46" t="str">
        <f>IFERROR('Quarterly Revenue&amp;EBITDA'!L12/'Quarterly Revenue&amp;EBITDA'!L8 - 1, "")</f>
        <v/>
      </c>
      <c r="M12" s="46" t="str">
        <f>IFERROR('Quarterly Revenue&amp;EBITDA'!M12/'Quarterly Revenue&amp;EBITDA'!M8 - 1, "")</f>
        <v/>
      </c>
      <c r="N12" s="46" t="str">
        <f>IFERROR('Quarterly Revenue&amp;EBITDA'!N12/'Quarterly Revenue&amp;EBITDA'!N8 - 1, "")</f>
        <v/>
      </c>
      <c r="O12" s="46" t="str">
        <f>IFERROR('Quarterly Revenue&amp;EBITDA'!O12/'Quarterly Revenue&amp;EBITDA'!O8 - 1, "")</f>
        <v/>
      </c>
      <c r="P12" s="46" t="str">
        <f>IFERROR('Quarterly Revenue&amp;EBITDA'!P12/'Quarterly Revenue&amp;EBITDA'!P8 - 1, "")</f>
        <v/>
      </c>
      <c r="Q12" s="46" t="str">
        <f>IFERROR('Quarterly Revenue&amp;EBITDA'!Q12/'Quarterly Revenue&amp;EBITDA'!Q8 - 1, "")</f>
        <v/>
      </c>
      <c r="R12" s="46" t="str">
        <f>IFERROR('Quarterly Revenue&amp;EBITDA'!R12/'Quarterly Revenue&amp;EBITDA'!R8 - 1, "")</f>
        <v/>
      </c>
      <c r="S12" s="46" t="str">
        <f>IFERROR('Quarterly Revenue&amp;EBITDA'!S12/'Quarterly Revenue&amp;EBITDA'!S8 - 1, "")</f>
        <v/>
      </c>
      <c r="T12" s="46" t="str">
        <f>IFERROR('Quarterly Revenue&amp;EBITDA'!T12/'Quarterly Revenue&amp;EBITDA'!T8 - 1, "")</f>
        <v/>
      </c>
      <c r="U12" s="46" t="str">
        <f>IFERROR('Quarterly Revenue&amp;EBITDA'!U12/'Quarterly Revenue&amp;EBITDA'!U8 - 1, "")</f>
        <v/>
      </c>
      <c r="V12" s="46">
        <f>IFERROR('Quarterly Revenue&amp;EBITDA'!V12/'Quarterly Revenue&amp;EBITDA'!V8 - 1, "")</f>
        <v>2.0222714003201809</v>
      </c>
      <c r="W12" s="46">
        <f>IFERROR('Quarterly Revenue&amp;EBITDA'!W12/'Quarterly Revenue&amp;EBITDA'!W8 - 1, "")</f>
        <v>0.30945517253301991</v>
      </c>
      <c r="X12" s="28"/>
      <c r="Y12" s="28"/>
      <c r="Z12" s="28"/>
      <c r="AA12" s="28"/>
      <c r="AB12" s="28"/>
      <c r="AC12" s="28"/>
    </row>
    <row r="13" spans="1:29" ht="13">
      <c r="A13" s="27" t="s">
        <v>38</v>
      </c>
      <c r="B13" s="45"/>
      <c r="C13" s="46"/>
      <c r="D13" s="46">
        <f>IFERROR('Quarterly Revenue&amp;EBITDA'!D13/'Quarterly Revenue&amp;EBITDA'!D9 - 1, "")</f>
        <v>1.7987994503507632</v>
      </c>
      <c r="E13" s="46" t="str">
        <f>IFERROR('Quarterly Revenue&amp;EBITDA'!E13/'Quarterly Revenue&amp;EBITDA'!E9 - 1, "")</f>
        <v/>
      </c>
      <c r="F13" s="46" t="str">
        <f>IFERROR('Quarterly Revenue&amp;EBITDA'!F13/'Quarterly Revenue&amp;EBITDA'!F9 - 1, "")</f>
        <v/>
      </c>
      <c r="G13" s="46" t="str">
        <f>IFERROR('Quarterly Revenue&amp;EBITDA'!G13/'Quarterly Revenue&amp;EBITDA'!G9 - 1, "")</f>
        <v/>
      </c>
      <c r="H13" s="46" t="str">
        <f>IFERROR('Quarterly Revenue&amp;EBITDA'!H13/'Quarterly Revenue&amp;EBITDA'!H9 - 1, "")</f>
        <v/>
      </c>
      <c r="I13" s="46" t="str">
        <f>IFERROR('Quarterly Revenue&amp;EBITDA'!I13/'Quarterly Revenue&amp;EBITDA'!I9 - 1, "")</f>
        <v/>
      </c>
      <c r="J13" s="46" t="str">
        <f>IFERROR('Quarterly Revenue&amp;EBITDA'!J13/'Quarterly Revenue&amp;EBITDA'!J9 - 1, "")</f>
        <v/>
      </c>
      <c r="K13" s="46" t="str">
        <f>IFERROR('Quarterly Revenue&amp;EBITDA'!K13/'Quarterly Revenue&amp;EBITDA'!K9 - 1, "")</f>
        <v/>
      </c>
      <c r="L13" s="46" t="str">
        <f>IFERROR('Quarterly Revenue&amp;EBITDA'!L13/'Quarterly Revenue&amp;EBITDA'!L9 - 1, "")</f>
        <v/>
      </c>
      <c r="M13" s="46" t="str">
        <f>IFERROR('Quarterly Revenue&amp;EBITDA'!M13/'Quarterly Revenue&amp;EBITDA'!M9 - 1, "")</f>
        <v/>
      </c>
      <c r="N13" s="46" t="str">
        <f>IFERROR('Quarterly Revenue&amp;EBITDA'!N13/'Quarterly Revenue&amp;EBITDA'!N9 - 1, "")</f>
        <v/>
      </c>
      <c r="O13" s="46" t="str">
        <f>IFERROR('Quarterly Revenue&amp;EBITDA'!O13/'Quarterly Revenue&amp;EBITDA'!O9 - 1, "")</f>
        <v/>
      </c>
      <c r="P13" s="46" t="str">
        <f>IFERROR('Quarterly Revenue&amp;EBITDA'!P13/'Quarterly Revenue&amp;EBITDA'!P9 - 1, "")</f>
        <v/>
      </c>
      <c r="Q13" s="46" t="str">
        <f>IFERROR('Quarterly Revenue&amp;EBITDA'!Q13/'Quarterly Revenue&amp;EBITDA'!Q9 - 1, "")</f>
        <v/>
      </c>
      <c r="R13" s="46" t="str">
        <f>IFERROR('Quarterly Revenue&amp;EBITDA'!R13/'Quarterly Revenue&amp;EBITDA'!R9 - 1, "")</f>
        <v/>
      </c>
      <c r="S13" s="46" t="str">
        <f>IFERROR('Quarterly Revenue&amp;EBITDA'!S13/'Quarterly Revenue&amp;EBITDA'!S9 - 1, "")</f>
        <v/>
      </c>
      <c r="T13" s="46" t="str">
        <f>IFERROR('Quarterly Revenue&amp;EBITDA'!T13/'Quarterly Revenue&amp;EBITDA'!T9 - 1, "")</f>
        <v/>
      </c>
      <c r="U13" s="46" t="str">
        <f>IFERROR('Quarterly Revenue&amp;EBITDA'!U13/'Quarterly Revenue&amp;EBITDA'!U9 - 1, "")</f>
        <v/>
      </c>
      <c r="V13" s="46">
        <f>IFERROR('Quarterly Revenue&amp;EBITDA'!V13/'Quarterly Revenue&amp;EBITDA'!V9 - 1, "")</f>
        <v>2.0222714003201809</v>
      </c>
      <c r="W13" s="46">
        <f>IFERROR('Quarterly Revenue&amp;EBITDA'!W13/'Quarterly Revenue&amp;EBITDA'!W9 - 1, "")</f>
        <v>0.18884550451932736</v>
      </c>
      <c r="X13" s="28"/>
      <c r="Y13" s="28"/>
      <c r="Z13" s="28"/>
      <c r="AA13" s="28"/>
      <c r="AB13" s="28"/>
      <c r="AC13" s="28"/>
    </row>
    <row r="14" spans="1:29" ht="13">
      <c r="A14" s="27" t="s">
        <v>39</v>
      </c>
      <c r="B14" s="45"/>
      <c r="C14" s="46"/>
      <c r="D14" s="46">
        <f>IFERROR('Quarterly Revenue&amp;EBITDA'!D14/'Quarterly Revenue&amp;EBITDA'!D10 - 1, "")</f>
        <v>1.7987994503507632</v>
      </c>
      <c r="E14" s="46" t="str">
        <f>IFERROR('Quarterly Revenue&amp;EBITDA'!E14/'Quarterly Revenue&amp;EBITDA'!E10 - 1, "")</f>
        <v/>
      </c>
      <c r="F14" s="46" t="str">
        <f>IFERROR('Quarterly Revenue&amp;EBITDA'!F14/'Quarterly Revenue&amp;EBITDA'!F10 - 1, "")</f>
        <v/>
      </c>
      <c r="G14" s="46" t="str">
        <f>IFERROR('Quarterly Revenue&amp;EBITDA'!G14/'Quarterly Revenue&amp;EBITDA'!G10 - 1, "")</f>
        <v/>
      </c>
      <c r="H14" s="46" t="str">
        <f>IFERROR('Quarterly Revenue&amp;EBITDA'!H14/'Quarterly Revenue&amp;EBITDA'!H10 - 1, "")</f>
        <v/>
      </c>
      <c r="I14" s="46" t="str">
        <f>IFERROR('Quarterly Revenue&amp;EBITDA'!I14/'Quarterly Revenue&amp;EBITDA'!I10 - 1, "")</f>
        <v/>
      </c>
      <c r="J14" s="46" t="str">
        <f>IFERROR('Quarterly Revenue&amp;EBITDA'!J14/'Quarterly Revenue&amp;EBITDA'!J10 - 1, "")</f>
        <v/>
      </c>
      <c r="K14" s="46" t="str">
        <f>IFERROR('Quarterly Revenue&amp;EBITDA'!K14/'Quarterly Revenue&amp;EBITDA'!K10 - 1, "")</f>
        <v/>
      </c>
      <c r="L14" s="46" t="str">
        <f>IFERROR('Quarterly Revenue&amp;EBITDA'!L14/'Quarterly Revenue&amp;EBITDA'!L10 - 1, "")</f>
        <v/>
      </c>
      <c r="M14" s="46" t="str">
        <f>IFERROR('Quarterly Revenue&amp;EBITDA'!M14/'Quarterly Revenue&amp;EBITDA'!M10 - 1, "")</f>
        <v/>
      </c>
      <c r="N14" s="46" t="str">
        <f>IFERROR('Quarterly Revenue&amp;EBITDA'!N14/'Quarterly Revenue&amp;EBITDA'!N10 - 1, "")</f>
        <v/>
      </c>
      <c r="O14" s="46" t="str">
        <f>IFERROR('Quarterly Revenue&amp;EBITDA'!O14/'Quarterly Revenue&amp;EBITDA'!O10 - 1, "")</f>
        <v/>
      </c>
      <c r="P14" s="46" t="str">
        <f>IFERROR('Quarterly Revenue&amp;EBITDA'!P14/'Quarterly Revenue&amp;EBITDA'!P10 - 1, "")</f>
        <v/>
      </c>
      <c r="Q14" s="46" t="str">
        <f>IFERROR('Quarterly Revenue&amp;EBITDA'!Q14/'Quarterly Revenue&amp;EBITDA'!Q10 - 1, "")</f>
        <v/>
      </c>
      <c r="R14" s="46"/>
      <c r="S14" s="46" t="str">
        <f>IFERROR('Quarterly Revenue&amp;EBITDA'!S14/'Quarterly Revenue&amp;EBITDA'!S10 - 1, "")</f>
        <v/>
      </c>
      <c r="T14" s="46" t="str">
        <f>IFERROR('Quarterly Revenue&amp;EBITDA'!T14/'Quarterly Revenue&amp;EBITDA'!T10 - 1, "")</f>
        <v/>
      </c>
      <c r="U14" s="46" t="str">
        <f>IFERROR('Quarterly Revenue&amp;EBITDA'!U14/'Quarterly Revenue&amp;EBITDA'!U10 - 1, "")</f>
        <v/>
      </c>
      <c r="V14" s="46">
        <f>IFERROR('Quarterly Revenue&amp;EBITDA'!V14/'Quarterly Revenue&amp;EBITDA'!V10 - 1, "")</f>
        <v>2.0222714003201809</v>
      </c>
      <c r="W14" s="46">
        <f>IFERROR('Quarterly Revenue&amp;EBITDA'!W14/'Quarterly Revenue&amp;EBITDA'!W10 - 1, "")</f>
        <v>0.18884550451932736</v>
      </c>
      <c r="X14" s="28"/>
      <c r="Y14" s="28"/>
      <c r="Z14" s="28"/>
      <c r="AA14" s="28"/>
      <c r="AB14" s="28"/>
      <c r="AC14" s="28"/>
    </row>
    <row r="15" spans="1:29" ht="13">
      <c r="A15" s="27" t="s">
        <v>40</v>
      </c>
      <c r="B15" s="45"/>
      <c r="C15" s="46">
        <f>IFERROR('Quarterly Revenue&amp;EBITDA'!C15/'Quarterly Revenue&amp;EBITDA'!C11 - 1, "")</f>
        <v>1.5608838954416369</v>
      </c>
      <c r="D15" s="46">
        <f>IFERROR('Quarterly Revenue&amp;EBITDA'!D15/'Quarterly Revenue&amp;EBITDA'!D11 - 1, "")</f>
        <v>1.4453086643065713</v>
      </c>
      <c r="E15" s="46" t="str">
        <f>IFERROR('Quarterly Revenue&amp;EBITDA'!E15/'Quarterly Revenue&amp;EBITDA'!E11 - 1, "")</f>
        <v/>
      </c>
      <c r="F15" s="46" t="str">
        <f>IFERROR('Quarterly Revenue&amp;EBITDA'!F15/'Quarterly Revenue&amp;EBITDA'!F11 - 1, "")</f>
        <v/>
      </c>
      <c r="G15" s="46" t="str">
        <f>IFERROR('Quarterly Revenue&amp;EBITDA'!G15/'Quarterly Revenue&amp;EBITDA'!G11 - 1, "")</f>
        <v/>
      </c>
      <c r="H15" s="46" t="str">
        <f>IFERROR('Quarterly Revenue&amp;EBITDA'!H15/'Quarterly Revenue&amp;EBITDA'!H11 - 1, "")</f>
        <v/>
      </c>
      <c r="I15" s="46" t="str">
        <f>IFERROR('Quarterly Revenue&amp;EBITDA'!I15/'Quarterly Revenue&amp;EBITDA'!I11 - 1, "")</f>
        <v/>
      </c>
      <c r="J15" s="46" t="str">
        <f>IFERROR('Quarterly Revenue&amp;EBITDA'!J15/'Quarterly Revenue&amp;EBITDA'!J11 - 1, "")</f>
        <v/>
      </c>
      <c r="K15" s="46" t="str">
        <f>IFERROR('Quarterly Revenue&amp;EBITDA'!K15/'Quarterly Revenue&amp;EBITDA'!K11 - 1, "")</f>
        <v/>
      </c>
      <c r="L15" s="46" t="str">
        <f>IFERROR('Quarterly Revenue&amp;EBITDA'!L15/'Quarterly Revenue&amp;EBITDA'!L11 - 1, "")</f>
        <v/>
      </c>
      <c r="M15" s="46" t="str">
        <f>IFERROR('Quarterly Revenue&amp;EBITDA'!M15/'Quarterly Revenue&amp;EBITDA'!M11 - 1, "")</f>
        <v/>
      </c>
      <c r="N15" s="46" t="str">
        <f>IFERROR('Quarterly Revenue&amp;EBITDA'!N15/'Quarterly Revenue&amp;EBITDA'!N11 - 1, "")</f>
        <v/>
      </c>
      <c r="O15" s="46" t="str">
        <f>IFERROR('Quarterly Revenue&amp;EBITDA'!O15/'Quarterly Revenue&amp;EBITDA'!O11 - 1, "")</f>
        <v/>
      </c>
      <c r="P15" s="46" t="str">
        <f>IFERROR('Quarterly Revenue&amp;EBITDA'!P15/'Quarterly Revenue&amp;EBITDA'!P11 - 1, "")</f>
        <v/>
      </c>
      <c r="Q15" s="46" t="str">
        <f>IFERROR('Quarterly Revenue&amp;EBITDA'!Q15/'Quarterly Revenue&amp;EBITDA'!Q11 - 1, "")</f>
        <v/>
      </c>
      <c r="R15" s="46"/>
      <c r="S15" s="46" t="str">
        <f>IFERROR('Quarterly Revenue&amp;EBITDA'!S15/'Quarterly Revenue&amp;EBITDA'!S11 - 1, "")</f>
        <v/>
      </c>
      <c r="T15" s="46" t="str">
        <f>IFERROR('Quarterly Revenue&amp;EBITDA'!T15/'Quarterly Revenue&amp;EBITDA'!T11 - 1, "")</f>
        <v/>
      </c>
      <c r="U15" s="46" t="str">
        <f>IFERROR('Quarterly Revenue&amp;EBITDA'!U15/'Quarterly Revenue&amp;EBITDA'!U11 - 1, "")</f>
        <v/>
      </c>
      <c r="V15" s="46">
        <f>IFERROR('Quarterly Revenue&amp;EBITDA'!V15/'Quarterly Revenue&amp;EBITDA'!V11 - 1, "")</f>
        <v>2.0016981631794599</v>
      </c>
      <c r="W15" s="46">
        <f>IFERROR('Quarterly Revenue&amp;EBITDA'!W15/'Quarterly Revenue&amp;EBITDA'!W11 - 1, "")</f>
        <v>0.18884550451932736</v>
      </c>
      <c r="X15" s="28"/>
      <c r="Y15" s="28"/>
      <c r="Z15" s="28"/>
      <c r="AA15" s="28"/>
      <c r="AB15" s="28"/>
      <c r="AC15" s="28"/>
    </row>
    <row r="16" spans="1:29" ht="13">
      <c r="A16" s="27" t="s">
        <v>41</v>
      </c>
      <c r="B16" s="45"/>
      <c r="C16" s="46">
        <f>IFERROR('Quarterly Revenue&amp;EBITDA'!C16/'Quarterly Revenue&amp;EBITDA'!C12 - 1, "")</f>
        <v>1.5608838954416369</v>
      </c>
      <c r="D16" s="46">
        <f>IFERROR('Quarterly Revenue&amp;EBITDA'!D16/'Quarterly Revenue&amp;EBITDA'!D12 - 1, "")</f>
        <v>1.4453086643065713</v>
      </c>
      <c r="E16" s="46" t="str">
        <f>IFERROR('Quarterly Revenue&amp;EBITDA'!E16/'Quarterly Revenue&amp;EBITDA'!E12 - 1, "")</f>
        <v/>
      </c>
      <c r="F16" s="46" t="str">
        <f>IFERROR('Quarterly Revenue&amp;EBITDA'!F16/'Quarterly Revenue&amp;EBITDA'!F12 - 1, "")</f>
        <v/>
      </c>
      <c r="G16" s="46" t="str">
        <f>IFERROR('Quarterly Revenue&amp;EBITDA'!G16/'Quarterly Revenue&amp;EBITDA'!G12 - 1, "")</f>
        <v/>
      </c>
      <c r="H16" s="46" t="str">
        <f>IFERROR('Quarterly Revenue&amp;EBITDA'!H16/'Quarterly Revenue&amp;EBITDA'!H12 - 1, "")</f>
        <v/>
      </c>
      <c r="I16" s="46" t="str">
        <f>IFERROR('Quarterly Revenue&amp;EBITDA'!I16/'Quarterly Revenue&amp;EBITDA'!I12 - 1, "")</f>
        <v/>
      </c>
      <c r="J16" s="46" t="str">
        <f>IFERROR('Quarterly Revenue&amp;EBITDA'!J16/'Quarterly Revenue&amp;EBITDA'!J12 - 1, "")</f>
        <v/>
      </c>
      <c r="K16" s="46" t="str">
        <f>IFERROR('Quarterly Revenue&amp;EBITDA'!K16/'Quarterly Revenue&amp;EBITDA'!K12 - 1, "")</f>
        <v/>
      </c>
      <c r="L16" s="46" t="str">
        <f>IFERROR('Quarterly Revenue&amp;EBITDA'!L16/'Quarterly Revenue&amp;EBITDA'!L12 - 1, "")</f>
        <v/>
      </c>
      <c r="M16" s="46" t="str">
        <f>IFERROR('Quarterly Revenue&amp;EBITDA'!M16/'Quarterly Revenue&amp;EBITDA'!M12 - 1, "")</f>
        <v/>
      </c>
      <c r="N16" s="46" t="str">
        <f>IFERROR('Quarterly Revenue&amp;EBITDA'!N16/'Quarterly Revenue&amp;EBITDA'!N12 - 1, "")</f>
        <v/>
      </c>
      <c r="O16" s="46" t="str">
        <f>IFERROR('Quarterly Revenue&amp;EBITDA'!O16/'Quarterly Revenue&amp;EBITDA'!O12 - 1, "")</f>
        <v/>
      </c>
      <c r="P16" s="46" t="str">
        <f>IFERROR('Quarterly Revenue&amp;EBITDA'!P16/'Quarterly Revenue&amp;EBITDA'!P12 - 1, "")</f>
        <v/>
      </c>
      <c r="Q16" s="46" t="str">
        <f>IFERROR('Quarterly Revenue&amp;EBITDA'!Q16/'Quarterly Revenue&amp;EBITDA'!Q12 - 1, "")</f>
        <v/>
      </c>
      <c r="R16" s="46"/>
      <c r="S16" s="46" t="str">
        <f>IFERROR('Quarterly Revenue&amp;EBITDA'!S16/'Quarterly Revenue&amp;EBITDA'!S12 - 1, "")</f>
        <v/>
      </c>
      <c r="T16" s="46" t="str">
        <f>IFERROR('Quarterly Revenue&amp;EBITDA'!T16/'Quarterly Revenue&amp;EBITDA'!T12 - 1, "")</f>
        <v/>
      </c>
      <c r="U16" s="46" t="str">
        <f>IFERROR('Quarterly Revenue&amp;EBITDA'!U16/'Quarterly Revenue&amp;EBITDA'!U12 - 1, "")</f>
        <v/>
      </c>
      <c r="V16" s="46">
        <f>IFERROR('Quarterly Revenue&amp;EBITDA'!V16/'Quarterly Revenue&amp;EBITDA'!V12 - 1, "")</f>
        <v>2.0016981631794599</v>
      </c>
      <c r="W16" s="46">
        <f>IFERROR('Quarterly Revenue&amp;EBITDA'!W16/'Quarterly Revenue&amp;EBITDA'!W12 - 1, "")</f>
        <v>0.18884550451932736</v>
      </c>
      <c r="X16" s="28"/>
      <c r="Y16" s="28"/>
      <c r="Z16" s="28"/>
      <c r="AA16" s="28"/>
      <c r="AB16" s="28"/>
      <c r="AC16" s="28"/>
    </row>
    <row r="17" spans="1:29" ht="13">
      <c r="A17" s="27" t="s">
        <v>42</v>
      </c>
      <c r="B17" s="45"/>
      <c r="C17" s="46">
        <f>IFERROR('Quarterly Revenue&amp;EBITDA'!C17/'Quarterly Revenue&amp;EBITDA'!C13 - 1, "")</f>
        <v>1.5608838954416369</v>
      </c>
      <c r="D17" s="46">
        <f>IFERROR('Quarterly Revenue&amp;EBITDA'!D17/'Quarterly Revenue&amp;EBITDA'!D13 - 1, "")</f>
        <v>1.4453086643065713</v>
      </c>
      <c r="E17" s="46" t="str">
        <f>IFERROR('Quarterly Revenue&amp;EBITDA'!E17/'Quarterly Revenue&amp;EBITDA'!E13 - 1, "")</f>
        <v/>
      </c>
      <c r="F17" s="46" t="str">
        <f>IFERROR('Quarterly Revenue&amp;EBITDA'!F17/'Quarterly Revenue&amp;EBITDA'!F13 - 1, "")</f>
        <v/>
      </c>
      <c r="G17" s="46" t="str">
        <f>IFERROR('Quarterly Revenue&amp;EBITDA'!G17/'Quarterly Revenue&amp;EBITDA'!G13 - 1, "")</f>
        <v/>
      </c>
      <c r="H17" s="46" t="str">
        <f>IFERROR('Quarterly Revenue&amp;EBITDA'!H17/'Quarterly Revenue&amp;EBITDA'!H13 - 1, "")</f>
        <v/>
      </c>
      <c r="I17" s="46" t="str">
        <f>IFERROR('Quarterly Revenue&amp;EBITDA'!I17/'Quarterly Revenue&amp;EBITDA'!I13 - 1, "")</f>
        <v/>
      </c>
      <c r="J17" s="46" t="str">
        <f>IFERROR('Quarterly Revenue&amp;EBITDA'!J17/'Quarterly Revenue&amp;EBITDA'!J13 - 1, "")</f>
        <v/>
      </c>
      <c r="K17" s="46" t="str">
        <f>IFERROR('Quarterly Revenue&amp;EBITDA'!K17/'Quarterly Revenue&amp;EBITDA'!K13 - 1, "")</f>
        <v/>
      </c>
      <c r="L17" s="46" t="str">
        <f>IFERROR('Quarterly Revenue&amp;EBITDA'!L17/'Quarterly Revenue&amp;EBITDA'!L13 - 1, "")</f>
        <v/>
      </c>
      <c r="M17" s="46" t="str">
        <f>IFERROR('Quarterly Revenue&amp;EBITDA'!M17/'Quarterly Revenue&amp;EBITDA'!M13 - 1, "")</f>
        <v/>
      </c>
      <c r="N17" s="46" t="str">
        <f>IFERROR('Quarterly Revenue&amp;EBITDA'!N17/'Quarterly Revenue&amp;EBITDA'!N13 - 1, "")</f>
        <v/>
      </c>
      <c r="O17" s="46" t="str">
        <f>IFERROR('Quarterly Revenue&amp;EBITDA'!O17/'Quarterly Revenue&amp;EBITDA'!O13 - 1, "")</f>
        <v/>
      </c>
      <c r="P17" s="46" t="str">
        <f>IFERROR('Quarterly Revenue&amp;EBITDA'!P17/'Quarterly Revenue&amp;EBITDA'!P13 - 1, "")</f>
        <v/>
      </c>
      <c r="Q17" s="46" t="str">
        <f>IFERROR('Quarterly Revenue&amp;EBITDA'!Q17/'Quarterly Revenue&amp;EBITDA'!Q13 - 1, "")</f>
        <v/>
      </c>
      <c r="R17" s="46"/>
      <c r="S17" s="46" t="str">
        <f>IFERROR('Quarterly Revenue&amp;EBITDA'!S17/'Quarterly Revenue&amp;EBITDA'!S13 - 1, "")</f>
        <v/>
      </c>
      <c r="T17" s="46" t="str">
        <f>IFERROR('Quarterly Revenue&amp;EBITDA'!T17/'Quarterly Revenue&amp;EBITDA'!T13 - 1, "")</f>
        <v/>
      </c>
      <c r="U17" s="46" t="str">
        <f>IFERROR('Quarterly Revenue&amp;EBITDA'!U17/'Quarterly Revenue&amp;EBITDA'!U13 - 1, "")</f>
        <v/>
      </c>
      <c r="V17" s="46">
        <f>IFERROR('Quarterly Revenue&amp;EBITDA'!V17/'Quarterly Revenue&amp;EBITDA'!V13 - 1, "")</f>
        <v>2.0016981631794599</v>
      </c>
      <c r="W17" s="46">
        <f>IFERROR('Quarterly Revenue&amp;EBITDA'!W17/'Quarterly Revenue&amp;EBITDA'!W13 - 1, "")</f>
        <v>6.1073634982429459E-2</v>
      </c>
      <c r="X17" s="28"/>
      <c r="Y17" s="28"/>
      <c r="Z17" s="28"/>
      <c r="AA17" s="28"/>
      <c r="AB17" s="28"/>
      <c r="AC17" s="28"/>
    </row>
    <row r="18" spans="1:29" ht="13">
      <c r="A18" s="27" t="s">
        <v>43</v>
      </c>
      <c r="B18" s="45"/>
      <c r="C18" s="46">
        <f>IFERROR('Quarterly Revenue&amp;EBITDA'!C18/'Quarterly Revenue&amp;EBITDA'!C14 - 1, "")</f>
        <v>1.5608838954416369</v>
      </c>
      <c r="D18" s="46">
        <f>IFERROR('Quarterly Revenue&amp;EBITDA'!D18/'Quarterly Revenue&amp;EBITDA'!D14 - 1, "")</f>
        <v>1.4453086643065713</v>
      </c>
      <c r="E18" s="46" t="str">
        <f>IFERROR('Quarterly Revenue&amp;EBITDA'!E18/'Quarterly Revenue&amp;EBITDA'!E14 - 1, "")</f>
        <v/>
      </c>
      <c r="F18" s="46" t="str">
        <f>IFERROR('Quarterly Revenue&amp;EBITDA'!F18/'Quarterly Revenue&amp;EBITDA'!F14 - 1, "")</f>
        <v/>
      </c>
      <c r="G18" s="46" t="str">
        <f>IFERROR('Quarterly Revenue&amp;EBITDA'!G18/'Quarterly Revenue&amp;EBITDA'!G14 - 1, "")</f>
        <v/>
      </c>
      <c r="H18" s="46" t="str">
        <f>IFERROR('Quarterly Revenue&amp;EBITDA'!H18/'Quarterly Revenue&amp;EBITDA'!H14 - 1, "")</f>
        <v/>
      </c>
      <c r="I18" s="46" t="str">
        <f>IFERROR('Quarterly Revenue&amp;EBITDA'!I18/'Quarterly Revenue&amp;EBITDA'!I14 - 1, "")</f>
        <v/>
      </c>
      <c r="J18" s="46" t="str">
        <f>IFERROR('Quarterly Revenue&amp;EBITDA'!J18/'Quarterly Revenue&amp;EBITDA'!J14 - 1, "")</f>
        <v/>
      </c>
      <c r="K18" s="46" t="str">
        <f>IFERROR('Quarterly Revenue&amp;EBITDA'!K18/'Quarterly Revenue&amp;EBITDA'!K14 - 1, "")</f>
        <v/>
      </c>
      <c r="L18" s="46" t="str">
        <f>IFERROR('Quarterly Revenue&amp;EBITDA'!L18/'Quarterly Revenue&amp;EBITDA'!L14 - 1, "")</f>
        <v/>
      </c>
      <c r="M18" s="46" t="str">
        <f>IFERROR('Quarterly Revenue&amp;EBITDA'!M18/'Quarterly Revenue&amp;EBITDA'!M14 - 1, "")</f>
        <v/>
      </c>
      <c r="N18" s="46" t="str">
        <f>IFERROR('Quarterly Revenue&amp;EBITDA'!N18/'Quarterly Revenue&amp;EBITDA'!N14 - 1, "")</f>
        <v/>
      </c>
      <c r="O18" s="46" t="str">
        <f>IFERROR('Quarterly Revenue&amp;EBITDA'!O18/'Quarterly Revenue&amp;EBITDA'!O14 - 1, "")</f>
        <v/>
      </c>
      <c r="P18" s="46" t="str">
        <f>IFERROR('Quarterly Revenue&amp;EBITDA'!P18/'Quarterly Revenue&amp;EBITDA'!P14 - 1, "")</f>
        <v/>
      </c>
      <c r="Q18" s="46" t="str">
        <f>IFERROR('Quarterly Revenue&amp;EBITDA'!Q18/'Quarterly Revenue&amp;EBITDA'!Q14 - 1, "")</f>
        <v/>
      </c>
      <c r="R18" s="46"/>
      <c r="S18" s="46" t="str">
        <f>IFERROR('Quarterly Revenue&amp;EBITDA'!S18/'Quarterly Revenue&amp;EBITDA'!S14 - 1, "")</f>
        <v/>
      </c>
      <c r="T18" s="46" t="str">
        <f>IFERROR('Quarterly Revenue&amp;EBITDA'!T18/'Quarterly Revenue&amp;EBITDA'!T14 - 1, "")</f>
        <v/>
      </c>
      <c r="U18" s="46" t="str">
        <f>IFERROR('Quarterly Revenue&amp;EBITDA'!U18/'Quarterly Revenue&amp;EBITDA'!U14 - 1, "")</f>
        <v/>
      </c>
      <c r="V18" s="46">
        <f>IFERROR('Quarterly Revenue&amp;EBITDA'!V18/'Quarterly Revenue&amp;EBITDA'!V14 - 1, "")</f>
        <v>2.0016981631794599</v>
      </c>
      <c r="W18" s="46">
        <f>IFERROR('Quarterly Revenue&amp;EBITDA'!W18/'Quarterly Revenue&amp;EBITDA'!W14 - 1, "")</f>
        <v>6.1073634982429459E-2</v>
      </c>
      <c r="X18" s="28"/>
      <c r="Y18" s="28"/>
      <c r="Z18" s="28"/>
      <c r="AA18" s="28"/>
      <c r="AB18" s="28"/>
      <c r="AC18" s="28"/>
    </row>
    <row r="19" spans="1:29" ht="13">
      <c r="A19" s="27" t="s">
        <v>44</v>
      </c>
      <c r="B19" s="45"/>
      <c r="C19" s="46">
        <f>IFERROR('Quarterly Revenue&amp;EBITDA'!C19/'Quarterly Revenue&amp;EBITDA'!C15 - 1, "")</f>
        <v>-5.1516274943418927E-2</v>
      </c>
      <c r="D19" s="46">
        <f>IFERROR('Quarterly Revenue&amp;EBITDA'!D19/'Quarterly Revenue&amp;EBITDA'!D15 - 1, "")</f>
        <v>1.3482791051558158</v>
      </c>
      <c r="E19" s="46">
        <f>IFERROR('Quarterly Revenue&amp;EBITDA'!E19/'Quarterly Revenue&amp;EBITDA'!E15 - 1, "")</f>
        <v>5.8128205128205126</v>
      </c>
      <c r="F19" s="46" t="str">
        <f>IFERROR('Quarterly Revenue&amp;EBITDA'!F19/'Quarterly Revenue&amp;EBITDA'!F15 - 1, "")</f>
        <v/>
      </c>
      <c r="G19" s="46" t="str">
        <f>IFERROR('Quarterly Revenue&amp;EBITDA'!G19/'Quarterly Revenue&amp;EBITDA'!G15 - 1, "")</f>
        <v/>
      </c>
      <c r="H19" s="46" t="str">
        <f>IFERROR('Quarterly Revenue&amp;EBITDA'!H19/'Quarterly Revenue&amp;EBITDA'!H15 - 1, "")</f>
        <v/>
      </c>
      <c r="I19" s="46" t="str">
        <f>IFERROR('Quarterly Revenue&amp;EBITDA'!I19/'Quarterly Revenue&amp;EBITDA'!I15 - 1, "")</f>
        <v/>
      </c>
      <c r="J19" s="46" t="str">
        <f>IFERROR('Quarterly Revenue&amp;EBITDA'!J19/'Quarterly Revenue&amp;EBITDA'!J15 - 1, "")</f>
        <v/>
      </c>
      <c r="K19" s="46" t="str">
        <f>IFERROR('Quarterly Revenue&amp;EBITDA'!K19/'Quarterly Revenue&amp;EBITDA'!K15 - 1, "")</f>
        <v/>
      </c>
      <c r="L19" s="46" t="str">
        <f>IFERROR('Quarterly Revenue&amp;EBITDA'!L19/'Quarterly Revenue&amp;EBITDA'!L15 - 1, "")</f>
        <v/>
      </c>
      <c r="M19" s="46" t="str">
        <f>IFERROR('Quarterly Revenue&amp;EBITDA'!M19/'Quarterly Revenue&amp;EBITDA'!M15 - 1, "")</f>
        <v/>
      </c>
      <c r="N19" s="46" t="str">
        <f>IFERROR('Quarterly Revenue&amp;EBITDA'!N19/'Quarterly Revenue&amp;EBITDA'!N15 - 1, "")</f>
        <v/>
      </c>
      <c r="O19" s="46" t="str">
        <f>IFERROR('Quarterly Revenue&amp;EBITDA'!O19/'Quarterly Revenue&amp;EBITDA'!O15 - 1, "")</f>
        <v/>
      </c>
      <c r="P19" s="46" t="str">
        <f>IFERROR('Quarterly Revenue&amp;EBITDA'!P19/'Quarterly Revenue&amp;EBITDA'!P15 - 1, "")</f>
        <v/>
      </c>
      <c r="Q19" s="46" t="str">
        <f>IFERROR('Quarterly Revenue&amp;EBITDA'!Q19/'Quarterly Revenue&amp;EBITDA'!Q15 - 1, "")</f>
        <v/>
      </c>
      <c r="R19" s="46">
        <f>IFERROR('Quarterly Revenue&amp;EBITDA'!R19/'Quarterly Revenue&amp;EBITDA'!R15 - 1, "")</f>
        <v>3.9244630506006555</v>
      </c>
      <c r="S19" s="46" t="str">
        <f>IFERROR('Quarterly Revenue&amp;EBITDA'!S19/'Quarterly Revenue&amp;EBITDA'!S15 - 1, "")</f>
        <v/>
      </c>
      <c r="T19" s="46" t="str">
        <f>IFERROR('Quarterly Revenue&amp;EBITDA'!T19/'Quarterly Revenue&amp;EBITDA'!T15 - 1, "")</f>
        <v/>
      </c>
      <c r="U19" s="46" t="str">
        <f>IFERROR('Quarterly Revenue&amp;EBITDA'!U19/'Quarterly Revenue&amp;EBITDA'!U15 - 1, "")</f>
        <v/>
      </c>
      <c r="V19" s="46">
        <f>IFERROR('Quarterly Revenue&amp;EBITDA'!V19/'Quarterly Revenue&amp;EBITDA'!V15 - 1, "")</f>
        <v>0.56625317901074368</v>
      </c>
      <c r="W19" s="46">
        <f>IFERROR('Quarterly Revenue&amp;EBITDA'!W19/'Quarterly Revenue&amp;EBITDA'!W15 - 1, "")</f>
        <v>6.1073634982429459E-2</v>
      </c>
      <c r="X19" s="28"/>
      <c r="Y19" s="28"/>
      <c r="Z19" s="28"/>
      <c r="AA19" s="28"/>
      <c r="AB19" s="28"/>
      <c r="AC19" s="28"/>
    </row>
    <row r="20" spans="1:29" ht="13">
      <c r="A20" s="27" t="s">
        <v>45</v>
      </c>
      <c r="B20" s="45"/>
      <c r="C20" s="46">
        <f>IFERROR('Quarterly Revenue&amp;EBITDA'!C20/'Quarterly Revenue&amp;EBITDA'!C16 - 1, "")</f>
        <v>-5.1516274943418927E-2</v>
      </c>
      <c r="D20" s="46">
        <f>IFERROR('Quarterly Revenue&amp;EBITDA'!D20/'Quarterly Revenue&amp;EBITDA'!D16 - 1, "")</f>
        <v>1.3482791051558158</v>
      </c>
      <c r="E20" s="46">
        <f>IFERROR('Quarterly Revenue&amp;EBITDA'!E20/'Quarterly Revenue&amp;EBITDA'!E16 - 1, "")</f>
        <v>5.8128205128205126</v>
      </c>
      <c r="F20" s="46" t="str">
        <f>IFERROR('Quarterly Revenue&amp;EBITDA'!F20/'Quarterly Revenue&amp;EBITDA'!F16 - 1, "")</f>
        <v/>
      </c>
      <c r="G20" s="46" t="str">
        <f>IFERROR('Quarterly Revenue&amp;EBITDA'!G20/'Quarterly Revenue&amp;EBITDA'!G16 - 1, "")</f>
        <v/>
      </c>
      <c r="H20" s="46" t="str">
        <f>IFERROR('Quarterly Revenue&amp;EBITDA'!H20/'Quarterly Revenue&amp;EBITDA'!H16 - 1, "")</f>
        <v/>
      </c>
      <c r="I20" s="46" t="str">
        <f>IFERROR('Quarterly Revenue&amp;EBITDA'!I20/'Quarterly Revenue&amp;EBITDA'!I16 - 1, "")</f>
        <v/>
      </c>
      <c r="J20" s="46" t="str">
        <f>IFERROR('Quarterly Revenue&amp;EBITDA'!J20/'Quarterly Revenue&amp;EBITDA'!J16 - 1, "")</f>
        <v/>
      </c>
      <c r="K20" s="46" t="str">
        <f>IFERROR('Quarterly Revenue&amp;EBITDA'!K20/'Quarterly Revenue&amp;EBITDA'!K16 - 1, "")</f>
        <v/>
      </c>
      <c r="L20" s="46" t="str">
        <f>IFERROR('Quarterly Revenue&amp;EBITDA'!L20/'Quarterly Revenue&amp;EBITDA'!L16 - 1, "")</f>
        <v/>
      </c>
      <c r="M20" s="46" t="str">
        <f>IFERROR('Quarterly Revenue&amp;EBITDA'!M20/'Quarterly Revenue&amp;EBITDA'!M16 - 1, "")</f>
        <v/>
      </c>
      <c r="N20" s="46" t="str">
        <f>IFERROR('Quarterly Revenue&amp;EBITDA'!N20/'Quarterly Revenue&amp;EBITDA'!N16 - 1, "")</f>
        <v/>
      </c>
      <c r="O20" s="46" t="str">
        <f>IFERROR('Quarterly Revenue&amp;EBITDA'!O20/'Quarterly Revenue&amp;EBITDA'!O16 - 1, "")</f>
        <v/>
      </c>
      <c r="P20" s="46" t="str">
        <f>IFERROR('Quarterly Revenue&amp;EBITDA'!P20/'Quarterly Revenue&amp;EBITDA'!P16 - 1, "")</f>
        <v/>
      </c>
      <c r="Q20" s="46" t="str">
        <f>IFERROR('Quarterly Revenue&amp;EBITDA'!Q20/'Quarterly Revenue&amp;EBITDA'!Q16 - 1, "")</f>
        <v/>
      </c>
      <c r="R20" s="46">
        <f>IFERROR('Quarterly Revenue&amp;EBITDA'!R20/'Quarterly Revenue&amp;EBITDA'!R16 - 1, "")</f>
        <v>3.9244630506006555</v>
      </c>
      <c r="S20" s="46" t="str">
        <f>IFERROR('Quarterly Revenue&amp;EBITDA'!S20/'Quarterly Revenue&amp;EBITDA'!S16 - 1, "")</f>
        <v/>
      </c>
      <c r="T20" s="46" t="str">
        <f>IFERROR('Quarterly Revenue&amp;EBITDA'!T20/'Quarterly Revenue&amp;EBITDA'!T16 - 1, "")</f>
        <v/>
      </c>
      <c r="U20" s="46" t="str">
        <f>IFERROR('Quarterly Revenue&amp;EBITDA'!U20/'Quarterly Revenue&amp;EBITDA'!U16 - 1, "")</f>
        <v/>
      </c>
      <c r="V20" s="46">
        <f>IFERROR('Quarterly Revenue&amp;EBITDA'!V20/'Quarterly Revenue&amp;EBITDA'!V16 - 1, "")</f>
        <v>0.56625317901074368</v>
      </c>
      <c r="W20" s="46">
        <f>IFERROR('Quarterly Revenue&amp;EBITDA'!W20/'Quarterly Revenue&amp;EBITDA'!W16 - 1, "")</f>
        <v>6.1073634982429459E-2</v>
      </c>
      <c r="X20" s="28"/>
      <c r="Y20" s="28"/>
      <c r="Z20" s="28"/>
      <c r="AA20" s="28"/>
      <c r="AB20" s="28"/>
      <c r="AC20" s="28"/>
    </row>
    <row r="21" spans="1:29" ht="13">
      <c r="A21" s="27" t="s">
        <v>46</v>
      </c>
      <c r="B21" s="45"/>
      <c r="C21" s="46">
        <f>IFERROR('Quarterly Revenue&amp;EBITDA'!C21/'Quarterly Revenue&amp;EBITDA'!C17 - 1, "")</f>
        <v>-5.1516274943418927E-2</v>
      </c>
      <c r="D21" s="46">
        <f>IFERROR('Quarterly Revenue&amp;EBITDA'!D21/'Quarterly Revenue&amp;EBITDA'!D17 - 1, "")</f>
        <v>1.3482791051558158</v>
      </c>
      <c r="E21" s="46">
        <f>IFERROR('Quarterly Revenue&amp;EBITDA'!E21/'Quarterly Revenue&amp;EBITDA'!E17 - 1, "")</f>
        <v>5.8128205128205126</v>
      </c>
      <c r="F21" s="46" t="str">
        <f>IFERROR('Quarterly Revenue&amp;EBITDA'!F21/'Quarterly Revenue&amp;EBITDA'!F17 - 1, "")</f>
        <v/>
      </c>
      <c r="G21" s="46" t="str">
        <f>IFERROR('Quarterly Revenue&amp;EBITDA'!G21/'Quarterly Revenue&amp;EBITDA'!G17 - 1, "")</f>
        <v/>
      </c>
      <c r="H21" s="46" t="str">
        <f>IFERROR('Quarterly Revenue&amp;EBITDA'!H21/'Quarterly Revenue&amp;EBITDA'!H17 - 1, "")</f>
        <v/>
      </c>
      <c r="I21" s="46" t="str">
        <f>IFERROR('Quarterly Revenue&amp;EBITDA'!I21/'Quarterly Revenue&amp;EBITDA'!I17 - 1, "")</f>
        <v/>
      </c>
      <c r="J21" s="46" t="str">
        <f>IFERROR('Quarterly Revenue&amp;EBITDA'!J21/'Quarterly Revenue&amp;EBITDA'!J17 - 1, "")</f>
        <v/>
      </c>
      <c r="K21" s="46" t="str">
        <f>IFERROR('Quarterly Revenue&amp;EBITDA'!K21/'Quarterly Revenue&amp;EBITDA'!K17 - 1, "")</f>
        <v/>
      </c>
      <c r="L21" s="46" t="str">
        <f>IFERROR('Quarterly Revenue&amp;EBITDA'!L21/'Quarterly Revenue&amp;EBITDA'!L17 - 1, "")</f>
        <v/>
      </c>
      <c r="M21" s="46" t="str">
        <f>IFERROR('Quarterly Revenue&amp;EBITDA'!M21/'Quarterly Revenue&amp;EBITDA'!M17 - 1, "")</f>
        <v/>
      </c>
      <c r="N21" s="46" t="str">
        <f>IFERROR('Quarterly Revenue&amp;EBITDA'!N21/'Quarterly Revenue&amp;EBITDA'!N17 - 1, "")</f>
        <v/>
      </c>
      <c r="O21" s="46" t="str">
        <f>IFERROR('Quarterly Revenue&amp;EBITDA'!O21/'Quarterly Revenue&amp;EBITDA'!O17 - 1, "")</f>
        <v/>
      </c>
      <c r="P21" s="46" t="str">
        <f>IFERROR('Quarterly Revenue&amp;EBITDA'!P21/'Quarterly Revenue&amp;EBITDA'!P17 - 1, "")</f>
        <v/>
      </c>
      <c r="Q21" s="46" t="str">
        <f>IFERROR('Quarterly Revenue&amp;EBITDA'!Q21/'Quarterly Revenue&amp;EBITDA'!Q17 - 1, "")</f>
        <v/>
      </c>
      <c r="R21" s="46">
        <f>IFERROR('Quarterly Revenue&amp;EBITDA'!R21/'Quarterly Revenue&amp;EBITDA'!R17 - 1, "")</f>
        <v>3.9244630506006555</v>
      </c>
      <c r="S21" s="46" t="str">
        <f>IFERROR('Quarterly Revenue&amp;EBITDA'!S21/'Quarterly Revenue&amp;EBITDA'!S17 - 1, "")</f>
        <v/>
      </c>
      <c r="T21" s="46" t="str">
        <f>IFERROR('Quarterly Revenue&amp;EBITDA'!T21/'Quarterly Revenue&amp;EBITDA'!T17 - 1, "")</f>
        <v/>
      </c>
      <c r="U21" s="46" t="str">
        <f>IFERROR('Quarterly Revenue&amp;EBITDA'!U21/'Quarterly Revenue&amp;EBITDA'!U17 - 1, "")</f>
        <v/>
      </c>
      <c r="V21" s="46">
        <f>IFERROR('Quarterly Revenue&amp;EBITDA'!V21/'Quarterly Revenue&amp;EBITDA'!V17 - 1, "")</f>
        <v>0.56625317901074368</v>
      </c>
      <c r="W21" s="46">
        <f>IFERROR('Quarterly Revenue&amp;EBITDA'!W21/'Quarterly Revenue&amp;EBITDA'!W17 - 1, "")</f>
        <v>0.33126281265494573</v>
      </c>
      <c r="X21" s="28"/>
      <c r="Y21" s="28"/>
      <c r="Z21" s="28"/>
      <c r="AA21" s="28"/>
      <c r="AB21" s="28"/>
      <c r="AC21" s="28"/>
    </row>
    <row r="22" spans="1:29" ht="13">
      <c r="A22" s="27" t="s">
        <v>47</v>
      </c>
      <c r="B22" s="45"/>
      <c r="C22" s="46">
        <f>IFERROR('Quarterly Revenue&amp;EBITDA'!C22/'Quarterly Revenue&amp;EBITDA'!C18 - 1, "")</f>
        <v>-5.1516274943418927E-2</v>
      </c>
      <c r="D22" s="46">
        <f>IFERROR('Quarterly Revenue&amp;EBITDA'!D22/'Quarterly Revenue&amp;EBITDA'!D18 - 1, "")</f>
        <v>1.3482791051558158</v>
      </c>
      <c r="E22" s="46">
        <f>IFERROR('Quarterly Revenue&amp;EBITDA'!E22/'Quarterly Revenue&amp;EBITDA'!E18 - 1, "")</f>
        <v>5.8128205128205126</v>
      </c>
      <c r="F22" s="46" t="str">
        <f>IFERROR('Quarterly Revenue&amp;EBITDA'!F22/'Quarterly Revenue&amp;EBITDA'!F18 - 1, "")</f>
        <v/>
      </c>
      <c r="G22" s="46" t="str">
        <f>IFERROR('Quarterly Revenue&amp;EBITDA'!G22/'Quarterly Revenue&amp;EBITDA'!G18 - 1, "")</f>
        <v/>
      </c>
      <c r="H22" s="46" t="str">
        <f>IFERROR('Quarterly Revenue&amp;EBITDA'!H22/'Quarterly Revenue&amp;EBITDA'!H18 - 1, "")</f>
        <v/>
      </c>
      <c r="I22" s="46" t="str">
        <f>IFERROR('Quarterly Revenue&amp;EBITDA'!I22/'Quarterly Revenue&amp;EBITDA'!I18 - 1, "")</f>
        <v/>
      </c>
      <c r="J22" s="46" t="str">
        <f>IFERROR('Quarterly Revenue&amp;EBITDA'!J22/'Quarterly Revenue&amp;EBITDA'!J18 - 1, "")</f>
        <v/>
      </c>
      <c r="K22" s="46" t="str">
        <f>IFERROR('Quarterly Revenue&amp;EBITDA'!K22/'Quarterly Revenue&amp;EBITDA'!K18 - 1, "")</f>
        <v/>
      </c>
      <c r="L22" s="46" t="str">
        <f>IFERROR('Quarterly Revenue&amp;EBITDA'!L22/'Quarterly Revenue&amp;EBITDA'!L18 - 1, "")</f>
        <v/>
      </c>
      <c r="M22" s="46" t="str">
        <f>IFERROR('Quarterly Revenue&amp;EBITDA'!M22/'Quarterly Revenue&amp;EBITDA'!M18 - 1, "")</f>
        <v/>
      </c>
      <c r="N22" s="46" t="str">
        <f>IFERROR('Quarterly Revenue&amp;EBITDA'!N22/'Quarterly Revenue&amp;EBITDA'!N18 - 1, "")</f>
        <v/>
      </c>
      <c r="O22" s="46" t="str">
        <f>IFERROR('Quarterly Revenue&amp;EBITDA'!O22/'Quarterly Revenue&amp;EBITDA'!O18 - 1, "")</f>
        <v/>
      </c>
      <c r="P22" s="46" t="str">
        <f>IFERROR('Quarterly Revenue&amp;EBITDA'!P22/'Quarterly Revenue&amp;EBITDA'!P18 - 1, "")</f>
        <v/>
      </c>
      <c r="Q22" s="46" t="str">
        <f>IFERROR('Quarterly Revenue&amp;EBITDA'!Q22/'Quarterly Revenue&amp;EBITDA'!Q18 - 1, "")</f>
        <v/>
      </c>
      <c r="R22" s="46">
        <f>IFERROR('Quarterly Revenue&amp;EBITDA'!R22/'Quarterly Revenue&amp;EBITDA'!R18 - 1, "")</f>
        <v>3.9244630506006555</v>
      </c>
      <c r="S22" s="46" t="str">
        <f>IFERROR('Quarterly Revenue&amp;EBITDA'!S22/'Quarterly Revenue&amp;EBITDA'!S18 - 1, "")</f>
        <v/>
      </c>
      <c r="T22" s="46" t="str">
        <f>IFERROR('Quarterly Revenue&amp;EBITDA'!T22/'Quarterly Revenue&amp;EBITDA'!T18 - 1, "")</f>
        <v/>
      </c>
      <c r="U22" s="46" t="str">
        <f>IFERROR('Quarterly Revenue&amp;EBITDA'!U22/'Quarterly Revenue&amp;EBITDA'!U18 - 1, "")</f>
        <v/>
      </c>
      <c r="V22" s="46">
        <f>IFERROR('Quarterly Revenue&amp;EBITDA'!V22/'Quarterly Revenue&amp;EBITDA'!V18 - 1, "")</f>
        <v>0.56625317901074368</v>
      </c>
      <c r="W22" s="46">
        <f>IFERROR('Quarterly Revenue&amp;EBITDA'!W22/'Quarterly Revenue&amp;EBITDA'!W18 - 1, "")</f>
        <v>0.33126281265494573</v>
      </c>
      <c r="X22" s="28"/>
      <c r="Y22" s="28"/>
      <c r="Z22" s="28"/>
      <c r="AA22" s="28"/>
      <c r="AB22" s="28"/>
      <c r="AC22" s="28"/>
    </row>
    <row r="23" spans="1:29" ht="13">
      <c r="A23" s="27" t="s">
        <v>48</v>
      </c>
      <c r="B23" s="45"/>
      <c r="C23" s="46">
        <f>IFERROR('Quarterly Revenue&amp;EBITDA'!C23/'Quarterly Revenue&amp;EBITDA'!C19 - 1, "")</f>
        <v>-0.14350037934615911</v>
      </c>
      <c r="D23" s="46">
        <f>IFERROR('Quarterly Revenue&amp;EBITDA'!D23/'Quarterly Revenue&amp;EBITDA'!D19 - 1, "")</f>
        <v>5.7459049590495903</v>
      </c>
      <c r="E23" s="46">
        <f>IFERROR('Quarterly Revenue&amp;EBITDA'!E23/'Quarterly Revenue&amp;EBITDA'!E19 - 1, "")</f>
        <v>1.2977041776439595</v>
      </c>
      <c r="F23" s="46" t="str">
        <f>IFERROR('Quarterly Revenue&amp;EBITDA'!F23/'Quarterly Revenue&amp;EBITDA'!F19 - 1, "")</f>
        <v/>
      </c>
      <c r="G23" s="46" t="str">
        <f>IFERROR('Quarterly Revenue&amp;EBITDA'!G23/'Quarterly Revenue&amp;EBITDA'!G19 - 1, "")</f>
        <v/>
      </c>
      <c r="H23" s="46" t="str">
        <f>IFERROR('Quarterly Revenue&amp;EBITDA'!H23/'Quarterly Revenue&amp;EBITDA'!H19 - 1, "")</f>
        <v/>
      </c>
      <c r="I23" s="46" t="str">
        <f>IFERROR('Quarterly Revenue&amp;EBITDA'!I23/'Quarterly Revenue&amp;EBITDA'!I19 - 1, "")</f>
        <v/>
      </c>
      <c r="J23" s="46" t="str">
        <f>IFERROR('Quarterly Revenue&amp;EBITDA'!J23/'Quarterly Revenue&amp;EBITDA'!J19 - 1, "")</f>
        <v/>
      </c>
      <c r="K23" s="46" t="str">
        <f>IFERROR('Quarterly Revenue&amp;EBITDA'!K23/'Quarterly Revenue&amp;EBITDA'!K19 - 1, "")</f>
        <v/>
      </c>
      <c r="L23" s="46" t="str">
        <f>IFERROR('Quarterly Revenue&amp;EBITDA'!L23/'Quarterly Revenue&amp;EBITDA'!L19 - 1, "")</f>
        <v/>
      </c>
      <c r="M23" s="46" t="str">
        <f>IFERROR('Quarterly Revenue&amp;EBITDA'!M23/'Quarterly Revenue&amp;EBITDA'!M19 - 1, "")</f>
        <v/>
      </c>
      <c r="N23" s="46" t="str">
        <f>IFERROR('Quarterly Revenue&amp;EBITDA'!N23/'Quarterly Revenue&amp;EBITDA'!N19 - 1, "")</f>
        <v/>
      </c>
      <c r="O23" s="46">
        <f>IFERROR('Quarterly Revenue&amp;EBITDA'!O23/'Quarterly Revenue&amp;EBITDA'!O19 - 1, "")</f>
        <v>2.8237410071942448</v>
      </c>
      <c r="P23" s="46" t="str">
        <f>IFERROR('Quarterly Revenue&amp;EBITDA'!P23/'Quarterly Revenue&amp;EBITDA'!P19 - 1, "")</f>
        <v/>
      </c>
      <c r="Q23" s="46" t="str">
        <f>IFERROR('Quarterly Revenue&amp;EBITDA'!Q23/'Quarterly Revenue&amp;EBITDA'!Q19 - 1, "")</f>
        <v/>
      </c>
      <c r="R23" s="46">
        <f>IFERROR('Quarterly Revenue&amp;EBITDA'!R23/'Quarterly Revenue&amp;EBITDA'!R19 - 1, "")</f>
        <v>1.0246534836444279</v>
      </c>
      <c r="S23" s="46" t="str">
        <f>IFERROR('Quarterly Revenue&amp;EBITDA'!S23/'Quarterly Revenue&amp;EBITDA'!S19 - 1, "")</f>
        <v/>
      </c>
      <c r="T23" s="46" t="str">
        <f>IFERROR('Quarterly Revenue&amp;EBITDA'!T23/'Quarterly Revenue&amp;EBITDA'!T19 - 1, "")</f>
        <v/>
      </c>
      <c r="U23" s="46">
        <f>IFERROR('Quarterly Revenue&amp;EBITDA'!U23/'Quarterly Revenue&amp;EBITDA'!U19 - 1, "")</f>
        <v>3.0437296961039557</v>
      </c>
      <c r="V23" s="46"/>
      <c r="W23" s="46">
        <f>IFERROR('Quarterly Revenue&amp;EBITDA'!W23/'Quarterly Revenue&amp;EBITDA'!W19 - 1, "")</f>
        <v>0.33126281265494573</v>
      </c>
      <c r="X23" s="28"/>
      <c r="Y23" s="28"/>
      <c r="Z23" s="28"/>
      <c r="AA23" s="28"/>
      <c r="AB23" s="28"/>
      <c r="AC23" s="28"/>
    </row>
    <row r="24" spans="1:29" ht="13">
      <c r="A24" s="27" t="s">
        <v>49</v>
      </c>
      <c r="B24" s="45"/>
      <c r="C24" s="46">
        <f>IFERROR('Quarterly Revenue&amp;EBITDA'!C24/'Quarterly Revenue&amp;EBITDA'!C20 - 1, "")</f>
        <v>-0.14350037934615911</v>
      </c>
      <c r="D24" s="46">
        <f>IFERROR('Quarterly Revenue&amp;EBITDA'!D24/'Quarterly Revenue&amp;EBITDA'!D20 - 1, "")</f>
        <v>5.7459049590495903</v>
      </c>
      <c r="E24" s="46">
        <f>IFERROR('Quarterly Revenue&amp;EBITDA'!E24/'Quarterly Revenue&amp;EBITDA'!E20 - 1, "")</f>
        <v>1.2977041776439595</v>
      </c>
      <c r="F24" s="46" t="str">
        <f>IFERROR('Quarterly Revenue&amp;EBITDA'!F24/'Quarterly Revenue&amp;EBITDA'!F20 - 1, "")</f>
        <v/>
      </c>
      <c r="G24" s="46" t="str">
        <f>IFERROR('Quarterly Revenue&amp;EBITDA'!G24/'Quarterly Revenue&amp;EBITDA'!G20 - 1, "")</f>
        <v/>
      </c>
      <c r="H24" s="46" t="str">
        <f>IFERROR('Quarterly Revenue&amp;EBITDA'!H24/'Quarterly Revenue&amp;EBITDA'!H20 - 1, "")</f>
        <v/>
      </c>
      <c r="I24" s="46" t="str">
        <f>IFERROR('Quarterly Revenue&amp;EBITDA'!I24/'Quarterly Revenue&amp;EBITDA'!I20 - 1, "")</f>
        <v/>
      </c>
      <c r="J24" s="46" t="str">
        <f>IFERROR('Quarterly Revenue&amp;EBITDA'!J24/'Quarterly Revenue&amp;EBITDA'!J20 - 1, "")</f>
        <v/>
      </c>
      <c r="K24" s="46" t="str">
        <f>IFERROR('Quarterly Revenue&amp;EBITDA'!K24/'Quarterly Revenue&amp;EBITDA'!K20 - 1, "")</f>
        <v/>
      </c>
      <c r="L24" s="46" t="str">
        <f>IFERROR('Quarterly Revenue&amp;EBITDA'!L24/'Quarterly Revenue&amp;EBITDA'!L20 - 1, "")</f>
        <v/>
      </c>
      <c r="M24" s="46" t="str">
        <f>IFERROR('Quarterly Revenue&amp;EBITDA'!M24/'Quarterly Revenue&amp;EBITDA'!M20 - 1, "")</f>
        <v/>
      </c>
      <c r="N24" s="46" t="str">
        <f>IFERROR('Quarterly Revenue&amp;EBITDA'!N24/'Quarterly Revenue&amp;EBITDA'!N20 - 1, "")</f>
        <v/>
      </c>
      <c r="O24" s="46">
        <f>IFERROR('Quarterly Revenue&amp;EBITDA'!O24/'Quarterly Revenue&amp;EBITDA'!O20 - 1, "")</f>
        <v>2.8237410071942448</v>
      </c>
      <c r="P24" s="46" t="str">
        <f>IFERROR('Quarterly Revenue&amp;EBITDA'!P24/'Quarterly Revenue&amp;EBITDA'!P20 - 1, "")</f>
        <v/>
      </c>
      <c r="Q24" s="46" t="str">
        <f>IFERROR('Quarterly Revenue&amp;EBITDA'!Q24/'Quarterly Revenue&amp;EBITDA'!Q20 - 1, "")</f>
        <v/>
      </c>
      <c r="R24" s="46">
        <f>IFERROR('Quarterly Revenue&amp;EBITDA'!R24/'Quarterly Revenue&amp;EBITDA'!R20 - 1, "")</f>
        <v>1.0246534836444279</v>
      </c>
      <c r="S24" s="46" t="str">
        <f>IFERROR('Quarterly Revenue&amp;EBITDA'!S24/'Quarterly Revenue&amp;EBITDA'!S20 - 1, "")</f>
        <v/>
      </c>
      <c r="T24" s="46" t="str">
        <f>IFERROR('Quarterly Revenue&amp;EBITDA'!T24/'Quarterly Revenue&amp;EBITDA'!T20 - 1, "")</f>
        <v/>
      </c>
      <c r="U24" s="46">
        <f>IFERROR('Quarterly Revenue&amp;EBITDA'!U24/'Quarterly Revenue&amp;EBITDA'!U20 - 1, "")</f>
        <v>3.0437296961039557</v>
      </c>
      <c r="V24" s="46"/>
      <c r="W24" s="46">
        <f>IFERROR('Quarterly Revenue&amp;EBITDA'!W24/'Quarterly Revenue&amp;EBITDA'!W20 - 1, "")</f>
        <v>0.33126281265494573</v>
      </c>
      <c r="X24" s="28"/>
      <c r="Y24" s="28"/>
      <c r="Z24" s="28"/>
      <c r="AA24" s="28"/>
      <c r="AB24" s="28"/>
      <c r="AC24" s="28"/>
    </row>
    <row r="25" spans="1:29" ht="13">
      <c r="A25" s="27" t="s">
        <v>50</v>
      </c>
      <c r="B25" s="45"/>
      <c r="C25" s="46">
        <f>IFERROR('Quarterly Revenue&amp;EBITDA'!C25/'Quarterly Revenue&amp;EBITDA'!C21 - 1, "")</f>
        <v>-0.14350037934615911</v>
      </c>
      <c r="D25" s="46">
        <f>IFERROR('Quarterly Revenue&amp;EBITDA'!D25/'Quarterly Revenue&amp;EBITDA'!D21 - 1, "")</f>
        <v>5.7459049590495903</v>
      </c>
      <c r="E25" s="46">
        <f>IFERROR('Quarterly Revenue&amp;EBITDA'!E25/'Quarterly Revenue&amp;EBITDA'!E21 - 1, "")</f>
        <v>1.2977041776439595</v>
      </c>
      <c r="F25" s="46" t="str">
        <f>IFERROR('Quarterly Revenue&amp;EBITDA'!F25/'Quarterly Revenue&amp;EBITDA'!F21 - 1, "")</f>
        <v/>
      </c>
      <c r="G25" s="46" t="str">
        <f>IFERROR('Quarterly Revenue&amp;EBITDA'!G25/'Quarterly Revenue&amp;EBITDA'!G21 - 1, "")</f>
        <v/>
      </c>
      <c r="H25" s="46" t="str">
        <f>IFERROR('Quarterly Revenue&amp;EBITDA'!H25/'Quarterly Revenue&amp;EBITDA'!H21 - 1, "")</f>
        <v/>
      </c>
      <c r="I25" s="46" t="str">
        <f>IFERROR('Quarterly Revenue&amp;EBITDA'!I25/'Quarterly Revenue&amp;EBITDA'!I21 - 1, "")</f>
        <v/>
      </c>
      <c r="J25" s="46" t="str">
        <f>IFERROR('Quarterly Revenue&amp;EBITDA'!J25/'Quarterly Revenue&amp;EBITDA'!J21 - 1, "")</f>
        <v/>
      </c>
      <c r="K25" s="46" t="str">
        <f>IFERROR('Quarterly Revenue&amp;EBITDA'!K25/'Quarterly Revenue&amp;EBITDA'!K21 - 1, "")</f>
        <v/>
      </c>
      <c r="L25" s="46" t="str">
        <f>IFERROR('Quarterly Revenue&amp;EBITDA'!L25/'Quarterly Revenue&amp;EBITDA'!L21 - 1, "")</f>
        <v/>
      </c>
      <c r="M25" s="46" t="str">
        <f>IFERROR('Quarterly Revenue&amp;EBITDA'!M25/'Quarterly Revenue&amp;EBITDA'!M21 - 1, "")</f>
        <v/>
      </c>
      <c r="N25" s="46" t="str">
        <f>IFERROR('Quarterly Revenue&amp;EBITDA'!N25/'Quarterly Revenue&amp;EBITDA'!N21 - 1, "")</f>
        <v/>
      </c>
      <c r="O25" s="46">
        <f>IFERROR('Quarterly Revenue&amp;EBITDA'!O25/'Quarterly Revenue&amp;EBITDA'!O21 - 1, "")</f>
        <v>0.73847601128880536</v>
      </c>
      <c r="P25" s="46" t="str">
        <f>IFERROR('Quarterly Revenue&amp;EBITDA'!P25/'Quarterly Revenue&amp;EBITDA'!P21 - 1, "")</f>
        <v/>
      </c>
      <c r="Q25" s="46" t="str">
        <f>IFERROR('Quarterly Revenue&amp;EBITDA'!Q25/'Quarterly Revenue&amp;EBITDA'!Q21 - 1, "")</f>
        <v/>
      </c>
      <c r="R25" s="46">
        <f>IFERROR('Quarterly Revenue&amp;EBITDA'!R25/'Quarterly Revenue&amp;EBITDA'!R21 - 1, "")</f>
        <v>1.0246534836444279</v>
      </c>
      <c r="S25" s="46" t="str">
        <f>IFERROR('Quarterly Revenue&amp;EBITDA'!S25/'Quarterly Revenue&amp;EBITDA'!S21 - 1, "")</f>
        <v/>
      </c>
      <c r="T25" s="46" t="str">
        <f>IFERROR('Quarterly Revenue&amp;EBITDA'!T25/'Quarterly Revenue&amp;EBITDA'!T21 - 1, "")</f>
        <v/>
      </c>
      <c r="U25" s="46">
        <f>IFERROR('Quarterly Revenue&amp;EBITDA'!U25/'Quarterly Revenue&amp;EBITDA'!U21 - 1, "")</f>
        <v>3.0437296961039557</v>
      </c>
      <c r="V25" s="46"/>
      <c r="W25" s="46">
        <f>IFERROR('Quarterly Revenue&amp;EBITDA'!W25/'Quarterly Revenue&amp;EBITDA'!W21 - 1, "")</f>
        <v>-0.80110397880486484</v>
      </c>
      <c r="X25" s="28"/>
      <c r="Y25" s="28"/>
      <c r="Z25" s="28"/>
      <c r="AA25" s="28"/>
      <c r="AB25" s="28"/>
      <c r="AC25" s="28"/>
    </row>
    <row r="26" spans="1:29" ht="13">
      <c r="A26" s="27" t="s">
        <v>51</v>
      </c>
      <c r="B26" s="45"/>
      <c r="C26" s="46">
        <f>IFERROR('Quarterly Revenue&amp;EBITDA'!C26/'Quarterly Revenue&amp;EBITDA'!C22 - 1, "")</f>
        <v>-0.14350037934615911</v>
      </c>
      <c r="D26" s="46">
        <f>IFERROR('Quarterly Revenue&amp;EBITDA'!D26/'Quarterly Revenue&amp;EBITDA'!D22 - 1, "")</f>
        <v>5.7459049590495903</v>
      </c>
      <c r="E26" s="46">
        <f>IFERROR('Quarterly Revenue&amp;EBITDA'!E26/'Quarterly Revenue&amp;EBITDA'!E22 - 1, "")</f>
        <v>1.2977041776439595</v>
      </c>
      <c r="F26" s="46" t="str">
        <f>IFERROR('Quarterly Revenue&amp;EBITDA'!F26/'Quarterly Revenue&amp;EBITDA'!F22 - 1, "")</f>
        <v/>
      </c>
      <c r="G26" s="46" t="str">
        <f>IFERROR('Quarterly Revenue&amp;EBITDA'!G26/'Quarterly Revenue&amp;EBITDA'!G22 - 1, "")</f>
        <v/>
      </c>
      <c r="H26" s="46" t="str">
        <f>IFERROR('Quarterly Revenue&amp;EBITDA'!H26/'Quarterly Revenue&amp;EBITDA'!H22 - 1, "")</f>
        <v/>
      </c>
      <c r="I26" s="46" t="str">
        <f>IFERROR('Quarterly Revenue&amp;EBITDA'!I26/'Quarterly Revenue&amp;EBITDA'!I22 - 1, "")</f>
        <v/>
      </c>
      <c r="J26" s="46" t="str">
        <f>IFERROR('Quarterly Revenue&amp;EBITDA'!J26/'Quarterly Revenue&amp;EBITDA'!J22 - 1, "")</f>
        <v/>
      </c>
      <c r="K26" s="46" t="str">
        <f>IFERROR('Quarterly Revenue&amp;EBITDA'!K26/'Quarterly Revenue&amp;EBITDA'!K22 - 1, "")</f>
        <v/>
      </c>
      <c r="L26" s="46" t="str">
        <f>IFERROR('Quarterly Revenue&amp;EBITDA'!L26/'Quarterly Revenue&amp;EBITDA'!L22 - 1, "")</f>
        <v/>
      </c>
      <c r="M26" s="46" t="str">
        <f>IFERROR('Quarterly Revenue&amp;EBITDA'!M26/'Quarterly Revenue&amp;EBITDA'!M22 - 1, "")</f>
        <v/>
      </c>
      <c r="N26" s="46" t="str">
        <f>IFERROR('Quarterly Revenue&amp;EBITDA'!N26/'Quarterly Revenue&amp;EBITDA'!N22 - 1, "")</f>
        <v/>
      </c>
      <c r="O26" s="46">
        <f>IFERROR('Quarterly Revenue&amp;EBITDA'!O26/'Quarterly Revenue&amp;EBITDA'!O22 - 1, "")</f>
        <v>0.73847601128880536</v>
      </c>
      <c r="P26" s="46" t="str">
        <f>IFERROR('Quarterly Revenue&amp;EBITDA'!P26/'Quarterly Revenue&amp;EBITDA'!P22 - 1, "")</f>
        <v/>
      </c>
      <c r="Q26" s="46" t="str">
        <f>IFERROR('Quarterly Revenue&amp;EBITDA'!Q26/'Quarterly Revenue&amp;EBITDA'!Q22 - 1, "")</f>
        <v/>
      </c>
      <c r="R26" s="46">
        <f>IFERROR('Quarterly Revenue&amp;EBITDA'!R26/'Quarterly Revenue&amp;EBITDA'!R22 - 1, "")</f>
        <v>1.0246534836444279</v>
      </c>
      <c r="S26" s="46" t="str">
        <f>IFERROR('Quarterly Revenue&amp;EBITDA'!S26/'Quarterly Revenue&amp;EBITDA'!S22 - 1, "")</f>
        <v/>
      </c>
      <c r="T26" s="46" t="str">
        <f>IFERROR('Quarterly Revenue&amp;EBITDA'!T26/'Quarterly Revenue&amp;EBITDA'!T22 - 1, "")</f>
        <v/>
      </c>
      <c r="U26" s="46">
        <f>IFERROR('Quarterly Revenue&amp;EBITDA'!U26/'Quarterly Revenue&amp;EBITDA'!U22 - 1, "")</f>
        <v>3.0437296961039557</v>
      </c>
      <c r="V26" s="46"/>
      <c r="W26" s="46">
        <f>IFERROR('Quarterly Revenue&amp;EBITDA'!W26/'Quarterly Revenue&amp;EBITDA'!W22 - 1, "")</f>
        <v>-0.80110397880486484</v>
      </c>
      <c r="X26" s="28"/>
      <c r="Y26" s="28"/>
      <c r="Z26" s="28"/>
      <c r="AA26" s="28"/>
      <c r="AB26" s="28"/>
      <c r="AC26" s="28"/>
    </row>
    <row r="27" spans="1:29" ht="13">
      <c r="A27" s="27" t="s">
        <v>52</v>
      </c>
      <c r="B27" s="45"/>
      <c r="C27" s="46">
        <f>IFERROR('Quarterly Revenue&amp;EBITDA'!C27/'Quarterly Revenue&amp;EBITDA'!C23 - 1, "")</f>
        <v>-0.1394421715294647</v>
      </c>
      <c r="D27" s="46">
        <f>IFERROR('Quarterly Revenue&amp;EBITDA'!D27/'Quarterly Revenue&amp;EBITDA'!D23 - 1, "")</f>
        <v>0.56083785000750463</v>
      </c>
      <c r="E27" s="46">
        <f>IFERROR('Quarterly Revenue&amp;EBITDA'!E27/'Quarterly Revenue&amp;EBITDA'!E23 - 1, "")</f>
        <v>0.76371826371826379</v>
      </c>
      <c r="F27" s="46" t="str">
        <f>IFERROR('Quarterly Revenue&amp;EBITDA'!F27/'Quarterly Revenue&amp;EBITDA'!F23 - 1, "")</f>
        <v/>
      </c>
      <c r="G27" s="46" t="str">
        <f>IFERROR('Quarterly Revenue&amp;EBITDA'!G27/'Quarterly Revenue&amp;EBITDA'!G23 - 1, "")</f>
        <v/>
      </c>
      <c r="H27" s="46" t="str">
        <f>IFERROR('Quarterly Revenue&amp;EBITDA'!H27/'Quarterly Revenue&amp;EBITDA'!H23 - 1, "")</f>
        <v/>
      </c>
      <c r="I27" s="46" t="str">
        <f>IFERROR('Quarterly Revenue&amp;EBITDA'!I27/'Quarterly Revenue&amp;EBITDA'!I23 - 1, "")</f>
        <v/>
      </c>
      <c r="J27" s="46" t="str">
        <f>IFERROR('Quarterly Revenue&amp;EBITDA'!J27/'Quarterly Revenue&amp;EBITDA'!J23 - 1, "")</f>
        <v/>
      </c>
      <c r="K27" s="46" t="str">
        <f>IFERROR('Quarterly Revenue&amp;EBITDA'!K27/'Quarterly Revenue&amp;EBITDA'!K23 - 1, "")</f>
        <v/>
      </c>
      <c r="L27" s="46" t="str">
        <f>IFERROR('Quarterly Revenue&amp;EBITDA'!L27/'Quarterly Revenue&amp;EBITDA'!L23 - 1, "")</f>
        <v/>
      </c>
      <c r="M27" s="46" t="str">
        <f>IFERROR('Quarterly Revenue&amp;EBITDA'!M27/'Quarterly Revenue&amp;EBITDA'!M23 - 1, "")</f>
        <v/>
      </c>
      <c r="N27" s="46" t="str">
        <f>IFERROR('Quarterly Revenue&amp;EBITDA'!N27/'Quarterly Revenue&amp;EBITDA'!N23 - 1, "")</f>
        <v/>
      </c>
      <c r="O27" s="46">
        <f>IFERROR('Quarterly Revenue&amp;EBITDA'!O27/'Quarterly Revenue&amp;EBITDA'!O23 - 1, "")</f>
        <v>0.73847601128880536</v>
      </c>
      <c r="P27" s="46" t="str">
        <f>IFERROR('Quarterly Revenue&amp;EBITDA'!P27/'Quarterly Revenue&amp;EBITDA'!P23 - 1, "")</f>
        <v/>
      </c>
      <c r="Q27" s="46" t="str">
        <f>IFERROR('Quarterly Revenue&amp;EBITDA'!Q27/'Quarterly Revenue&amp;EBITDA'!Q23 - 1, "")</f>
        <v/>
      </c>
      <c r="R27" s="46">
        <f>IFERROR('Quarterly Revenue&amp;EBITDA'!R27/'Quarterly Revenue&amp;EBITDA'!R23 - 1, "")</f>
        <v>5.4761852602369609</v>
      </c>
      <c r="S27" s="46" t="str">
        <f>IFERROR('Quarterly Revenue&amp;EBITDA'!S27/'Quarterly Revenue&amp;EBITDA'!S23 - 1, "")</f>
        <v/>
      </c>
      <c r="T27" s="46" t="str">
        <f>IFERROR('Quarterly Revenue&amp;EBITDA'!T27/'Quarterly Revenue&amp;EBITDA'!T23 - 1, "")</f>
        <v/>
      </c>
      <c r="U27" s="46">
        <f>IFERROR('Quarterly Revenue&amp;EBITDA'!U27/'Quarterly Revenue&amp;EBITDA'!U23 - 1, "")</f>
        <v>0.3779271836362601</v>
      </c>
      <c r="V27" s="46" t="str">
        <f>IFERROR('Quarterly Revenue&amp;EBITDA'!V27/'Quarterly Revenue&amp;EBITDA'!V23 - 1, "")</f>
        <v/>
      </c>
      <c r="W27" s="46">
        <f>IFERROR('Quarterly Revenue&amp;EBITDA'!W27/'Quarterly Revenue&amp;EBITDA'!W23 - 1, "")</f>
        <v>-0.80110397880486484</v>
      </c>
      <c r="X27" s="28"/>
      <c r="Y27" s="28"/>
      <c r="Z27" s="28"/>
      <c r="AA27" s="28"/>
      <c r="AB27" s="28"/>
      <c r="AC27" s="28"/>
    </row>
    <row r="28" spans="1:29" ht="13">
      <c r="A28" s="27" t="s">
        <v>53</v>
      </c>
      <c r="B28" s="45"/>
      <c r="C28" s="46">
        <f>IFERROR('Quarterly Revenue&amp;EBITDA'!C28/'Quarterly Revenue&amp;EBITDA'!C24 - 1, "")</f>
        <v>-0.1394421715294647</v>
      </c>
      <c r="D28" s="46">
        <f>IFERROR('Quarterly Revenue&amp;EBITDA'!D28/'Quarterly Revenue&amp;EBITDA'!D24 - 1, "")</f>
        <v>0.56083785000750463</v>
      </c>
      <c r="E28" s="46">
        <f>IFERROR('Quarterly Revenue&amp;EBITDA'!E28/'Quarterly Revenue&amp;EBITDA'!E24 - 1, "")</f>
        <v>0.76371826371826379</v>
      </c>
      <c r="F28" s="46" t="str">
        <f>IFERROR('Quarterly Revenue&amp;EBITDA'!F28/'Quarterly Revenue&amp;EBITDA'!F24 - 1, "")</f>
        <v/>
      </c>
      <c r="G28" s="46" t="str">
        <f>IFERROR('Quarterly Revenue&amp;EBITDA'!G28/'Quarterly Revenue&amp;EBITDA'!G24 - 1, "")</f>
        <v/>
      </c>
      <c r="H28" s="46" t="str">
        <f>IFERROR('Quarterly Revenue&amp;EBITDA'!H28/'Quarterly Revenue&amp;EBITDA'!H24 - 1, "")</f>
        <v/>
      </c>
      <c r="I28" s="46" t="str">
        <f>IFERROR('Quarterly Revenue&amp;EBITDA'!I28/'Quarterly Revenue&amp;EBITDA'!I24 - 1, "")</f>
        <v/>
      </c>
      <c r="J28" s="46" t="str">
        <f>IFERROR('Quarterly Revenue&amp;EBITDA'!J28/'Quarterly Revenue&amp;EBITDA'!J24 - 1, "")</f>
        <v/>
      </c>
      <c r="K28" s="46" t="str">
        <f>IFERROR('Quarterly Revenue&amp;EBITDA'!K28/'Quarterly Revenue&amp;EBITDA'!K24 - 1, "")</f>
        <v/>
      </c>
      <c r="L28" s="46" t="str">
        <f>IFERROR('Quarterly Revenue&amp;EBITDA'!L28/'Quarterly Revenue&amp;EBITDA'!L24 - 1, "")</f>
        <v/>
      </c>
      <c r="M28" s="46" t="str">
        <f>IFERROR('Quarterly Revenue&amp;EBITDA'!M28/'Quarterly Revenue&amp;EBITDA'!M24 - 1, "")</f>
        <v/>
      </c>
      <c r="N28" s="46" t="str">
        <f>IFERROR('Quarterly Revenue&amp;EBITDA'!N28/'Quarterly Revenue&amp;EBITDA'!N24 - 1, "")</f>
        <v/>
      </c>
      <c r="O28" s="46">
        <f>IFERROR('Quarterly Revenue&amp;EBITDA'!O28/'Quarterly Revenue&amp;EBITDA'!O24 - 1, "")</f>
        <v>0.73847601128880536</v>
      </c>
      <c r="P28" s="46" t="str">
        <f>IFERROR('Quarterly Revenue&amp;EBITDA'!P28/'Quarterly Revenue&amp;EBITDA'!P24 - 1, "")</f>
        <v/>
      </c>
      <c r="Q28" s="46" t="str">
        <f>IFERROR('Quarterly Revenue&amp;EBITDA'!Q28/'Quarterly Revenue&amp;EBITDA'!Q24 - 1, "")</f>
        <v/>
      </c>
      <c r="R28" s="46">
        <f>IFERROR('Quarterly Revenue&amp;EBITDA'!R28/'Quarterly Revenue&amp;EBITDA'!R24 - 1, "")</f>
        <v>5.4761852602369609</v>
      </c>
      <c r="S28" s="46" t="str">
        <f>IFERROR('Quarterly Revenue&amp;EBITDA'!S28/'Quarterly Revenue&amp;EBITDA'!S24 - 1, "")</f>
        <v/>
      </c>
      <c r="T28" s="46" t="str">
        <f>IFERROR('Quarterly Revenue&amp;EBITDA'!T28/'Quarterly Revenue&amp;EBITDA'!T24 - 1, "")</f>
        <v/>
      </c>
      <c r="U28" s="46">
        <f>IFERROR('Quarterly Revenue&amp;EBITDA'!U28/'Quarterly Revenue&amp;EBITDA'!U24 - 1, "")</f>
        <v>0.3779271836362601</v>
      </c>
      <c r="V28" s="46" t="str">
        <f>IFERROR('Quarterly Revenue&amp;EBITDA'!V28/'Quarterly Revenue&amp;EBITDA'!V24 - 1, "")</f>
        <v/>
      </c>
      <c r="W28" s="46">
        <f>IFERROR('Quarterly Revenue&amp;EBITDA'!W28/'Quarterly Revenue&amp;EBITDA'!W24 - 1, "")</f>
        <v>-0.80110397880486484</v>
      </c>
      <c r="X28" s="28"/>
      <c r="Y28" s="28"/>
      <c r="Z28" s="28"/>
      <c r="AA28" s="28"/>
      <c r="AB28" s="28"/>
      <c r="AC28" s="28"/>
    </row>
    <row r="29" spans="1:29" ht="13">
      <c r="A29" s="27" t="s">
        <v>54</v>
      </c>
      <c r="B29" s="45"/>
      <c r="C29" s="46">
        <f>IFERROR('Quarterly Revenue&amp;EBITDA'!C29/'Quarterly Revenue&amp;EBITDA'!C25 - 1, "")</f>
        <v>-0.1394421715294647</v>
      </c>
      <c r="D29" s="46">
        <f>IFERROR('Quarterly Revenue&amp;EBITDA'!D29/'Quarterly Revenue&amp;EBITDA'!D25 - 1, "")</f>
        <v>0.56083785000750463</v>
      </c>
      <c r="E29" s="46">
        <f>IFERROR('Quarterly Revenue&amp;EBITDA'!E29/'Quarterly Revenue&amp;EBITDA'!E25 - 1, "")</f>
        <v>0.76371826371826379</v>
      </c>
      <c r="F29" s="46" t="str">
        <f>IFERROR('Quarterly Revenue&amp;EBITDA'!F29/'Quarterly Revenue&amp;EBITDA'!F25 - 1, "")</f>
        <v/>
      </c>
      <c r="G29" s="46" t="str">
        <f>IFERROR('Quarterly Revenue&amp;EBITDA'!G29/'Quarterly Revenue&amp;EBITDA'!G25 - 1, "")</f>
        <v/>
      </c>
      <c r="H29" s="46" t="str">
        <f>IFERROR('Quarterly Revenue&amp;EBITDA'!H29/'Quarterly Revenue&amp;EBITDA'!H25 - 1, "")</f>
        <v/>
      </c>
      <c r="I29" s="46" t="str">
        <f>IFERROR('Quarterly Revenue&amp;EBITDA'!I29/'Quarterly Revenue&amp;EBITDA'!I25 - 1, "")</f>
        <v/>
      </c>
      <c r="J29" s="46" t="str">
        <f>IFERROR('Quarterly Revenue&amp;EBITDA'!J29/'Quarterly Revenue&amp;EBITDA'!J25 - 1, "")</f>
        <v/>
      </c>
      <c r="K29" s="46" t="str">
        <f>IFERROR('Quarterly Revenue&amp;EBITDA'!K29/'Quarterly Revenue&amp;EBITDA'!K25 - 1, "")</f>
        <v/>
      </c>
      <c r="L29" s="46" t="str">
        <f>IFERROR('Quarterly Revenue&amp;EBITDA'!L29/'Quarterly Revenue&amp;EBITDA'!L25 - 1, "")</f>
        <v/>
      </c>
      <c r="M29" s="46" t="str">
        <f>IFERROR('Quarterly Revenue&amp;EBITDA'!M29/'Quarterly Revenue&amp;EBITDA'!M25 - 1, "")</f>
        <v/>
      </c>
      <c r="N29" s="46" t="str">
        <f>IFERROR('Quarterly Revenue&amp;EBITDA'!N29/'Quarterly Revenue&amp;EBITDA'!N25 - 1, "")</f>
        <v/>
      </c>
      <c r="O29" s="46">
        <f>IFERROR('Quarterly Revenue&amp;EBITDA'!O29/'Quarterly Revenue&amp;EBITDA'!O25 - 1, "")</f>
        <v>7.2510822510822415E-2</v>
      </c>
      <c r="P29" s="46" t="str">
        <f>IFERROR('Quarterly Revenue&amp;EBITDA'!P29/'Quarterly Revenue&amp;EBITDA'!P25 - 1, "")</f>
        <v/>
      </c>
      <c r="Q29" s="46" t="str">
        <f>IFERROR('Quarterly Revenue&amp;EBITDA'!Q29/'Quarterly Revenue&amp;EBITDA'!Q25 - 1, "")</f>
        <v/>
      </c>
      <c r="R29" s="46">
        <f>IFERROR('Quarterly Revenue&amp;EBITDA'!R29/'Quarterly Revenue&amp;EBITDA'!R25 - 1, "")</f>
        <v>5.4761852602369609</v>
      </c>
      <c r="S29" s="46" t="str">
        <f>IFERROR('Quarterly Revenue&amp;EBITDA'!S29/'Quarterly Revenue&amp;EBITDA'!S25 - 1, "")</f>
        <v/>
      </c>
      <c r="T29" s="46" t="str">
        <f>IFERROR('Quarterly Revenue&amp;EBITDA'!T29/'Quarterly Revenue&amp;EBITDA'!T25 - 1, "")</f>
        <v/>
      </c>
      <c r="U29" s="46">
        <f>IFERROR('Quarterly Revenue&amp;EBITDA'!U29/'Quarterly Revenue&amp;EBITDA'!U25 - 1, "")</f>
        <v>0.3779271836362601</v>
      </c>
      <c r="V29" s="46" t="str">
        <f>IFERROR('Quarterly Revenue&amp;EBITDA'!V29/'Quarterly Revenue&amp;EBITDA'!V25 - 1, "")</f>
        <v/>
      </c>
      <c r="W29" s="46">
        <f>IFERROR('Quarterly Revenue&amp;EBITDA'!W29/'Quarterly Revenue&amp;EBITDA'!W25 - 1, "")</f>
        <v>0.31882951653944014</v>
      </c>
      <c r="X29" s="28"/>
      <c r="Y29" s="28"/>
      <c r="Z29" s="28"/>
      <c r="AA29" s="28"/>
      <c r="AB29" s="28"/>
      <c r="AC29" s="28"/>
    </row>
    <row r="30" spans="1:29" ht="13">
      <c r="A30" s="27" t="s">
        <v>55</v>
      </c>
      <c r="B30" s="45"/>
      <c r="C30" s="46">
        <f>IFERROR('Quarterly Revenue&amp;EBITDA'!C30/'Quarterly Revenue&amp;EBITDA'!C26 - 1, "")</f>
        <v>-0.1394421715294647</v>
      </c>
      <c r="D30" s="46">
        <f>IFERROR('Quarterly Revenue&amp;EBITDA'!D30/'Quarterly Revenue&amp;EBITDA'!D26 - 1, "")</f>
        <v>0.56083785000750463</v>
      </c>
      <c r="E30" s="46">
        <f>IFERROR('Quarterly Revenue&amp;EBITDA'!E30/'Quarterly Revenue&amp;EBITDA'!E26 - 1, "")</f>
        <v>0.76371826371826379</v>
      </c>
      <c r="F30" s="46" t="str">
        <f>IFERROR('Quarterly Revenue&amp;EBITDA'!F30/'Quarterly Revenue&amp;EBITDA'!F26 - 1, "")</f>
        <v/>
      </c>
      <c r="G30" s="46" t="str">
        <f>IFERROR('Quarterly Revenue&amp;EBITDA'!G30/'Quarterly Revenue&amp;EBITDA'!G26 - 1, "")</f>
        <v/>
      </c>
      <c r="H30" s="46" t="str">
        <f>IFERROR('Quarterly Revenue&amp;EBITDA'!H30/'Quarterly Revenue&amp;EBITDA'!H26 - 1, "")</f>
        <v/>
      </c>
      <c r="I30" s="46" t="str">
        <f>IFERROR('Quarterly Revenue&amp;EBITDA'!I30/'Quarterly Revenue&amp;EBITDA'!I26 - 1, "")</f>
        <v/>
      </c>
      <c r="J30" s="46" t="str">
        <f>IFERROR('Quarterly Revenue&amp;EBITDA'!J30/'Quarterly Revenue&amp;EBITDA'!J26 - 1, "")</f>
        <v/>
      </c>
      <c r="K30" s="46" t="str">
        <f>IFERROR('Quarterly Revenue&amp;EBITDA'!K30/'Quarterly Revenue&amp;EBITDA'!K26 - 1, "")</f>
        <v/>
      </c>
      <c r="L30" s="46" t="str">
        <f>IFERROR('Quarterly Revenue&amp;EBITDA'!L30/'Quarterly Revenue&amp;EBITDA'!L26 - 1, "")</f>
        <v/>
      </c>
      <c r="M30" s="46" t="str">
        <f>IFERROR('Quarterly Revenue&amp;EBITDA'!M30/'Quarterly Revenue&amp;EBITDA'!M26 - 1, "")</f>
        <v/>
      </c>
      <c r="N30" s="46" t="str">
        <f>IFERROR('Quarterly Revenue&amp;EBITDA'!N30/'Quarterly Revenue&amp;EBITDA'!N26 - 1, "")</f>
        <v/>
      </c>
      <c r="O30" s="46">
        <f>IFERROR('Quarterly Revenue&amp;EBITDA'!O30/'Quarterly Revenue&amp;EBITDA'!O26 - 1, "")</f>
        <v>7.2510822510822415E-2</v>
      </c>
      <c r="P30" s="46" t="str">
        <f>IFERROR('Quarterly Revenue&amp;EBITDA'!P30/'Quarterly Revenue&amp;EBITDA'!P26 - 1, "")</f>
        <v/>
      </c>
      <c r="Q30" s="46" t="str">
        <f>IFERROR('Quarterly Revenue&amp;EBITDA'!Q30/'Quarterly Revenue&amp;EBITDA'!Q26 - 1, "")</f>
        <v/>
      </c>
      <c r="R30" s="46">
        <f>IFERROR('Quarterly Revenue&amp;EBITDA'!R30/'Quarterly Revenue&amp;EBITDA'!R26 - 1, "")</f>
        <v>5.4761852602369609</v>
      </c>
      <c r="S30" s="46" t="str">
        <f>IFERROR('Quarterly Revenue&amp;EBITDA'!S30/'Quarterly Revenue&amp;EBITDA'!S26 - 1, "")</f>
        <v/>
      </c>
      <c r="T30" s="46" t="str">
        <f>IFERROR('Quarterly Revenue&amp;EBITDA'!T30/'Quarterly Revenue&amp;EBITDA'!T26 - 1, "")</f>
        <v/>
      </c>
      <c r="U30" s="46">
        <f>IFERROR('Quarterly Revenue&amp;EBITDA'!U30/'Quarterly Revenue&amp;EBITDA'!U26 - 1, "")</f>
        <v>0.3779271836362601</v>
      </c>
      <c r="V30" s="46" t="str">
        <f>IFERROR('Quarterly Revenue&amp;EBITDA'!V30/'Quarterly Revenue&amp;EBITDA'!V26 - 1, "")</f>
        <v/>
      </c>
      <c r="W30" s="46">
        <f>IFERROR('Quarterly Revenue&amp;EBITDA'!W30/'Quarterly Revenue&amp;EBITDA'!W26 - 1, "")</f>
        <v>0.31882951653944014</v>
      </c>
      <c r="X30" s="28"/>
      <c r="Y30" s="28"/>
      <c r="Z30" s="28"/>
      <c r="AA30" s="28"/>
      <c r="AB30" s="28"/>
      <c r="AC30" s="28"/>
    </row>
    <row r="31" spans="1:29" ht="13">
      <c r="A31" s="27" t="s">
        <v>56</v>
      </c>
      <c r="B31" s="45"/>
      <c r="C31" s="46">
        <f>IFERROR('Quarterly Revenue&amp;EBITDA'!C31/'Quarterly Revenue&amp;EBITDA'!C27 - 1, "")</f>
        <v>5.8716325039569917E-2</v>
      </c>
      <c r="D31" s="46">
        <f>IFERROR('Quarterly Revenue&amp;EBITDA'!D31/'Quarterly Revenue&amp;EBITDA'!D27 - 1, "")</f>
        <v>-0.21232466013309614</v>
      </c>
      <c r="E31" s="46">
        <f>IFERROR('Quarterly Revenue&amp;EBITDA'!E31/'Quarterly Revenue&amp;EBITDA'!E27 - 1, "")</f>
        <v>0.89798003250522407</v>
      </c>
      <c r="F31" s="46" t="str">
        <f>IFERROR('Quarterly Revenue&amp;EBITDA'!F31/'Quarterly Revenue&amp;EBITDA'!F27 - 1, "")</f>
        <v/>
      </c>
      <c r="G31" s="46" t="str">
        <f>IFERROR('Quarterly Revenue&amp;EBITDA'!G31/'Quarterly Revenue&amp;EBITDA'!G27 - 1, "")</f>
        <v/>
      </c>
      <c r="H31" s="46" t="str">
        <f>IFERROR('Quarterly Revenue&amp;EBITDA'!H31/'Quarterly Revenue&amp;EBITDA'!H27 - 1, "")</f>
        <v/>
      </c>
      <c r="I31" s="46" t="str">
        <f>IFERROR('Quarterly Revenue&amp;EBITDA'!I31/'Quarterly Revenue&amp;EBITDA'!I27 - 1, "")</f>
        <v/>
      </c>
      <c r="J31" s="46" t="str">
        <f>IFERROR('Quarterly Revenue&amp;EBITDA'!J31/'Quarterly Revenue&amp;EBITDA'!J27 - 1, "")</f>
        <v/>
      </c>
      <c r="K31" s="46" t="str">
        <f>IFERROR('Quarterly Revenue&amp;EBITDA'!K31/'Quarterly Revenue&amp;EBITDA'!K27 - 1, "")</f>
        <v/>
      </c>
      <c r="L31" s="46" t="str">
        <f>IFERROR('Quarterly Revenue&amp;EBITDA'!L31/'Quarterly Revenue&amp;EBITDA'!L27 - 1, "")</f>
        <v/>
      </c>
      <c r="M31" s="46" t="str">
        <f>IFERROR('Quarterly Revenue&amp;EBITDA'!M31/'Quarterly Revenue&amp;EBITDA'!M27 - 1, "")</f>
        <v/>
      </c>
      <c r="N31" s="46" t="str">
        <f>IFERROR('Quarterly Revenue&amp;EBITDA'!N31/'Quarterly Revenue&amp;EBITDA'!N27 - 1, "")</f>
        <v/>
      </c>
      <c r="O31" s="46">
        <f>IFERROR('Quarterly Revenue&amp;EBITDA'!O31/'Quarterly Revenue&amp;EBITDA'!O27 - 1, "")</f>
        <v>7.2510822510822415E-2</v>
      </c>
      <c r="P31" s="46" t="str">
        <f>IFERROR('Quarterly Revenue&amp;EBITDA'!P31/'Quarterly Revenue&amp;EBITDA'!P27 - 1, "")</f>
        <v/>
      </c>
      <c r="Q31" s="46" t="str">
        <f>IFERROR('Quarterly Revenue&amp;EBITDA'!Q31/'Quarterly Revenue&amp;EBITDA'!Q27 - 1, "")</f>
        <v/>
      </c>
      <c r="R31" s="46"/>
      <c r="S31" s="46" t="str">
        <f>IFERROR('Quarterly Revenue&amp;EBITDA'!S31/'Quarterly Revenue&amp;EBITDA'!S27 - 1, "")</f>
        <v/>
      </c>
      <c r="T31" s="46" t="str">
        <f>IFERROR('Quarterly Revenue&amp;EBITDA'!T31/'Quarterly Revenue&amp;EBITDA'!T27 - 1, "")</f>
        <v/>
      </c>
      <c r="U31" s="46">
        <f>IFERROR('Quarterly Revenue&amp;EBITDA'!U31/'Quarterly Revenue&amp;EBITDA'!U27 - 1, "")</f>
        <v>8.9315249751902304E-3</v>
      </c>
      <c r="V31" s="46" t="str">
        <f>IFERROR('Quarterly Revenue&amp;EBITDA'!V31/'Quarterly Revenue&amp;EBITDA'!V27 - 1, "")</f>
        <v/>
      </c>
      <c r="W31" s="46">
        <f>IFERROR('Quarterly Revenue&amp;EBITDA'!W31/'Quarterly Revenue&amp;EBITDA'!W27 - 1, "")</f>
        <v>0.31882951653944014</v>
      </c>
      <c r="X31" s="28"/>
      <c r="Y31" s="28"/>
      <c r="Z31" s="28"/>
      <c r="AA31" s="28"/>
      <c r="AB31" s="28"/>
      <c r="AC31" s="28"/>
    </row>
    <row r="32" spans="1:29" ht="13">
      <c r="A32" s="27" t="s">
        <v>57</v>
      </c>
      <c r="B32" s="45"/>
      <c r="C32" s="46">
        <f>IFERROR('Quarterly Revenue&amp;EBITDA'!C32/'Quarterly Revenue&amp;EBITDA'!C28 - 1, "")</f>
        <v>5.8716325039569917E-2</v>
      </c>
      <c r="D32" s="46">
        <f>IFERROR('Quarterly Revenue&amp;EBITDA'!D32/'Quarterly Revenue&amp;EBITDA'!D28 - 1, "")</f>
        <v>-0.21232466013309614</v>
      </c>
      <c r="E32" s="46">
        <f>IFERROR('Quarterly Revenue&amp;EBITDA'!E32/'Quarterly Revenue&amp;EBITDA'!E28 - 1, "")</f>
        <v>0.89798003250522407</v>
      </c>
      <c r="F32" s="46" t="str">
        <f>IFERROR('Quarterly Revenue&amp;EBITDA'!F32/'Quarterly Revenue&amp;EBITDA'!F28 - 1, "")</f>
        <v/>
      </c>
      <c r="G32" s="46" t="str">
        <f>IFERROR('Quarterly Revenue&amp;EBITDA'!G32/'Quarterly Revenue&amp;EBITDA'!G28 - 1, "")</f>
        <v/>
      </c>
      <c r="H32" s="46" t="str">
        <f>IFERROR('Quarterly Revenue&amp;EBITDA'!H32/'Quarterly Revenue&amp;EBITDA'!H28 - 1, "")</f>
        <v/>
      </c>
      <c r="I32" s="46" t="str">
        <f>IFERROR('Quarterly Revenue&amp;EBITDA'!I32/'Quarterly Revenue&amp;EBITDA'!I28 - 1, "")</f>
        <v/>
      </c>
      <c r="J32" s="46" t="str">
        <f>IFERROR('Quarterly Revenue&amp;EBITDA'!J32/'Quarterly Revenue&amp;EBITDA'!J28 - 1, "")</f>
        <v/>
      </c>
      <c r="K32" s="46" t="str">
        <f>IFERROR('Quarterly Revenue&amp;EBITDA'!K32/'Quarterly Revenue&amp;EBITDA'!K28 - 1, "")</f>
        <v/>
      </c>
      <c r="L32" s="46" t="str">
        <f>IFERROR('Quarterly Revenue&amp;EBITDA'!L32/'Quarterly Revenue&amp;EBITDA'!L28 - 1, "")</f>
        <v/>
      </c>
      <c r="M32" s="46" t="str">
        <f>IFERROR('Quarterly Revenue&amp;EBITDA'!M32/'Quarterly Revenue&amp;EBITDA'!M28 - 1, "")</f>
        <v/>
      </c>
      <c r="N32" s="46" t="str">
        <f>IFERROR('Quarterly Revenue&amp;EBITDA'!N32/'Quarterly Revenue&amp;EBITDA'!N28 - 1, "")</f>
        <v/>
      </c>
      <c r="O32" s="46">
        <f>IFERROR('Quarterly Revenue&amp;EBITDA'!O32/'Quarterly Revenue&amp;EBITDA'!O28 - 1, "")</f>
        <v>7.2510822510822415E-2</v>
      </c>
      <c r="P32" s="46" t="str">
        <f>IFERROR('Quarterly Revenue&amp;EBITDA'!P32/'Quarterly Revenue&amp;EBITDA'!P28 - 1, "")</f>
        <v/>
      </c>
      <c r="Q32" s="46" t="str">
        <f>IFERROR('Quarterly Revenue&amp;EBITDA'!Q32/'Quarterly Revenue&amp;EBITDA'!Q28 - 1, "")</f>
        <v/>
      </c>
      <c r="R32" s="46"/>
      <c r="S32" s="46" t="str">
        <f>IFERROR('Quarterly Revenue&amp;EBITDA'!S32/'Quarterly Revenue&amp;EBITDA'!S28 - 1, "")</f>
        <v/>
      </c>
      <c r="T32" s="46" t="str">
        <f>IFERROR('Quarterly Revenue&amp;EBITDA'!T32/'Quarterly Revenue&amp;EBITDA'!T28 - 1, "")</f>
        <v/>
      </c>
      <c r="U32" s="46">
        <f>IFERROR('Quarterly Revenue&amp;EBITDA'!U32/'Quarterly Revenue&amp;EBITDA'!U28 - 1, "")</f>
        <v>8.9315249751902304E-3</v>
      </c>
      <c r="V32" s="46" t="str">
        <f>IFERROR('Quarterly Revenue&amp;EBITDA'!V32/'Quarterly Revenue&amp;EBITDA'!V28 - 1, "")</f>
        <v/>
      </c>
      <c r="W32" s="46">
        <f>IFERROR('Quarterly Revenue&amp;EBITDA'!W32/'Quarterly Revenue&amp;EBITDA'!W28 - 1, "")</f>
        <v>0.31882951653944014</v>
      </c>
      <c r="X32" s="28"/>
      <c r="Y32" s="28"/>
      <c r="Z32" s="28"/>
      <c r="AA32" s="28"/>
      <c r="AB32" s="28"/>
      <c r="AC32" s="28"/>
    </row>
    <row r="33" spans="1:29" ht="13">
      <c r="A33" s="27" t="s">
        <v>58</v>
      </c>
      <c r="B33" s="45"/>
      <c r="C33" s="46">
        <f>IFERROR('Quarterly Revenue&amp;EBITDA'!C33/'Quarterly Revenue&amp;EBITDA'!C29 - 1, "")</f>
        <v>5.8716325039569917E-2</v>
      </c>
      <c r="D33" s="46">
        <f>IFERROR('Quarterly Revenue&amp;EBITDA'!D33/'Quarterly Revenue&amp;EBITDA'!D29 - 1, "")</f>
        <v>-0.21232466013309614</v>
      </c>
      <c r="E33" s="46">
        <f>IFERROR('Quarterly Revenue&amp;EBITDA'!E33/'Quarterly Revenue&amp;EBITDA'!E29 - 1, "")</f>
        <v>0.89798003250522407</v>
      </c>
      <c r="F33" s="46" t="str">
        <f>IFERROR('Quarterly Revenue&amp;EBITDA'!F33/'Quarterly Revenue&amp;EBITDA'!F29 - 1, "")</f>
        <v/>
      </c>
      <c r="G33" s="46" t="str">
        <f>IFERROR('Quarterly Revenue&amp;EBITDA'!G33/'Quarterly Revenue&amp;EBITDA'!G29 - 1, "")</f>
        <v/>
      </c>
      <c r="H33" s="46" t="str">
        <f>IFERROR('Quarterly Revenue&amp;EBITDA'!H33/'Quarterly Revenue&amp;EBITDA'!H29 - 1, "")</f>
        <v/>
      </c>
      <c r="I33" s="46" t="str">
        <f>IFERROR('Quarterly Revenue&amp;EBITDA'!I33/'Quarterly Revenue&amp;EBITDA'!I29 - 1, "")</f>
        <v/>
      </c>
      <c r="J33" s="46" t="str">
        <f>IFERROR('Quarterly Revenue&amp;EBITDA'!J33/'Quarterly Revenue&amp;EBITDA'!J29 - 1, "")</f>
        <v/>
      </c>
      <c r="K33" s="46" t="str">
        <f>IFERROR('Quarterly Revenue&amp;EBITDA'!K33/'Quarterly Revenue&amp;EBITDA'!K29 - 1, "")</f>
        <v/>
      </c>
      <c r="L33" s="46" t="str">
        <f>IFERROR('Quarterly Revenue&amp;EBITDA'!L33/'Quarterly Revenue&amp;EBITDA'!L29 - 1, "")</f>
        <v/>
      </c>
      <c r="M33" s="46" t="str">
        <f>IFERROR('Quarterly Revenue&amp;EBITDA'!M33/'Quarterly Revenue&amp;EBITDA'!M29 - 1, "")</f>
        <v/>
      </c>
      <c r="N33" s="46" t="str">
        <f>IFERROR('Quarterly Revenue&amp;EBITDA'!N33/'Quarterly Revenue&amp;EBITDA'!N29 - 1, "")</f>
        <v/>
      </c>
      <c r="O33" s="46">
        <f>IFERROR('Quarterly Revenue&amp;EBITDA'!O33/'Quarterly Revenue&amp;EBITDA'!O29 - 1, "")</f>
        <v>3.0262361251261352</v>
      </c>
      <c r="P33" s="46" t="str">
        <f>IFERROR('Quarterly Revenue&amp;EBITDA'!P33/'Quarterly Revenue&amp;EBITDA'!P29 - 1, "")</f>
        <v/>
      </c>
      <c r="Q33" s="46" t="str">
        <f>IFERROR('Quarterly Revenue&amp;EBITDA'!Q33/'Quarterly Revenue&amp;EBITDA'!Q29 - 1, "")</f>
        <v/>
      </c>
      <c r="R33" s="46"/>
      <c r="S33" s="46" t="str">
        <f>IFERROR('Quarterly Revenue&amp;EBITDA'!S33/'Quarterly Revenue&amp;EBITDA'!S29 - 1, "")</f>
        <v/>
      </c>
      <c r="T33" s="46" t="str">
        <f>IFERROR('Quarterly Revenue&amp;EBITDA'!T33/'Quarterly Revenue&amp;EBITDA'!T29 - 1, "")</f>
        <v/>
      </c>
      <c r="U33" s="46">
        <f>IFERROR('Quarterly Revenue&amp;EBITDA'!U33/'Quarterly Revenue&amp;EBITDA'!U29 - 1, "")</f>
        <v>8.9315249751902304E-3</v>
      </c>
      <c r="V33" s="46" t="str">
        <f>IFERROR('Quarterly Revenue&amp;EBITDA'!V33/'Quarterly Revenue&amp;EBITDA'!V29 - 1, "")</f>
        <v/>
      </c>
      <c r="W33" s="46">
        <f>IFERROR('Quarterly Revenue&amp;EBITDA'!W33/'Quarterly Revenue&amp;EBITDA'!W29 - 1, "")</f>
        <v>0.24617260686074149</v>
      </c>
      <c r="X33" s="28"/>
      <c r="Y33" s="28"/>
      <c r="Z33" s="28"/>
      <c r="AA33" s="28"/>
      <c r="AB33" s="28"/>
      <c r="AC33" s="28"/>
    </row>
    <row r="34" spans="1:29" ht="13">
      <c r="A34" s="27" t="s">
        <v>59</v>
      </c>
      <c r="B34" s="45"/>
      <c r="C34" s="46">
        <f>IFERROR('Quarterly Revenue&amp;EBITDA'!C34/'Quarterly Revenue&amp;EBITDA'!C30 - 1, "")</f>
        <v>5.8716325039569917E-2</v>
      </c>
      <c r="D34" s="46">
        <f>IFERROR('Quarterly Revenue&amp;EBITDA'!D34/'Quarterly Revenue&amp;EBITDA'!D30 - 1, "")</f>
        <v>-0.21232466013309614</v>
      </c>
      <c r="E34" s="46">
        <f>IFERROR('Quarterly Revenue&amp;EBITDA'!E34/'Quarterly Revenue&amp;EBITDA'!E30 - 1, "")</f>
        <v>0.89798003250522407</v>
      </c>
      <c r="F34" s="46" t="str">
        <f>IFERROR('Quarterly Revenue&amp;EBITDA'!F34/'Quarterly Revenue&amp;EBITDA'!F30 - 1, "")</f>
        <v/>
      </c>
      <c r="G34" s="46" t="str">
        <f>IFERROR('Quarterly Revenue&amp;EBITDA'!G34/'Quarterly Revenue&amp;EBITDA'!G30 - 1, "")</f>
        <v/>
      </c>
      <c r="H34" s="46" t="str">
        <f>IFERROR('Quarterly Revenue&amp;EBITDA'!H34/'Quarterly Revenue&amp;EBITDA'!H30 - 1, "")</f>
        <v/>
      </c>
      <c r="I34" s="46" t="str">
        <f>IFERROR('Quarterly Revenue&amp;EBITDA'!I34/'Quarterly Revenue&amp;EBITDA'!I30 - 1, "")</f>
        <v/>
      </c>
      <c r="J34" s="46" t="str">
        <f>IFERROR('Quarterly Revenue&amp;EBITDA'!J34/'Quarterly Revenue&amp;EBITDA'!J30 - 1, "")</f>
        <v/>
      </c>
      <c r="K34" s="46" t="str">
        <f>IFERROR('Quarterly Revenue&amp;EBITDA'!K34/'Quarterly Revenue&amp;EBITDA'!K30 - 1, "")</f>
        <v/>
      </c>
      <c r="L34" s="46" t="str">
        <f>IFERROR('Quarterly Revenue&amp;EBITDA'!L34/'Quarterly Revenue&amp;EBITDA'!L30 - 1, "")</f>
        <v/>
      </c>
      <c r="M34" s="46" t="str">
        <f>IFERROR('Quarterly Revenue&amp;EBITDA'!M34/'Quarterly Revenue&amp;EBITDA'!M30 - 1, "")</f>
        <v/>
      </c>
      <c r="N34" s="46" t="str">
        <f>IFERROR('Quarterly Revenue&amp;EBITDA'!N34/'Quarterly Revenue&amp;EBITDA'!N30 - 1, "")</f>
        <v/>
      </c>
      <c r="O34" s="46">
        <f>IFERROR('Quarterly Revenue&amp;EBITDA'!O34/'Quarterly Revenue&amp;EBITDA'!O30 - 1, "")</f>
        <v>3.0262361251261352</v>
      </c>
      <c r="P34" s="46" t="str">
        <f>IFERROR('Quarterly Revenue&amp;EBITDA'!P34/'Quarterly Revenue&amp;EBITDA'!P30 - 1, "")</f>
        <v/>
      </c>
      <c r="Q34" s="46" t="str">
        <f>IFERROR('Quarterly Revenue&amp;EBITDA'!Q34/'Quarterly Revenue&amp;EBITDA'!Q30 - 1, "")</f>
        <v/>
      </c>
      <c r="R34" s="46"/>
      <c r="S34" s="46" t="str">
        <f>IFERROR('Quarterly Revenue&amp;EBITDA'!S34/'Quarterly Revenue&amp;EBITDA'!S30 - 1, "")</f>
        <v/>
      </c>
      <c r="T34" s="46" t="str">
        <f>IFERROR('Quarterly Revenue&amp;EBITDA'!T34/'Quarterly Revenue&amp;EBITDA'!T30 - 1, "")</f>
        <v/>
      </c>
      <c r="U34" s="46"/>
      <c r="V34" s="46" t="str">
        <f>IFERROR('Quarterly Revenue&amp;EBITDA'!V34/'Quarterly Revenue&amp;EBITDA'!V30 - 1, "")</f>
        <v/>
      </c>
      <c r="W34" s="46">
        <f>IFERROR('Quarterly Revenue&amp;EBITDA'!W34/'Quarterly Revenue&amp;EBITDA'!W30 - 1, "")</f>
        <v>0.24617260686074149</v>
      </c>
      <c r="X34" s="28"/>
      <c r="Y34" s="28"/>
      <c r="Z34" s="28"/>
      <c r="AA34" s="28"/>
      <c r="AB34" s="28"/>
      <c r="AC34" s="28"/>
    </row>
    <row r="35" spans="1:29" ht="13">
      <c r="A35" s="27" t="s">
        <v>60</v>
      </c>
      <c r="B35" s="45"/>
      <c r="C35" s="46">
        <f>IFERROR('Quarterly Revenue&amp;EBITDA'!C35/'Quarterly Revenue&amp;EBITDA'!C31 - 1, "")</f>
        <v>5.2810016054734898E-2</v>
      </c>
      <c r="D35" s="46">
        <f>IFERROR('Quarterly Revenue&amp;EBITDA'!D35/'Quarterly Revenue&amp;EBITDA'!D31 - 1, "")</f>
        <v>0.14999460123178721</v>
      </c>
      <c r="E35" s="46">
        <f>IFERROR('Quarterly Revenue&amp;EBITDA'!E35/'Quarterly Revenue&amp;EBITDA'!E31 - 1, "")</f>
        <v>0.64969539793996045</v>
      </c>
      <c r="F35" s="46" t="str">
        <f>IFERROR('Quarterly Revenue&amp;EBITDA'!F35/'Quarterly Revenue&amp;EBITDA'!F31 - 1, "")</f>
        <v/>
      </c>
      <c r="G35" s="46" t="str">
        <f>IFERROR('Quarterly Revenue&amp;EBITDA'!G35/'Quarterly Revenue&amp;EBITDA'!G31 - 1, "")</f>
        <v/>
      </c>
      <c r="H35" s="46" t="str">
        <f>IFERROR('Quarterly Revenue&amp;EBITDA'!H35/'Quarterly Revenue&amp;EBITDA'!H31 - 1, "")</f>
        <v/>
      </c>
      <c r="I35" s="46" t="str">
        <f>IFERROR('Quarterly Revenue&amp;EBITDA'!I35/'Quarterly Revenue&amp;EBITDA'!I31 - 1, "")</f>
        <v/>
      </c>
      <c r="J35" s="46" t="str">
        <f>IFERROR('Quarterly Revenue&amp;EBITDA'!J35/'Quarterly Revenue&amp;EBITDA'!J31 - 1, "")</f>
        <v/>
      </c>
      <c r="K35" s="46" t="str">
        <f>IFERROR('Quarterly Revenue&amp;EBITDA'!K35/'Quarterly Revenue&amp;EBITDA'!K31 - 1, "")</f>
        <v/>
      </c>
      <c r="L35" s="46" t="str">
        <f>IFERROR('Quarterly Revenue&amp;EBITDA'!L35/'Quarterly Revenue&amp;EBITDA'!L31 - 1, "")</f>
        <v/>
      </c>
      <c r="M35" s="46" t="str">
        <f>IFERROR('Quarterly Revenue&amp;EBITDA'!M35/'Quarterly Revenue&amp;EBITDA'!M31 - 1, "")</f>
        <v/>
      </c>
      <c r="N35" s="46" t="str">
        <f>IFERROR('Quarterly Revenue&amp;EBITDA'!N35/'Quarterly Revenue&amp;EBITDA'!N31 - 1, "")</f>
        <v/>
      </c>
      <c r="O35" s="46">
        <f>IFERROR('Quarterly Revenue&amp;EBITDA'!O35/'Quarterly Revenue&amp;EBITDA'!O31 - 1, "")</f>
        <v>3.0262361251261352</v>
      </c>
      <c r="P35" s="46" t="str">
        <f>IFERROR('Quarterly Revenue&amp;EBITDA'!P35/'Quarterly Revenue&amp;EBITDA'!P31 - 1, "")</f>
        <v/>
      </c>
      <c r="Q35" s="46" t="str">
        <f>IFERROR('Quarterly Revenue&amp;EBITDA'!Q35/'Quarterly Revenue&amp;EBITDA'!Q31 - 1, "")</f>
        <v/>
      </c>
      <c r="R35" s="46" t="str">
        <f>IFERROR('Quarterly Revenue&amp;EBITDA'!R35/'Quarterly Revenue&amp;EBITDA'!R31 - 1, "")</f>
        <v/>
      </c>
      <c r="S35" s="46" t="str">
        <f>IFERROR('Quarterly Revenue&amp;EBITDA'!S35/'Quarterly Revenue&amp;EBITDA'!S31 - 1, "")</f>
        <v/>
      </c>
      <c r="T35" s="46" t="str">
        <f>IFERROR('Quarterly Revenue&amp;EBITDA'!T35/'Quarterly Revenue&amp;EBITDA'!T31 - 1, "")</f>
        <v/>
      </c>
      <c r="U35" s="46"/>
      <c r="V35" s="46" t="str">
        <f>IFERROR('Quarterly Revenue&amp;EBITDA'!V35/'Quarterly Revenue&amp;EBITDA'!V31 - 1, "")</f>
        <v/>
      </c>
      <c r="W35" s="46">
        <f>IFERROR('Quarterly Revenue&amp;EBITDA'!W35/'Quarterly Revenue&amp;EBITDA'!W31 - 1, "")</f>
        <v>0.24617260686074149</v>
      </c>
      <c r="X35" s="28"/>
      <c r="Y35" s="28"/>
      <c r="Z35" s="28"/>
      <c r="AA35" s="28"/>
      <c r="AB35" s="28"/>
      <c r="AC35" s="28"/>
    </row>
    <row r="36" spans="1:29" ht="13">
      <c r="A36" s="27" t="s">
        <v>61</v>
      </c>
      <c r="B36" s="45"/>
      <c r="C36" s="46">
        <f>IFERROR('Quarterly Revenue&amp;EBITDA'!C36/'Quarterly Revenue&amp;EBITDA'!C32 - 1, "")</f>
        <v>5.2810016054734898E-2</v>
      </c>
      <c r="D36" s="46">
        <f>IFERROR('Quarterly Revenue&amp;EBITDA'!D36/'Quarterly Revenue&amp;EBITDA'!D32 - 1, "")</f>
        <v>0.14999460123178721</v>
      </c>
      <c r="E36" s="46">
        <f>IFERROR('Quarterly Revenue&amp;EBITDA'!E36/'Quarterly Revenue&amp;EBITDA'!E32 - 1, "")</f>
        <v>0.64969539793996045</v>
      </c>
      <c r="F36" s="46" t="str">
        <f>IFERROR('Quarterly Revenue&amp;EBITDA'!F36/'Quarterly Revenue&amp;EBITDA'!F32 - 1, "")</f>
        <v/>
      </c>
      <c r="G36" s="46" t="str">
        <f>IFERROR('Quarterly Revenue&amp;EBITDA'!G36/'Quarterly Revenue&amp;EBITDA'!G32 - 1, "")</f>
        <v/>
      </c>
      <c r="H36" s="46" t="str">
        <f>IFERROR('Quarterly Revenue&amp;EBITDA'!H36/'Quarterly Revenue&amp;EBITDA'!H32 - 1, "")</f>
        <v/>
      </c>
      <c r="I36" s="46" t="str">
        <f>IFERROR('Quarterly Revenue&amp;EBITDA'!I36/'Quarterly Revenue&amp;EBITDA'!I32 - 1, "")</f>
        <v/>
      </c>
      <c r="J36" s="46" t="str">
        <f>IFERROR('Quarterly Revenue&amp;EBITDA'!J36/'Quarterly Revenue&amp;EBITDA'!J32 - 1, "")</f>
        <v/>
      </c>
      <c r="K36" s="46" t="str">
        <f>IFERROR('Quarterly Revenue&amp;EBITDA'!K36/'Quarterly Revenue&amp;EBITDA'!K32 - 1, "")</f>
        <v/>
      </c>
      <c r="L36" s="46" t="str">
        <f>IFERROR('Quarterly Revenue&amp;EBITDA'!L36/'Quarterly Revenue&amp;EBITDA'!L32 - 1, "")</f>
        <v/>
      </c>
      <c r="M36" s="46" t="str">
        <f>IFERROR('Quarterly Revenue&amp;EBITDA'!M36/'Quarterly Revenue&amp;EBITDA'!M32 - 1, "")</f>
        <v/>
      </c>
      <c r="N36" s="46" t="str">
        <f>IFERROR('Quarterly Revenue&amp;EBITDA'!N36/'Quarterly Revenue&amp;EBITDA'!N32 - 1, "")</f>
        <v/>
      </c>
      <c r="O36" s="46">
        <f>IFERROR('Quarterly Revenue&amp;EBITDA'!O36/'Quarterly Revenue&amp;EBITDA'!O32 - 1, "")</f>
        <v>3.0262361251261352</v>
      </c>
      <c r="P36" s="46" t="str">
        <f>IFERROR('Quarterly Revenue&amp;EBITDA'!P36/'Quarterly Revenue&amp;EBITDA'!P32 - 1, "")</f>
        <v/>
      </c>
      <c r="Q36" s="46" t="str">
        <f>IFERROR('Quarterly Revenue&amp;EBITDA'!Q36/'Quarterly Revenue&amp;EBITDA'!Q32 - 1, "")</f>
        <v/>
      </c>
      <c r="R36" s="46" t="str">
        <f>IFERROR('Quarterly Revenue&amp;EBITDA'!R36/'Quarterly Revenue&amp;EBITDA'!R32 - 1, "")</f>
        <v/>
      </c>
      <c r="S36" s="46" t="str">
        <f>IFERROR('Quarterly Revenue&amp;EBITDA'!S36/'Quarterly Revenue&amp;EBITDA'!S32 - 1, "")</f>
        <v/>
      </c>
      <c r="T36" s="46" t="str">
        <f>IFERROR('Quarterly Revenue&amp;EBITDA'!T36/'Quarterly Revenue&amp;EBITDA'!T32 - 1, "")</f>
        <v/>
      </c>
      <c r="U36" s="46"/>
      <c r="V36" s="46" t="str">
        <f>IFERROR('Quarterly Revenue&amp;EBITDA'!V36/'Quarterly Revenue&amp;EBITDA'!V32 - 1, "")</f>
        <v/>
      </c>
      <c r="W36" s="46">
        <f>IFERROR('Quarterly Revenue&amp;EBITDA'!W36/'Quarterly Revenue&amp;EBITDA'!W32 - 1, "")</f>
        <v>0.24617260686074149</v>
      </c>
      <c r="X36" s="28"/>
      <c r="Y36" s="28"/>
      <c r="Z36" s="28"/>
      <c r="AA36" s="28"/>
      <c r="AB36" s="28"/>
      <c r="AC36" s="28"/>
    </row>
    <row r="37" spans="1:29" ht="13">
      <c r="A37" s="27" t="s">
        <v>62</v>
      </c>
      <c r="B37" s="45"/>
      <c r="C37" s="46">
        <f>IFERROR('Quarterly Revenue&amp;EBITDA'!C37/'Quarterly Revenue&amp;EBITDA'!C33 - 1, "")</f>
        <v>5.2810016054734898E-2</v>
      </c>
      <c r="D37" s="46">
        <f>IFERROR('Quarterly Revenue&amp;EBITDA'!D37/'Quarterly Revenue&amp;EBITDA'!D33 - 1, "")</f>
        <v>0.14999460123178721</v>
      </c>
      <c r="E37" s="46">
        <f>IFERROR('Quarterly Revenue&amp;EBITDA'!E37/'Quarterly Revenue&amp;EBITDA'!E33 - 1, "")</f>
        <v>0.64969539793996045</v>
      </c>
      <c r="F37" s="46" t="str">
        <f>IFERROR('Quarterly Revenue&amp;EBITDA'!F37/'Quarterly Revenue&amp;EBITDA'!F33 - 1, "")</f>
        <v/>
      </c>
      <c r="G37" s="46" t="str">
        <f>IFERROR('Quarterly Revenue&amp;EBITDA'!G37/'Quarterly Revenue&amp;EBITDA'!G33 - 1, "")</f>
        <v/>
      </c>
      <c r="H37" s="46" t="str">
        <f>IFERROR('Quarterly Revenue&amp;EBITDA'!H37/'Quarterly Revenue&amp;EBITDA'!H33 - 1, "")</f>
        <v/>
      </c>
      <c r="I37" s="46" t="str">
        <f>IFERROR('Quarterly Revenue&amp;EBITDA'!I37/'Quarterly Revenue&amp;EBITDA'!I33 - 1, "")</f>
        <v/>
      </c>
      <c r="J37" s="46" t="str">
        <f>IFERROR('Quarterly Revenue&amp;EBITDA'!J37/'Quarterly Revenue&amp;EBITDA'!J33 - 1, "")</f>
        <v/>
      </c>
      <c r="K37" s="46" t="str">
        <f>IFERROR('Quarterly Revenue&amp;EBITDA'!K37/'Quarterly Revenue&amp;EBITDA'!K33 - 1, "")</f>
        <v/>
      </c>
      <c r="L37" s="46" t="str">
        <f>IFERROR('Quarterly Revenue&amp;EBITDA'!L37/'Quarterly Revenue&amp;EBITDA'!L33 - 1, "")</f>
        <v/>
      </c>
      <c r="M37" s="46" t="str">
        <f>IFERROR('Quarterly Revenue&amp;EBITDA'!M37/'Quarterly Revenue&amp;EBITDA'!M33 - 1, "")</f>
        <v/>
      </c>
      <c r="N37" s="46" t="str">
        <f>IFERROR('Quarterly Revenue&amp;EBITDA'!N37/'Quarterly Revenue&amp;EBITDA'!N33 - 1, "")</f>
        <v/>
      </c>
      <c r="O37" s="46">
        <f>IFERROR('Quarterly Revenue&amp;EBITDA'!O37/'Quarterly Revenue&amp;EBITDA'!O33 - 1, "")</f>
        <v>1.1491228070175437</v>
      </c>
      <c r="P37" s="46" t="str">
        <f>IFERROR('Quarterly Revenue&amp;EBITDA'!P37/'Quarterly Revenue&amp;EBITDA'!P33 - 1, "")</f>
        <v/>
      </c>
      <c r="Q37" s="46" t="str">
        <f>IFERROR('Quarterly Revenue&amp;EBITDA'!Q37/'Quarterly Revenue&amp;EBITDA'!Q33 - 1, "")</f>
        <v/>
      </c>
      <c r="R37" s="46" t="str">
        <f>IFERROR('Quarterly Revenue&amp;EBITDA'!R37/'Quarterly Revenue&amp;EBITDA'!R33 - 1, "")</f>
        <v/>
      </c>
      <c r="S37" s="46" t="str">
        <f>IFERROR('Quarterly Revenue&amp;EBITDA'!S37/'Quarterly Revenue&amp;EBITDA'!S33 - 1, "")</f>
        <v/>
      </c>
      <c r="T37" s="46" t="str">
        <f>IFERROR('Quarterly Revenue&amp;EBITDA'!T37/'Quarterly Revenue&amp;EBITDA'!T33 - 1, "")</f>
        <v/>
      </c>
      <c r="U37" s="46"/>
      <c r="V37" s="46" t="str">
        <f>IFERROR('Quarterly Revenue&amp;EBITDA'!V37/'Quarterly Revenue&amp;EBITDA'!V33 - 1, "")</f>
        <v/>
      </c>
      <c r="W37" s="46">
        <f>IFERROR('Quarterly Revenue&amp;EBITDA'!W37/'Quarterly Revenue&amp;EBITDA'!W33 - 1, "")</f>
        <v>8.9200141897701313E-2</v>
      </c>
      <c r="X37" s="28"/>
      <c r="Y37" s="28"/>
      <c r="Z37" s="28"/>
      <c r="AA37" s="28"/>
      <c r="AB37" s="28"/>
      <c r="AC37" s="28"/>
    </row>
    <row r="38" spans="1:29" ht="13">
      <c r="A38" s="27" t="s">
        <v>63</v>
      </c>
      <c r="B38" s="45"/>
      <c r="C38" s="46">
        <f>IFERROR('Quarterly Revenue&amp;EBITDA'!C38/'Quarterly Revenue&amp;EBITDA'!C34 - 1, "")</f>
        <v>5.2810016054734898E-2</v>
      </c>
      <c r="D38" s="46">
        <f>IFERROR('Quarterly Revenue&amp;EBITDA'!D38/'Quarterly Revenue&amp;EBITDA'!D34 - 1, "")</f>
        <v>0.14999460123178721</v>
      </c>
      <c r="E38" s="46">
        <f>IFERROR('Quarterly Revenue&amp;EBITDA'!E38/'Quarterly Revenue&amp;EBITDA'!E34 - 1, "")</f>
        <v>0.64969539793996045</v>
      </c>
      <c r="F38" s="46" t="str">
        <f>IFERROR('Quarterly Revenue&amp;EBITDA'!F38/'Quarterly Revenue&amp;EBITDA'!F34 - 1, "")</f>
        <v/>
      </c>
      <c r="G38" s="46" t="str">
        <f>IFERROR('Quarterly Revenue&amp;EBITDA'!G38/'Quarterly Revenue&amp;EBITDA'!G34 - 1, "")</f>
        <v/>
      </c>
      <c r="H38" s="46" t="str">
        <f>IFERROR('Quarterly Revenue&amp;EBITDA'!H38/'Quarterly Revenue&amp;EBITDA'!H34 - 1, "")</f>
        <v/>
      </c>
      <c r="I38" s="46" t="str">
        <f>IFERROR('Quarterly Revenue&amp;EBITDA'!I38/'Quarterly Revenue&amp;EBITDA'!I34 - 1, "")</f>
        <v/>
      </c>
      <c r="J38" s="46" t="str">
        <f>IFERROR('Quarterly Revenue&amp;EBITDA'!J38/'Quarterly Revenue&amp;EBITDA'!J34 - 1, "")</f>
        <v/>
      </c>
      <c r="K38" s="46" t="str">
        <f>IFERROR('Quarterly Revenue&amp;EBITDA'!K38/'Quarterly Revenue&amp;EBITDA'!K34 - 1, "")</f>
        <v/>
      </c>
      <c r="L38" s="46" t="str">
        <f>IFERROR('Quarterly Revenue&amp;EBITDA'!L38/'Quarterly Revenue&amp;EBITDA'!L34 - 1, "")</f>
        <v/>
      </c>
      <c r="M38" s="46" t="str">
        <f>IFERROR('Quarterly Revenue&amp;EBITDA'!M38/'Quarterly Revenue&amp;EBITDA'!M34 - 1, "")</f>
        <v/>
      </c>
      <c r="N38" s="46" t="str">
        <f>IFERROR('Quarterly Revenue&amp;EBITDA'!N38/'Quarterly Revenue&amp;EBITDA'!N34 - 1, "")</f>
        <v/>
      </c>
      <c r="O38" s="46">
        <f>IFERROR('Quarterly Revenue&amp;EBITDA'!O38/'Quarterly Revenue&amp;EBITDA'!O34 - 1, "")</f>
        <v>1.1491228070175437</v>
      </c>
      <c r="P38" s="46" t="str">
        <f>IFERROR('Quarterly Revenue&amp;EBITDA'!P38/'Quarterly Revenue&amp;EBITDA'!P34 - 1, "")</f>
        <v/>
      </c>
      <c r="Q38" s="46" t="str">
        <f>IFERROR('Quarterly Revenue&amp;EBITDA'!Q38/'Quarterly Revenue&amp;EBITDA'!Q34 - 1, "")</f>
        <v/>
      </c>
      <c r="R38" s="46" t="str">
        <f>IFERROR('Quarterly Revenue&amp;EBITDA'!R38/'Quarterly Revenue&amp;EBITDA'!R34 - 1, "")</f>
        <v/>
      </c>
      <c r="S38" s="46" t="str">
        <f>IFERROR('Quarterly Revenue&amp;EBITDA'!S38/'Quarterly Revenue&amp;EBITDA'!S34 - 1, "")</f>
        <v/>
      </c>
      <c r="T38" s="46" t="str">
        <f>IFERROR('Quarterly Revenue&amp;EBITDA'!T38/'Quarterly Revenue&amp;EBITDA'!T34 - 1, "")</f>
        <v/>
      </c>
      <c r="U38" s="46" t="str">
        <f>IFERROR('Quarterly Revenue&amp;EBITDA'!U38/'Quarterly Revenue&amp;EBITDA'!U34 - 1, "")</f>
        <v/>
      </c>
      <c r="V38" s="46" t="str">
        <f>IFERROR('Quarterly Revenue&amp;EBITDA'!V38/'Quarterly Revenue&amp;EBITDA'!V34 - 1, "")</f>
        <v/>
      </c>
      <c r="W38" s="46">
        <f>IFERROR('Quarterly Revenue&amp;EBITDA'!W38/'Quarterly Revenue&amp;EBITDA'!W34 - 1, "")</f>
        <v>8.9200141897701313E-2</v>
      </c>
      <c r="X38" s="28"/>
      <c r="Y38" s="28"/>
      <c r="Z38" s="28"/>
      <c r="AA38" s="28"/>
      <c r="AB38" s="28"/>
      <c r="AC38" s="28"/>
    </row>
    <row r="39" spans="1:29" ht="13">
      <c r="A39" s="27" t="s">
        <v>64</v>
      </c>
      <c r="B39" s="45"/>
      <c r="C39" s="46">
        <f>IFERROR('Quarterly Revenue&amp;EBITDA'!C39/'Quarterly Revenue&amp;EBITDA'!C35 - 1, "")</f>
        <v>0.16666632040388096</v>
      </c>
      <c r="D39" s="46">
        <f>IFERROR('Quarterly Revenue&amp;EBITDA'!D39/'Quarterly Revenue&amp;EBITDA'!D35 - 1, "")</f>
        <v>5.5736498297911385E-2</v>
      </c>
      <c r="E39" s="46">
        <f>IFERROR('Quarterly Revenue&amp;EBITDA'!E39/'Quarterly Revenue&amp;EBITDA'!E35 - 1, "")</f>
        <v>0.50256569970931952</v>
      </c>
      <c r="F39" s="46" t="str">
        <f>IFERROR('Quarterly Revenue&amp;EBITDA'!F39/'Quarterly Revenue&amp;EBITDA'!F35 - 1, "")</f>
        <v/>
      </c>
      <c r="G39" s="46" t="str">
        <f>IFERROR('Quarterly Revenue&amp;EBITDA'!G39/'Quarterly Revenue&amp;EBITDA'!G35 - 1, "")</f>
        <v/>
      </c>
      <c r="H39" s="46" t="str">
        <f>IFERROR('Quarterly Revenue&amp;EBITDA'!H39/'Quarterly Revenue&amp;EBITDA'!H35 - 1, "")</f>
        <v/>
      </c>
      <c r="I39" s="46" t="str">
        <f>IFERROR('Quarterly Revenue&amp;EBITDA'!I39/'Quarterly Revenue&amp;EBITDA'!I35 - 1, "")</f>
        <v/>
      </c>
      <c r="J39" s="46" t="str">
        <f>IFERROR('Quarterly Revenue&amp;EBITDA'!J39/'Quarterly Revenue&amp;EBITDA'!J35 - 1, "")</f>
        <v/>
      </c>
      <c r="K39" s="46" t="str">
        <f>IFERROR('Quarterly Revenue&amp;EBITDA'!K39/'Quarterly Revenue&amp;EBITDA'!K35 - 1, "")</f>
        <v/>
      </c>
      <c r="L39" s="46" t="str">
        <f>IFERROR('Quarterly Revenue&amp;EBITDA'!L39/'Quarterly Revenue&amp;EBITDA'!L35 - 1, "")</f>
        <v/>
      </c>
      <c r="M39" s="46" t="str">
        <f>IFERROR('Quarterly Revenue&amp;EBITDA'!M39/'Quarterly Revenue&amp;EBITDA'!M35 - 1, "")</f>
        <v/>
      </c>
      <c r="N39" s="46" t="str">
        <f>IFERROR('Quarterly Revenue&amp;EBITDA'!N39/'Quarterly Revenue&amp;EBITDA'!N35 - 1, "")</f>
        <v/>
      </c>
      <c r="O39" s="46">
        <f>IFERROR('Quarterly Revenue&amp;EBITDA'!O39/'Quarterly Revenue&amp;EBITDA'!O35 - 1, "")</f>
        <v>1.1491228070175437</v>
      </c>
      <c r="P39" s="46" t="str">
        <f>IFERROR('Quarterly Revenue&amp;EBITDA'!P39/'Quarterly Revenue&amp;EBITDA'!P35 - 1, "")</f>
        <v/>
      </c>
      <c r="Q39" s="46" t="str">
        <f>IFERROR('Quarterly Revenue&amp;EBITDA'!Q39/'Quarterly Revenue&amp;EBITDA'!Q35 - 1, "")</f>
        <v/>
      </c>
      <c r="R39" s="46" t="str">
        <f>IFERROR('Quarterly Revenue&amp;EBITDA'!R39/'Quarterly Revenue&amp;EBITDA'!R35 - 1, "")</f>
        <v/>
      </c>
      <c r="S39" s="46" t="str">
        <f>IFERROR('Quarterly Revenue&amp;EBITDA'!S39/'Quarterly Revenue&amp;EBITDA'!S35 - 1, "")</f>
        <v/>
      </c>
      <c r="T39" s="46" t="str">
        <f>IFERROR('Quarterly Revenue&amp;EBITDA'!T39/'Quarterly Revenue&amp;EBITDA'!T35 - 1, "")</f>
        <v/>
      </c>
      <c r="U39" s="46" t="str">
        <f>IFERROR('Quarterly Revenue&amp;EBITDA'!U39/'Quarterly Revenue&amp;EBITDA'!U35 - 1, "")</f>
        <v/>
      </c>
      <c r="V39" s="46" t="str">
        <f>IFERROR('Quarterly Revenue&amp;EBITDA'!V39/'Quarterly Revenue&amp;EBITDA'!V35 - 1, "")</f>
        <v/>
      </c>
      <c r="W39" s="46">
        <f>IFERROR('Quarterly Revenue&amp;EBITDA'!W39/'Quarterly Revenue&amp;EBITDA'!W35 - 1, "")</f>
        <v>8.9200141897701313E-2</v>
      </c>
      <c r="X39" s="28"/>
      <c r="Y39" s="28"/>
      <c r="Z39" s="28"/>
      <c r="AA39" s="28"/>
      <c r="AB39" s="28"/>
      <c r="AC39" s="28"/>
    </row>
    <row r="40" spans="1:29" ht="13">
      <c r="A40" s="27" t="s">
        <v>65</v>
      </c>
      <c r="B40" s="45"/>
      <c r="C40" s="46">
        <f>IFERROR('Quarterly Revenue&amp;EBITDA'!C40/'Quarterly Revenue&amp;EBITDA'!C36 - 1, "")</f>
        <v>0.16666632040388096</v>
      </c>
      <c r="D40" s="46">
        <f>IFERROR('Quarterly Revenue&amp;EBITDA'!D40/'Quarterly Revenue&amp;EBITDA'!D36 - 1, "")</f>
        <v>5.5736498297911385E-2</v>
      </c>
      <c r="E40" s="46">
        <f>IFERROR('Quarterly Revenue&amp;EBITDA'!E40/'Quarterly Revenue&amp;EBITDA'!E36 - 1, "")</f>
        <v>0.50256569970931952</v>
      </c>
      <c r="F40" s="46" t="str">
        <f>IFERROR('Quarterly Revenue&amp;EBITDA'!F40/'Quarterly Revenue&amp;EBITDA'!F36 - 1, "")</f>
        <v/>
      </c>
      <c r="G40" s="46" t="str">
        <f>IFERROR('Quarterly Revenue&amp;EBITDA'!G40/'Quarterly Revenue&amp;EBITDA'!G36 - 1, "")</f>
        <v/>
      </c>
      <c r="H40" s="46" t="str">
        <f>IFERROR('Quarterly Revenue&amp;EBITDA'!H40/'Quarterly Revenue&amp;EBITDA'!H36 - 1, "")</f>
        <v/>
      </c>
      <c r="I40" s="46" t="str">
        <f>IFERROR('Quarterly Revenue&amp;EBITDA'!I40/'Quarterly Revenue&amp;EBITDA'!I36 - 1, "")</f>
        <v/>
      </c>
      <c r="J40" s="46" t="str">
        <f>IFERROR('Quarterly Revenue&amp;EBITDA'!J40/'Quarterly Revenue&amp;EBITDA'!J36 - 1, "")</f>
        <v/>
      </c>
      <c r="K40" s="46" t="str">
        <f>IFERROR('Quarterly Revenue&amp;EBITDA'!K40/'Quarterly Revenue&amp;EBITDA'!K36 - 1, "")</f>
        <v/>
      </c>
      <c r="L40" s="46" t="str">
        <f>IFERROR('Quarterly Revenue&amp;EBITDA'!L40/'Quarterly Revenue&amp;EBITDA'!L36 - 1, "")</f>
        <v/>
      </c>
      <c r="M40" s="46" t="str">
        <f>IFERROR('Quarterly Revenue&amp;EBITDA'!M40/'Quarterly Revenue&amp;EBITDA'!M36 - 1, "")</f>
        <v/>
      </c>
      <c r="N40" s="46" t="str">
        <f>IFERROR('Quarterly Revenue&amp;EBITDA'!N40/'Quarterly Revenue&amp;EBITDA'!N36 - 1, "")</f>
        <v/>
      </c>
      <c r="O40" s="46">
        <f>IFERROR('Quarterly Revenue&amp;EBITDA'!O40/'Quarterly Revenue&amp;EBITDA'!O36 - 1, "")</f>
        <v>1.1491228070175437</v>
      </c>
      <c r="P40" s="46" t="str">
        <f>IFERROR('Quarterly Revenue&amp;EBITDA'!P40/'Quarterly Revenue&amp;EBITDA'!P36 - 1, "")</f>
        <v/>
      </c>
      <c r="Q40" s="46" t="str">
        <f>IFERROR('Quarterly Revenue&amp;EBITDA'!Q40/'Quarterly Revenue&amp;EBITDA'!Q36 - 1, "")</f>
        <v/>
      </c>
      <c r="R40" s="46" t="str">
        <f>IFERROR('Quarterly Revenue&amp;EBITDA'!R40/'Quarterly Revenue&amp;EBITDA'!R36 - 1, "")</f>
        <v/>
      </c>
      <c r="S40" s="46" t="str">
        <f>IFERROR('Quarterly Revenue&amp;EBITDA'!S40/'Quarterly Revenue&amp;EBITDA'!S36 - 1, "")</f>
        <v/>
      </c>
      <c r="T40" s="46" t="str">
        <f>IFERROR('Quarterly Revenue&amp;EBITDA'!T40/'Quarterly Revenue&amp;EBITDA'!T36 - 1, "")</f>
        <v/>
      </c>
      <c r="U40" s="46" t="str">
        <f>IFERROR('Quarterly Revenue&amp;EBITDA'!U40/'Quarterly Revenue&amp;EBITDA'!U36 - 1, "")</f>
        <v/>
      </c>
      <c r="V40" s="46" t="str">
        <f>IFERROR('Quarterly Revenue&amp;EBITDA'!V40/'Quarterly Revenue&amp;EBITDA'!V36 - 1, "")</f>
        <v/>
      </c>
      <c r="W40" s="46">
        <f>IFERROR('Quarterly Revenue&amp;EBITDA'!W40/'Quarterly Revenue&amp;EBITDA'!W36 - 1, "")</f>
        <v>8.9200141897701313E-2</v>
      </c>
      <c r="X40" s="28"/>
      <c r="Y40" s="28"/>
      <c r="Z40" s="28"/>
      <c r="AA40" s="28"/>
      <c r="AB40" s="28"/>
      <c r="AC40" s="28"/>
    </row>
    <row r="41" spans="1:29" ht="13">
      <c r="A41" s="27" t="s">
        <v>66</v>
      </c>
      <c r="B41" s="45"/>
      <c r="C41" s="46">
        <f>IFERROR('Quarterly Revenue&amp;EBITDA'!C41/'Quarterly Revenue&amp;EBITDA'!C37 - 1, "")</f>
        <v>0.16666632040388096</v>
      </c>
      <c r="D41" s="46">
        <f>IFERROR('Quarterly Revenue&amp;EBITDA'!D41/'Quarterly Revenue&amp;EBITDA'!D37 - 1, "")</f>
        <v>5.5736498297911385E-2</v>
      </c>
      <c r="E41" s="46">
        <f>IFERROR('Quarterly Revenue&amp;EBITDA'!E41/'Quarterly Revenue&amp;EBITDA'!E37 - 1, "")</f>
        <v>0.50256569970931952</v>
      </c>
      <c r="F41" s="46" t="str">
        <f>IFERROR('Quarterly Revenue&amp;EBITDA'!F41/'Quarterly Revenue&amp;EBITDA'!F37 - 1, "")</f>
        <v/>
      </c>
      <c r="G41" s="46" t="str">
        <f>IFERROR('Quarterly Revenue&amp;EBITDA'!G41/'Quarterly Revenue&amp;EBITDA'!G37 - 1, "")</f>
        <v/>
      </c>
      <c r="H41" s="46" t="str">
        <f>IFERROR('Quarterly Revenue&amp;EBITDA'!H41/'Quarterly Revenue&amp;EBITDA'!H37 - 1, "")</f>
        <v/>
      </c>
      <c r="I41" s="46" t="str">
        <f>IFERROR('Quarterly Revenue&amp;EBITDA'!I41/'Quarterly Revenue&amp;EBITDA'!I37 - 1, "")</f>
        <v/>
      </c>
      <c r="J41" s="46" t="str">
        <f>IFERROR('Quarterly Revenue&amp;EBITDA'!J41/'Quarterly Revenue&amp;EBITDA'!J37 - 1, "")</f>
        <v/>
      </c>
      <c r="K41" s="46" t="str">
        <f>IFERROR('Quarterly Revenue&amp;EBITDA'!K41/'Quarterly Revenue&amp;EBITDA'!K37 - 1, "")</f>
        <v/>
      </c>
      <c r="L41" s="46" t="str">
        <f>IFERROR('Quarterly Revenue&amp;EBITDA'!L41/'Quarterly Revenue&amp;EBITDA'!L37 - 1, "")</f>
        <v/>
      </c>
      <c r="M41" s="46" t="str">
        <f>IFERROR('Quarterly Revenue&amp;EBITDA'!M41/'Quarterly Revenue&amp;EBITDA'!M37 - 1, "")</f>
        <v/>
      </c>
      <c r="N41" s="46" t="str">
        <f>IFERROR('Quarterly Revenue&amp;EBITDA'!N41/'Quarterly Revenue&amp;EBITDA'!N37 - 1, "")</f>
        <v/>
      </c>
      <c r="O41" s="46">
        <f>IFERROR('Quarterly Revenue&amp;EBITDA'!O41/'Quarterly Revenue&amp;EBITDA'!O37 - 1, "")</f>
        <v>0.56058309037900877</v>
      </c>
      <c r="P41" s="46" t="str">
        <f>IFERROR('Quarterly Revenue&amp;EBITDA'!P41/'Quarterly Revenue&amp;EBITDA'!P37 - 1, "")</f>
        <v/>
      </c>
      <c r="Q41" s="46" t="str">
        <f>IFERROR('Quarterly Revenue&amp;EBITDA'!Q41/'Quarterly Revenue&amp;EBITDA'!Q37 - 1, "")</f>
        <v/>
      </c>
      <c r="R41" s="46" t="str">
        <f>IFERROR('Quarterly Revenue&amp;EBITDA'!R41/'Quarterly Revenue&amp;EBITDA'!R37 - 1, "")</f>
        <v/>
      </c>
      <c r="S41" s="46" t="str">
        <f>IFERROR('Quarterly Revenue&amp;EBITDA'!S41/'Quarterly Revenue&amp;EBITDA'!S37 - 1, "")</f>
        <v/>
      </c>
      <c r="T41" s="46" t="str">
        <f>IFERROR('Quarterly Revenue&amp;EBITDA'!T41/'Quarterly Revenue&amp;EBITDA'!T37 - 1, "")</f>
        <v/>
      </c>
      <c r="U41" s="46" t="str">
        <f>IFERROR('Quarterly Revenue&amp;EBITDA'!U41/'Quarterly Revenue&amp;EBITDA'!U37 - 1, "")</f>
        <v/>
      </c>
      <c r="V41" s="46" t="str">
        <f>IFERROR('Quarterly Revenue&amp;EBITDA'!V41/'Quarterly Revenue&amp;EBITDA'!V37 - 1, "")</f>
        <v/>
      </c>
      <c r="W41" s="46">
        <f>IFERROR('Quarterly Revenue&amp;EBITDA'!W41/'Quarterly Revenue&amp;EBITDA'!W37 - 1, "")</f>
        <v>0.30216530271456365</v>
      </c>
      <c r="X41" s="28"/>
      <c r="Y41" s="28"/>
      <c r="Z41" s="28"/>
      <c r="AA41" s="28"/>
      <c r="AB41" s="28"/>
      <c r="AC41" s="28"/>
    </row>
    <row r="42" spans="1:29" ht="13">
      <c r="A42" s="27" t="s">
        <v>67</v>
      </c>
      <c r="B42" s="45"/>
      <c r="C42" s="46">
        <f>IFERROR('Quarterly Revenue&amp;EBITDA'!C42/'Quarterly Revenue&amp;EBITDA'!C38 - 1, "")</f>
        <v>0.16666632040388096</v>
      </c>
      <c r="D42" s="46">
        <f>IFERROR('Quarterly Revenue&amp;EBITDA'!D42/'Quarterly Revenue&amp;EBITDA'!D38 - 1, "")</f>
        <v>5.5736498297911385E-2</v>
      </c>
      <c r="E42" s="46">
        <f>IFERROR('Quarterly Revenue&amp;EBITDA'!E42/'Quarterly Revenue&amp;EBITDA'!E38 - 1, "")</f>
        <v>0.50256569970931952</v>
      </c>
      <c r="F42" s="46" t="str">
        <f>IFERROR('Quarterly Revenue&amp;EBITDA'!F42/'Quarterly Revenue&amp;EBITDA'!F38 - 1, "")</f>
        <v/>
      </c>
      <c r="G42" s="46" t="str">
        <f>IFERROR('Quarterly Revenue&amp;EBITDA'!G42/'Quarterly Revenue&amp;EBITDA'!G38 - 1, "")</f>
        <v/>
      </c>
      <c r="H42" s="46" t="str">
        <f>IFERROR('Quarterly Revenue&amp;EBITDA'!H42/'Quarterly Revenue&amp;EBITDA'!H38 - 1, "")</f>
        <v/>
      </c>
      <c r="I42" s="46" t="str">
        <f>IFERROR('Quarterly Revenue&amp;EBITDA'!I42/'Quarterly Revenue&amp;EBITDA'!I38 - 1, "")</f>
        <v/>
      </c>
      <c r="J42" s="46" t="str">
        <f>IFERROR('Quarterly Revenue&amp;EBITDA'!J42/'Quarterly Revenue&amp;EBITDA'!J38 - 1, "")</f>
        <v/>
      </c>
      <c r="K42" s="46" t="str">
        <f>IFERROR('Quarterly Revenue&amp;EBITDA'!K42/'Quarterly Revenue&amp;EBITDA'!K38 - 1, "")</f>
        <v/>
      </c>
      <c r="L42" s="46" t="str">
        <f>IFERROR('Quarterly Revenue&amp;EBITDA'!L42/'Quarterly Revenue&amp;EBITDA'!L38 - 1, "")</f>
        <v/>
      </c>
      <c r="M42" s="46" t="str">
        <f>IFERROR('Quarterly Revenue&amp;EBITDA'!M42/'Quarterly Revenue&amp;EBITDA'!M38 - 1, "")</f>
        <v/>
      </c>
      <c r="N42" s="46" t="str">
        <f>IFERROR('Quarterly Revenue&amp;EBITDA'!N42/'Quarterly Revenue&amp;EBITDA'!N38 - 1, "")</f>
        <v/>
      </c>
      <c r="O42" s="46">
        <f>IFERROR('Quarterly Revenue&amp;EBITDA'!O42/'Quarterly Revenue&amp;EBITDA'!O38 - 1, "")</f>
        <v>0.56058309037900877</v>
      </c>
      <c r="P42" s="46" t="str">
        <f>IFERROR('Quarterly Revenue&amp;EBITDA'!P42/'Quarterly Revenue&amp;EBITDA'!P38 - 1, "")</f>
        <v/>
      </c>
      <c r="Q42" s="46" t="str">
        <f>IFERROR('Quarterly Revenue&amp;EBITDA'!Q42/'Quarterly Revenue&amp;EBITDA'!Q38 - 1, "")</f>
        <v/>
      </c>
      <c r="R42" s="46" t="str">
        <f>IFERROR('Quarterly Revenue&amp;EBITDA'!R42/'Quarterly Revenue&amp;EBITDA'!R38 - 1, "")</f>
        <v/>
      </c>
      <c r="S42" s="46" t="str">
        <f>IFERROR('Quarterly Revenue&amp;EBITDA'!S42/'Quarterly Revenue&amp;EBITDA'!S38 - 1, "")</f>
        <v/>
      </c>
      <c r="T42" s="46" t="str">
        <f>IFERROR('Quarterly Revenue&amp;EBITDA'!T42/'Quarterly Revenue&amp;EBITDA'!T38 - 1, "")</f>
        <v/>
      </c>
      <c r="U42" s="46" t="str">
        <f>IFERROR('Quarterly Revenue&amp;EBITDA'!U42/'Quarterly Revenue&amp;EBITDA'!U38 - 1, "")</f>
        <v/>
      </c>
      <c r="V42" s="45"/>
      <c r="W42" s="46">
        <f>IFERROR('Quarterly Revenue&amp;EBITDA'!W42/'Quarterly Revenue&amp;EBITDA'!W38 - 1, "")</f>
        <v>0.30216530271456365</v>
      </c>
      <c r="X42" s="28"/>
      <c r="Y42" s="28"/>
      <c r="Z42" s="28"/>
      <c r="AA42" s="28"/>
      <c r="AB42" s="28"/>
      <c r="AC42" s="28"/>
    </row>
    <row r="43" spans="1:29" ht="13">
      <c r="A43" s="27" t="s">
        <v>68</v>
      </c>
      <c r="B43" s="45"/>
      <c r="C43" s="46">
        <f>IFERROR('Quarterly Revenue&amp;EBITDA'!C43/'Quarterly Revenue&amp;EBITDA'!C39 - 1, "")</f>
        <v>0.25492408087236873</v>
      </c>
      <c r="D43" s="46">
        <f>IFERROR('Quarterly Revenue&amp;EBITDA'!D43/'Quarterly Revenue&amp;EBITDA'!D39 - 1, "")</f>
        <v>0.19116404911364304</v>
      </c>
      <c r="E43" s="46">
        <f>IFERROR('Quarterly Revenue&amp;EBITDA'!E43/'Quarterly Revenue&amp;EBITDA'!E39 - 1, "")</f>
        <v>0.66797611409959035</v>
      </c>
      <c r="F43" s="46" t="str">
        <f>IFERROR('Quarterly Revenue&amp;EBITDA'!F43/'Quarterly Revenue&amp;EBITDA'!F39 - 1, "")</f>
        <v/>
      </c>
      <c r="G43" s="46" t="str">
        <f>IFERROR('Quarterly Revenue&amp;EBITDA'!G43/'Quarterly Revenue&amp;EBITDA'!G39 - 1, "")</f>
        <v/>
      </c>
      <c r="H43" s="46" t="str">
        <f>IFERROR('Quarterly Revenue&amp;EBITDA'!H43/'Quarterly Revenue&amp;EBITDA'!H39 - 1, "")</f>
        <v/>
      </c>
      <c r="I43" s="46" t="str">
        <f>IFERROR('Quarterly Revenue&amp;EBITDA'!I43/'Quarterly Revenue&amp;EBITDA'!I39 - 1, "")</f>
        <v/>
      </c>
      <c r="J43" s="46" t="str">
        <f>IFERROR('Quarterly Revenue&amp;EBITDA'!J43/'Quarterly Revenue&amp;EBITDA'!J39 - 1, "")</f>
        <v/>
      </c>
      <c r="K43" s="46" t="str">
        <f>IFERROR('Quarterly Revenue&amp;EBITDA'!K43/'Quarterly Revenue&amp;EBITDA'!K39 - 1, "")</f>
        <v/>
      </c>
      <c r="L43" s="46" t="str">
        <f>IFERROR('Quarterly Revenue&amp;EBITDA'!L43/'Quarterly Revenue&amp;EBITDA'!L39 - 1, "")</f>
        <v/>
      </c>
      <c r="M43" s="46" t="str">
        <f>IFERROR('Quarterly Revenue&amp;EBITDA'!M43/'Quarterly Revenue&amp;EBITDA'!M39 - 1, "")</f>
        <v/>
      </c>
      <c r="N43" s="46" t="str">
        <f>IFERROR('Quarterly Revenue&amp;EBITDA'!N43/'Quarterly Revenue&amp;EBITDA'!N39 - 1, "")</f>
        <v/>
      </c>
      <c r="O43" s="46">
        <f>IFERROR('Quarterly Revenue&amp;EBITDA'!O43/'Quarterly Revenue&amp;EBITDA'!O39 - 1, "")</f>
        <v>0.56058309037900877</v>
      </c>
      <c r="P43" s="46" t="str">
        <f>IFERROR('Quarterly Revenue&amp;EBITDA'!P43/'Quarterly Revenue&amp;EBITDA'!P39 - 1, "")</f>
        <v/>
      </c>
      <c r="Q43" s="46" t="str">
        <f>IFERROR('Quarterly Revenue&amp;EBITDA'!Q43/'Quarterly Revenue&amp;EBITDA'!Q39 - 1, "")</f>
        <v/>
      </c>
      <c r="R43" s="46" t="str">
        <f>IFERROR('Quarterly Revenue&amp;EBITDA'!R43/'Quarterly Revenue&amp;EBITDA'!R39 - 1, "")</f>
        <v/>
      </c>
      <c r="S43" s="46" t="str">
        <f>IFERROR('Quarterly Revenue&amp;EBITDA'!S43/'Quarterly Revenue&amp;EBITDA'!S39 - 1, "")</f>
        <v/>
      </c>
      <c r="T43" s="46" t="str">
        <f>IFERROR('Quarterly Revenue&amp;EBITDA'!T43/'Quarterly Revenue&amp;EBITDA'!T39 - 1, "")</f>
        <v/>
      </c>
      <c r="U43" s="46" t="str">
        <f>IFERROR('Quarterly Revenue&amp;EBITDA'!U43/'Quarterly Revenue&amp;EBITDA'!U39 - 1, "")</f>
        <v/>
      </c>
      <c r="V43" s="45"/>
      <c r="W43" s="46">
        <f>IFERROR('Quarterly Revenue&amp;EBITDA'!W43/'Quarterly Revenue&amp;EBITDA'!W39 - 1, "")</f>
        <v>0.30216530271456365</v>
      </c>
      <c r="X43" s="28"/>
      <c r="Y43" s="28"/>
      <c r="Z43" s="28"/>
      <c r="AA43" s="28"/>
      <c r="AB43" s="28"/>
      <c r="AC43" s="28"/>
    </row>
    <row r="44" spans="1:29" ht="13">
      <c r="A44" s="27" t="s">
        <v>69</v>
      </c>
      <c r="B44" s="45"/>
      <c r="C44" s="46">
        <f>IFERROR('Quarterly Revenue&amp;EBITDA'!C44/'Quarterly Revenue&amp;EBITDA'!C40 - 1, "")</f>
        <v>0.25492408087236873</v>
      </c>
      <c r="D44" s="46">
        <f>IFERROR('Quarterly Revenue&amp;EBITDA'!D44/'Quarterly Revenue&amp;EBITDA'!D40 - 1, "")</f>
        <v>0.19116404911364304</v>
      </c>
      <c r="E44" s="46">
        <f>IFERROR('Quarterly Revenue&amp;EBITDA'!E44/'Quarterly Revenue&amp;EBITDA'!E40 - 1, "")</f>
        <v>0.66797611409959035</v>
      </c>
      <c r="F44" s="46" t="str">
        <f>IFERROR('Quarterly Revenue&amp;EBITDA'!F44/'Quarterly Revenue&amp;EBITDA'!F40 - 1, "")</f>
        <v/>
      </c>
      <c r="G44" s="46" t="str">
        <f>IFERROR('Quarterly Revenue&amp;EBITDA'!G44/'Quarterly Revenue&amp;EBITDA'!G40 - 1, "")</f>
        <v/>
      </c>
      <c r="H44" s="46" t="str">
        <f>IFERROR('Quarterly Revenue&amp;EBITDA'!H44/'Quarterly Revenue&amp;EBITDA'!H40 - 1, "")</f>
        <v/>
      </c>
      <c r="I44" s="46" t="str">
        <f>IFERROR('Quarterly Revenue&amp;EBITDA'!I44/'Quarterly Revenue&amp;EBITDA'!I40 - 1, "")</f>
        <v/>
      </c>
      <c r="J44" s="46" t="str">
        <f>IFERROR('Quarterly Revenue&amp;EBITDA'!J44/'Quarterly Revenue&amp;EBITDA'!J40 - 1, "")</f>
        <v/>
      </c>
      <c r="K44" s="46" t="str">
        <f>IFERROR('Quarterly Revenue&amp;EBITDA'!K44/'Quarterly Revenue&amp;EBITDA'!K40 - 1, "")</f>
        <v/>
      </c>
      <c r="L44" s="46" t="str">
        <f>IFERROR('Quarterly Revenue&amp;EBITDA'!L44/'Quarterly Revenue&amp;EBITDA'!L40 - 1, "")</f>
        <v/>
      </c>
      <c r="M44" s="46" t="str">
        <f>IFERROR('Quarterly Revenue&amp;EBITDA'!M44/'Quarterly Revenue&amp;EBITDA'!M40 - 1, "")</f>
        <v/>
      </c>
      <c r="N44" s="46" t="str">
        <f>IFERROR('Quarterly Revenue&amp;EBITDA'!N44/'Quarterly Revenue&amp;EBITDA'!N40 - 1, "")</f>
        <v/>
      </c>
      <c r="O44" s="46">
        <f>IFERROR('Quarterly Revenue&amp;EBITDA'!O44/'Quarterly Revenue&amp;EBITDA'!O40 - 1, "")</f>
        <v>0.56058309037900877</v>
      </c>
      <c r="P44" s="46" t="str">
        <f>IFERROR('Quarterly Revenue&amp;EBITDA'!P44/'Quarterly Revenue&amp;EBITDA'!P40 - 1, "")</f>
        <v/>
      </c>
      <c r="Q44" s="46" t="str">
        <f>IFERROR('Quarterly Revenue&amp;EBITDA'!Q44/'Quarterly Revenue&amp;EBITDA'!Q40 - 1, "")</f>
        <v/>
      </c>
      <c r="R44" s="46" t="str">
        <f>IFERROR('Quarterly Revenue&amp;EBITDA'!R44/'Quarterly Revenue&amp;EBITDA'!R40 - 1, "")</f>
        <v/>
      </c>
      <c r="S44" s="46" t="str">
        <f>IFERROR('Quarterly Revenue&amp;EBITDA'!S44/'Quarterly Revenue&amp;EBITDA'!S40 - 1, "")</f>
        <v/>
      </c>
      <c r="T44" s="46" t="str">
        <f>IFERROR('Quarterly Revenue&amp;EBITDA'!T44/'Quarterly Revenue&amp;EBITDA'!T40 - 1, "")</f>
        <v/>
      </c>
      <c r="U44" s="46" t="str">
        <f>IFERROR('Quarterly Revenue&amp;EBITDA'!U44/'Quarterly Revenue&amp;EBITDA'!U40 - 1, "")</f>
        <v/>
      </c>
      <c r="V44" s="45"/>
      <c r="W44" s="46">
        <f>IFERROR('Quarterly Revenue&amp;EBITDA'!W44/'Quarterly Revenue&amp;EBITDA'!W40 - 1, "")</f>
        <v>0.30216530271456365</v>
      </c>
      <c r="X44" s="28"/>
      <c r="Y44" s="28"/>
      <c r="Z44" s="28"/>
      <c r="AA44" s="28"/>
      <c r="AB44" s="28"/>
      <c r="AC44" s="28"/>
    </row>
    <row r="45" spans="1:29" ht="13">
      <c r="A45" s="27" t="s">
        <v>70</v>
      </c>
      <c r="B45" s="45"/>
      <c r="C45" s="46">
        <f>IFERROR('Quarterly Revenue&amp;EBITDA'!C45/'Quarterly Revenue&amp;EBITDA'!C41 - 1, "")</f>
        <v>0.25492408087236873</v>
      </c>
      <c r="D45" s="46">
        <f>IFERROR('Quarterly Revenue&amp;EBITDA'!D45/'Quarterly Revenue&amp;EBITDA'!D41 - 1, "")</f>
        <v>0.19116404911364304</v>
      </c>
      <c r="E45" s="46">
        <f>IFERROR('Quarterly Revenue&amp;EBITDA'!E45/'Quarterly Revenue&amp;EBITDA'!E41 - 1, "")</f>
        <v>0.66797611409959035</v>
      </c>
      <c r="F45" s="46" t="str">
        <f>IFERROR('Quarterly Revenue&amp;EBITDA'!F45/'Quarterly Revenue&amp;EBITDA'!F41 - 1, "")</f>
        <v/>
      </c>
      <c r="G45" s="46" t="str">
        <f>IFERROR('Quarterly Revenue&amp;EBITDA'!G45/'Quarterly Revenue&amp;EBITDA'!G41 - 1, "")</f>
        <v/>
      </c>
      <c r="H45" s="46" t="str">
        <f>IFERROR('Quarterly Revenue&amp;EBITDA'!H45/'Quarterly Revenue&amp;EBITDA'!H41 - 1, "")</f>
        <v/>
      </c>
      <c r="I45" s="46" t="str">
        <f>IFERROR('Quarterly Revenue&amp;EBITDA'!I45/'Quarterly Revenue&amp;EBITDA'!I41 - 1, "")</f>
        <v/>
      </c>
      <c r="J45" s="46" t="str">
        <f>IFERROR('Quarterly Revenue&amp;EBITDA'!J45/'Quarterly Revenue&amp;EBITDA'!J41 - 1, "")</f>
        <v/>
      </c>
      <c r="K45" s="46" t="str">
        <f>IFERROR('Quarterly Revenue&amp;EBITDA'!K45/'Quarterly Revenue&amp;EBITDA'!K41 - 1, "")</f>
        <v/>
      </c>
      <c r="L45" s="46" t="str">
        <f>IFERROR('Quarterly Revenue&amp;EBITDA'!L45/'Quarterly Revenue&amp;EBITDA'!L41 - 1, "")</f>
        <v/>
      </c>
      <c r="M45" s="46" t="str">
        <f>IFERROR('Quarterly Revenue&amp;EBITDA'!M45/'Quarterly Revenue&amp;EBITDA'!M41 - 1, "")</f>
        <v/>
      </c>
      <c r="N45" s="46" t="str">
        <f>IFERROR('Quarterly Revenue&amp;EBITDA'!N45/'Quarterly Revenue&amp;EBITDA'!N41 - 1, "")</f>
        <v/>
      </c>
      <c r="O45" s="46">
        <f>IFERROR('Quarterly Revenue&amp;EBITDA'!O45/'Quarterly Revenue&amp;EBITDA'!O41 - 1, "")</f>
        <v>0.69212374831863688</v>
      </c>
      <c r="P45" s="46" t="str">
        <f>IFERROR('Quarterly Revenue&amp;EBITDA'!P45/'Quarterly Revenue&amp;EBITDA'!P41 - 1, "")</f>
        <v/>
      </c>
      <c r="Q45" s="46" t="str">
        <f>IFERROR('Quarterly Revenue&amp;EBITDA'!Q45/'Quarterly Revenue&amp;EBITDA'!Q41 - 1, "")</f>
        <v/>
      </c>
      <c r="R45" s="46" t="str">
        <f>IFERROR('Quarterly Revenue&amp;EBITDA'!R45/'Quarterly Revenue&amp;EBITDA'!R41 - 1, "")</f>
        <v/>
      </c>
      <c r="S45" s="46" t="str">
        <f>IFERROR('Quarterly Revenue&amp;EBITDA'!S45/'Quarterly Revenue&amp;EBITDA'!S41 - 1, "")</f>
        <v/>
      </c>
      <c r="T45" s="46" t="str">
        <f>IFERROR('Quarterly Revenue&amp;EBITDA'!T45/'Quarterly Revenue&amp;EBITDA'!T41 - 1, "")</f>
        <v/>
      </c>
      <c r="U45" s="46" t="str">
        <f>IFERROR('Quarterly Revenue&amp;EBITDA'!U45/'Quarterly Revenue&amp;EBITDA'!U41 - 1, "")</f>
        <v/>
      </c>
      <c r="V45" s="45"/>
      <c r="W45" s="46">
        <f>IFERROR('Quarterly Revenue&amp;EBITDA'!W45/'Quarterly Revenue&amp;EBITDA'!W41 - 1, "")</f>
        <v>0.47019379754589519</v>
      </c>
      <c r="X45" s="28"/>
      <c r="Y45" s="28"/>
      <c r="Z45" s="28"/>
      <c r="AA45" s="28"/>
      <c r="AB45" s="28"/>
      <c r="AC45" s="28"/>
    </row>
    <row r="46" spans="1:29" ht="13">
      <c r="A46" s="27" t="s">
        <v>71</v>
      </c>
      <c r="B46" s="45"/>
      <c r="C46" s="46">
        <f>IFERROR('Quarterly Revenue&amp;EBITDA'!C46/'Quarterly Revenue&amp;EBITDA'!C42 - 1, "")</f>
        <v>0.25492408087236873</v>
      </c>
      <c r="D46" s="46">
        <f>IFERROR('Quarterly Revenue&amp;EBITDA'!D46/'Quarterly Revenue&amp;EBITDA'!D42 - 1, "")</f>
        <v>0.19116404911364304</v>
      </c>
      <c r="E46" s="46">
        <f>IFERROR('Quarterly Revenue&amp;EBITDA'!E46/'Quarterly Revenue&amp;EBITDA'!E42 - 1, "")</f>
        <v>0.66797611409959035</v>
      </c>
      <c r="F46" s="46" t="str">
        <f>IFERROR('Quarterly Revenue&amp;EBITDA'!F46/'Quarterly Revenue&amp;EBITDA'!F42 - 1, "")</f>
        <v/>
      </c>
      <c r="G46" s="46" t="str">
        <f>IFERROR('Quarterly Revenue&amp;EBITDA'!G46/'Quarterly Revenue&amp;EBITDA'!G42 - 1, "")</f>
        <v/>
      </c>
      <c r="H46" s="46" t="str">
        <f>IFERROR('Quarterly Revenue&amp;EBITDA'!H46/'Quarterly Revenue&amp;EBITDA'!H42 - 1, "")</f>
        <v/>
      </c>
      <c r="I46" s="46" t="str">
        <f>IFERROR('Quarterly Revenue&amp;EBITDA'!I46/'Quarterly Revenue&amp;EBITDA'!I42 - 1, "")</f>
        <v/>
      </c>
      <c r="J46" s="46" t="str">
        <f>IFERROR('Quarterly Revenue&amp;EBITDA'!J46/'Quarterly Revenue&amp;EBITDA'!J42 - 1, "")</f>
        <v/>
      </c>
      <c r="K46" s="46" t="str">
        <f>IFERROR('Quarterly Revenue&amp;EBITDA'!K46/'Quarterly Revenue&amp;EBITDA'!K42 - 1, "")</f>
        <v/>
      </c>
      <c r="L46" s="46" t="str">
        <f>IFERROR('Quarterly Revenue&amp;EBITDA'!L46/'Quarterly Revenue&amp;EBITDA'!L42 - 1, "")</f>
        <v/>
      </c>
      <c r="M46" s="46" t="str">
        <f>IFERROR('Quarterly Revenue&amp;EBITDA'!M46/'Quarterly Revenue&amp;EBITDA'!M42 - 1, "")</f>
        <v/>
      </c>
      <c r="N46" s="46" t="str">
        <f>IFERROR('Quarterly Revenue&amp;EBITDA'!N46/'Quarterly Revenue&amp;EBITDA'!N42 - 1, "")</f>
        <v/>
      </c>
      <c r="O46" s="46">
        <f>IFERROR('Quarterly Revenue&amp;EBITDA'!O46/'Quarterly Revenue&amp;EBITDA'!O42 - 1, "")</f>
        <v>0.69212374831863688</v>
      </c>
      <c r="P46" s="46" t="str">
        <f>IFERROR('Quarterly Revenue&amp;EBITDA'!P46/'Quarterly Revenue&amp;EBITDA'!P42 - 1, "")</f>
        <v/>
      </c>
      <c r="Q46" s="46" t="str">
        <f>IFERROR('Quarterly Revenue&amp;EBITDA'!Q46/'Quarterly Revenue&amp;EBITDA'!Q42 - 1, "")</f>
        <v/>
      </c>
      <c r="R46" s="46" t="str">
        <f>IFERROR('Quarterly Revenue&amp;EBITDA'!R46/'Quarterly Revenue&amp;EBITDA'!R42 - 1, "")</f>
        <v/>
      </c>
      <c r="S46" s="46" t="str">
        <f>IFERROR('Quarterly Revenue&amp;EBITDA'!S46/'Quarterly Revenue&amp;EBITDA'!S42 - 1, "")</f>
        <v/>
      </c>
      <c r="T46" s="46" t="str">
        <f>IFERROR('Quarterly Revenue&amp;EBITDA'!T46/'Quarterly Revenue&amp;EBITDA'!T42 - 1, "")</f>
        <v/>
      </c>
      <c r="U46" s="46" t="str">
        <f>IFERROR('Quarterly Revenue&amp;EBITDA'!U46/'Quarterly Revenue&amp;EBITDA'!U42 - 1, "")</f>
        <v/>
      </c>
      <c r="V46" s="45"/>
      <c r="W46" s="46">
        <f>IFERROR('Quarterly Revenue&amp;EBITDA'!W46/'Quarterly Revenue&amp;EBITDA'!W42 - 1, "")</f>
        <v>0.47019379754589519</v>
      </c>
      <c r="X46" s="28"/>
      <c r="Y46" s="28"/>
      <c r="Z46" s="28"/>
      <c r="AA46" s="28"/>
      <c r="AB46" s="28"/>
      <c r="AC46" s="28"/>
    </row>
    <row r="47" spans="1:29" ht="13">
      <c r="A47" s="27" t="s">
        <v>72</v>
      </c>
      <c r="B47" s="45"/>
      <c r="C47" s="46">
        <f>IFERROR('Quarterly Revenue&amp;EBITDA'!C47/'Quarterly Revenue&amp;EBITDA'!C43 - 1, "")</f>
        <v>0.33730237283854447</v>
      </c>
      <c r="D47" s="46">
        <f>IFERROR('Quarterly Revenue&amp;EBITDA'!D47/'Quarterly Revenue&amp;EBITDA'!D43 - 1, "")</f>
        <v>0.10193139166152654</v>
      </c>
      <c r="E47" s="46">
        <f>IFERROR('Quarterly Revenue&amp;EBITDA'!E47/'Quarterly Revenue&amp;EBITDA'!E43 - 1, "")</f>
        <v>0.33070991946316664</v>
      </c>
      <c r="F47" s="46" t="str">
        <f>IFERROR('Quarterly Revenue&amp;EBITDA'!F47/'Quarterly Revenue&amp;EBITDA'!F43 - 1, "")</f>
        <v/>
      </c>
      <c r="G47" s="46" t="str">
        <f>IFERROR('Quarterly Revenue&amp;EBITDA'!G47/'Quarterly Revenue&amp;EBITDA'!G43 - 1, "")</f>
        <v/>
      </c>
      <c r="H47" s="46" t="str">
        <f>IFERROR('Quarterly Revenue&amp;EBITDA'!H47/'Quarterly Revenue&amp;EBITDA'!H43 - 1, "")</f>
        <v/>
      </c>
      <c r="I47" s="46" t="str">
        <f>IFERROR('Quarterly Revenue&amp;EBITDA'!I47/'Quarterly Revenue&amp;EBITDA'!I43 - 1, "")</f>
        <v/>
      </c>
      <c r="J47" s="46" t="str">
        <f>IFERROR('Quarterly Revenue&amp;EBITDA'!J47/'Quarterly Revenue&amp;EBITDA'!J43 - 1, "")</f>
        <v/>
      </c>
      <c r="K47" s="46" t="str">
        <f>IFERROR('Quarterly Revenue&amp;EBITDA'!K47/'Quarterly Revenue&amp;EBITDA'!K43 - 1, "")</f>
        <v/>
      </c>
      <c r="L47" s="46" t="str">
        <f>IFERROR('Quarterly Revenue&amp;EBITDA'!L47/'Quarterly Revenue&amp;EBITDA'!L43 - 1, "")</f>
        <v/>
      </c>
      <c r="M47" s="46" t="str">
        <f>IFERROR('Quarterly Revenue&amp;EBITDA'!M47/'Quarterly Revenue&amp;EBITDA'!M43 - 1, "")</f>
        <v/>
      </c>
      <c r="N47" s="46" t="str">
        <f>IFERROR('Quarterly Revenue&amp;EBITDA'!N47/'Quarterly Revenue&amp;EBITDA'!N43 - 1, "")</f>
        <v/>
      </c>
      <c r="O47" s="46">
        <f>IFERROR('Quarterly Revenue&amp;EBITDA'!O47/'Quarterly Revenue&amp;EBITDA'!O43 - 1, "")</f>
        <v>0.69212374831863688</v>
      </c>
      <c r="P47" s="46" t="str">
        <f>IFERROR('Quarterly Revenue&amp;EBITDA'!P47/'Quarterly Revenue&amp;EBITDA'!P43 - 1, "")</f>
        <v/>
      </c>
      <c r="Q47" s="46" t="str">
        <f>IFERROR('Quarterly Revenue&amp;EBITDA'!Q47/'Quarterly Revenue&amp;EBITDA'!Q43 - 1, "")</f>
        <v/>
      </c>
      <c r="R47" s="46" t="str">
        <f>IFERROR('Quarterly Revenue&amp;EBITDA'!R47/'Quarterly Revenue&amp;EBITDA'!R43 - 1, "")</f>
        <v/>
      </c>
      <c r="S47" s="46" t="str">
        <f>IFERROR('Quarterly Revenue&amp;EBITDA'!S47/'Quarterly Revenue&amp;EBITDA'!S43 - 1, "")</f>
        <v/>
      </c>
      <c r="T47" s="46" t="str">
        <f>IFERROR('Quarterly Revenue&amp;EBITDA'!T47/'Quarterly Revenue&amp;EBITDA'!T43 - 1, "")</f>
        <v/>
      </c>
      <c r="U47" s="46" t="str">
        <f>IFERROR('Quarterly Revenue&amp;EBITDA'!U47/'Quarterly Revenue&amp;EBITDA'!U43 - 1, "")</f>
        <v/>
      </c>
      <c r="V47" s="45"/>
      <c r="W47" s="46">
        <f>IFERROR('Quarterly Revenue&amp;EBITDA'!W47/'Quarterly Revenue&amp;EBITDA'!W43 - 1, "")</f>
        <v>0.47019379754589519</v>
      </c>
      <c r="X47" s="28"/>
      <c r="Y47" s="28"/>
      <c r="Z47" s="28"/>
      <c r="AA47" s="28"/>
      <c r="AB47" s="28"/>
      <c r="AC47" s="28"/>
    </row>
    <row r="48" spans="1:29" ht="13">
      <c r="A48" s="27" t="s">
        <v>73</v>
      </c>
      <c r="B48" s="45"/>
      <c r="C48" s="46">
        <f>IFERROR('Quarterly Revenue&amp;EBITDA'!C48/'Quarterly Revenue&amp;EBITDA'!C44 - 1, "")</f>
        <v>0.33730237283854447</v>
      </c>
      <c r="D48" s="46">
        <f>IFERROR('Quarterly Revenue&amp;EBITDA'!D48/'Quarterly Revenue&amp;EBITDA'!D44 - 1, "")</f>
        <v>0.10193139166152654</v>
      </c>
      <c r="E48" s="46">
        <f>IFERROR('Quarterly Revenue&amp;EBITDA'!E48/'Quarterly Revenue&amp;EBITDA'!E44 - 1, "")</f>
        <v>0.33070991946316664</v>
      </c>
      <c r="F48" s="46" t="str">
        <f>IFERROR('Quarterly Revenue&amp;EBITDA'!F48/'Quarterly Revenue&amp;EBITDA'!F44 - 1, "")</f>
        <v/>
      </c>
      <c r="G48" s="46" t="str">
        <f>IFERROR('Quarterly Revenue&amp;EBITDA'!G48/'Quarterly Revenue&amp;EBITDA'!G44 - 1, "")</f>
        <v/>
      </c>
      <c r="H48" s="46" t="str">
        <f>IFERROR('Quarterly Revenue&amp;EBITDA'!H48/'Quarterly Revenue&amp;EBITDA'!H44 - 1, "")</f>
        <v/>
      </c>
      <c r="I48" s="46" t="str">
        <f>IFERROR('Quarterly Revenue&amp;EBITDA'!I48/'Quarterly Revenue&amp;EBITDA'!I44 - 1, "")</f>
        <v/>
      </c>
      <c r="J48" s="46" t="str">
        <f>IFERROR('Quarterly Revenue&amp;EBITDA'!J48/'Quarterly Revenue&amp;EBITDA'!J44 - 1, "")</f>
        <v/>
      </c>
      <c r="K48" s="46" t="str">
        <f>IFERROR('Quarterly Revenue&amp;EBITDA'!K48/'Quarterly Revenue&amp;EBITDA'!K44 - 1, "")</f>
        <v/>
      </c>
      <c r="L48" s="46" t="str">
        <f>IFERROR('Quarterly Revenue&amp;EBITDA'!L48/'Quarterly Revenue&amp;EBITDA'!L44 - 1, "")</f>
        <v/>
      </c>
      <c r="M48" s="46" t="str">
        <f>IFERROR('Quarterly Revenue&amp;EBITDA'!M48/'Quarterly Revenue&amp;EBITDA'!M44 - 1, "")</f>
        <v/>
      </c>
      <c r="N48" s="46" t="str">
        <f>IFERROR('Quarterly Revenue&amp;EBITDA'!N48/'Quarterly Revenue&amp;EBITDA'!N44 - 1, "")</f>
        <v/>
      </c>
      <c r="O48" s="46">
        <f>IFERROR('Quarterly Revenue&amp;EBITDA'!O48/'Quarterly Revenue&amp;EBITDA'!O44 - 1, "")</f>
        <v>0.69212374831863688</v>
      </c>
      <c r="P48" s="46" t="str">
        <f>IFERROR('Quarterly Revenue&amp;EBITDA'!P48/'Quarterly Revenue&amp;EBITDA'!P44 - 1, "")</f>
        <v/>
      </c>
      <c r="Q48" s="46" t="str">
        <f>IFERROR('Quarterly Revenue&amp;EBITDA'!Q48/'Quarterly Revenue&amp;EBITDA'!Q44 - 1, "")</f>
        <v/>
      </c>
      <c r="R48" s="46" t="str">
        <f>IFERROR('Quarterly Revenue&amp;EBITDA'!R48/'Quarterly Revenue&amp;EBITDA'!R44 - 1, "")</f>
        <v/>
      </c>
      <c r="S48" s="46" t="str">
        <f>IFERROR('Quarterly Revenue&amp;EBITDA'!S48/'Quarterly Revenue&amp;EBITDA'!S44 - 1, "")</f>
        <v/>
      </c>
      <c r="T48" s="46" t="str">
        <f>IFERROR('Quarterly Revenue&amp;EBITDA'!T48/'Quarterly Revenue&amp;EBITDA'!T44 - 1, "")</f>
        <v/>
      </c>
      <c r="U48" s="46">
        <f>IFERROR('Quarterly Revenue&amp;EBITDA'!U48/'Quarterly Revenue&amp;EBITDA'!U44 - 1, "")</f>
        <v>1.2805587892898762E-2</v>
      </c>
      <c r="V48" s="45"/>
      <c r="W48" s="46">
        <f>IFERROR('Quarterly Revenue&amp;EBITDA'!W48/'Quarterly Revenue&amp;EBITDA'!W44 - 1, "")</f>
        <v>0.47019379754589519</v>
      </c>
      <c r="X48" s="28"/>
      <c r="Y48" s="28"/>
      <c r="Z48" s="28"/>
      <c r="AA48" s="28"/>
      <c r="AB48" s="28"/>
      <c r="AC48" s="28"/>
    </row>
    <row r="49" spans="1:29" ht="13">
      <c r="A49" s="27" t="s">
        <v>74</v>
      </c>
      <c r="B49" s="45"/>
      <c r="C49" s="46">
        <f>IFERROR('Quarterly Revenue&amp;EBITDA'!C49/'Quarterly Revenue&amp;EBITDA'!C45 - 1, "")</f>
        <v>0.33730237283854447</v>
      </c>
      <c r="D49" s="46">
        <f>IFERROR('Quarterly Revenue&amp;EBITDA'!D49/'Quarterly Revenue&amp;EBITDA'!D45 - 1, "")</f>
        <v>0.10193139166152654</v>
      </c>
      <c r="E49" s="46">
        <f>IFERROR('Quarterly Revenue&amp;EBITDA'!E49/'Quarterly Revenue&amp;EBITDA'!E45 - 1, "")</f>
        <v>0.33070991946316664</v>
      </c>
      <c r="F49" s="46" t="str">
        <f>IFERROR('Quarterly Revenue&amp;EBITDA'!F49/'Quarterly Revenue&amp;EBITDA'!F45 - 1, "")</f>
        <v/>
      </c>
      <c r="G49" s="46" t="str">
        <f>IFERROR('Quarterly Revenue&amp;EBITDA'!G49/'Quarterly Revenue&amp;EBITDA'!G45 - 1, "")</f>
        <v/>
      </c>
      <c r="H49" s="46" t="str">
        <f>IFERROR('Quarterly Revenue&amp;EBITDA'!H49/'Quarterly Revenue&amp;EBITDA'!H45 - 1, "")</f>
        <v/>
      </c>
      <c r="I49" s="46" t="str">
        <f>IFERROR('Quarterly Revenue&amp;EBITDA'!I49/'Quarterly Revenue&amp;EBITDA'!I45 - 1, "")</f>
        <v/>
      </c>
      <c r="J49" s="46" t="str">
        <f>IFERROR('Quarterly Revenue&amp;EBITDA'!J49/'Quarterly Revenue&amp;EBITDA'!J45 - 1, "")</f>
        <v/>
      </c>
      <c r="K49" s="46" t="str">
        <f>IFERROR('Quarterly Revenue&amp;EBITDA'!K49/'Quarterly Revenue&amp;EBITDA'!K45 - 1, "")</f>
        <v/>
      </c>
      <c r="L49" s="46" t="str">
        <f>IFERROR('Quarterly Revenue&amp;EBITDA'!L49/'Quarterly Revenue&amp;EBITDA'!L45 - 1, "")</f>
        <v/>
      </c>
      <c r="M49" s="46" t="str">
        <f>IFERROR('Quarterly Revenue&amp;EBITDA'!M49/'Quarterly Revenue&amp;EBITDA'!M45 - 1, "")</f>
        <v/>
      </c>
      <c r="N49" s="46" t="str">
        <f>IFERROR('Quarterly Revenue&amp;EBITDA'!N49/'Quarterly Revenue&amp;EBITDA'!N45 - 1, "")</f>
        <v/>
      </c>
      <c r="O49" s="46">
        <f>IFERROR('Quarterly Revenue&amp;EBITDA'!O49/'Quarterly Revenue&amp;EBITDA'!O45 - 1, "")</f>
        <v>1.5589118530294988E-2</v>
      </c>
      <c r="P49" s="46" t="str">
        <f>IFERROR('Quarterly Revenue&amp;EBITDA'!P49/'Quarterly Revenue&amp;EBITDA'!P45 - 1, "")</f>
        <v/>
      </c>
      <c r="Q49" s="46" t="str">
        <f>IFERROR('Quarterly Revenue&amp;EBITDA'!Q49/'Quarterly Revenue&amp;EBITDA'!Q45 - 1, "")</f>
        <v/>
      </c>
      <c r="R49" s="46" t="str">
        <f>IFERROR('Quarterly Revenue&amp;EBITDA'!R49/'Quarterly Revenue&amp;EBITDA'!R45 - 1, "")</f>
        <v/>
      </c>
      <c r="S49" s="46" t="str">
        <f>IFERROR('Quarterly Revenue&amp;EBITDA'!S49/'Quarterly Revenue&amp;EBITDA'!S45 - 1, "")</f>
        <v/>
      </c>
      <c r="T49" s="46" t="str">
        <f>IFERROR('Quarterly Revenue&amp;EBITDA'!T49/'Quarterly Revenue&amp;EBITDA'!T45 - 1, "")</f>
        <v/>
      </c>
      <c r="U49" s="46">
        <f>IFERROR('Quarterly Revenue&amp;EBITDA'!U49/'Quarterly Revenue&amp;EBITDA'!U45 - 1, "")</f>
        <v>1.2805587892898762E-2</v>
      </c>
      <c r="V49" s="45"/>
      <c r="W49" s="46">
        <f>IFERROR('Quarterly Revenue&amp;EBITDA'!W49/'Quarterly Revenue&amp;EBITDA'!W45 - 1, "")</f>
        <v>-2.1199969146904696E-2</v>
      </c>
      <c r="X49" s="28"/>
      <c r="Y49" s="28"/>
      <c r="Z49" s="28"/>
      <c r="AA49" s="28"/>
      <c r="AB49" s="28"/>
      <c r="AC49" s="28"/>
    </row>
    <row r="50" spans="1:29" ht="13">
      <c r="A50" s="27" t="s">
        <v>75</v>
      </c>
      <c r="B50" s="45"/>
      <c r="C50" s="46">
        <f>IFERROR('Quarterly Revenue&amp;EBITDA'!C50/'Quarterly Revenue&amp;EBITDA'!C46 - 1, "")</f>
        <v>0.33730237283854447</v>
      </c>
      <c r="D50" s="46">
        <f>IFERROR('Quarterly Revenue&amp;EBITDA'!D50/'Quarterly Revenue&amp;EBITDA'!D46 - 1, "")</f>
        <v>0.10193139166152654</v>
      </c>
      <c r="E50" s="46">
        <f>IFERROR('Quarterly Revenue&amp;EBITDA'!E50/'Quarterly Revenue&amp;EBITDA'!E46 - 1, "")</f>
        <v>0.33070991946316664</v>
      </c>
      <c r="F50" s="46" t="str">
        <f>IFERROR('Quarterly Revenue&amp;EBITDA'!F50/'Quarterly Revenue&amp;EBITDA'!F46 - 1, "")</f>
        <v/>
      </c>
      <c r="G50" s="46" t="str">
        <f>IFERROR('Quarterly Revenue&amp;EBITDA'!G50/'Quarterly Revenue&amp;EBITDA'!G46 - 1, "")</f>
        <v/>
      </c>
      <c r="H50" s="46" t="str">
        <f>IFERROR('Quarterly Revenue&amp;EBITDA'!H50/'Quarterly Revenue&amp;EBITDA'!H46 - 1, "")</f>
        <v/>
      </c>
      <c r="I50" s="46" t="str">
        <f>IFERROR('Quarterly Revenue&amp;EBITDA'!I50/'Quarterly Revenue&amp;EBITDA'!I46 - 1, "")</f>
        <v/>
      </c>
      <c r="J50" s="46" t="str">
        <f>IFERROR('Quarterly Revenue&amp;EBITDA'!J50/'Quarterly Revenue&amp;EBITDA'!J46 - 1, "")</f>
        <v/>
      </c>
      <c r="K50" s="46" t="str">
        <f>IFERROR('Quarterly Revenue&amp;EBITDA'!K50/'Quarterly Revenue&amp;EBITDA'!K46 - 1, "")</f>
        <v/>
      </c>
      <c r="L50" s="46" t="str">
        <f>IFERROR('Quarterly Revenue&amp;EBITDA'!L50/'Quarterly Revenue&amp;EBITDA'!L46 - 1, "")</f>
        <v/>
      </c>
      <c r="M50" s="46" t="str">
        <f>IFERROR('Quarterly Revenue&amp;EBITDA'!M50/'Quarterly Revenue&amp;EBITDA'!M46 - 1, "")</f>
        <v/>
      </c>
      <c r="N50" s="46" t="str">
        <f>IFERROR('Quarterly Revenue&amp;EBITDA'!N50/'Quarterly Revenue&amp;EBITDA'!N46 - 1, "")</f>
        <v/>
      </c>
      <c r="O50" s="46">
        <f>IFERROR('Quarterly Revenue&amp;EBITDA'!O50/'Quarterly Revenue&amp;EBITDA'!O46 - 1, "")</f>
        <v>1.5589118530294988E-2</v>
      </c>
      <c r="P50" s="46" t="str">
        <f>IFERROR('Quarterly Revenue&amp;EBITDA'!P50/'Quarterly Revenue&amp;EBITDA'!P46 - 1, "")</f>
        <v/>
      </c>
      <c r="Q50" s="46" t="str">
        <f>IFERROR('Quarterly Revenue&amp;EBITDA'!Q50/'Quarterly Revenue&amp;EBITDA'!Q46 - 1, "")</f>
        <v/>
      </c>
      <c r="R50" s="46" t="str">
        <f>IFERROR('Quarterly Revenue&amp;EBITDA'!R50/'Quarterly Revenue&amp;EBITDA'!R46 - 1, "")</f>
        <v/>
      </c>
      <c r="S50" s="46" t="str">
        <f>IFERROR('Quarterly Revenue&amp;EBITDA'!S50/'Quarterly Revenue&amp;EBITDA'!S46 - 1, "")</f>
        <v/>
      </c>
      <c r="T50" s="46" t="str">
        <f>IFERROR('Quarterly Revenue&amp;EBITDA'!T50/'Quarterly Revenue&amp;EBITDA'!T46 - 1, "")</f>
        <v/>
      </c>
      <c r="U50" s="46">
        <f>IFERROR('Quarterly Revenue&amp;EBITDA'!U50/'Quarterly Revenue&amp;EBITDA'!U46 - 1, "")</f>
        <v>1.2805587892898762E-2</v>
      </c>
      <c r="V50" s="45"/>
      <c r="W50" s="46">
        <f>IFERROR('Quarterly Revenue&amp;EBITDA'!W50/'Quarterly Revenue&amp;EBITDA'!W46 - 1, "")</f>
        <v>-2.1199969146904696E-2</v>
      </c>
      <c r="X50" s="28"/>
      <c r="Y50" s="28"/>
      <c r="Z50" s="28"/>
      <c r="AA50" s="28"/>
      <c r="AB50" s="28"/>
      <c r="AC50" s="28"/>
    </row>
    <row r="51" spans="1:29" ht="13">
      <c r="A51" s="27" t="s">
        <v>76</v>
      </c>
      <c r="B51" s="45"/>
      <c r="C51" s="46">
        <f>IFERROR('Quarterly Revenue&amp;EBITDA'!C51/'Quarterly Revenue&amp;EBITDA'!C47 - 1, "")</f>
        <v>0.240558444741793</v>
      </c>
      <c r="D51" s="46">
        <f>IFERROR('Quarterly Revenue&amp;EBITDA'!D51/'Quarterly Revenue&amp;EBITDA'!D47 - 1, "")</f>
        <v>-6.6040565703999299E-2</v>
      </c>
      <c r="E51" s="46">
        <f>IFERROR('Quarterly Revenue&amp;EBITDA'!E51/'Quarterly Revenue&amp;EBITDA'!E47 - 1, "")</f>
        <v>0.33428347815259829</v>
      </c>
      <c r="F51" s="46" t="str">
        <f>IFERROR('Quarterly Revenue&amp;EBITDA'!F51/'Quarterly Revenue&amp;EBITDA'!F47 - 1, "")</f>
        <v/>
      </c>
      <c r="G51" s="46" t="str">
        <f>IFERROR('Quarterly Revenue&amp;EBITDA'!G51/'Quarterly Revenue&amp;EBITDA'!G47 - 1, "")</f>
        <v/>
      </c>
      <c r="H51" s="46" t="str">
        <f>IFERROR('Quarterly Revenue&amp;EBITDA'!H51/'Quarterly Revenue&amp;EBITDA'!H47 - 1, "")</f>
        <v/>
      </c>
      <c r="I51" s="46" t="str">
        <f>IFERROR('Quarterly Revenue&amp;EBITDA'!I51/'Quarterly Revenue&amp;EBITDA'!I47 - 1, "")</f>
        <v/>
      </c>
      <c r="J51" s="46" t="str">
        <f>IFERROR('Quarterly Revenue&amp;EBITDA'!J51/'Quarterly Revenue&amp;EBITDA'!J47 - 1, "")</f>
        <v/>
      </c>
      <c r="K51" s="46" t="str">
        <f>IFERROR('Quarterly Revenue&amp;EBITDA'!K51/'Quarterly Revenue&amp;EBITDA'!K47 - 1, "")</f>
        <v/>
      </c>
      <c r="L51" s="46" t="str">
        <f>IFERROR('Quarterly Revenue&amp;EBITDA'!L51/'Quarterly Revenue&amp;EBITDA'!L47 - 1, "")</f>
        <v/>
      </c>
      <c r="M51" s="46" t="str">
        <f>IFERROR('Quarterly Revenue&amp;EBITDA'!M51/'Quarterly Revenue&amp;EBITDA'!M47 - 1, "")</f>
        <v/>
      </c>
      <c r="N51" s="46" t="str">
        <f>IFERROR('Quarterly Revenue&amp;EBITDA'!N51/'Quarterly Revenue&amp;EBITDA'!N47 - 1, "")</f>
        <v/>
      </c>
      <c r="O51" s="46">
        <f>IFERROR('Quarterly Revenue&amp;EBITDA'!O51/'Quarterly Revenue&amp;EBITDA'!O47 - 1, "")</f>
        <v>1.5589118530294988E-2</v>
      </c>
      <c r="P51" s="46" t="str">
        <f>IFERROR('Quarterly Revenue&amp;EBITDA'!P51/'Quarterly Revenue&amp;EBITDA'!P47 - 1, "")</f>
        <v/>
      </c>
      <c r="Q51" s="46" t="str">
        <f>IFERROR('Quarterly Revenue&amp;EBITDA'!Q51/'Quarterly Revenue&amp;EBITDA'!Q47 - 1, "")</f>
        <v/>
      </c>
      <c r="R51" s="46" t="str">
        <f>IFERROR('Quarterly Revenue&amp;EBITDA'!R51/'Quarterly Revenue&amp;EBITDA'!R47 - 1, "")</f>
        <v/>
      </c>
      <c r="S51" s="46" t="str">
        <f>IFERROR('Quarterly Revenue&amp;EBITDA'!S51/'Quarterly Revenue&amp;EBITDA'!S47 - 1, "")</f>
        <v/>
      </c>
      <c r="T51" s="46" t="str">
        <f>IFERROR('Quarterly Revenue&amp;EBITDA'!T51/'Quarterly Revenue&amp;EBITDA'!T47 - 1, "")</f>
        <v/>
      </c>
      <c r="U51" s="46">
        <f>IFERROR('Quarterly Revenue&amp;EBITDA'!U51/'Quarterly Revenue&amp;EBITDA'!U47 - 1, "")</f>
        <v>-0.15172413793103445</v>
      </c>
      <c r="V51" s="45"/>
      <c r="W51" s="46">
        <f>IFERROR('Quarterly Revenue&amp;EBITDA'!W51/'Quarterly Revenue&amp;EBITDA'!W47 - 1, "")</f>
        <v>-2.1199969146904696E-2</v>
      </c>
      <c r="X51" s="28"/>
      <c r="Y51" s="28"/>
      <c r="Z51" s="28"/>
      <c r="AA51" s="28"/>
      <c r="AB51" s="28"/>
      <c r="AC51" s="28"/>
    </row>
    <row r="52" spans="1:29" ht="13">
      <c r="A52" s="27" t="s">
        <v>77</v>
      </c>
      <c r="B52" s="45"/>
      <c r="C52" s="46">
        <f>IFERROR('Quarterly Revenue&amp;EBITDA'!C52/'Quarterly Revenue&amp;EBITDA'!C48 - 1, "")</f>
        <v>0.240558444741793</v>
      </c>
      <c r="D52" s="46">
        <f>IFERROR('Quarterly Revenue&amp;EBITDA'!D52/'Quarterly Revenue&amp;EBITDA'!D48 - 1, "")</f>
        <v>-6.6040565703999299E-2</v>
      </c>
      <c r="E52" s="46">
        <f>IFERROR('Quarterly Revenue&amp;EBITDA'!E52/'Quarterly Revenue&amp;EBITDA'!E48 - 1, "")</f>
        <v>0.33428347815259829</v>
      </c>
      <c r="F52" s="46" t="str">
        <f>IFERROR('Quarterly Revenue&amp;EBITDA'!F52/'Quarterly Revenue&amp;EBITDA'!F48 - 1, "")</f>
        <v/>
      </c>
      <c r="G52" s="46" t="str">
        <f>IFERROR('Quarterly Revenue&amp;EBITDA'!G52/'Quarterly Revenue&amp;EBITDA'!G48 - 1, "")</f>
        <v/>
      </c>
      <c r="H52" s="46" t="str">
        <f>IFERROR('Quarterly Revenue&amp;EBITDA'!H52/'Quarterly Revenue&amp;EBITDA'!H48 - 1, "")</f>
        <v/>
      </c>
      <c r="I52" s="46" t="str">
        <f>IFERROR('Quarterly Revenue&amp;EBITDA'!I52/'Quarterly Revenue&amp;EBITDA'!I48 - 1, "")</f>
        <v/>
      </c>
      <c r="J52" s="46">
        <f>IFERROR('Quarterly Revenue&amp;EBITDA'!J52/'Quarterly Revenue&amp;EBITDA'!J48 - 1, "")</f>
        <v>0.21892869646399804</v>
      </c>
      <c r="K52" s="46" t="str">
        <f>IFERROR('Quarterly Revenue&amp;EBITDA'!K52/'Quarterly Revenue&amp;EBITDA'!K48 - 1, "")</f>
        <v/>
      </c>
      <c r="L52" s="46" t="str">
        <f>IFERROR('Quarterly Revenue&amp;EBITDA'!L52/'Quarterly Revenue&amp;EBITDA'!L48 - 1, "")</f>
        <v/>
      </c>
      <c r="M52" s="46" t="str">
        <f>IFERROR('Quarterly Revenue&amp;EBITDA'!M52/'Quarterly Revenue&amp;EBITDA'!M48 - 1, "")</f>
        <v/>
      </c>
      <c r="N52" s="46" t="str">
        <f>IFERROR('Quarterly Revenue&amp;EBITDA'!N52/'Quarterly Revenue&amp;EBITDA'!N48 - 1, "")</f>
        <v/>
      </c>
      <c r="O52" s="46">
        <f>IFERROR('Quarterly Revenue&amp;EBITDA'!O52/'Quarterly Revenue&amp;EBITDA'!O48 - 1, "")</f>
        <v>1.5589118530294988E-2</v>
      </c>
      <c r="P52" s="46" t="str">
        <f>IFERROR('Quarterly Revenue&amp;EBITDA'!P52/'Quarterly Revenue&amp;EBITDA'!P48 - 1, "")</f>
        <v/>
      </c>
      <c r="Q52" s="46" t="str">
        <f>IFERROR('Quarterly Revenue&amp;EBITDA'!Q52/'Quarterly Revenue&amp;EBITDA'!Q48 - 1, "")</f>
        <v/>
      </c>
      <c r="R52" s="46" t="str">
        <f>IFERROR('Quarterly Revenue&amp;EBITDA'!R52/'Quarterly Revenue&amp;EBITDA'!R48 - 1, "")</f>
        <v/>
      </c>
      <c r="S52" s="46" t="str">
        <f>IFERROR('Quarterly Revenue&amp;EBITDA'!S52/'Quarterly Revenue&amp;EBITDA'!S48 - 1, "")</f>
        <v/>
      </c>
      <c r="T52" s="46" t="str">
        <f>IFERROR('Quarterly Revenue&amp;EBITDA'!T52/'Quarterly Revenue&amp;EBITDA'!T48 - 1, "")</f>
        <v/>
      </c>
      <c r="U52" s="46">
        <f>IFERROR('Quarterly Revenue&amp;EBITDA'!U52/'Quarterly Revenue&amp;EBITDA'!U48 - 1, "")</f>
        <v>-0.15172413793103445</v>
      </c>
      <c r="V52" s="45"/>
      <c r="W52" s="46">
        <f>IFERROR('Quarterly Revenue&amp;EBITDA'!W52/'Quarterly Revenue&amp;EBITDA'!W48 - 1, "")</f>
        <v>-2.1199969146904696E-2</v>
      </c>
      <c r="X52" s="28"/>
      <c r="Y52" s="28"/>
      <c r="Z52" s="28"/>
      <c r="AA52" s="28"/>
      <c r="AB52" s="28"/>
      <c r="AC52" s="28"/>
    </row>
    <row r="53" spans="1:29" ht="13">
      <c r="A53" s="27" t="s">
        <v>78</v>
      </c>
      <c r="B53" s="45"/>
      <c r="C53" s="46">
        <f>IFERROR('Quarterly Revenue&amp;EBITDA'!C53/'Quarterly Revenue&amp;EBITDA'!C49 - 1, "")</f>
        <v>0.240558444741793</v>
      </c>
      <c r="D53" s="46">
        <f>IFERROR('Quarterly Revenue&amp;EBITDA'!D53/'Quarterly Revenue&amp;EBITDA'!D49 - 1, "")</f>
        <v>-6.6040565703999299E-2</v>
      </c>
      <c r="E53" s="46">
        <f>IFERROR('Quarterly Revenue&amp;EBITDA'!E53/'Quarterly Revenue&amp;EBITDA'!E49 - 1, "")</f>
        <v>0.33428347815259829</v>
      </c>
      <c r="F53" s="46" t="str">
        <f>IFERROR('Quarterly Revenue&amp;EBITDA'!F53/'Quarterly Revenue&amp;EBITDA'!F49 - 1, "")</f>
        <v/>
      </c>
      <c r="G53" s="46" t="str">
        <f>IFERROR('Quarterly Revenue&amp;EBITDA'!G53/'Quarterly Revenue&amp;EBITDA'!G49 - 1, "")</f>
        <v/>
      </c>
      <c r="H53" s="46" t="str">
        <f>IFERROR('Quarterly Revenue&amp;EBITDA'!H53/'Quarterly Revenue&amp;EBITDA'!H49 - 1, "")</f>
        <v/>
      </c>
      <c r="I53" s="46" t="str">
        <f>IFERROR('Quarterly Revenue&amp;EBITDA'!I53/'Quarterly Revenue&amp;EBITDA'!I49 - 1, "")</f>
        <v/>
      </c>
      <c r="J53" s="46">
        <f>IFERROR('Quarterly Revenue&amp;EBITDA'!J53/'Quarterly Revenue&amp;EBITDA'!J49 - 1, "")</f>
        <v>0.21892869646399804</v>
      </c>
      <c r="K53" s="46" t="str">
        <f>IFERROR('Quarterly Revenue&amp;EBITDA'!K53/'Quarterly Revenue&amp;EBITDA'!K49 - 1, "")</f>
        <v/>
      </c>
      <c r="L53" s="46" t="str">
        <f>IFERROR('Quarterly Revenue&amp;EBITDA'!L53/'Quarterly Revenue&amp;EBITDA'!L49 - 1, "")</f>
        <v/>
      </c>
      <c r="M53" s="46" t="str">
        <f>IFERROR('Quarterly Revenue&amp;EBITDA'!M53/'Quarterly Revenue&amp;EBITDA'!M49 - 1, "")</f>
        <v/>
      </c>
      <c r="N53" s="46" t="str">
        <f>IFERROR('Quarterly Revenue&amp;EBITDA'!N53/'Quarterly Revenue&amp;EBITDA'!N49 - 1, "")</f>
        <v/>
      </c>
      <c r="O53" s="46">
        <f>IFERROR('Quarterly Revenue&amp;EBITDA'!O53/'Quarterly Revenue&amp;EBITDA'!O49 - 1, "")</f>
        <v>0.37639692133756575</v>
      </c>
      <c r="P53" s="46" t="str">
        <f>IFERROR('Quarterly Revenue&amp;EBITDA'!P53/'Quarterly Revenue&amp;EBITDA'!P49 - 1, "")</f>
        <v/>
      </c>
      <c r="Q53" s="46" t="str">
        <f>IFERROR('Quarterly Revenue&amp;EBITDA'!Q53/'Quarterly Revenue&amp;EBITDA'!Q49 - 1, "")</f>
        <v/>
      </c>
      <c r="R53" s="46" t="str">
        <f>IFERROR('Quarterly Revenue&amp;EBITDA'!R53/'Quarterly Revenue&amp;EBITDA'!R49 - 1, "")</f>
        <v/>
      </c>
      <c r="S53" s="46" t="str">
        <f>IFERROR('Quarterly Revenue&amp;EBITDA'!S53/'Quarterly Revenue&amp;EBITDA'!S49 - 1, "")</f>
        <v/>
      </c>
      <c r="T53" s="46" t="str">
        <f>IFERROR('Quarterly Revenue&amp;EBITDA'!T53/'Quarterly Revenue&amp;EBITDA'!T49 - 1, "")</f>
        <v/>
      </c>
      <c r="U53" s="46">
        <f>IFERROR('Quarterly Revenue&amp;EBITDA'!U53/'Quarterly Revenue&amp;EBITDA'!U49 - 1, "")</f>
        <v>-0.15172413793103445</v>
      </c>
      <c r="V53" s="45"/>
      <c r="W53" s="46">
        <f>IFERROR('Quarterly Revenue&amp;EBITDA'!W53/'Quarterly Revenue&amp;EBITDA'!W49 - 1, "")</f>
        <v>0.1070915665667509</v>
      </c>
      <c r="X53" s="28"/>
      <c r="Y53" s="28"/>
      <c r="Z53" s="28"/>
      <c r="AA53" s="28"/>
      <c r="AB53" s="28"/>
      <c r="AC53" s="28"/>
    </row>
    <row r="54" spans="1:29" ht="13">
      <c r="A54" s="27" t="s">
        <v>79</v>
      </c>
      <c r="B54" s="45"/>
      <c r="C54" s="46">
        <f>IFERROR('Quarterly Revenue&amp;EBITDA'!C54/'Quarterly Revenue&amp;EBITDA'!C50 - 1, "")</f>
        <v>0.240558444741793</v>
      </c>
      <c r="D54" s="46">
        <f>IFERROR('Quarterly Revenue&amp;EBITDA'!D54/'Quarterly Revenue&amp;EBITDA'!D50 - 1, "")</f>
        <v>-6.6040565703999299E-2</v>
      </c>
      <c r="E54" s="46">
        <f>IFERROR('Quarterly Revenue&amp;EBITDA'!E54/'Quarterly Revenue&amp;EBITDA'!E50 - 1, "")</f>
        <v>0.33428347815259829</v>
      </c>
      <c r="F54" s="46" t="str">
        <f>IFERROR('Quarterly Revenue&amp;EBITDA'!F54/'Quarterly Revenue&amp;EBITDA'!F50 - 1, "")</f>
        <v/>
      </c>
      <c r="G54" s="46" t="str">
        <f>IFERROR('Quarterly Revenue&amp;EBITDA'!G54/'Quarterly Revenue&amp;EBITDA'!G50 - 1, "")</f>
        <v/>
      </c>
      <c r="H54" s="46" t="str">
        <f>IFERROR('Quarterly Revenue&amp;EBITDA'!H54/'Quarterly Revenue&amp;EBITDA'!H50 - 1, "")</f>
        <v/>
      </c>
      <c r="I54" s="46" t="str">
        <f>IFERROR('Quarterly Revenue&amp;EBITDA'!I54/'Quarterly Revenue&amp;EBITDA'!I50 - 1, "")</f>
        <v/>
      </c>
      <c r="J54" s="46">
        <f>IFERROR('Quarterly Revenue&amp;EBITDA'!J54/'Quarterly Revenue&amp;EBITDA'!J50 - 1, "")</f>
        <v>0.21892869646399804</v>
      </c>
      <c r="K54" s="46" t="str">
        <f>IFERROR('Quarterly Revenue&amp;EBITDA'!K54/'Quarterly Revenue&amp;EBITDA'!K50 - 1, "")</f>
        <v/>
      </c>
      <c r="L54" s="46" t="str">
        <f>IFERROR('Quarterly Revenue&amp;EBITDA'!L54/'Quarterly Revenue&amp;EBITDA'!L50 - 1, "")</f>
        <v/>
      </c>
      <c r="M54" s="46" t="str">
        <f>IFERROR('Quarterly Revenue&amp;EBITDA'!M54/'Quarterly Revenue&amp;EBITDA'!M50 - 1, "")</f>
        <v/>
      </c>
      <c r="N54" s="46" t="str">
        <f>IFERROR('Quarterly Revenue&amp;EBITDA'!N54/'Quarterly Revenue&amp;EBITDA'!N50 - 1, "")</f>
        <v/>
      </c>
      <c r="O54" s="46">
        <f>IFERROR('Quarterly Revenue&amp;EBITDA'!O54/'Quarterly Revenue&amp;EBITDA'!O50 - 1, "")</f>
        <v>0.37639692133756575</v>
      </c>
      <c r="P54" s="46" t="str">
        <f>IFERROR('Quarterly Revenue&amp;EBITDA'!P54/'Quarterly Revenue&amp;EBITDA'!P50 - 1, "")</f>
        <v/>
      </c>
      <c r="Q54" s="46" t="str">
        <f>IFERROR('Quarterly Revenue&amp;EBITDA'!Q54/'Quarterly Revenue&amp;EBITDA'!Q50 - 1, "")</f>
        <v/>
      </c>
      <c r="R54" s="46" t="str">
        <f>IFERROR('Quarterly Revenue&amp;EBITDA'!R54/'Quarterly Revenue&amp;EBITDA'!R50 - 1, "")</f>
        <v/>
      </c>
      <c r="S54" s="46" t="str">
        <f>IFERROR('Quarterly Revenue&amp;EBITDA'!S54/'Quarterly Revenue&amp;EBITDA'!S50 - 1, "")</f>
        <v/>
      </c>
      <c r="T54" s="46" t="str">
        <f>IFERROR('Quarterly Revenue&amp;EBITDA'!T54/'Quarterly Revenue&amp;EBITDA'!T50 - 1, "")</f>
        <v/>
      </c>
      <c r="U54" s="46">
        <f>IFERROR('Quarterly Revenue&amp;EBITDA'!U54/'Quarterly Revenue&amp;EBITDA'!U50 - 1, "")</f>
        <v>-0.15172413793103445</v>
      </c>
      <c r="V54" s="45"/>
      <c r="W54" s="46">
        <f>IFERROR('Quarterly Revenue&amp;EBITDA'!W54/'Quarterly Revenue&amp;EBITDA'!W50 - 1, "")</f>
        <v>0.1070915665667509</v>
      </c>
      <c r="X54" s="28"/>
      <c r="Y54" s="28"/>
      <c r="Z54" s="28"/>
      <c r="AA54" s="28"/>
      <c r="AB54" s="28"/>
      <c r="AC54" s="28"/>
    </row>
    <row r="55" spans="1:29" ht="13">
      <c r="A55" s="27" t="s">
        <v>80</v>
      </c>
      <c r="B55" s="45"/>
      <c r="C55" s="46">
        <f>IFERROR('Quarterly Revenue&amp;EBITDA'!C55/'Quarterly Revenue&amp;EBITDA'!C51 - 1, "")</f>
        <v>0.31934358390086093</v>
      </c>
      <c r="D55" s="46">
        <f>IFERROR('Quarterly Revenue&amp;EBITDA'!D55/'Quarterly Revenue&amp;EBITDA'!D51 - 1, "")</f>
        <v>0.10593824176072553</v>
      </c>
      <c r="E55" s="46">
        <f>IFERROR('Quarterly Revenue&amp;EBITDA'!E55/'Quarterly Revenue&amp;EBITDA'!E51 - 1, "")</f>
        <v>0.49974837610939482</v>
      </c>
      <c r="F55" s="46">
        <f>IFERROR('Quarterly Revenue&amp;EBITDA'!F55/'Quarterly Revenue&amp;EBITDA'!F51 - 1, "")</f>
        <v>0.37645595289827294</v>
      </c>
      <c r="G55" s="46" t="str">
        <f>IFERROR('Quarterly Revenue&amp;EBITDA'!G55/'Quarterly Revenue&amp;EBITDA'!G51 - 1, "")</f>
        <v/>
      </c>
      <c r="H55" s="46" t="str">
        <f>IFERROR('Quarterly Revenue&amp;EBITDA'!H55/'Quarterly Revenue&amp;EBITDA'!H51 - 1, "")</f>
        <v/>
      </c>
      <c r="I55" s="46" t="str">
        <f>IFERROR('Quarterly Revenue&amp;EBITDA'!I55/'Quarterly Revenue&amp;EBITDA'!I51 - 1, "")</f>
        <v/>
      </c>
      <c r="J55" s="46">
        <f>IFERROR('Quarterly Revenue&amp;EBITDA'!J55/'Quarterly Revenue&amp;EBITDA'!J51 - 1, "")</f>
        <v>0.21892869646399804</v>
      </c>
      <c r="K55" s="46" t="str">
        <f>IFERROR('Quarterly Revenue&amp;EBITDA'!K55/'Quarterly Revenue&amp;EBITDA'!K51 - 1, "")</f>
        <v/>
      </c>
      <c r="L55" s="46">
        <f>IFERROR('Quarterly Revenue&amp;EBITDA'!L55/'Quarterly Revenue&amp;EBITDA'!L51 - 1, "")</f>
        <v>0.39889710727898642</v>
      </c>
      <c r="M55" s="46" t="str">
        <f>IFERROR('Quarterly Revenue&amp;EBITDA'!M55/'Quarterly Revenue&amp;EBITDA'!M51 - 1, "")</f>
        <v/>
      </c>
      <c r="N55" s="46" t="str">
        <f>IFERROR('Quarterly Revenue&amp;EBITDA'!N55/'Quarterly Revenue&amp;EBITDA'!N51 - 1, "")</f>
        <v/>
      </c>
      <c r="O55" s="46">
        <f>IFERROR('Quarterly Revenue&amp;EBITDA'!O55/'Quarterly Revenue&amp;EBITDA'!O51 - 1, "")</f>
        <v>0.37639692133756575</v>
      </c>
      <c r="P55" s="46" t="str">
        <f>IFERROR('Quarterly Revenue&amp;EBITDA'!P55/'Quarterly Revenue&amp;EBITDA'!P51 - 1, "")</f>
        <v/>
      </c>
      <c r="Q55" s="46" t="str">
        <f>IFERROR('Quarterly Revenue&amp;EBITDA'!Q55/'Quarterly Revenue&amp;EBITDA'!Q51 - 1, "")</f>
        <v/>
      </c>
      <c r="R55" s="46" t="str">
        <f>IFERROR('Quarterly Revenue&amp;EBITDA'!R55/'Quarterly Revenue&amp;EBITDA'!R51 - 1, "")</f>
        <v/>
      </c>
      <c r="S55" s="46" t="str">
        <f>IFERROR('Quarterly Revenue&amp;EBITDA'!S55/'Quarterly Revenue&amp;EBITDA'!S51 - 1, "")</f>
        <v/>
      </c>
      <c r="T55" s="46" t="str">
        <f>IFERROR('Quarterly Revenue&amp;EBITDA'!T55/'Quarterly Revenue&amp;EBITDA'!T51 - 1, "")</f>
        <v/>
      </c>
      <c r="U55" s="46">
        <f>IFERROR('Quarterly Revenue&amp;EBITDA'!U55/'Quarterly Revenue&amp;EBITDA'!U51 - 1, "")</f>
        <v>2.6405149051490495E-2</v>
      </c>
      <c r="V55" s="45"/>
      <c r="W55" s="46">
        <f>IFERROR('Quarterly Revenue&amp;EBITDA'!W55/'Quarterly Revenue&amp;EBITDA'!W51 - 1, "")</f>
        <v>0.1070915665667509</v>
      </c>
      <c r="X55" s="28"/>
      <c r="Y55" s="28"/>
      <c r="Z55" s="28"/>
      <c r="AA55" s="28"/>
      <c r="AB55" s="28"/>
      <c r="AC55" s="28"/>
    </row>
    <row r="56" spans="1:29" ht="13">
      <c r="A56" s="27" t="s">
        <v>81</v>
      </c>
      <c r="B56" s="45"/>
      <c r="C56" s="46">
        <f>IFERROR('Quarterly Revenue&amp;EBITDA'!C56/'Quarterly Revenue&amp;EBITDA'!C52 - 1, "")</f>
        <v>0.31934358390086093</v>
      </c>
      <c r="D56" s="46">
        <f>IFERROR('Quarterly Revenue&amp;EBITDA'!D56/'Quarterly Revenue&amp;EBITDA'!D52 - 1, "")</f>
        <v>0.10593824176072553</v>
      </c>
      <c r="E56" s="46">
        <f>IFERROR('Quarterly Revenue&amp;EBITDA'!E56/'Quarterly Revenue&amp;EBITDA'!E52 - 1, "")</f>
        <v>0.49974837610939482</v>
      </c>
      <c r="F56" s="46">
        <f>IFERROR('Quarterly Revenue&amp;EBITDA'!F56/'Quarterly Revenue&amp;EBITDA'!F52 - 1, "")</f>
        <v>0.37645595289827294</v>
      </c>
      <c r="G56" s="46" t="str">
        <f>IFERROR('Quarterly Revenue&amp;EBITDA'!G56/'Quarterly Revenue&amp;EBITDA'!G52 - 1, "")</f>
        <v/>
      </c>
      <c r="H56" s="46" t="str">
        <f>IFERROR('Quarterly Revenue&amp;EBITDA'!H56/'Quarterly Revenue&amp;EBITDA'!H52 - 1, "")</f>
        <v/>
      </c>
      <c r="I56" s="46" t="str">
        <f>IFERROR('Quarterly Revenue&amp;EBITDA'!I56/'Quarterly Revenue&amp;EBITDA'!I52 - 1, "")</f>
        <v/>
      </c>
      <c r="J56" s="46">
        <f>IFERROR('Quarterly Revenue&amp;EBITDA'!J56/'Quarterly Revenue&amp;EBITDA'!J52 - 1, "")</f>
        <v>0.49259214935375772</v>
      </c>
      <c r="K56" s="46" t="str">
        <f>IFERROR('Quarterly Revenue&amp;EBITDA'!K56/'Quarterly Revenue&amp;EBITDA'!K52 - 1, "")</f>
        <v/>
      </c>
      <c r="L56" s="46">
        <f>IFERROR('Quarterly Revenue&amp;EBITDA'!L56/'Quarterly Revenue&amp;EBITDA'!L52 - 1, "")</f>
        <v>0.39889710727898642</v>
      </c>
      <c r="M56" s="46" t="str">
        <f>IFERROR('Quarterly Revenue&amp;EBITDA'!M56/'Quarterly Revenue&amp;EBITDA'!M52 - 1, "")</f>
        <v/>
      </c>
      <c r="N56" s="46" t="str">
        <f>IFERROR('Quarterly Revenue&amp;EBITDA'!N56/'Quarterly Revenue&amp;EBITDA'!N52 - 1, "")</f>
        <v/>
      </c>
      <c r="O56" s="46">
        <f>IFERROR('Quarterly Revenue&amp;EBITDA'!O56/'Quarterly Revenue&amp;EBITDA'!O52 - 1, "")</f>
        <v>0.37639692133756575</v>
      </c>
      <c r="P56" s="46" t="str">
        <f>IFERROR('Quarterly Revenue&amp;EBITDA'!P56/'Quarterly Revenue&amp;EBITDA'!P52 - 1, "")</f>
        <v/>
      </c>
      <c r="Q56" s="46" t="str">
        <f>IFERROR('Quarterly Revenue&amp;EBITDA'!Q56/'Quarterly Revenue&amp;EBITDA'!Q52 - 1, "")</f>
        <v/>
      </c>
      <c r="R56" s="46" t="str">
        <f>IFERROR('Quarterly Revenue&amp;EBITDA'!R56/'Quarterly Revenue&amp;EBITDA'!R52 - 1, "")</f>
        <v/>
      </c>
      <c r="S56" s="46" t="str">
        <f>IFERROR('Quarterly Revenue&amp;EBITDA'!S56/'Quarterly Revenue&amp;EBITDA'!S52 - 1, "")</f>
        <v/>
      </c>
      <c r="T56" s="46" t="str">
        <f>IFERROR('Quarterly Revenue&amp;EBITDA'!T56/'Quarterly Revenue&amp;EBITDA'!T52 - 1, "")</f>
        <v/>
      </c>
      <c r="U56" s="46">
        <f>IFERROR('Quarterly Revenue&amp;EBITDA'!U56/'Quarterly Revenue&amp;EBITDA'!U52 - 1, "")</f>
        <v>2.6405149051490495E-2</v>
      </c>
      <c r="V56" s="45"/>
      <c r="W56" s="46">
        <f>IFERROR('Quarterly Revenue&amp;EBITDA'!W56/'Quarterly Revenue&amp;EBITDA'!W52 - 1, "")</f>
        <v>0.1070915665667509</v>
      </c>
      <c r="X56" s="28"/>
      <c r="Y56" s="28"/>
      <c r="Z56" s="28"/>
      <c r="AA56" s="28"/>
      <c r="AB56" s="28"/>
      <c r="AC56" s="28"/>
    </row>
    <row r="57" spans="1:29" ht="13">
      <c r="A57" s="27" t="s">
        <v>82</v>
      </c>
      <c r="B57" s="45"/>
      <c r="C57" s="46">
        <f>IFERROR('Quarterly Revenue&amp;EBITDA'!C57/'Quarterly Revenue&amp;EBITDA'!C53 - 1, "")</f>
        <v>0.31934358390086093</v>
      </c>
      <c r="D57" s="46">
        <f>IFERROR('Quarterly Revenue&amp;EBITDA'!D57/'Quarterly Revenue&amp;EBITDA'!D53 - 1, "")</f>
        <v>0.10593824176072553</v>
      </c>
      <c r="E57" s="46">
        <f>IFERROR('Quarterly Revenue&amp;EBITDA'!E57/'Quarterly Revenue&amp;EBITDA'!E53 - 1, "")</f>
        <v>0.49974837610939482</v>
      </c>
      <c r="F57" s="46">
        <f>IFERROR('Quarterly Revenue&amp;EBITDA'!F57/'Quarterly Revenue&amp;EBITDA'!F53 - 1, "")</f>
        <v>0.37645595289827294</v>
      </c>
      <c r="G57" s="46" t="str">
        <f>IFERROR('Quarterly Revenue&amp;EBITDA'!G57/'Quarterly Revenue&amp;EBITDA'!G53 - 1, "")</f>
        <v/>
      </c>
      <c r="H57" s="46" t="str">
        <f>IFERROR('Quarterly Revenue&amp;EBITDA'!H57/'Quarterly Revenue&amp;EBITDA'!H53 - 1, "")</f>
        <v/>
      </c>
      <c r="I57" s="46" t="str">
        <f>IFERROR('Quarterly Revenue&amp;EBITDA'!I57/'Quarterly Revenue&amp;EBITDA'!I53 - 1, "")</f>
        <v/>
      </c>
      <c r="J57" s="46">
        <f>IFERROR('Quarterly Revenue&amp;EBITDA'!J57/'Quarterly Revenue&amp;EBITDA'!J53 - 1, "")</f>
        <v>0.49259214935375772</v>
      </c>
      <c r="K57" s="46" t="str">
        <f>IFERROR('Quarterly Revenue&amp;EBITDA'!K57/'Quarterly Revenue&amp;EBITDA'!K53 - 1, "")</f>
        <v/>
      </c>
      <c r="L57" s="46">
        <f>IFERROR('Quarterly Revenue&amp;EBITDA'!L57/'Quarterly Revenue&amp;EBITDA'!L53 - 1, "")</f>
        <v>0.39889710727898642</v>
      </c>
      <c r="M57" s="46" t="str">
        <f>IFERROR('Quarterly Revenue&amp;EBITDA'!M57/'Quarterly Revenue&amp;EBITDA'!M53 - 1, "")</f>
        <v/>
      </c>
      <c r="N57" s="46" t="str">
        <f>IFERROR('Quarterly Revenue&amp;EBITDA'!N57/'Quarterly Revenue&amp;EBITDA'!N53 - 1, "")</f>
        <v/>
      </c>
      <c r="O57" s="46">
        <f>IFERROR('Quarterly Revenue&amp;EBITDA'!O57/'Quarterly Revenue&amp;EBITDA'!O53 - 1, "")</f>
        <v>0.47745869269895436</v>
      </c>
      <c r="P57" s="46" t="str">
        <f>IFERROR('Quarterly Revenue&amp;EBITDA'!P57/'Quarterly Revenue&amp;EBITDA'!P53 - 1, "")</f>
        <v/>
      </c>
      <c r="Q57" s="46" t="str">
        <f>IFERROR('Quarterly Revenue&amp;EBITDA'!Q57/'Quarterly Revenue&amp;EBITDA'!Q53 - 1, "")</f>
        <v/>
      </c>
      <c r="R57" s="46" t="str">
        <f>IFERROR('Quarterly Revenue&amp;EBITDA'!R57/'Quarterly Revenue&amp;EBITDA'!R53 - 1, "")</f>
        <v/>
      </c>
      <c r="S57" s="46" t="str">
        <f>IFERROR('Quarterly Revenue&amp;EBITDA'!S57/'Quarterly Revenue&amp;EBITDA'!S53 - 1, "")</f>
        <v/>
      </c>
      <c r="T57" s="46" t="str">
        <f>IFERROR('Quarterly Revenue&amp;EBITDA'!T57/'Quarterly Revenue&amp;EBITDA'!T53 - 1, "")</f>
        <v/>
      </c>
      <c r="U57" s="46">
        <f>IFERROR('Quarterly Revenue&amp;EBITDA'!U57/'Quarterly Revenue&amp;EBITDA'!U53 - 1, "")</f>
        <v>2.6405149051490495E-2</v>
      </c>
      <c r="V57" s="45"/>
      <c r="W57" s="46">
        <f>IFERROR('Quarterly Revenue&amp;EBITDA'!W57/'Quarterly Revenue&amp;EBITDA'!W53 - 1, "")</f>
        <v>0.29835353441279389</v>
      </c>
      <c r="X57" s="28"/>
      <c r="Y57" s="28"/>
      <c r="Z57" s="28"/>
      <c r="AA57" s="28"/>
      <c r="AB57" s="28"/>
      <c r="AC57" s="28"/>
    </row>
    <row r="58" spans="1:29" ht="13">
      <c r="A58" s="27" t="s">
        <v>83</v>
      </c>
      <c r="B58" s="45"/>
      <c r="C58" s="46">
        <f>IFERROR('Quarterly Revenue&amp;EBITDA'!C58/'Quarterly Revenue&amp;EBITDA'!C54 - 1, "")</f>
        <v>0.31934358390086093</v>
      </c>
      <c r="D58" s="46">
        <f>IFERROR('Quarterly Revenue&amp;EBITDA'!D58/'Quarterly Revenue&amp;EBITDA'!D54 - 1, "")</f>
        <v>0.10593824176072553</v>
      </c>
      <c r="E58" s="46">
        <f>IFERROR('Quarterly Revenue&amp;EBITDA'!E58/'Quarterly Revenue&amp;EBITDA'!E54 - 1, "")</f>
        <v>0.49974837610939482</v>
      </c>
      <c r="F58" s="46">
        <f>IFERROR('Quarterly Revenue&amp;EBITDA'!F58/'Quarterly Revenue&amp;EBITDA'!F54 - 1, "")</f>
        <v>0.37645595289827294</v>
      </c>
      <c r="G58" s="46" t="str">
        <f>IFERROR('Quarterly Revenue&amp;EBITDA'!G58/'Quarterly Revenue&amp;EBITDA'!G54 - 1, "")</f>
        <v/>
      </c>
      <c r="H58" s="46" t="str">
        <f>IFERROR('Quarterly Revenue&amp;EBITDA'!H58/'Quarterly Revenue&amp;EBITDA'!H54 - 1, "")</f>
        <v/>
      </c>
      <c r="I58" s="46" t="str">
        <f>IFERROR('Quarterly Revenue&amp;EBITDA'!I58/'Quarterly Revenue&amp;EBITDA'!I54 - 1, "")</f>
        <v/>
      </c>
      <c r="J58" s="46">
        <f>IFERROR('Quarterly Revenue&amp;EBITDA'!J58/'Quarterly Revenue&amp;EBITDA'!J54 - 1, "")</f>
        <v>0.49259214935375772</v>
      </c>
      <c r="K58" s="46" t="str">
        <f>IFERROR('Quarterly Revenue&amp;EBITDA'!K58/'Quarterly Revenue&amp;EBITDA'!K54 - 1, "")</f>
        <v/>
      </c>
      <c r="L58" s="46">
        <f>IFERROR('Quarterly Revenue&amp;EBITDA'!L58/'Quarterly Revenue&amp;EBITDA'!L54 - 1, "")</f>
        <v>0.39889710727898642</v>
      </c>
      <c r="M58" s="46" t="str">
        <f>IFERROR('Quarterly Revenue&amp;EBITDA'!M58/'Quarterly Revenue&amp;EBITDA'!M54 - 1, "")</f>
        <v/>
      </c>
      <c r="N58" s="46" t="str">
        <f>IFERROR('Quarterly Revenue&amp;EBITDA'!N58/'Quarterly Revenue&amp;EBITDA'!N54 - 1, "")</f>
        <v/>
      </c>
      <c r="O58" s="46">
        <f>IFERROR('Quarterly Revenue&amp;EBITDA'!O58/'Quarterly Revenue&amp;EBITDA'!O54 - 1, "")</f>
        <v>0.47745869269895436</v>
      </c>
      <c r="P58" s="46" t="str">
        <f>IFERROR('Quarterly Revenue&amp;EBITDA'!P58/'Quarterly Revenue&amp;EBITDA'!P54 - 1, "")</f>
        <v/>
      </c>
      <c r="Q58" s="46" t="str">
        <f>IFERROR('Quarterly Revenue&amp;EBITDA'!Q58/'Quarterly Revenue&amp;EBITDA'!Q54 - 1, "")</f>
        <v/>
      </c>
      <c r="R58" s="46" t="str">
        <f>IFERROR('Quarterly Revenue&amp;EBITDA'!R58/'Quarterly Revenue&amp;EBITDA'!R54 - 1, "")</f>
        <v/>
      </c>
      <c r="S58" s="46" t="str">
        <f>IFERROR('Quarterly Revenue&amp;EBITDA'!S58/'Quarterly Revenue&amp;EBITDA'!S54 - 1, "")</f>
        <v/>
      </c>
      <c r="T58" s="46" t="str">
        <f>IFERROR('Quarterly Revenue&amp;EBITDA'!T58/'Quarterly Revenue&amp;EBITDA'!T54 - 1, "")</f>
        <v/>
      </c>
      <c r="U58" s="46">
        <f>IFERROR('Quarterly Revenue&amp;EBITDA'!U58/'Quarterly Revenue&amp;EBITDA'!U54 - 1, "")</f>
        <v>2.6405149051490495E-2</v>
      </c>
      <c r="V58" s="45"/>
      <c r="W58" s="46">
        <f>IFERROR('Quarterly Revenue&amp;EBITDA'!W58/'Quarterly Revenue&amp;EBITDA'!W54 - 1, "")</f>
        <v>0.29835353441279389</v>
      </c>
      <c r="X58" s="28"/>
      <c r="Y58" s="28"/>
      <c r="Z58" s="28"/>
      <c r="AA58" s="28"/>
      <c r="AB58" s="28"/>
      <c r="AC58" s="28"/>
    </row>
    <row r="59" spans="1:29" ht="13">
      <c r="A59" s="27" t="s">
        <v>84</v>
      </c>
      <c r="B59" s="45"/>
      <c r="C59" s="46">
        <f>IFERROR('Quarterly Revenue&amp;EBITDA'!C59/'Quarterly Revenue&amp;EBITDA'!C55 - 1, "")</f>
        <v>0.41191057747321236</v>
      </c>
      <c r="D59" s="46">
        <f>IFERROR('Quarterly Revenue&amp;EBITDA'!D59/'Quarterly Revenue&amp;EBITDA'!D55 - 1, "")</f>
        <v>0.1369191187498866</v>
      </c>
      <c r="E59" s="46">
        <f>IFERROR('Quarterly Revenue&amp;EBITDA'!E59/'Quarterly Revenue&amp;EBITDA'!E55 - 1, "")</f>
        <v>0.27519716622851953</v>
      </c>
      <c r="F59" s="46">
        <f>IFERROR('Quarterly Revenue&amp;EBITDA'!F59/'Quarterly Revenue&amp;EBITDA'!F55 - 1, "")</f>
        <v>0.31452123763244511</v>
      </c>
      <c r="G59" s="46" t="str">
        <f>IFERROR('Quarterly Revenue&amp;EBITDA'!G59/'Quarterly Revenue&amp;EBITDA'!G55 - 1, "")</f>
        <v/>
      </c>
      <c r="H59" s="46" t="str">
        <f>IFERROR('Quarterly Revenue&amp;EBITDA'!H59/'Quarterly Revenue&amp;EBITDA'!H55 - 1, "")</f>
        <v/>
      </c>
      <c r="I59" s="46" t="str">
        <f>IFERROR('Quarterly Revenue&amp;EBITDA'!I59/'Quarterly Revenue&amp;EBITDA'!I55 - 1, "")</f>
        <v/>
      </c>
      <c r="J59" s="46">
        <f>IFERROR('Quarterly Revenue&amp;EBITDA'!J59/'Quarterly Revenue&amp;EBITDA'!J55 - 1, "")</f>
        <v>0.49259214935375772</v>
      </c>
      <c r="K59" s="46" t="str">
        <f>IFERROR('Quarterly Revenue&amp;EBITDA'!K59/'Quarterly Revenue&amp;EBITDA'!K55 - 1, "")</f>
        <v/>
      </c>
      <c r="L59" s="46">
        <f>IFERROR('Quarterly Revenue&amp;EBITDA'!L59/'Quarterly Revenue&amp;EBITDA'!L55 - 1, "")</f>
        <v>0.10153873983877726</v>
      </c>
      <c r="M59" s="46" t="str">
        <f>IFERROR('Quarterly Revenue&amp;EBITDA'!M59/'Quarterly Revenue&amp;EBITDA'!M55 - 1, "")</f>
        <v/>
      </c>
      <c r="N59" s="46" t="str">
        <f>IFERROR('Quarterly Revenue&amp;EBITDA'!N59/'Quarterly Revenue&amp;EBITDA'!N55 - 1, "")</f>
        <v/>
      </c>
      <c r="O59" s="46">
        <f>IFERROR('Quarterly Revenue&amp;EBITDA'!O59/'Quarterly Revenue&amp;EBITDA'!O55 - 1, "")</f>
        <v>0.47745869269895436</v>
      </c>
      <c r="P59" s="46" t="str">
        <f>IFERROR('Quarterly Revenue&amp;EBITDA'!P59/'Quarterly Revenue&amp;EBITDA'!P55 - 1, "")</f>
        <v/>
      </c>
      <c r="Q59" s="46" t="str">
        <f>IFERROR('Quarterly Revenue&amp;EBITDA'!Q59/'Quarterly Revenue&amp;EBITDA'!Q55 - 1, "")</f>
        <v/>
      </c>
      <c r="R59" s="46" t="str">
        <f>IFERROR('Quarterly Revenue&amp;EBITDA'!R59/'Quarterly Revenue&amp;EBITDA'!R55 - 1, "")</f>
        <v/>
      </c>
      <c r="S59" s="46" t="str">
        <f>IFERROR('Quarterly Revenue&amp;EBITDA'!S59/'Quarterly Revenue&amp;EBITDA'!S55 - 1, "")</f>
        <v/>
      </c>
      <c r="T59" s="46" t="str">
        <f>IFERROR('Quarterly Revenue&amp;EBITDA'!T59/'Quarterly Revenue&amp;EBITDA'!T55 - 1, "")</f>
        <v/>
      </c>
      <c r="U59" s="46">
        <f>IFERROR('Quarterly Revenue&amp;EBITDA'!U59/'Quarterly Revenue&amp;EBITDA'!U55 - 1, "")</f>
        <v>1.3639838043425279E-2</v>
      </c>
      <c r="V59" s="45"/>
      <c r="W59" s="46">
        <f>IFERROR('Quarterly Revenue&amp;EBITDA'!W59/'Quarterly Revenue&amp;EBITDA'!W55 - 1, "")</f>
        <v>0.29835353441279389</v>
      </c>
      <c r="X59" s="46" t="str">
        <f>IFERROR('Quarterly Revenue&amp;EBITDA'!X59/'Quarterly Revenue&amp;EBITDA'!X55 - 1, "")</f>
        <v/>
      </c>
      <c r="Y59" s="46" t="str">
        <f>IFERROR('Quarterly Revenue&amp;EBITDA'!Y59/'Quarterly Revenue&amp;EBITDA'!Y55 - 1, "")</f>
        <v/>
      </c>
      <c r="Z59" s="46" t="str">
        <f>IFERROR('Quarterly Revenue&amp;EBITDA'!Z59/'Quarterly Revenue&amp;EBITDA'!Z55 - 1, "")</f>
        <v/>
      </c>
      <c r="AA59" s="46" t="str">
        <f>IFERROR('Quarterly Revenue&amp;EBITDA'!AA59/'Quarterly Revenue&amp;EBITDA'!AA55 - 1, "")</f>
        <v/>
      </c>
      <c r="AB59" s="46" t="str">
        <f>IFERROR('Quarterly Revenue&amp;EBITDA'!AB59/'Quarterly Revenue&amp;EBITDA'!AB55 - 1, "")</f>
        <v/>
      </c>
      <c r="AC59" s="28"/>
    </row>
    <row r="60" spans="1:29" ht="13">
      <c r="A60" s="27" t="s">
        <v>85</v>
      </c>
      <c r="B60" s="45"/>
      <c r="C60" s="46">
        <f>IFERROR('Quarterly Revenue&amp;EBITDA'!C60/'Quarterly Revenue&amp;EBITDA'!C56 - 1, "")</f>
        <v>0.41191057747321236</v>
      </c>
      <c r="D60" s="46">
        <f>IFERROR('Quarterly Revenue&amp;EBITDA'!D60/'Quarterly Revenue&amp;EBITDA'!D56 - 1, "")</f>
        <v>0.1369191187498866</v>
      </c>
      <c r="E60" s="46">
        <f>IFERROR('Quarterly Revenue&amp;EBITDA'!E60/'Quarterly Revenue&amp;EBITDA'!E56 - 1, "")</f>
        <v>0.27519716622851953</v>
      </c>
      <c r="F60" s="46">
        <f>IFERROR('Quarterly Revenue&amp;EBITDA'!F60/'Quarterly Revenue&amp;EBITDA'!F56 - 1, "")</f>
        <v>0.31452123763244511</v>
      </c>
      <c r="G60" s="46" t="str">
        <f>IFERROR('Quarterly Revenue&amp;EBITDA'!G60/'Quarterly Revenue&amp;EBITDA'!G56 - 1, "")</f>
        <v/>
      </c>
      <c r="H60" s="46" t="str">
        <f>IFERROR('Quarterly Revenue&amp;EBITDA'!H60/'Quarterly Revenue&amp;EBITDA'!H56 - 1, "")</f>
        <v/>
      </c>
      <c r="I60" s="46" t="str">
        <f>IFERROR('Quarterly Revenue&amp;EBITDA'!I60/'Quarterly Revenue&amp;EBITDA'!I56 - 1, "")</f>
        <v/>
      </c>
      <c r="J60" s="46">
        <f>IFERROR('Quarterly Revenue&amp;EBITDA'!J60/'Quarterly Revenue&amp;EBITDA'!J56 - 1, "")</f>
        <v>0.57631032464460685</v>
      </c>
      <c r="K60" s="46" t="str">
        <f>IFERROR('Quarterly Revenue&amp;EBITDA'!K60/'Quarterly Revenue&amp;EBITDA'!K56 - 1, "")</f>
        <v/>
      </c>
      <c r="L60" s="46">
        <f>IFERROR('Quarterly Revenue&amp;EBITDA'!L60/'Quarterly Revenue&amp;EBITDA'!L56 - 1, "")</f>
        <v>0.10153873983877726</v>
      </c>
      <c r="M60" s="46" t="str">
        <f>IFERROR('Quarterly Revenue&amp;EBITDA'!M60/'Quarterly Revenue&amp;EBITDA'!M56 - 1, "")</f>
        <v/>
      </c>
      <c r="N60" s="46" t="str">
        <f>IFERROR('Quarterly Revenue&amp;EBITDA'!N60/'Quarterly Revenue&amp;EBITDA'!N56 - 1, "")</f>
        <v/>
      </c>
      <c r="O60" s="46">
        <f>IFERROR('Quarterly Revenue&amp;EBITDA'!O60/'Quarterly Revenue&amp;EBITDA'!O56 - 1, "")</f>
        <v>0.47745869269895436</v>
      </c>
      <c r="P60" s="46" t="str">
        <f>IFERROR('Quarterly Revenue&amp;EBITDA'!P60/'Quarterly Revenue&amp;EBITDA'!P56 - 1, "")</f>
        <v/>
      </c>
      <c r="Q60" s="46" t="str">
        <f>IFERROR('Quarterly Revenue&amp;EBITDA'!Q60/'Quarterly Revenue&amp;EBITDA'!Q56 - 1, "")</f>
        <v/>
      </c>
      <c r="R60" s="46" t="str">
        <f>IFERROR('Quarterly Revenue&amp;EBITDA'!R60/'Quarterly Revenue&amp;EBITDA'!R56 - 1, "")</f>
        <v/>
      </c>
      <c r="S60" s="46" t="str">
        <f>IFERROR('Quarterly Revenue&amp;EBITDA'!S60/'Quarterly Revenue&amp;EBITDA'!S56 - 1, "")</f>
        <v/>
      </c>
      <c r="T60" s="46" t="str">
        <f>IFERROR('Quarterly Revenue&amp;EBITDA'!T60/'Quarterly Revenue&amp;EBITDA'!T56 - 1, "")</f>
        <v/>
      </c>
      <c r="U60" s="46">
        <f>IFERROR('Quarterly Revenue&amp;EBITDA'!U60/'Quarterly Revenue&amp;EBITDA'!U56 - 1, "")</f>
        <v>1.3639838043425279E-2</v>
      </c>
      <c r="V60" s="45"/>
      <c r="W60" s="46">
        <f>IFERROR('Quarterly Revenue&amp;EBITDA'!W60/'Quarterly Revenue&amp;EBITDA'!W56 - 1, "")</f>
        <v>0.29835353441279389</v>
      </c>
      <c r="X60" s="46" t="str">
        <f>IFERROR('Quarterly Revenue&amp;EBITDA'!X60/'Quarterly Revenue&amp;EBITDA'!X56 - 1, "")</f>
        <v/>
      </c>
      <c r="Y60" s="46" t="str">
        <f>IFERROR('Quarterly Revenue&amp;EBITDA'!Y60/'Quarterly Revenue&amp;EBITDA'!Y56 - 1, "")</f>
        <v/>
      </c>
      <c r="Z60" s="46" t="str">
        <f>IFERROR('Quarterly Revenue&amp;EBITDA'!Z60/'Quarterly Revenue&amp;EBITDA'!Z56 - 1, "")</f>
        <v/>
      </c>
      <c r="AA60" s="46" t="str">
        <f>IFERROR('Quarterly Revenue&amp;EBITDA'!AA60/'Quarterly Revenue&amp;EBITDA'!AA56 - 1, "")</f>
        <v/>
      </c>
      <c r="AB60" s="46" t="str">
        <f>IFERROR('Quarterly Revenue&amp;EBITDA'!AB60/'Quarterly Revenue&amp;EBITDA'!AB56 - 1, "")</f>
        <v/>
      </c>
      <c r="AC60" s="28"/>
    </row>
    <row r="61" spans="1:29" ht="13">
      <c r="A61" s="27" t="s">
        <v>86</v>
      </c>
      <c r="B61" s="45"/>
      <c r="C61" s="46">
        <f>IFERROR('Quarterly Revenue&amp;EBITDA'!C61/'Quarterly Revenue&amp;EBITDA'!C57 - 1, "")</f>
        <v>0.41191057747321236</v>
      </c>
      <c r="D61" s="46">
        <f>IFERROR('Quarterly Revenue&amp;EBITDA'!D61/'Quarterly Revenue&amp;EBITDA'!D57 - 1, "")</f>
        <v>0.1369191187498866</v>
      </c>
      <c r="E61" s="46">
        <f>IFERROR('Quarterly Revenue&amp;EBITDA'!E61/'Quarterly Revenue&amp;EBITDA'!E57 - 1, "")</f>
        <v>0.27519716622851953</v>
      </c>
      <c r="F61" s="46">
        <f>IFERROR('Quarterly Revenue&amp;EBITDA'!F61/'Quarterly Revenue&amp;EBITDA'!F57 - 1, "")</f>
        <v>0.31452123763244511</v>
      </c>
      <c r="G61" s="46" t="str">
        <f>IFERROR('Quarterly Revenue&amp;EBITDA'!G61/'Quarterly Revenue&amp;EBITDA'!G57 - 1, "")</f>
        <v/>
      </c>
      <c r="H61" s="46" t="str">
        <f>IFERROR('Quarterly Revenue&amp;EBITDA'!H61/'Quarterly Revenue&amp;EBITDA'!H57 - 1, "")</f>
        <v/>
      </c>
      <c r="I61" s="46" t="str">
        <f>IFERROR('Quarterly Revenue&amp;EBITDA'!I61/'Quarterly Revenue&amp;EBITDA'!I57 - 1, "")</f>
        <v/>
      </c>
      <c r="J61" s="46">
        <f>IFERROR('Quarterly Revenue&amp;EBITDA'!J61/'Quarterly Revenue&amp;EBITDA'!J57 - 1, "")</f>
        <v>0.57631032464460685</v>
      </c>
      <c r="K61" s="46" t="str">
        <f>IFERROR('Quarterly Revenue&amp;EBITDA'!K61/'Quarterly Revenue&amp;EBITDA'!K57 - 1, "")</f>
        <v/>
      </c>
      <c r="L61" s="46">
        <f>IFERROR('Quarterly Revenue&amp;EBITDA'!L61/'Quarterly Revenue&amp;EBITDA'!L57 - 1, "")</f>
        <v>0.10153873983877726</v>
      </c>
      <c r="M61" s="46" t="str">
        <f>IFERROR('Quarterly Revenue&amp;EBITDA'!M61/'Quarterly Revenue&amp;EBITDA'!M57 - 1, "")</f>
        <v/>
      </c>
      <c r="N61" s="46" t="str">
        <f>IFERROR('Quarterly Revenue&amp;EBITDA'!N61/'Quarterly Revenue&amp;EBITDA'!N57 - 1, "")</f>
        <v/>
      </c>
      <c r="O61" s="46">
        <f>IFERROR('Quarterly Revenue&amp;EBITDA'!O61/'Quarterly Revenue&amp;EBITDA'!O57 - 1, "")</f>
        <v>0.25668220502074157</v>
      </c>
      <c r="P61" s="46" t="str">
        <f>IFERROR('Quarterly Revenue&amp;EBITDA'!P61/'Quarterly Revenue&amp;EBITDA'!P57 - 1, "")</f>
        <v/>
      </c>
      <c r="Q61" s="46" t="str">
        <f>IFERROR('Quarterly Revenue&amp;EBITDA'!Q61/'Quarterly Revenue&amp;EBITDA'!Q57 - 1, "")</f>
        <v/>
      </c>
      <c r="R61" s="46" t="str">
        <f>IFERROR('Quarterly Revenue&amp;EBITDA'!R61/'Quarterly Revenue&amp;EBITDA'!R57 - 1, "")</f>
        <v/>
      </c>
      <c r="S61" s="46" t="str">
        <f>IFERROR('Quarterly Revenue&amp;EBITDA'!S61/'Quarterly Revenue&amp;EBITDA'!S57 - 1, "")</f>
        <v/>
      </c>
      <c r="T61" s="46" t="str">
        <f>IFERROR('Quarterly Revenue&amp;EBITDA'!T61/'Quarterly Revenue&amp;EBITDA'!T57 - 1, "")</f>
        <v/>
      </c>
      <c r="U61" s="46">
        <f>IFERROR('Quarterly Revenue&amp;EBITDA'!U61/'Quarterly Revenue&amp;EBITDA'!U57 - 1, "")</f>
        <v>1.3639838043425279E-2</v>
      </c>
      <c r="V61" s="45"/>
      <c r="W61" s="46">
        <f>IFERROR('Quarterly Revenue&amp;EBITDA'!W61/'Quarterly Revenue&amp;EBITDA'!W57 - 1, "")</f>
        <v>3.5661017435470788E-2</v>
      </c>
      <c r="X61" s="46" t="str">
        <f>IFERROR('Quarterly Revenue&amp;EBITDA'!X61/'Quarterly Revenue&amp;EBITDA'!X57 - 1, "")</f>
        <v/>
      </c>
      <c r="Y61" s="46" t="str">
        <f>IFERROR('Quarterly Revenue&amp;EBITDA'!Y61/'Quarterly Revenue&amp;EBITDA'!Y57 - 1, "")</f>
        <v/>
      </c>
      <c r="Z61" s="46" t="str">
        <f>IFERROR('Quarterly Revenue&amp;EBITDA'!Z61/'Quarterly Revenue&amp;EBITDA'!Z57 - 1, "")</f>
        <v/>
      </c>
      <c r="AA61" s="46" t="str">
        <f>IFERROR('Quarterly Revenue&amp;EBITDA'!AA61/'Quarterly Revenue&amp;EBITDA'!AA57 - 1, "")</f>
        <v/>
      </c>
      <c r="AB61" s="46" t="str">
        <f>IFERROR('Quarterly Revenue&amp;EBITDA'!AB61/'Quarterly Revenue&amp;EBITDA'!AB57 - 1, "")</f>
        <v/>
      </c>
      <c r="AC61" s="28"/>
    </row>
    <row r="62" spans="1:29" ht="13">
      <c r="A62" s="27" t="s">
        <v>87</v>
      </c>
      <c r="B62" s="45"/>
      <c r="C62" s="46">
        <f>IFERROR('Quarterly Revenue&amp;EBITDA'!C62/'Quarterly Revenue&amp;EBITDA'!C58 - 1, "")</f>
        <v>0.41191057747321236</v>
      </c>
      <c r="D62" s="46">
        <f>IFERROR('Quarterly Revenue&amp;EBITDA'!D62/'Quarterly Revenue&amp;EBITDA'!D58 - 1, "")</f>
        <v>0.1369191187498866</v>
      </c>
      <c r="E62" s="46">
        <f>IFERROR('Quarterly Revenue&amp;EBITDA'!E62/'Quarterly Revenue&amp;EBITDA'!E58 - 1, "")</f>
        <v>0.27519716622851953</v>
      </c>
      <c r="F62" s="46">
        <f>IFERROR('Quarterly Revenue&amp;EBITDA'!F62/'Quarterly Revenue&amp;EBITDA'!F58 - 1, "")</f>
        <v>0.31452123763244511</v>
      </c>
      <c r="G62" s="46" t="str">
        <f>IFERROR('Quarterly Revenue&amp;EBITDA'!G62/'Quarterly Revenue&amp;EBITDA'!G58 - 1, "")</f>
        <v/>
      </c>
      <c r="H62" s="46" t="str">
        <f>IFERROR('Quarterly Revenue&amp;EBITDA'!H62/'Quarterly Revenue&amp;EBITDA'!H58 - 1, "")</f>
        <v/>
      </c>
      <c r="I62" s="46" t="str">
        <f>IFERROR('Quarterly Revenue&amp;EBITDA'!I62/'Quarterly Revenue&amp;EBITDA'!I58 - 1, "")</f>
        <v/>
      </c>
      <c r="J62" s="46">
        <f>IFERROR('Quarterly Revenue&amp;EBITDA'!J62/'Quarterly Revenue&amp;EBITDA'!J58 - 1, "")</f>
        <v>0.57631032464460685</v>
      </c>
      <c r="K62" s="46" t="str">
        <f>IFERROR('Quarterly Revenue&amp;EBITDA'!K62/'Quarterly Revenue&amp;EBITDA'!K58 - 1, "")</f>
        <v/>
      </c>
      <c r="L62" s="46">
        <f>IFERROR('Quarterly Revenue&amp;EBITDA'!L62/'Quarterly Revenue&amp;EBITDA'!L58 - 1, "")</f>
        <v>0.10153873983877726</v>
      </c>
      <c r="M62" s="46" t="str">
        <f>IFERROR('Quarterly Revenue&amp;EBITDA'!M62/'Quarterly Revenue&amp;EBITDA'!M58 - 1, "")</f>
        <v/>
      </c>
      <c r="N62" s="46" t="str">
        <f>IFERROR('Quarterly Revenue&amp;EBITDA'!N62/'Quarterly Revenue&amp;EBITDA'!N58 - 1, "")</f>
        <v/>
      </c>
      <c r="O62" s="46">
        <f>IFERROR('Quarterly Revenue&amp;EBITDA'!O62/'Quarterly Revenue&amp;EBITDA'!O58 - 1, "")</f>
        <v>0.25668220502074157</v>
      </c>
      <c r="P62" s="46" t="str">
        <f>IFERROR('Quarterly Revenue&amp;EBITDA'!P62/'Quarterly Revenue&amp;EBITDA'!P58 - 1, "")</f>
        <v/>
      </c>
      <c r="Q62" s="46" t="str">
        <f>IFERROR('Quarterly Revenue&amp;EBITDA'!Q62/'Quarterly Revenue&amp;EBITDA'!Q58 - 1, "")</f>
        <v/>
      </c>
      <c r="R62" s="46" t="str">
        <f>IFERROR('Quarterly Revenue&amp;EBITDA'!R62/'Quarterly Revenue&amp;EBITDA'!R58 - 1, "")</f>
        <v/>
      </c>
      <c r="S62" s="46" t="str">
        <f>IFERROR('Quarterly Revenue&amp;EBITDA'!S62/'Quarterly Revenue&amp;EBITDA'!S58 - 1, "")</f>
        <v/>
      </c>
      <c r="T62" s="46" t="str">
        <f>IFERROR('Quarterly Revenue&amp;EBITDA'!T62/'Quarterly Revenue&amp;EBITDA'!T58 - 1, "")</f>
        <v/>
      </c>
      <c r="U62" s="46">
        <f>IFERROR('Quarterly Revenue&amp;EBITDA'!U62/'Quarterly Revenue&amp;EBITDA'!U58 - 1, "")</f>
        <v>1.3639838043425279E-2</v>
      </c>
      <c r="V62" s="45"/>
      <c r="W62" s="46">
        <f>IFERROR('Quarterly Revenue&amp;EBITDA'!W62/'Quarterly Revenue&amp;EBITDA'!W58 - 1, "")</f>
        <v>3.5661017435470788E-2</v>
      </c>
      <c r="X62" s="46" t="str">
        <f>IFERROR('Quarterly Revenue&amp;EBITDA'!X62/'Quarterly Revenue&amp;EBITDA'!X58 - 1, "")</f>
        <v/>
      </c>
      <c r="Y62" s="46" t="str">
        <f>IFERROR('Quarterly Revenue&amp;EBITDA'!Y62/'Quarterly Revenue&amp;EBITDA'!Y58 - 1, "")</f>
        <v/>
      </c>
      <c r="Z62" s="46" t="str">
        <f>IFERROR('Quarterly Revenue&amp;EBITDA'!Z62/'Quarterly Revenue&amp;EBITDA'!Z58 - 1, "")</f>
        <v/>
      </c>
      <c r="AA62" s="46" t="str">
        <f>IFERROR('Quarterly Revenue&amp;EBITDA'!AA62/'Quarterly Revenue&amp;EBITDA'!AA58 - 1, "")</f>
        <v/>
      </c>
      <c r="AB62" s="46" t="str">
        <f>IFERROR('Quarterly Revenue&amp;EBITDA'!AB62/'Quarterly Revenue&amp;EBITDA'!AB58 - 1, "")</f>
        <v/>
      </c>
      <c r="AC62" s="28"/>
    </row>
    <row r="63" spans="1:29" ht="13">
      <c r="A63" s="27" t="s">
        <v>88</v>
      </c>
      <c r="B63" s="45"/>
      <c r="C63" s="46">
        <f>IFERROR('Quarterly Revenue&amp;EBITDA'!C63/'Quarterly Revenue&amp;EBITDA'!C59 - 1, "")</f>
        <v>0.2078574528022481</v>
      </c>
      <c r="D63" s="46">
        <f>IFERROR('Quarterly Revenue&amp;EBITDA'!D63/'Quarterly Revenue&amp;EBITDA'!D59 - 1, "")</f>
        <v>0.16855218412013429</v>
      </c>
      <c r="E63" s="46">
        <f>IFERROR('Quarterly Revenue&amp;EBITDA'!E63/'Quarterly Revenue&amp;EBITDA'!E59 - 1, "")</f>
        <v>0.18836609507876756</v>
      </c>
      <c r="F63" s="46">
        <f>IFERROR('Quarterly Revenue&amp;EBITDA'!F63/'Quarterly Revenue&amp;EBITDA'!F59 - 1, "")</f>
        <v>0.19768374556362556</v>
      </c>
      <c r="G63" s="46" t="str">
        <f>IFERROR('Quarterly Revenue&amp;EBITDA'!G63/'Quarterly Revenue&amp;EBITDA'!G59 - 1, "")</f>
        <v/>
      </c>
      <c r="H63" s="46" t="str">
        <f>IFERROR('Quarterly Revenue&amp;EBITDA'!H63/'Quarterly Revenue&amp;EBITDA'!H59 - 1, "")</f>
        <v/>
      </c>
      <c r="I63" s="46" t="str">
        <f>IFERROR('Quarterly Revenue&amp;EBITDA'!I63/'Quarterly Revenue&amp;EBITDA'!I59 - 1, "")</f>
        <v/>
      </c>
      <c r="J63" s="46">
        <f>IFERROR('Quarterly Revenue&amp;EBITDA'!J63/'Quarterly Revenue&amp;EBITDA'!J59 - 1, "")</f>
        <v>0.57631032464460685</v>
      </c>
      <c r="K63" s="46" t="str">
        <f>IFERROR('Quarterly Revenue&amp;EBITDA'!K63/'Quarterly Revenue&amp;EBITDA'!K59 - 1, "")</f>
        <v/>
      </c>
      <c r="L63" s="46">
        <f>IFERROR('Quarterly Revenue&amp;EBITDA'!L63/'Quarterly Revenue&amp;EBITDA'!L59 - 1, "")</f>
        <v>0.14488350610694867</v>
      </c>
      <c r="M63" s="46" t="str">
        <f>IFERROR('Quarterly Revenue&amp;EBITDA'!M63/'Quarterly Revenue&amp;EBITDA'!M59 - 1, "")</f>
        <v/>
      </c>
      <c r="N63" s="46" t="str">
        <f>IFERROR('Quarterly Revenue&amp;EBITDA'!N63/'Quarterly Revenue&amp;EBITDA'!N59 - 1, "")</f>
        <v/>
      </c>
      <c r="O63" s="46">
        <f>IFERROR('Quarterly Revenue&amp;EBITDA'!O63/'Quarterly Revenue&amp;EBITDA'!O59 - 1, "")</f>
        <v>0.25668220502074157</v>
      </c>
      <c r="P63" s="46" t="str">
        <f>IFERROR('Quarterly Revenue&amp;EBITDA'!P63/'Quarterly Revenue&amp;EBITDA'!P59 - 1, "")</f>
        <v/>
      </c>
      <c r="Q63" s="46" t="str">
        <f>IFERROR('Quarterly Revenue&amp;EBITDA'!Q63/'Quarterly Revenue&amp;EBITDA'!Q59 - 1, "")</f>
        <v/>
      </c>
      <c r="R63" s="46" t="str">
        <f>IFERROR('Quarterly Revenue&amp;EBITDA'!R63/'Quarterly Revenue&amp;EBITDA'!R59 - 1, "")</f>
        <v/>
      </c>
      <c r="S63" s="46" t="str">
        <f>IFERROR('Quarterly Revenue&amp;EBITDA'!S63/'Quarterly Revenue&amp;EBITDA'!S59 - 1, "")</f>
        <v/>
      </c>
      <c r="T63" s="46" t="str">
        <f>IFERROR('Quarterly Revenue&amp;EBITDA'!T63/'Quarterly Revenue&amp;EBITDA'!T59 - 1, "")</f>
        <v/>
      </c>
      <c r="U63" s="46">
        <f>IFERROR('Quarterly Revenue&amp;EBITDA'!U63/'Quarterly Revenue&amp;EBITDA'!U59 - 1, "")</f>
        <v>1.4296338069258452E-2</v>
      </c>
      <c r="V63" s="45"/>
      <c r="W63" s="46">
        <f>IFERROR('Quarterly Revenue&amp;EBITDA'!W63/'Quarterly Revenue&amp;EBITDA'!W59 - 1, "")</f>
        <v>3.5661017435470788E-2</v>
      </c>
      <c r="X63" s="46" t="str">
        <f>IFERROR('Quarterly Revenue&amp;EBITDA'!X63/'Quarterly Revenue&amp;EBITDA'!X59 - 1, "")</f>
        <v/>
      </c>
      <c r="Y63" s="46" t="str">
        <f>IFERROR('Quarterly Revenue&amp;EBITDA'!Y63/'Quarterly Revenue&amp;EBITDA'!Y59 - 1, "")</f>
        <v/>
      </c>
      <c r="Z63" s="46" t="str">
        <f>IFERROR('Quarterly Revenue&amp;EBITDA'!Z63/'Quarterly Revenue&amp;EBITDA'!Z59 - 1, "")</f>
        <v/>
      </c>
      <c r="AA63" s="46" t="str">
        <f>IFERROR('Quarterly Revenue&amp;EBITDA'!AA63/'Quarterly Revenue&amp;EBITDA'!AA59 - 1, "")</f>
        <v/>
      </c>
      <c r="AB63" s="46" t="str">
        <f>IFERROR('Quarterly Revenue&amp;EBITDA'!AB63/'Quarterly Revenue&amp;EBITDA'!AB59 - 1, "")</f>
        <v/>
      </c>
      <c r="AC63" s="28"/>
    </row>
    <row r="64" spans="1:29" ht="13">
      <c r="A64" s="27" t="s">
        <v>89</v>
      </c>
      <c r="B64" s="45"/>
      <c r="C64" s="46">
        <f>IFERROR('Quarterly Revenue&amp;EBITDA'!C64/'Quarterly Revenue&amp;EBITDA'!C60 - 1, "")</f>
        <v>0.2078574528022481</v>
      </c>
      <c r="D64" s="46">
        <f>IFERROR('Quarterly Revenue&amp;EBITDA'!D64/'Quarterly Revenue&amp;EBITDA'!D60 - 1, "")</f>
        <v>0.16855218412013429</v>
      </c>
      <c r="E64" s="46">
        <f>IFERROR('Quarterly Revenue&amp;EBITDA'!E64/'Quarterly Revenue&amp;EBITDA'!E60 - 1, "")</f>
        <v>0.18836609507876756</v>
      </c>
      <c r="F64" s="46">
        <f>IFERROR('Quarterly Revenue&amp;EBITDA'!F64/'Quarterly Revenue&amp;EBITDA'!F60 - 1, "")</f>
        <v>0.19768374556362556</v>
      </c>
      <c r="G64" s="46" t="str">
        <f>IFERROR('Quarterly Revenue&amp;EBITDA'!G64/'Quarterly Revenue&amp;EBITDA'!G60 - 1, "")</f>
        <v/>
      </c>
      <c r="H64" s="46">
        <f>IFERROR('Quarterly Revenue&amp;EBITDA'!H64/'Quarterly Revenue&amp;EBITDA'!H60 - 1, "")</f>
        <v>8.552301284816255E-2</v>
      </c>
      <c r="I64" s="46" t="str">
        <f>IFERROR('Quarterly Revenue&amp;EBITDA'!I64/'Quarterly Revenue&amp;EBITDA'!I60 - 1, "")</f>
        <v/>
      </c>
      <c r="J64" s="46">
        <f>IFERROR('Quarterly Revenue&amp;EBITDA'!J64/'Quarterly Revenue&amp;EBITDA'!J60 - 1, "")</f>
        <v>0.163902156165596</v>
      </c>
      <c r="K64" s="46" t="str">
        <f>IFERROR('Quarterly Revenue&amp;EBITDA'!K64/'Quarterly Revenue&amp;EBITDA'!K60 - 1, "")</f>
        <v/>
      </c>
      <c r="L64" s="46">
        <f>IFERROR('Quarterly Revenue&amp;EBITDA'!L64/'Quarterly Revenue&amp;EBITDA'!L60 - 1, "")</f>
        <v>0.14488350610694867</v>
      </c>
      <c r="M64" s="46" t="str">
        <f>IFERROR('Quarterly Revenue&amp;EBITDA'!M64/'Quarterly Revenue&amp;EBITDA'!M60 - 1, "")</f>
        <v/>
      </c>
      <c r="N64" s="46" t="str">
        <f>IFERROR('Quarterly Revenue&amp;EBITDA'!N64/'Quarterly Revenue&amp;EBITDA'!N60 - 1, "")</f>
        <v/>
      </c>
      <c r="O64" s="46">
        <f>IFERROR('Quarterly Revenue&amp;EBITDA'!O64/'Quarterly Revenue&amp;EBITDA'!O60 - 1, "")</f>
        <v>0.25668220502074157</v>
      </c>
      <c r="P64" s="46" t="str">
        <f>IFERROR('Quarterly Revenue&amp;EBITDA'!P64/'Quarterly Revenue&amp;EBITDA'!P60 - 1, "")</f>
        <v/>
      </c>
      <c r="Q64" s="46" t="str">
        <f>IFERROR('Quarterly Revenue&amp;EBITDA'!Q64/'Quarterly Revenue&amp;EBITDA'!Q60 - 1, "")</f>
        <v/>
      </c>
      <c r="R64" s="46" t="str">
        <f>IFERROR('Quarterly Revenue&amp;EBITDA'!R64/'Quarterly Revenue&amp;EBITDA'!R60 - 1, "")</f>
        <v/>
      </c>
      <c r="S64" s="46" t="str">
        <f>IFERROR('Quarterly Revenue&amp;EBITDA'!S64/'Quarterly Revenue&amp;EBITDA'!S60 - 1, "")</f>
        <v/>
      </c>
      <c r="T64" s="46" t="str">
        <f>IFERROR('Quarterly Revenue&amp;EBITDA'!T64/'Quarterly Revenue&amp;EBITDA'!T60 - 1, "")</f>
        <v/>
      </c>
      <c r="U64" s="46">
        <f>IFERROR('Quarterly Revenue&amp;EBITDA'!U64/'Quarterly Revenue&amp;EBITDA'!U60 - 1, "")</f>
        <v>1.4296338069258452E-2</v>
      </c>
      <c r="V64" s="45"/>
      <c r="W64" s="46">
        <f>IFERROR('Quarterly Revenue&amp;EBITDA'!W64/'Quarterly Revenue&amp;EBITDA'!W60 - 1, "")</f>
        <v>3.5661017435470788E-2</v>
      </c>
      <c r="X64" s="46" t="str">
        <f>IFERROR('Quarterly Revenue&amp;EBITDA'!X64/'Quarterly Revenue&amp;EBITDA'!X60 - 1, "")</f>
        <v/>
      </c>
      <c r="Y64" s="46" t="str">
        <f>IFERROR('Quarterly Revenue&amp;EBITDA'!Y64/'Quarterly Revenue&amp;EBITDA'!Y60 - 1, "")</f>
        <v/>
      </c>
      <c r="Z64" s="46" t="str">
        <f>IFERROR('Quarterly Revenue&amp;EBITDA'!Z64/'Quarterly Revenue&amp;EBITDA'!Z60 - 1, "")</f>
        <v/>
      </c>
      <c r="AA64" s="46" t="str">
        <f>IFERROR('Quarterly Revenue&amp;EBITDA'!AA64/'Quarterly Revenue&amp;EBITDA'!AA60 - 1, "")</f>
        <v/>
      </c>
      <c r="AB64" s="46" t="str">
        <f>IFERROR('Quarterly Revenue&amp;EBITDA'!AB64/'Quarterly Revenue&amp;EBITDA'!AB60 - 1, "")</f>
        <v/>
      </c>
      <c r="AC64" s="28"/>
    </row>
    <row r="65" spans="1:29" ht="13">
      <c r="A65" s="27" t="s">
        <v>90</v>
      </c>
      <c r="B65" s="45"/>
      <c r="C65" s="46">
        <f>IFERROR('Quarterly Revenue&amp;EBITDA'!C65/'Quarterly Revenue&amp;EBITDA'!C61 - 1, "")</f>
        <v>0.2078574528022481</v>
      </c>
      <c r="D65" s="46">
        <f>IFERROR('Quarterly Revenue&amp;EBITDA'!D65/'Quarterly Revenue&amp;EBITDA'!D61 - 1, "")</f>
        <v>0.16855218412013429</v>
      </c>
      <c r="E65" s="46">
        <f>IFERROR('Quarterly Revenue&amp;EBITDA'!E65/'Quarterly Revenue&amp;EBITDA'!E61 - 1, "")</f>
        <v>0.18836609507876756</v>
      </c>
      <c r="F65" s="46">
        <f>IFERROR('Quarterly Revenue&amp;EBITDA'!F65/'Quarterly Revenue&amp;EBITDA'!F61 - 1, "")</f>
        <v>0.19768374556362556</v>
      </c>
      <c r="G65" s="46" t="str">
        <f>IFERROR('Quarterly Revenue&amp;EBITDA'!G65/'Quarterly Revenue&amp;EBITDA'!G61 - 1, "")</f>
        <v/>
      </c>
      <c r="H65" s="46">
        <f>IFERROR('Quarterly Revenue&amp;EBITDA'!H65/'Quarterly Revenue&amp;EBITDA'!H61 - 1, "")</f>
        <v>8.552301284816255E-2</v>
      </c>
      <c r="I65" s="46" t="str">
        <f>IFERROR('Quarterly Revenue&amp;EBITDA'!I65/'Quarterly Revenue&amp;EBITDA'!I61 - 1, "")</f>
        <v/>
      </c>
      <c r="J65" s="46">
        <f>IFERROR('Quarterly Revenue&amp;EBITDA'!J65/'Quarterly Revenue&amp;EBITDA'!J61 - 1, "")</f>
        <v>0.163902156165596</v>
      </c>
      <c r="K65" s="46" t="str">
        <f>IFERROR('Quarterly Revenue&amp;EBITDA'!K65/'Quarterly Revenue&amp;EBITDA'!K61 - 1, "")</f>
        <v/>
      </c>
      <c r="L65" s="46">
        <f>IFERROR('Quarterly Revenue&amp;EBITDA'!L65/'Quarterly Revenue&amp;EBITDA'!L61 - 1, "")</f>
        <v>0.14488350610694867</v>
      </c>
      <c r="M65" s="46" t="str">
        <f>IFERROR('Quarterly Revenue&amp;EBITDA'!M65/'Quarterly Revenue&amp;EBITDA'!M61 - 1, "")</f>
        <v/>
      </c>
      <c r="N65" s="46" t="str">
        <f>IFERROR('Quarterly Revenue&amp;EBITDA'!N65/'Quarterly Revenue&amp;EBITDA'!N61 - 1, "")</f>
        <v/>
      </c>
      <c r="O65" s="46">
        <f>IFERROR('Quarterly Revenue&amp;EBITDA'!O65/'Quarterly Revenue&amp;EBITDA'!O61 - 1, "")</f>
        <v>0.17599115194827286</v>
      </c>
      <c r="P65" s="46" t="str">
        <f>IFERROR('Quarterly Revenue&amp;EBITDA'!P65/'Quarterly Revenue&amp;EBITDA'!P61 - 1, "")</f>
        <v/>
      </c>
      <c r="Q65" s="46" t="str">
        <f>IFERROR('Quarterly Revenue&amp;EBITDA'!Q65/'Quarterly Revenue&amp;EBITDA'!Q61 - 1, "")</f>
        <v/>
      </c>
      <c r="R65" s="46" t="str">
        <f>IFERROR('Quarterly Revenue&amp;EBITDA'!R65/'Quarterly Revenue&amp;EBITDA'!R61 - 1, "")</f>
        <v/>
      </c>
      <c r="S65" s="46" t="str">
        <f>IFERROR('Quarterly Revenue&amp;EBITDA'!S65/'Quarterly Revenue&amp;EBITDA'!S61 - 1, "")</f>
        <v/>
      </c>
      <c r="T65" s="46" t="str">
        <f>IFERROR('Quarterly Revenue&amp;EBITDA'!T65/'Quarterly Revenue&amp;EBITDA'!T61 - 1, "")</f>
        <v/>
      </c>
      <c r="U65" s="46">
        <f>IFERROR('Quarterly Revenue&amp;EBITDA'!U65/'Quarterly Revenue&amp;EBITDA'!U61 - 1, "")</f>
        <v>1.4296338069258452E-2</v>
      </c>
      <c r="V65" s="45"/>
      <c r="W65" s="46">
        <f>IFERROR('Quarterly Revenue&amp;EBITDA'!W65/'Quarterly Revenue&amp;EBITDA'!W61 - 1, "")</f>
        <v>-0.10810360206816272</v>
      </c>
      <c r="X65" s="46" t="str">
        <f>IFERROR('Quarterly Revenue&amp;EBITDA'!X65/'Quarterly Revenue&amp;EBITDA'!X61 - 1, "")</f>
        <v/>
      </c>
      <c r="Y65" s="46" t="str">
        <f>IFERROR('Quarterly Revenue&amp;EBITDA'!Y65/'Quarterly Revenue&amp;EBITDA'!Y61 - 1, "")</f>
        <v/>
      </c>
      <c r="Z65" s="46" t="str">
        <f>IFERROR('Quarterly Revenue&amp;EBITDA'!Z65/'Quarterly Revenue&amp;EBITDA'!Z61 - 1, "")</f>
        <v/>
      </c>
      <c r="AA65" s="46" t="str">
        <f>IFERROR('Quarterly Revenue&amp;EBITDA'!AA65/'Quarterly Revenue&amp;EBITDA'!AA61 - 1, "")</f>
        <v/>
      </c>
      <c r="AB65" s="46" t="str">
        <f>IFERROR('Quarterly Revenue&amp;EBITDA'!AB65/'Quarterly Revenue&amp;EBITDA'!AB61 - 1, "")</f>
        <v/>
      </c>
      <c r="AC65" s="28"/>
    </row>
    <row r="66" spans="1:29" ht="13">
      <c r="A66" s="27" t="s">
        <v>91</v>
      </c>
      <c r="B66" s="45"/>
      <c r="C66" s="46">
        <f>IFERROR('Quarterly Revenue&amp;EBITDA'!C66/'Quarterly Revenue&amp;EBITDA'!C62 - 1, "")</f>
        <v>0.2078574528022481</v>
      </c>
      <c r="D66" s="46">
        <f>IFERROR('Quarterly Revenue&amp;EBITDA'!D66/'Quarterly Revenue&amp;EBITDA'!D62 - 1, "")</f>
        <v>0.16855218412013429</v>
      </c>
      <c r="E66" s="46">
        <f>IFERROR('Quarterly Revenue&amp;EBITDA'!E66/'Quarterly Revenue&amp;EBITDA'!E62 - 1, "")</f>
        <v>0.18836609507876756</v>
      </c>
      <c r="F66" s="46">
        <f>IFERROR('Quarterly Revenue&amp;EBITDA'!F66/'Quarterly Revenue&amp;EBITDA'!F62 - 1, "")</f>
        <v>0.19768374556362556</v>
      </c>
      <c r="G66" s="46" t="str">
        <f>IFERROR('Quarterly Revenue&amp;EBITDA'!G66/'Quarterly Revenue&amp;EBITDA'!G62 - 1, "")</f>
        <v/>
      </c>
      <c r="H66" s="46">
        <f>IFERROR('Quarterly Revenue&amp;EBITDA'!H66/'Quarterly Revenue&amp;EBITDA'!H62 - 1, "")</f>
        <v>8.552301284816255E-2</v>
      </c>
      <c r="I66" s="46" t="str">
        <f>IFERROR('Quarterly Revenue&amp;EBITDA'!I66/'Quarterly Revenue&amp;EBITDA'!I62 - 1, "")</f>
        <v/>
      </c>
      <c r="J66" s="46">
        <f>IFERROR('Quarterly Revenue&amp;EBITDA'!J66/'Quarterly Revenue&amp;EBITDA'!J62 - 1, "")</f>
        <v>0.163902156165596</v>
      </c>
      <c r="K66" s="46" t="str">
        <f>IFERROR('Quarterly Revenue&amp;EBITDA'!K66/'Quarterly Revenue&amp;EBITDA'!K62 - 1, "")</f>
        <v/>
      </c>
      <c r="L66" s="46">
        <f>IFERROR('Quarterly Revenue&amp;EBITDA'!L66/'Quarterly Revenue&amp;EBITDA'!L62 - 1, "")</f>
        <v>0.14488350610694867</v>
      </c>
      <c r="M66" s="46" t="str">
        <f>IFERROR('Quarterly Revenue&amp;EBITDA'!M66/'Quarterly Revenue&amp;EBITDA'!M62 - 1, "")</f>
        <v/>
      </c>
      <c r="N66" s="46" t="str">
        <f>IFERROR('Quarterly Revenue&amp;EBITDA'!N66/'Quarterly Revenue&amp;EBITDA'!N62 - 1, "")</f>
        <v/>
      </c>
      <c r="O66" s="46">
        <f>IFERROR('Quarterly Revenue&amp;EBITDA'!O66/'Quarterly Revenue&amp;EBITDA'!O62 - 1, "")</f>
        <v>0.17599115194827286</v>
      </c>
      <c r="P66" s="46" t="str">
        <f>IFERROR('Quarterly Revenue&amp;EBITDA'!P66/'Quarterly Revenue&amp;EBITDA'!P62 - 1, "")</f>
        <v/>
      </c>
      <c r="Q66" s="46" t="str">
        <f>IFERROR('Quarterly Revenue&amp;EBITDA'!Q66/'Quarterly Revenue&amp;EBITDA'!Q62 - 1, "")</f>
        <v/>
      </c>
      <c r="R66" s="46" t="str">
        <f>IFERROR('Quarterly Revenue&amp;EBITDA'!R66/'Quarterly Revenue&amp;EBITDA'!R62 - 1, "")</f>
        <v/>
      </c>
      <c r="S66" s="46" t="str">
        <f>IFERROR('Quarterly Revenue&amp;EBITDA'!S66/'Quarterly Revenue&amp;EBITDA'!S62 - 1, "")</f>
        <v/>
      </c>
      <c r="T66" s="46" t="str">
        <f>IFERROR('Quarterly Revenue&amp;EBITDA'!T66/'Quarterly Revenue&amp;EBITDA'!T62 - 1, "")</f>
        <v/>
      </c>
      <c r="U66" s="46">
        <f>IFERROR('Quarterly Revenue&amp;EBITDA'!U66/'Quarterly Revenue&amp;EBITDA'!U62 - 1, "")</f>
        <v>1.4296338069258452E-2</v>
      </c>
      <c r="V66" s="45"/>
      <c r="W66" s="46">
        <f>IFERROR('Quarterly Revenue&amp;EBITDA'!W66/'Quarterly Revenue&amp;EBITDA'!W62 - 1, "")</f>
        <v>-0.10810360206816272</v>
      </c>
      <c r="X66" s="46" t="str">
        <f>IFERROR('Quarterly Revenue&amp;EBITDA'!X66/'Quarterly Revenue&amp;EBITDA'!X62 - 1, "")</f>
        <v/>
      </c>
      <c r="Y66" s="46" t="str">
        <f>IFERROR('Quarterly Revenue&amp;EBITDA'!Y66/'Quarterly Revenue&amp;EBITDA'!Y62 - 1, "")</f>
        <v/>
      </c>
      <c r="Z66" s="46" t="str">
        <f>IFERROR('Quarterly Revenue&amp;EBITDA'!Z66/'Quarterly Revenue&amp;EBITDA'!Z62 - 1, "")</f>
        <v/>
      </c>
      <c r="AA66" s="46" t="str">
        <f>IFERROR('Quarterly Revenue&amp;EBITDA'!AA66/'Quarterly Revenue&amp;EBITDA'!AA62 - 1, "")</f>
        <v/>
      </c>
      <c r="AB66" s="46" t="str">
        <f>IFERROR('Quarterly Revenue&amp;EBITDA'!AB66/'Quarterly Revenue&amp;EBITDA'!AB62 - 1, "")</f>
        <v/>
      </c>
      <c r="AC66" s="28"/>
    </row>
    <row r="67" spans="1:29" ht="13">
      <c r="A67" s="27" t="s">
        <v>92</v>
      </c>
      <c r="B67" s="45"/>
      <c r="C67" s="46">
        <f>IFERROR('Quarterly Revenue&amp;EBITDA'!C67/'Quarterly Revenue&amp;EBITDA'!C63 - 1, "")</f>
        <v>0.29126835502900983</v>
      </c>
      <c r="D67" s="46">
        <f>IFERROR('Quarterly Revenue&amp;EBITDA'!D67/'Quarterly Revenue&amp;EBITDA'!D63 - 1, "")</f>
        <v>0.18383330269081055</v>
      </c>
      <c r="E67" s="46">
        <f>IFERROR('Quarterly Revenue&amp;EBITDA'!E67/'Quarterly Revenue&amp;EBITDA'!E63 - 1, "")</f>
        <v>0.3336461699993547</v>
      </c>
      <c r="F67" s="46">
        <f>IFERROR('Quarterly Revenue&amp;EBITDA'!F67/'Quarterly Revenue&amp;EBITDA'!F63 - 1, "")</f>
        <v>0.23853211009174302</v>
      </c>
      <c r="G67" s="46" t="str">
        <f>IFERROR('Quarterly Revenue&amp;EBITDA'!G67/'Quarterly Revenue&amp;EBITDA'!G63 - 1, "")</f>
        <v/>
      </c>
      <c r="H67" s="46">
        <f>IFERROR('Quarterly Revenue&amp;EBITDA'!H67/'Quarterly Revenue&amp;EBITDA'!H63 - 1, "")</f>
        <v>8.552301284816255E-2</v>
      </c>
      <c r="I67" s="46" t="str">
        <f>IFERROR('Quarterly Revenue&amp;EBITDA'!I67/'Quarterly Revenue&amp;EBITDA'!I63 - 1, "")</f>
        <v/>
      </c>
      <c r="J67" s="46">
        <f>IFERROR('Quarterly Revenue&amp;EBITDA'!J67/'Quarterly Revenue&amp;EBITDA'!J63 - 1, "")</f>
        <v>0.163902156165596</v>
      </c>
      <c r="K67" s="46" t="str">
        <f>IFERROR('Quarterly Revenue&amp;EBITDA'!K67/'Quarterly Revenue&amp;EBITDA'!K63 - 1, "")</f>
        <v/>
      </c>
      <c r="L67" s="46">
        <f>IFERROR('Quarterly Revenue&amp;EBITDA'!L67/'Quarterly Revenue&amp;EBITDA'!L63 - 1, "")</f>
        <v>0.14560808993599061</v>
      </c>
      <c r="M67" s="46" t="str">
        <f>IFERROR('Quarterly Revenue&amp;EBITDA'!M67/'Quarterly Revenue&amp;EBITDA'!M63 - 1, "")</f>
        <v/>
      </c>
      <c r="N67" s="46" t="str">
        <f>IFERROR('Quarterly Revenue&amp;EBITDA'!N67/'Quarterly Revenue&amp;EBITDA'!N63 - 1, "")</f>
        <v/>
      </c>
      <c r="O67" s="46">
        <f>IFERROR('Quarterly Revenue&amp;EBITDA'!O67/'Quarterly Revenue&amp;EBITDA'!O63 - 1, "")</f>
        <v>0.17599115194827286</v>
      </c>
      <c r="P67" s="46" t="str">
        <f>IFERROR('Quarterly Revenue&amp;EBITDA'!P67/'Quarterly Revenue&amp;EBITDA'!P63 - 1, "")</f>
        <v/>
      </c>
      <c r="Q67" s="46" t="str">
        <f>IFERROR('Quarterly Revenue&amp;EBITDA'!Q67/'Quarterly Revenue&amp;EBITDA'!Q63 - 1, "")</f>
        <v/>
      </c>
      <c r="R67" s="46">
        <f>IFERROR('Quarterly Revenue&amp;EBITDA'!R67/'Quarterly Revenue&amp;EBITDA'!R63 - 1, "")</f>
        <v>0.71631929360180235</v>
      </c>
      <c r="S67" s="46" t="str">
        <f>IFERROR('Quarterly Revenue&amp;EBITDA'!S67/'Quarterly Revenue&amp;EBITDA'!S63 - 1, "")</f>
        <v/>
      </c>
      <c r="T67" s="46" t="str">
        <f>IFERROR('Quarterly Revenue&amp;EBITDA'!T67/'Quarterly Revenue&amp;EBITDA'!T63 - 1, "")</f>
        <v/>
      </c>
      <c r="U67" s="46">
        <f>IFERROR('Quarterly Revenue&amp;EBITDA'!U67/'Quarterly Revenue&amp;EBITDA'!U63 - 1, "")</f>
        <v>8.7580059476422667E-2</v>
      </c>
      <c r="V67" s="45"/>
      <c r="W67" s="46">
        <f>IFERROR('Quarterly Revenue&amp;EBITDA'!W67/'Quarterly Revenue&amp;EBITDA'!W63 - 1, "")</f>
        <v>-0.10810360206816272</v>
      </c>
      <c r="X67" s="46" t="str">
        <f>IFERROR('Quarterly Revenue&amp;EBITDA'!X67/'Quarterly Revenue&amp;EBITDA'!X63 - 1, "")</f>
        <v/>
      </c>
      <c r="Y67" s="46" t="str">
        <f>IFERROR('Quarterly Revenue&amp;EBITDA'!Y67/'Quarterly Revenue&amp;EBITDA'!Y63 - 1, "")</f>
        <v/>
      </c>
      <c r="Z67" s="46" t="str">
        <f>IFERROR('Quarterly Revenue&amp;EBITDA'!Z67/'Quarterly Revenue&amp;EBITDA'!Z63 - 1, "")</f>
        <v/>
      </c>
      <c r="AA67" s="46" t="str">
        <f>IFERROR('Quarterly Revenue&amp;EBITDA'!AA67/'Quarterly Revenue&amp;EBITDA'!AA63 - 1, "")</f>
        <v/>
      </c>
      <c r="AB67" s="46" t="str">
        <f>IFERROR('Quarterly Revenue&amp;EBITDA'!AB67/'Quarterly Revenue&amp;EBITDA'!AB63 - 1, "")</f>
        <v/>
      </c>
      <c r="AC67" s="28"/>
    </row>
    <row r="68" spans="1:29" ht="13">
      <c r="A68" s="27" t="s">
        <v>93</v>
      </c>
      <c r="B68" s="45"/>
      <c r="C68" s="46">
        <f>IFERROR('Quarterly Revenue&amp;EBITDA'!C68/'Quarterly Revenue&amp;EBITDA'!C64 - 1, "")</f>
        <v>0.29126835502900983</v>
      </c>
      <c r="D68" s="46">
        <f>IFERROR('Quarterly Revenue&amp;EBITDA'!D68/'Quarterly Revenue&amp;EBITDA'!D64 - 1, "")</f>
        <v>0.18383330269081055</v>
      </c>
      <c r="E68" s="46">
        <f>IFERROR('Quarterly Revenue&amp;EBITDA'!E68/'Quarterly Revenue&amp;EBITDA'!E64 - 1, "")</f>
        <v>0.3336461699993547</v>
      </c>
      <c r="F68" s="46">
        <f>IFERROR('Quarterly Revenue&amp;EBITDA'!F68/'Quarterly Revenue&amp;EBITDA'!F64 - 1, "")</f>
        <v>0.23853211009174302</v>
      </c>
      <c r="G68" s="46" t="str">
        <f>IFERROR('Quarterly Revenue&amp;EBITDA'!G68/'Quarterly Revenue&amp;EBITDA'!G64 - 1, "")</f>
        <v/>
      </c>
      <c r="H68" s="46">
        <f>IFERROR('Quarterly Revenue&amp;EBITDA'!H68/'Quarterly Revenue&amp;EBITDA'!H64 - 1, "")</f>
        <v>7.5384773223594381E-2</v>
      </c>
      <c r="I68" s="46" t="str">
        <f>IFERROR('Quarterly Revenue&amp;EBITDA'!I68/'Quarterly Revenue&amp;EBITDA'!I64 - 1, "")</f>
        <v/>
      </c>
      <c r="J68" s="46">
        <f>IFERROR('Quarterly Revenue&amp;EBITDA'!J68/'Quarterly Revenue&amp;EBITDA'!J64 - 1, "")</f>
        <v>0.12114656807474811</v>
      </c>
      <c r="K68" s="46" t="str">
        <f>IFERROR('Quarterly Revenue&amp;EBITDA'!K68/'Quarterly Revenue&amp;EBITDA'!K64 - 1, "")</f>
        <v/>
      </c>
      <c r="L68" s="46">
        <f>IFERROR('Quarterly Revenue&amp;EBITDA'!L68/'Quarterly Revenue&amp;EBITDA'!L64 - 1, "")</f>
        <v>0.14560808993599061</v>
      </c>
      <c r="M68" s="46" t="str">
        <f>IFERROR('Quarterly Revenue&amp;EBITDA'!M68/'Quarterly Revenue&amp;EBITDA'!M64 - 1, "")</f>
        <v/>
      </c>
      <c r="N68" s="46" t="str">
        <f>IFERROR('Quarterly Revenue&amp;EBITDA'!N68/'Quarterly Revenue&amp;EBITDA'!N64 - 1, "")</f>
        <v/>
      </c>
      <c r="O68" s="46">
        <f>IFERROR('Quarterly Revenue&amp;EBITDA'!O68/'Quarterly Revenue&amp;EBITDA'!O64 - 1, "")</f>
        <v>0.17599115194827286</v>
      </c>
      <c r="P68" s="46" t="str">
        <f>IFERROR('Quarterly Revenue&amp;EBITDA'!P68/'Quarterly Revenue&amp;EBITDA'!P64 - 1, "")</f>
        <v/>
      </c>
      <c r="Q68" s="46" t="str">
        <f>IFERROR('Quarterly Revenue&amp;EBITDA'!Q68/'Quarterly Revenue&amp;EBITDA'!Q64 - 1, "")</f>
        <v/>
      </c>
      <c r="R68" s="46">
        <f>IFERROR('Quarterly Revenue&amp;EBITDA'!R68/'Quarterly Revenue&amp;EBITDA'!R64 - 1, "")</f>
        <v>0.71631929360180235</v>
      </c>
      <c r="S68" s="46" t="str">
        <f>IFERROR('Quarterly Revenue&amp;EBITDA'!S68/'Quarterly Revenue&amp;EBITDA'!S64 - 1, "")</f>
        <v/>
      </c>
      <c r="T68" s="46" t="str">
        <f>IFERROR('Quarterly Revenue&amp;EBITDA'!T68/'Quarterly Revenue&amp;EBITDA'!T64 - 1, "")</f>
        <v/>
      </c>
      <c r="U68" s="46">
        <f>IFERROR('Quarterly Revenue&amp;EBITDA'!U68/'Quarterly Revenue&amp;EBITDA'!U64 - 1, "")</f>
        <v>8.7580059476422667E-2</v>
      </c>
      <c r="V68" s="45"/>
      <c r="W68" s="46">
        <f>IFERROR('Quarterly Revenue&amp;EBITDA'!W68/'Quarterly Revenue&amp;EBITDA'!W64 - 1, "")</f>
        <v>-0.10810360206816272</v>
      </c>
      <c r="X68" s="46" t="str">
        <f>IFERROR('Quarterly Revenue&amp;EBITDA'!X68/'Quarterly Revenue&amp;EBITDA'!X64 - 1, "")</f>
        <v/>
      </c>
      <c r="Y68" s="46" t="str">
        <f>IFERROR('Quarterly Revenue&amp;EBITDA'!Y68/'Quarterly Revenue&amp;EBITDA'!Y64 - 1, "")</f>
        <v/>
      </c>
      <c r="Z68" s="46" t="str">
        <f>IFERROR('Quarterly Revenue&amp;EBITDA'!Z68/'Quarterly Revenue&amp;EBITDA'!Z64 - 1, "")</f>
        <v/>
      </c>
      <c r="AA68" s="46" t="str">
        <f>IFERROR('Quarterly Revenue&amp;EBITDA'!AA68/'Quarterly Revenue&amp;EBITDA'!AA64 - 1, "")</f>
        <v/>
      </c>
      <c r="AB68" s="46" t="str">
        <f>IFERROR('Quarterly Revenue&amp;EBITDA'!AB68/'Quarterly Revenue&amp;EBITDA'!AB64 - 1, "")</f>
        <v/>
      </c>
      <c r="AC68" s="28"/>
    </row>
    <row r="69" spans="1:29" ht="13">
      <c r="A69" s="27" t="s">
        <v>94</v>
      </c>
      <c r="B69" s="45"/>
      <c r="C69" s="46">
        <f>IFERROR('Quarterly Revenue&amp;EBITDA'!C69/'Quarterly Revenue&amp;EBITDA'!C65 - 1, "")</f>
        <v>0.29126835502900983</v>
      </c>
      <c r="D69" s="46">
        <f>IFERROR('Quarterly Revenue&amp;EBITDA'!D69/'Quarterly Revenue&amp;EBITDA'!D65 - 1, "")</f>
        <v>0.18383330269081055</v>
      </c>
      <c r="E69" s="46">
        <f>IFERROR('Quarterly Revenue&amp;EBITDA'!E69/'Quarterly Revenue&amp;EBITDA'!E65 - 1, "")</f>
        <v>0.3336461699993547</v>
      </c>
      <c r="F69" s="46">
        <f>IFERROR('Quarterly Revenue&amp;EBITDA'!F69/'Quarterly Revenue&amp;EBITDA'!F65 - 1, "")</f>
        <v>0.23853211009174302</v>
      </c>
      <c r="G69" s="46" t="str">
        <f>IFERROR('Quarterly Revenue&amp;EBITDA'!G69/'Quarterly Revenue&amp;EBITDA'!G65 - 1, "")</f>
        <v/>
      </c>
      <c r="H69" s="46">
        <f>IFERROR('Quarterly Revenue&amp;EBITDA'!H69/'Quarterly Revenue&amp;EBITDA'!H65 - 1, "")</f>
        <v>7.5384773223594381E-2</v>
      </c>
      <c r="I69" s="46" t="str">
        <f>IFERROR('Quarterly Revenue&amp;EBITDA'!I69/'Quarterly Revenue&amp;EBITDA'!I65 - 1, "")</f>
        <v/>
      </c>
      <c r="J69" s="46">
        <f>IFERROR('Quarterly Revenue&amp;EBITDA'!J69/'Quarterly Revenue&amp;EBITDA'!J65 - 1, "")</f>
        <v>0.12114656807474811</v>
      </c>
      <c r="K69" s="46" t="str">
        <f>IFERROR('Quarterly Revenue&amp;EBITDA'!K69/'Quarterly Revenue&amp;EBITDA'!K65 - 1, "")</f>
        <v/>
      </c>
      <c r="L69" s="46">
        <f>IFERROR('Quarterly Revenue&amp;EBITDA'!L69/'Quarterly Revenue&amp;EBITDA'!L65 - 1, "")</f>
        <v>0.14560808993599061</v>
      </c>
      <c r="M69" s="46" t="str">
        <f>IFERROR('Quarterly Revenue&amp;EBITDA'!M69/'Quarterly Revenue&amp;EBITDA'!M65 - 1, "")</f>
        <v/>
      </c>
      <c r="N69" s="46" t="str">
        <f>IFERROR('Quarterly Revenue&amp;EBITDA'!N69/'Quarterly Revenue&amp;EBITDA'!N65 - 1, "")</f>
        <v/>
      </c>
      <c r="O69" s="46">
        <f>IFERROR('Quarterly Revenue&amp;EBITDA'!O69/'Quarterly Revenue&amp;EBITDA'!O65 - 1, "")</f>
        <v>0.34450826906660104</v>
      </c>
      <c r="P69" s="46" t="str">
        <f>IFERROR('Quarterly Revenue&amp;EBITDA'!P69/'Quarterly Revenue&amp;EBITDA'!P65 - 1, "")</f>
        <v/>
      </c>
      <c r="Q69" s="46" t="str">
        <f>IFERROR('Quarterly Revenue&amp;EBITDA'!Q69/'Quarterly Revenue&amp;EBITDA'!Q65 - 1, "")</f>
        <v/>
      </c>
      <c r="R69" s="46">
        <f>IFERROR('Quarterly Revenue&amp;EBITDA'!R69/'Quarterly Revenue&amp;EBITDA'!R65 - 1, "")</f>
        <v>0.71631929360180235</v>
      </c>
      <c r="S69" s="46" t="str">
        <f>IFERROR('Quarterly Revenue&amp;EBITDA'!S69/'Quarterly Revenue&amp;EBITDA'!S65 - 1, "")</f>
        <v/>
      </c>
      <c r="T69" s="46" t="str">
        <f>IFERROR('Quarterly Revenue&amp;EBITDA'!T69/'Quarterly Revenue&amp;EBITDA'!T65 - 1, "")</f>
        <v/>
      </c>
      <c r="U69" s="46">
        <f>IFERROR('Quarterly Revenue&amp;EBITDA'!U69/'Quarterly Revenue&amp;EBITDA'!U65 - 1, "")</f>
        <v>8.7580059476422667E-2</v>
      </c>
      <c r="V69" s="45"/>
      <c r="W69" s="46">
        <f>IFERROR('Quarterly Revenue&amp;EBITDA'!W69/'Quarterly Revenue&amp;EBITDA'!W65 - 1, "")</f>
        <v>0.15372087863323713</v>
      </c>
      <c r="X69" s="46" t="str">
        <f>IFERROR('Quarterly Revenue&amp;EBITDA'!X69/'Quarterly Revenue&amp;EBITDA'!X65 - 1, "")</f>
        <v/>
      </c>
      <c r="Y69" s="46" t="str">
        <f>IFERROR('Quarterly Revenue&amp;EBITDA'!Y69/'Quarterly Revenue&amp;EBITDA'!Y65 - 1, "")</f>
        <v/>
      </c>
      <c r="Z69" s="46" t="str">
        <f>IFERROR('Quarterly Revenue&amp;EBITDA'!Z69/'Quarterly Revenue&amp;EBITDA'!Z65 - 1, "")</f>
        <v/>
      </c>
      <c r="AA69" s="46" t="str">
        <f>IFERROR('Quarterly Revenue&amp;EBITDA'!AA69/'Quarterly Revenue&amp;EBITDA'!AA65 - 1, "")</f>
        <v/>
      </c>
      <c r="AB69" s="46" t="str">
        <f>IFERROR('Quarterly Revenue&amp;EBITDA'!AB69/'Quarterly Revenue&amp;EBITDA'!AB65 - 1, "")</f>
        <v/>
      </c>
      <c r="AC69" s="28"/>
    </row>
    <row r="70" spans="1:29" ht="13">
      <c r="A70" s="27" t="s">
        <v>95</v>
      </c>
      <c r="B70" s="45"/>
      <c r="C70" s="46">
        <f>IFERROR('Quarterly Revenue&amp;EBITDA'!C70/'Quarterly Revenue&amp;EBITDA'!C66 - 1, "")</f>
        <v>0.29126835502900983</v>
      </c>
      <c r="D70" s="46">
        <f>IFERROR('Quarterly Revenue&amp;EBITDA'!D70/'Quarterly Revenue&amp;EBITDA'!D66 - 1, "")</f>
        <v>0.18383330269081055</v>
      </c>
      <c r="E70" s="46">
        <f>IFERROR('Quarterly Revenue&amp;EBITDA'!E70/'Quarterly Revenue&amp;EBITDA'!E66 - 1, "")</f>
        <v>0.3336461699993547</v>
      </c>
      <c r="F70" s="46">
        <f>IFERROR('Quarterly Revenue&amp;EBITDA'!F70/'Quarterly Revenue&amp;EBITDA'!F66 - 1, "")</f>
        <v>0.23853211009174302</v>
      </c>
      <c r="G70" s="46" t="str">
        <f>IFERROR('Quarterly Revenue&amp;EBITDA'!G70/'Quarterly Revenue&amp;EBITDA'!G66 - 1, "")</f>
        <v/>
      </c>
      <c r="H70" s="46">
        <f>IFERROR('Quarterly Revenue&amp;EBITDA'!H70/'Quarterly Revenue&amp;EBITDA'!H66 - 1, "")</f>
        <v>7.5384773223594381E-2</v>
      </c>
      <c r="I70" s="46" t="str">
        <f>IFERROR('Quarterly Revenue&amp;EBITDA'!I70/'Quarterly Revenue&amp;EBITDA'!I66 - 1, "")</f>
        <v/>
      </c>
      <c r="J70" s="46">
        <f>IFERROR('Quarterly Revenue&amp;EBITDA'!J70/'Quarterly Revenue&amp;EBITDA'!J66 - 1, "")</f>
        <v>0.12114656807474811</v>
      </c>
      <c r="K70" s="46" t="str">
        <f>IFERROR('Quarterly Revenue&amp;EBITDA'!K70/'Quarterly Revenue&amp;EBITDA'!K66 - 1, "")</f>
        <v/>
      </c>
      <c r="L70" s="46">
        <f>IFERROR('Quarterly Revenue&amp;EBITDA'!L70/'Quarterly Revenue&amp;EBITDA'!L66 - 1, "")</f>
        <v>0.14560808993599061</v>
      </c>
      <c r="M70" s="46" t="str">
        <f>IFERROR('Quarterly Revenue&amp;EBITDA'!M70/'Quarterly Revenue&amp;EBITDA'!M66 - 1, "")</f>
        <v/>
      </c>
      <c r="N70" s="46" t="str">
        <f>IFERROR('Quarterly Revenue&amp;EBITDA'!N70/'Quarterly Revenue&amp;EBITDA'!N66 - 1, "")</f>
        <v/>
      </c>
      <c r="O70" s="46">
        <f>IFERROR('Quarterly Revenue&amp;EBITDA'!O70/'Quarterly Revenue&amp;EBITDA'!O66 - 1, "")</f>
        <v>0.34450826906660104</v>
      </c>
      <c r="P70" s="46" t="str">
        <f>IFERROR('Quarterly Revenue&amp;EBITDA'!P70/'Quarterly Revenue&amp;EBITDA'!P66 - 1, "")</f>
        <v/>
      </c>
      <c r="Q70" s="46" t="str">
        <f>IFERROR('Quarterly Revenue&amp;EBITDA'!Q70/'Quarterly Revenue&amp;EBITDA'!Q66 - 1, "")</f>
        <v/>
      </c>
      <c r="R70" s="46">
        <f>IFERROR('Quarterly Revenue&amp;EBITDA'!R70/'Quarterly Revenue&amp;EBITDA'!R66 - 1, "")</f>
        <v>0.71631929360180235</v>
      </c>
      <c r="S70" s="46" t="str">
        <f>IFERROR('Quarterly Revenue&amp;EBITDA'!S70/'Quarterly Revenue&amp;EBITDA'!S66 - 1, "")</f>
        <v/>
      </c>
      <c r="T70" s="46" t="str">
        <f>IFERROR('Quarterly Revenue&amp;EBITDA'!T70/'Quarterly Revenue&amp;EBITDA'!T66 - 1, "")</f>
        <v/>
      </c>
      <c r="U70" s="46">
        <f>IFERROR('Quarterly Revenue&amp;EBITDA'!U70/'Quarterly Revenue&amp;EBITDA'!U66 - 1, "")</f>
        <v>8.7580059476422667E-2</v>
      </c>
      <c r="V70" s="45"/>
      <c r="W70" s="46">
        <f>IFERROR('Quarterly Revenue&amp;EBITDA'!W70/'Quarterly Revenue&amp;EBITDA'!W66 - 1, "")</f>
        <v>0.15372087863323713</v>
      </c>
      <c r="X70" s="46" t="str">
        <f>IFERROR('Quarterly Revenue&amp;EBITDA'!X70/'Quarterly Revenue&amp;EBITDA'!X66 - 1, "")</f>
        <v/>
      </c>
      <c r="Y70" s="46" t="str">
        <f>IFERROR('Quarterly Revenue&amp;EBITDA'!Y70/'Quarterly Revenue&amp;EBITDA'!Y66 - 1, "")</f>
        <v/>
      </c>
      <c r="Z70" s="46" t="str">
        <f>IFERROR('Quarterly Revenue&amp;EBITDA'!Z70/'Quarterly Revenue&amp;EBITDA'!Z66 - 1, "")</f>
        <v/>
      </c>
      <c r="AA70" s="46" t="str">
        <f>IFERROR('Quarterly Revenue&amp;EBITDA'!AA70/'Quarterly Revenue&amp;EBITDA'!AA66 - 1, "")</f>
        <v/>
      </c>
      <c r="AB70" s="46" t="str">
        <f>IFERROR('Quarterly Revenue&amp;EBITDA'!AB70/'Quarterly Revenue&amp;EBITDA'!AB66 - 1, "")</f>
        <v/>
      </c>
      <c r="AC70" s="28"/>
    </row>
    <row r="71" spans="1:29" ht="13">
      <c r="A71" s="27" t="s">
        <v>96</v>
      </c>
      <c r="B71" s="45"/>
      <c r="C71" s="46">
        <f>IFERROR('Quarterly Revenue&amp;EBITDA'!C71/'Quarterly Revenue&amp;EBITDA'!C67 - 1, "")</f>
        <v>0.24268964183271002</v>
      </c>
      <c r="D71" s="46">
        <f>IFERROR('Quarterly Revenue&amp;EBITDA'!D71/'Quarterly Revenue&amp;EBITDA'!D67 - 1, "")</f>
        <v>0.2079589475230752</v>
      </c>
      <c r="E71" s="46">
        <f>IFERROR('Quarterly Revenue&amp;EBITDA'!E71/'Quarterly Revenue&amp;EBITDA'!E67 - 1, "")</f>
        <v>0.32021010362238522</v>
      </c>
      <c r="F71" s="46">
        <f>IFERROR('Quarterly Revenue&amp;EBITDA'!F71/'Quarterly Revenue&amp;EBITDA'!F67 - 1, "")</f>
        <v>0.31851851851851842</v>
      </c>
      <c r="G71" s="46" t="str">
        <f>IFERROR('Quarterly Revenue&amp;EBITDA'!G71/'Quarterly Revenue&amp;EBITDA'!G67 - 1, "")</f>
        <v/>
      </c>
      <c r="H71" s="46">
        <f>IFERROR('Quarterly Revenue&amp;EBITDA'!H71/'Quarterly Revenue&amp;EBITDA'!H67 - 1, "")</f>
        <v>7.5384773223594381E-2</v>
      </c>
      <c r="I71" s="46" t="str">
        <f>IFERROR('Quarterly Revenue&amp;EBITDA'!I71/'Quarterly Revenue&amp;EBITDA'!I67 - 1, "")</f>
        <v/>
      </c>
      <c r="J71" s="46">
        <f>IFERROR('Quarterly Revenue&amp;EBITDA'!J71/'Quarterly Revenue&amp;EBITDA'!J67 - 1, "")</f>
        <v>0.12114656807474811</v>
      </c>
      <c r="K71" s="46" t="str">
        <f>IFERROR('Quarterly Revenue&amp;EBITDA'!K71/'Quarterly Revenue&amp;EBITDA'!K67 - 1, "")</f>
        <v/>
      </c>
      <c r="L71" s="46">
        <f>IFERROR('Quarterly Revenue&amp;EBITDA'!L71/'Quarterly Revenue&amp;EBITDA'!L67 - 1, "")</f>
        <v>0.22102492670151608</v>
      </c>
      <c r="M71" s="46" t="str">
        <f>IFERROR('Quarterly Revenue&amp;EBITDA'!M71/'Quarterly Revenue&amp;EBITDA'!M67 - 1, "")</f>
        <v/>
      </c>
      <c r="N71" s="46" t="str">
        <f>IFERROR('Quarterly Revenue&amp;EBITDA'!N71/'Quarterly Revenue&amp;EBITDA'!N67 - 1, "")</f>
        <v/>
      </c>
      <c r="O71" s="46">
        <f>IFERROR('Quarterly Revenue&amp;EBITDA'!O71/'Quarterly Revenue&amp;EBITDA'!O67 - 1, "")</f>
        <v>0.34450826906660104</v>
      </c>
      <c r="P71" s="46" t="str">
        <f>IFERROR('Quarterly Revenue&amp;EBITDA'!P71/'Quarterly Revenue&amp;EBITDA'!P67 - 1, "")</f>
        <v/>
      </c>
      <c r="Q71" s="46" t="str">
        <f>IFERROR('Quarterly Revenue&amp;EBITDA'!Q71/'Quarterly Revenue&amp;EBITDA'!Q67 - 1, "")</f>
        <v/>
      </c>
      <c r="R71" s="46">
        <f>IFERROR('Quarterly Revenue&amp;EBITDA'!R71/'Quarterly Revenue&amp;EBITDA'!R67 - 1, "")</f>
        <v>5.0470029373156811E-2</v>
      </c>
      <c r="S71" s="46" t="str">
        <f>IFERROR('Quarterly Revenue&amp;EBITDA'!S71/'Quarterly Revenue&amp;EBITDA'!S67 - 1, "")</f>
        <v/>
      </c>
      <c r="T71" s="46" t="str">
        <f>IFERROR('Quarterly Revenue&amp;EBITDA'!T71/'Quarterly Revenue&amp;EBITDA'!T67 - 1, "")</f>
        <v/>
      </c>
      <c r="U71" s="46">
        <f>IFERROR('Quarterly Revenue&amp;EBITDA'!U71/'Quarterly Revenue&amp;EBITDA'!U67 - 1, "")</f>
        <v>0.10035855835221352</v>
      </c>
      <c r="V71" s="45"/>
      <c r="W71" s="46">
        <f>IFERROR('Quarterly Revenue&amp;EBITDA'!W71/'Quarterly Revenue&amp;EBITDA'!W67 - 1, "")</f>
        <v>0.15372087863323713</v>
      </c>
      <c r="X71" s="46">
        <f>IFERROR('Quarterly Revenue&amp;EBITDA'!X71/'Quarterly Revenue&amp;EBITDA'!X67 - 1, "")</f>
        <v>0.29609210856693524</v>
      </c>
      <c r="Y71" s="46" t="str">
        <f>IFERROR('Quarterly Revenue&amp;EBITDA'!Y71/'Quarterly Revenue&amp;EBITDA'!Y67 - 1, "")</f>
        <v/>
      </c>
      <c r="Z71" s="46" t="str">
        <f>IFERROR('Quarterly Revenue&amp;EBITDA'!Z71/'Quarterly Revenue&amp;EBITDA'!Z67 - 1, "")</f>
        <v/>
      </c>
      <c r="AA71" s="46" t="str">
        <f>IFERROR('Quarterly Revenue&amp;EBITDA'!AA71/'Quarterly Revenue&amp;EBITDA'!AA67 - 1, "")</f>
        <v/>
      </c>
      <c r="AB71" s="46" t="str">
        <f>IFERROR('Quarterly Revenue&amp;EBITDA'!AB71/'Quarterly Revenue&amp;EBITDA'!AB67 - 1, "")</f>
        <v/>
      </c>
      <c r="AC71" s="28"/>
    </row>
    <row r="72" spans="1:29" ht="13">
      <c r="A72" s="27" t="s">
        <v>97</v>
      </c>
      <c r="B72" s="45"/>
      <c r="C72" s="46">
        <f>IFERROR('Quarterly Revenue&amp;EBITDA'!C72/'Quarterly Revenue&amp;EBITDA'!C68 - 1, "")</f>
        <v>0.24268964183271002</v>
      </c>
      <c r="D72" s="46">
        <f>IFERROR('Quarterly Revenue&amp;EBITDA'!D72/'Quarterly Revenue&amp;EBITDA'!D68 - 1, "")</f>
        <v>0.2079589475230752</v>
      </c>
      <c r="E72" s="46">
        <f>IFERROR('Quarterly Revenue&amp;EBITDA'!E72/'Quarterly Revenue&amp;EBITDA'!E68 - 1, "")</f>
        <v>0.32021010362238522</v>
      </c>
      <c r="F72" s="46">
        <f>IFERROR('Quarterly Revenue&amp;EBITDA'!F72/'Quarterly Revenue&amp;EBITDA'!F68 - 1, "")</f>
        <v>0.31851851851851842</v>
      </c>
      <c r="G72" s="46" t="str">
        <f>IFERROR('Quarterly Revenue&amp;EBITDA'!G72/'Quarterly Revenue&amp;EBITDA'!G68 - 1, "")</f>
        <v/>
      </c>
      <c r="H72" s="46">
        <f>IFERROR('Quarterly Revenue&amp;EBITDA'!H72/'Quarterly Revenue&amp;EBITDA'!H68 - 1, "")</f>
        <v>-0.76530012690163152</v>
      </c>
      <c r="I72" s="46" t="str">
        <f>IFERROR('Quarterly Revenue&amp;EBITDA'!I72/'Quarterly Revenue&amp;EBITDA'!I68 - 1, "")</f>
        <v/>
      </c>
      <c r="J72" s="46">
        <f>IFERROR('Quarterly Revenue&amp;EBITDA'!J72/'Quarterly Revenue&amp;EBITDA'!J68 - 1, "")</f>
        <v>0.17140206515087142</v>
      </c>
      <c r="K72" s="46" t="str">
        <f>IFERROR('Quarterly Revenue&amp;EBITDA'!K72/'Quarterly Revenue&amp;EBITDA'!K68 - 1, "")</f>
        <v/>
      </c>
      <c r="L72" s="46">
        <f>IFERROR('Quarterly Revenue&amp;EBITDA'!L72/'Quarterly Revenue&amp;EBITDA'!L68 - 1, "")</f>
        <v>0.22102492670151608</v>
      </c>
      <c r="M72" s="46" t="str">
        <f>IFERROR('Quarterly Revenue&amp;EBITDA'!M72/'Quarterly Revenue&amp;EBITDA'!M68 - 1, "")</f>
        <v/>
      </c>
      <c r="N72" s="46" t="str">
        <f>IFERROR('Quarterly Revenue&amp;EBITDA'!N72/'Quarterly Revenue&amp;EBITDA'!N68 - 1, "")</f>
        <v/>
      </c>
      <c r="O72" s="46">
        <f>IFERROR('Quarterly Revenue&amp;EBITDA'!O72/'Quarterly Revenue&amp;EBITDA'!O68 - 1, "")</f>
        <v>0.34450826906660104</v>
      </c>
      <c r="P72" s="46" t="str">
        <f>IFERROR('Quarterly Revenue&amp;EBITDA'!P72/'Quarterly Revenue&amp;EBITDA'!P68 - 1, "")</f>
        <v/>
      </c>
      <c r="Q72" s="46" t="str">
        <f>IFERROR('Quarterly Revenue&amp;EBITDA'!Q72/'Quarterly Revenue&amp;EBITDA'!Q68 - 1, "")</f>
        <v/>
      </c>
      <c r="R72" s="46">
        <f>IFERROR('Quarterly Revenue&amp;EBITDA'!R72/'Quarterly Revenue&amp;EBITDA'!R68 - 1, "")</f>
        <v>5.0470029373156811E-2</v>
      </c>
      <c r="S72" s="46" t="str">
        <f>IFERROR('Quarterly Revenue&amp;EBITDA'!S72/'Quarterly Revenue&amp;EBITDA'!S68 - 1, "")</f>
        <v/>
      </c>
      <c r="T72" s="46" t="str">
        <f>IFERROR('Quarterly Revenue&amp;EBITDA'!T72/'Quarterly Revenue&amp;EBITDA'!T68 - 1, "")</f>
        <v/>
      </c>
      <c r="U72" s="46">
        <f>IFERROR('Quarterly Revenue&amp;EBITDA'!U72/'Quarterly Revenue&amp;EBITDA'!U68 - 1, "")</f>
        <v>0.10035855835221352</v>
      </c>
      <c r="V72" s="45"/>
      <c r="W72" s="46">
        <f>IFERROR('Quarterly Revenue&amp;EBITDA'!W72/'Quarterly Revenue&amp;EBITDA'!W68 - 1, "")</f>
        <v>0.15372087863323713</v>
      </c>
      <c r="X72" s="46">
        <f>IFERROR('Quarterly Revenue&amp;EBITDA'!X72/'Quarterly Revenue&amp;EBITDA'!X68 - 1, "")</f>
        <v>0.29609210856693524</v>
      </c>
      <c r="Y72" s="46" t="str">
        <f>IFERROR('Quarterly Revenue&amp;EBITDA'!Y72/'Quarterly Revenue&amp;EBITDA'!Y68 - 1, "")</f>
        <v/>
      </c>
      <c r="Z72" s="46" t="str">
        <f>IFERROR('Quarterly Revenue&amp;EBITDA'!Z72/'Quarterly Revenue&amp;EBITDA'!Z68 - 1, "")</f>
        <v/>
      </c>
      <c r="AA72" s="46" t="str">
        <f>IFERROR('Quarterly Revenue&amp;EBITDA'!AA72/'Quarterly Revenue&amp;EBITDA'!AA68 - 1, "")</f>
        <v/>
      </c>
      <c r="AB72" s="46" t="str">
        <f>IFERROR('Quarterly Revenue&amp;EBITDA'!AB72/'Quarterly Revenue&amp;EBITDA'!AB68 - 1, "")</f>
        <v/>
      </c>
      <c r="AC72" s="28"/>
    </row>
    <row r="73" spans="1:29" ht="13">
      <c r="A73" s="27" t="s">
        <v>98</v>
      </c>
      <c r="B73" s="45"/>
      <c r="C73" s="46">
        <f>IFERROR('Quarterly Revenue&amp;EBITDA'!C73/'Quarterly Revenue&amp;EBITDA'!C69 - 1, "")</f>
        <v>0.24268964183271002</v>
      </c>
      <c r="D73" s="46">
        <f>IFERROR('Quarterly Revenue&amp;EBITDA'!D73/'Quarterly Revenue&amp;EBITDA'!D69 - 1, "")</f>
        <v>0.2079589475230752</v>
      </c>
      <c r="E73" s="46">
        <f>IFERROR('Quarterly Revenue&amp;EBITDA'!E73/'Quarterly Revenue&amp;EBITDA'!E69 - 1, "")</f>
        <v>0.32021010362238522</v>
      </c>
      <c r="F73" s="46">
        <f>IFERROR('Quarterly Revenue&amp;EBITDA'!F73/'Quarterly Revenue&amp;EBITDA'!F69 - 1, "")</f>
        <v>0.31851851851851842</v>
      </c>
      <c r="G73" s="46" t="str">
        <f>IFERROR('Quarterly Revenue&amp;EBITDA'!G73/'Quarterly Revenue&amp;EBITDA'!G69 - 1, "")</f>
        <v/>
      </c>
      <c r="H73" s="46">
        <f>IFERROR('Quarterly Revenue&amp;EBITDA'!H73/'Quarterly Revenue&amp;EBITDA'!H69 - 1, "")</f>
        <v>-0.76530012690163152</v>
      </c>
      <c r="I73" s="46" t="str">
        <f>IFERROR('Quarterly Revenue&amp;EBITDA'!I73/'Quarterly Revenue&amp;EBITDA'!I69 - 1, "")</f>
        <v/>
      </c>
      <c r="J73" s="46">
        <f>IFERROR('Quarterly Revenue&amp;EBITDA'!J73/'Quarterly Revenue&amp;EBITDA'!J69 - 1, "")</f>
        <v>0.17140206515087142</v>
      </c>
      <c r="K73" s="46" t="str">
        <f>IFERROR('Quarterly Revenue&amp;EBITDA'!K73/'Quarterly Revenue&amp;EBITDA'!K69 - 1, "")</f>
        <v/>
      </c>
      <c r="L73" s="46">
        <f>IFERROR('Quarterly Revenue&amp;EBITDA'!L73/'Quarterly Revenue&amp;EBITDA'!L69 - 1, "")</f>
        <v>0.22102492670151608</v>
      </c>
      <c r="M73" s="46" t="str">
        <f>IFERROR('Quarterly Revenue&amp;EBITDA'!M73/'Quarterly Revenue&amp;EBITDA'!M69 - 1, "")</f>
        <v/>
      </c>
      <c r="N73" s="46" t="str">
        <f>IFERROR('Quarterly Revenue&amp;EBITDA'!N73/'Quarterly Revenue&amp;EBITDA'!N69 - 1, "")</f>
        <v/>
      </c>
      <c r="O73" s="46">
        <f>IFERROR('Quarterly Revenue&amp;EBITDA'!O73/'Quarterly Revenue&amp;EBITDA'!O69 - 1, "")</f>
        <v>-1.5292231202178153E-2</v>
      </c>
      <c r="P73" s="46" t="str">
        <f>IFERROR('Quarterly Revenue&amp;EBITDA'!P73/'Quarterly Revenue&amp;EBITDA'!P69 - 1, "")</f>
        <v/>
      </c>
      <c r="Q73" s="46" t="str">
        <f>IFERROR('Quarterly Revenue&amp;EBITDA'!Q73/'Quarterly Revenue&amp;EBITDA'!Q69 - 1, "")</f>
        <v/>
      </c>
      <c r="R73" s="46">
        <f>IFERROR('Quarterly Revenue&amp;EBITDA'!R73/'Quarterly Revenue&amp;EBITDA'!R69 - 1, "")</f>
        <v>5.0470029373156811E-2</v>
      </c>
      <c r="S73" s="46" t="str">
        <f>IFERROR('Quarterly Revenue&amp;EBITDA'!S73/'Quarterly Revenue&amp;EBITDA'!S69 - 1, "")</f>
        <v/>
      </c>
      <c r="T73" s="46" t="str">
        <f>IFERROR('Quarterly Revenue&amp;EBITDA'!T73/'Quarterly Revenue&amp;EBITDA'!T69 - 1, "")</f>
        <v/>
      </c>
      <c r="U73" s="46">
        <f>IFERROR('Quarterly Revenue&amp;EBITDA'!U73/'Quarterly Revenue&amp;EBITDA'!U69 - 1, "")</f>
        <v>0.10035855835221352</v>
      </c>
      <c r="V73" s="45"/>
      <c r="W73" s="46">
        <f>IFERROR('Quarterly Revenue&amp;EBITDA'!W73/'Quarterly Revenue&amp;EBITDA'!W69 - 1, "")</f>
        <v>-0.12725248181667825</v>
      </c>
      <c r="X73" s="46">
        <f>IFERROR('Quarterly Revenue&amp;EBITDA'!X73/'Quarterly Revenue&amp;EBITDA'!X69 - 1, "")</f>
        <v>0.29609210856693524</v>
      </c>
      <c r="Y73" s="46" t="str">
        <f>IFERROR('Quarterly Revenue&amp;EBITDA'!Y73/'Quarterly Revenue&amp;EBITDA'!Y69 - 1, "")</f>
        <v/>
      </c>
      <c r="Z73" s="46" t="str">
        <f>IFERROR('Quarterly Revenue&amp;EBITDA'!Z73/'Quarterly Revenue&amp;EBITDA'!Z69 - 1, "")</f>
        <v/>
      </c>
      <c r="AA73" s="46" t="str">
        <f>IFERROR('Quarterly Revenue&amp;EBITDA'!AA73/'Quarterly Revenue&amp;EBITDA'!AA69 - 1, "")</f>
        <v/>
      </c>
      <c r="AB73" s="46" t="str">
        <f>IFERROR('Quarterly Revenue&amp;EBITDA'!AB73/'Quarterly Revenue&amp;EBITDA'!AB69 - 1, "")</f>
        <v/>
      </c>
      <c r="AC73" s="28"/>
    </row>
    <row r="74" spans="1:29" ht="13">
      <c r="A74" s="27" t="s">
        <v>99</v>
      </c>
      <c r="B74" s="45"/>
      <c r="C74" s="46">
        <f>IFERROR('Quarterly Revenue&amp;EBITDA'!C74/'Quarterly Revenue&amp;EBITDA'!C70 - 1, "")</f>
        <v>0.24268964183271002</v>
      </c>
      <c r="D74" s="46">
        <f>IFERROR('Quarterly Revenue&amp;EBITDA'!D74/'Quarterly Revenue&amp;EBITDA'!D70 - 1, "")</f>
        <v>0.2079589475230752</v>
      </c>
      <c r="E74" s="46">
        <f>IFERROR('Quarterly Revenue&amp;EBITDA'!E74/'Quarterly Revenue&amp;EBITDA'!E70 - 1, "")</f>
        <v>0.32021010362238522</v>
      </c>
      <c r="F74" s="46">
        <f>IFERROR('Quarterly Revenue&amp;EBITDA'!F74/'Quarterly Revenue&amp;EBITDA'!F70 - 1, "")</f>
        <v>0.31851851851851842</v>
      </c>
      <c r="G74" s="46" t="str">
        <f>IFERROR('Quarterly Revenue&amp;EBITDA'!G74/'Quarterly Revenue&amp;EBITDA'!G70 - 1, "")</f>
        <v/>
      </c>
      <c r="H74" s="46">
        <f>IFERROR('Quarterly Revenue&amp;EBITDA'!H74/'Quarterly Revenue&amp;EBITDA'!H70 - 1, "")</f>
        <v>-0.76530012690163152</v>
      </c>
      <c r="I74" s="46" t="str">
        <f>IFERROR('Quarterly Revenue&amp;EBITDA'!I74/'Quarterly Revenue&amp;EBITDA'!I70 - 1, "")</f>
        <v/>
      </c>
      <c r="J74" s="46">
        <f>IFERROR('Quarterly Revenue&amp;EBITDA'!J74/'Quarterly Revenue&amp;EBITDA'!J70 - 1, "")</f>
        <v>0.17140206515087142</v>
      </c>
      <c r="K74" s="46" t="str">
        <f>IFERROR('Quarterly Revenue&amp;EBITDA'!K74/'Quarterly Revenue&amp;EBITDA'!K70 - 1, "")</f>
        <v/>
      </c>
      <c r="L74" s="46">
        <f>IFERROR('Quarterly Revenue&amp;EBITDA'!L74/'Quarterly Revenue&amp;EBITDA'!L70 - 1, "")</f>
        <v>0.22102492670151608</v>
      </c>
      <c r="M74" s="46" t="str">
        <f>IFERROR('Quarterly Revenue&amp;EBITDA'!M74/'Quarterly Revenue&amp;EBITDA'!M70 - 1, "")</f>
        <v/>
      </c>
      <c r="N74" s="46" t="str">
        <f>IFERROR('Quarterly Revenue&amp;EBITDA'!N74/'Quarterly Revenue&amp;EBITDA'!N70 - 1, "")</f>
        <v/>
      </c>
      <c r="O74" s="46">
        <f>IFERROR('Quarterly Revenue&amp;EBITDA'!O74/'Quarterly Revenue&amp;EBITDA'!O70 - 1, "")</f>
        <v>-1.5292231202178153E-2</v>
      </c>
      <c r="P74" s="46" t="str">
        <f>IFERROR('Quarterly Revenue&amp;EBITDA'!P74/'Quarterly Revenue&amp;EBITDA'!P70 - 1, "")</f>
        <v/>
      </c>
      <c r="Q74" s="46" t="str">
        <f>IFERROR('Quarterly Revenue&amp;EBITDA'!Q74/'Quarterly Revenue&amp;EBITDA'!Q70 - 1, "")</f>
        <v/>
      </c>
      <c r="R74" s="46">
        <f>IFERROR('Quarterly Revenue&amp;EBITDA'!R74/'Quarterly Revenue&amp;EBITDA'!R70 - 1, "")</f>
        <v>5.0470029373156811E-2</v>
      </c>
      <c r="S74" s="46" t="str">
        <f>IFERROR('Quarterly Revenue&amp;EBITDA'!S74/'Quarterly Revenue&amp;EBITDA'!S70 - 1, "")</f>
        <v/>
      </c>
      <c r="T74" s="46" t="str">
        <f>IFERROR('Quarterly Revenue&amp;EBITDA'!T74/'Quarterly Revenue&amp;EBITDA'!T70 - 1, "")</f>
        <v/>
      </c>
      <c r="U74" s="46">
        <f>IFERROR('Quarterly Revenue&amp;EBITDA'!U74/'Quarterly Revenue&amp;EBITDA'!U70 - 1, "")</f>
        <v>0.10035855835221352</v>
      </c>
      <c r="V74" s="45"/>
      <c r="W74" s="46">
        <f>IFERROR('Quarterly Revenue&amp;EBITDA'!W74/'Quarterly Revenue&amp;EBITDA'!W70 - 1, "")</f>
        <v>-0.12725248181667825</v>
      </c>
      <c r="X74" s="46">
        <f>IFERROR('Quarterly Revenue&amp;EBITDA'!X74/'Quarterly Revenue&amp;EBITDA'!X70 - 1, "")</f>
        <v>0.29609210856693524</v>
      </c>
      <c r="Y74" s="46" t="str">
        <f>IFERROR('Quarterly Revenue&amp;EBITDA'!Y74/'Quarterly Revenue&amp;EBITDA'!Y70 - 1, "")</f>
        <v/>
      </c>
      <c r="Z74" s="46" t="str">
        <f>IFERROR('Quarterly Revenue&amp;EBITDA'!Z74/'Quarterly Revenue&amp;EBITDA'!Z70 - 1, "")</f>
        <v/>
      </c>
      <c r="AA74" s="46" t="str">
        <f>IFERROR('Quarterly Revenue&amp;EBITDA'!AA74/'Quarterly Revenue&amp;EBITDA'!AA70 - 1, "")</f>
        <v/>
      </c>
      <c r="AB74" s="46" t="str">
        <f>IFERROR('Quarterly Revenue&amp;EBITDA'!AB74/'Quarterly Revenue&amp;EBITDA'!AB70 - 1, "")</f>
        <v/>
      </c>
      <c r="AC74" s="28"/>
    </row>
    <row r="75" spans="1:29" ht="13">
      <c r="A75" s="27" t="s">
        <v>100</v>
      </c>
      <c r="B75" s="46"/>
      <c r="C75" s="46">
        <f>IFERROR('Quarterly Revenue&amp;EBITDA'!C75/'Quarterly Revenue&amp;EBITDA'!C71 - 1, "")</f>
        <v>9.2634291209955588E-2</v>
      </c>
      <c r="D75" s="46">
        <f>IFERROR('Quarterly Revenue&amp;EBITDA'!D75/'Quarterly Revenue&amp;EBITDA'!D71 - 1, "")</f>
        <v>0.15768792666242737</v>
      </c>
      <c r="E75" s="46">
        <f>IFERROR('Quarterly Revenue&amp;EBITDA'!E75/'Quarterly Revenue&amp;EBITDA'!E71 - 1, "")</f>
        <v>0.39816919344401014</v>
      </c>
      <c r="F75" s="46">
        <f>IFERROR('Quarterly Revenue&amp;EBITDA'!F75/'Quarterly Revenue&amp;EBITDA'!F71 - 1, "")</f>
        <v>0.1974317817014446</v>
      </c>
      <c r="G75" s="46">
        <f>IFERROR('Quarterly Revenue&amp;EBITDA'!G75/'Quarterly Revenue&amp;EBITDA'!G71 - 1, "")</f>
        <v>0.42938278836936838</v>
      </c>
      <c r="H75" s="46">
        <f>IFERROR('Quarterly Revenue&amp;EBITDA'!H75/'Quarterly Revenue&amp;EBITDA'!H71 - 1, "")</f>
        <v>-0.76530012690163152</v>
      </c>
      <c r="I75" s="46" t="str">
        <f>IFERROR('Quarterly Revenue&amp;EBITDA'!I75/'Quarterly Revenue&amp;EBITDA'!I71 - 1, "")</f>
        <v/>
      </c>
      <c r="J75" s="46">
        <f>IFERROR('Quarterly Revenue&amp;EBITDA'!J75/'Quarterly Revenue&amp;EBITDA'!J71 - 1, "")</f>
        <v>0.17140206515087142</v>
      </c>
      <c r="K75" s="46" t="str">
        <f>IFERROR('Quarterly Revenue&amp;EBITDA'!K75/'Quarterly Revenue&amp;EBITDA'!K71 - 1, "")</f>
        <v/>
      </c>
      <c r="L75" s="46">
        <f>IFERROR('Quarterly Revenue&amp;EBITDA'!L75/'Quarterly Revenue&amp;EBITDA'!L71 - 1, "")</f>
        <v>0.15421589969600324</v>
      </c>
      <c r="M75" s="46" t="str">
        <f>IFERROR('Quarterly Revenue&amp;EBITDA'!M75/'Quarterly Revenue&amp;EBITDA'!M71 - 1, "")</f>
        <v/>
      </c>
      <c r="N75" s="46" t="str">
        <f>IFERROR('Quarterly Revenue&amp;EBITDA'!N75/'Quarterly Revenue&amp;EBITDA'!N71 - 1, "")</f>
        <v/>
      </c>
      <c r="O75" s="46">
        <f>IFERROR('Quarterly Revenue&amp;EBITDA'!O75/'Quarterly Revenue&amp;EBITDA'!O71 - 1, "")</f>
        <v>-1.5292231202178153E-2</v>
      </c>
      <c r="P75" s="46" t="str">
        <f>IFERROR('Quarterly Revenue&amp;EBITDA'!P75/'Quarterly Revenue&amp;EBITDA'!P71 - 1, "")</f>
        <v/>
      </c>
      <c r="Q75" s="46" t="str">
        <f>IFERROR('Quarterly Revenue&amp;EBITDA'!Q75/'Quarterly Revenue&amp;EBITDA'!Q71 - 1, "")</f>
        <v/>
      </c>
      <c r="R75" s="46">
        <f>IFERROR('Quarterly Revenue&amp;EBITDA'!R75/'Quarterly Revenue&amp;EBITDA'!R71 - 1, "")</f>
        <v>0.52326330712720703</v>
      </c>
      <c r="S75" s="46" t="str">
        <f>IFERROR('Quarterly Revenue&amp;EBITDA'!S75/'Quarterly Revenue&amp;EBITDA'!S71 - 1, "")</f>
        <v/>
      </c>
      <c r="T75" s="46" t="str">
        <f>IFERROR('Quarterly Revenue&amp;EBITDA'!T75/'Quarterly Revenue&amp;EBITDA'!T71 - 1, "")</f>
        <v/>
      </c>
      <c r="U75" s="46"/>
      <c r="V75" s="45"/>
      <c r="W75" s="46">
        <f>IFERROR('Quarterly Revenue&amp;EBITDA'!W75/'Quarterly Revenue&amp;EBITDA'!W71 - 1, "")</f>
        <v>-0.12725248181667825</v>
      </c>
      <c r="X75" s="46">
        <f>IFERROR('Quarterly Revenue&amp;EBITDA'!X75/'Quarterly Revenue&amp;EBITDA'!X71 - 1, "")</f>
        <v>0.1787890139498256</v>
      </c>
      <c r="Y75" s="46" t="str">
        <f>IFERROR('Quarterly Revenue&amp;EBITDA'!Y75/'Quarterly Revenue&amp;EBITDA'!Y71 - 1, "")</f>
        <v/>
      </c>
      <c r="Z75" s="46"/>
      <c r="AA75" s="46" t="str">
        <f>IFERROR('Quarterly Revenue&amp;EBITDA'!AA75/'Quarterly Revenue&amp;EBITDA'!AA71 - 1, "")</f>
        <v/>
      </c>
      <c r="AB75" s="46" t="str">
        <f>IFERROR('Quarterly Revenue&amp;EBITDA'!AB75/'Quarterly Revenue&amp;EBITDA'!AB71 - 1, "")</f>
        <v/>
      </c>
      <c r="AC75" s="28"/>
    </row>
    <row r="76" spans="1:29" ht="13">
      <c r="A76" s="27" t="s">
        <v>101</v>
      </c>
      <c r="B76" s="46"/>
      <c r="C76" s="46">
        <f>IFERROR('Quarterly Revenue&amp;EBITDA'!C76/'Quarterly Revenue&amp;EBITDA'!C72 - 1, "")</f>
        <v>9.2634291209955588E-2</v>
      </c>
      <c r="D76" s="46">
        <f>IFERROR('Quarterly Revenue&amp;EBITDA'!D76/'Quarterly Revenue&amp;EBITDA'!D72 - 1, "")</f>
        <v>0.15768792666242737</v>
      </c>
      <c r="E76" s="46">
        <f>IFERROR('Quarterly Revenue&amp;EBITDA'!E76/'Quarterly Revenue&amp;EBITDA'!E72 - 1, "")</f>
        <v>0.39816919344401014</v>
      </c>
      <c r="F76" s="46">
        <f>IFERROR('Quarterly Revenue&amp;EBITDA'!F76/'Quarterly Revenue&amp;EBITDA'!F72 - 1, "")</f>
        <v>0.1974317817014446</v>
      </c>
      <c r="G76" s="46">
        <f>IFERROR('Quarterly Revenue&amp;EBITDA'!G76/'Quarterly Revenue&amp;EBITDA'!G72 - 1, "")</f>
        <v>0.42938278836936838</v>
      </c>
      <c r="H76" s="46">
        <f>IFERROR('Quarterly Revenue&amp;EBITDA'!H76/'Quarterly Revenue&amp;EBITDA'!H72 - 1, "")</f>
        <v>2.4030131948253057</v>
      </c>
      <c r="I76" s="46" t="str">
        <f>IFERROR('Quarterly Revenue&amp;EBITDA'!I76/'Quarterly Revenue&amp;EBITDA'!I72 - 1, "")</f>
        <v/>
      </c>
      <c r="J76" s="46">
        <f>IFERROR('Quarterly Revenue&amp;EBITDA'!J76/'Quarterly Revenue&amp;EBITDA'!J72 - 1, "")</f>
        <v>0.12163452739463931</v>
      </c>
      <c r="K76" s="46" t="str">
        <f>IFERROR('Quarterly Revenue&amp;EBITDA'!K76/'Quarterly Revenue&amp;EBITDA'!K72 - 1, "")</f>
        <v/>
      </c>
      <c r="L76" s="46">
        <f>IFERROR('Quarterly Revenue&amp;EBITDA'!L76/'Quarterly Revenue&amp;EBITDA'!L72 - 1, "")</f>
        <v>0.15421589969600324</v>
      </c>
      <c r="M76" s="46" t="str">
        <f>IFERROR('Quarterly Revenue&amp;EBITDA'!M76/'Quarterly Revenue&amp;EBITDA'!M72 - 1, "")</f>
        <v/>
      </c>
      <c r="N76" s="46" t="str">
        <f>IFERROR('Quarterly Revenue&amp;EBITDA'!N76/'Quarterly Revenue&amp;EBITDA'!N72 - 1, "")</f>
        <v/>
      </c>
      <c r="O76" s="46">
        <f>IFERROR('Quarterly Revenue&amp;EBITDA'!O76/'Quarterly Revenue&amp;EBITDA'!O72 - 1, "")</f>
        <v>-1.5292231202178153E-2</v>
      </c>
      <c r="P76" s="46" t="str">
        <f>IFERROR('Quarterly Revenue&amp;EBITDA'!P76/'Quarterly Revenue&amp;EBITDA'!P72 - 1, "")</f>
        <v/>
      </c>
      <c r="Q76" s="46" t="str">
        <f>IFERROR('Quarterly Revenue&amp;EBITDA'!Q76/'Quarterly Revenue&amp;EBITDA'!Q72 - 1, "")</f>
        <v/>
      </c>
      <c r="R76" s="46">
        <f>IFERROR('Quarterly Revenue&amp;EBITDA'!R76/'Quarterly Revenue&amp;EBITDA'!R72 - 1, "")</f>
        <v>0.52326330712720703</v>
      </c>
      <c r="S76" s="46" t="str">
        <f>IFERROR('Quarterly Revenue&amp;EBITDA'!S76/'Quarterly Revenue&amp;EBITDA'!S72 - 1, "")</f>
        <v/>
      </c>
      <c r="T76" s="46" t="str">
        <f>IFERROR('Quarterly Revenue&amp;EBITDA'!T76/'Quarterly Revenue&amp;EBITDA'!T72 - 1, "")</f>
        <v/>
      </c>
      <c r="U76" s="46"/>
      <c r="V76" s="45"/>
      <c r="W76" s="46">
        <f>IFERROR('Quarterly Revenue&amp;EBITDA'!W76/'Quarterly Revenue&amp;EBITDA'!W72 - 1, "")</f>
        <v>-0.12725248181667825</v>
      </c>
      <c r="X76" s="46">
        <f>IFERROR('Quarterly Revenue&amp;EBITDA'!X76/'Quarterly Revenue&amp;EBITDA'!X72 - 1, "")</f>
        <v>0.1787890139498256</v>
      </c>
      <c r="Y76" s="46" t="str">
        <f>IFERROR('Quarterly Revenue&amp;EBITDA'!Y76/'Quarterly Revenue&amp;EBITDA'!Y72 - 1, "")</f>
        <v/>
      </c>
      <c r="Z76" s="46"/>
      <c r="AA76" s="46" t="str">
        <f>IFERROR('Quarterly Revenue&amp;EBITDA'!AA76/'Quarterly Revenue&amp;EBITDA'!AA72 - 1, "")</f>
        <v/>
      </c>
      <c r="AB76" s="46" t="str">
        <f>IFERROR('Quarterly Revenue&amp;EBITDA'!AB76/'Quarterly Revenue&amp;EBITDA'!AB72 - 1, "")</f>
        <v/>
      </c>
      <c r="AC76" s="28"/>
    </row>
    <row r="77" spans="1:29" ht="13">
      <c r="A77" s="27" t="s">
        <v>102</v>
      </c>
      <c r="B77" s="46" t="str">
        <f>IFERROR('Quarterly Revenue&amp;EBITDA'!B77/'Quarterly Revenue&amp;EBITDA'!B73 - 1, "")</f>
        <v/>
      </c>
      <c r="C77" s="46">
        <f>IFERROR('Quarterly Revenue&amp;EBITDA'!C77/'Quarterly Revenue&amp;EBITDA'!C73 - 1, "")</f>
        <v>9.2634291209955588E-2</v>
      </c>
      <c r="D77" s="46">
        <f>IFERROR('Quarterly Revenue&amp;EBITDA'!D77/'Quarterly Revenue&amp;EBITDA'!D73 - 1, "")</f>
        <v>0.15768792666242737</v>
      </c>
      <c r="E77" s="46">
        <f>IFERROR('Quarterly Revenue&amp;EBITDA'!E77/'Quarterly Revenue&amp;EBITDA'!E73 - 1, "")</f>
        <v>0.39816919344401014</v>
      </c>
      <c r="F77" s="46">
        <f>IFERROR('Quarterly Revenue&amp;EBITDA'!F77/'Quarterly Revenue&amp;EBITDA'!F73 - 1, "")</f>
        <v>0.1974317817014446</v>
      </c>
      <c r="G77" s="46">
        <f>IFERROR('Quarterly Revenue&amp;EBITDA'!G77/'Quarterly Revenue&amp;EBITDA'!G73 - 1, "")</f>
        <v>0.42938278836936838</v>
      </c>
      <c r="H77" s="46">
        <f>IFERROR('Quarterly Revenue&amp;EBITDA'!H77/'Quarterly Revenue&amp;EBITDA'!H73 - 1, "")</f>
        <v>2.4030131948253057</v>
      </c>
      <c r="I77" s="46" t="str">
        <f>IFERROR('Quarterly Revenue&amp;EBITDA'!I77/'Quarterly Revenue&amp;EBITDA'!I73 - 1, "")</f>
        <v/>
      </c>
      <c r="J77" s="46">
        <f>IFERROR('Quarterly Revenue&amp;EBITDA'!J77/'Quarterly Revenue&amp;EBITDA'!J73 - 1, "")</f>
        <v>0.12163452739463931</v>
      </c>
      <c r="K77" s="46" t="str">
        <f>IFERROR('Quarterly Revenue&amp;EBITDA'!K77/'Quarterly Revenue&amp;EBITDA'!K73 - 1, "")</f>
        <v/>
      </c>
      <c r="L77" s="46">
        <f>IFERROR('Quarterly Revenue&amp;EBITDA'!L77/'Quarterly Revenue&amp;EBITDA'!L73 - 1, "")</f>
        <v>0.15421589969600324</v>
      </c>
      <c r="M77" s="46" t="str">
        <f>IFERROR('Quarterly Revenue&amp;EBITDA'!M77/'Quarterly Revenue&amp;EBITDA'!M73 - 1, "")</f>
        <v/>
      </c>
      <c r="N77" s="46" t="str">
        <f>IFERROR('Quarterly Revenue&amp;EBITDA'!N77/'Quarterly Revenue&amp;EBITDA'!N73 - 1, "")</f>
        <v/>
      </c>
      <c r="O77" s="46">
        <f>IFERROR('Quarterly Revenue&amp;EBITDA'!O77/'Quarterly Revenue&amp;EBITDA'!O73 - 1, "")</f>
        <v>0.25346986951104888</v>
      </c>
      <c r="P77" s="46" t="str">
        <f>IFERROR('Quarterly Revenue&amp;EBITDA'!P77/'Quarterly Revenue&amp;EBITDA'!P73 - 1, "")</f>
        <v/>
      </c>
      <c r="Q77" s="46" t="str">
        <f>IFERROR('Quarterly Revenue&amp;EBITDA'!Q77/'Quarterly Revenue&amp;EBITDA'!Q73 - 1, "")</f>
        <v/>
      </c>
      <c r="R77" s="46">
        <f>IFERROR('Quarterly Revenue&amp;EBITDA'!R77/'Quarterly Revenue&amp;EBITDA'!R73 - 1, "")</f>
        <v>0.52326330712720703</v>
      </c>
      <c r="S77" s="46" t="str">
        <f>IFERROR('Quarterly Revenue&amp;EBITDA'!S77/'Quarterly Revenue&amp;EBITDA'!S73 - 1, "")</f>
        <v/>
      </c>
      <c r="T77" s="46" t="str">
        <f>IFERROR('Quarterly Revenue&amp;EBITDA'!T77/'Quarterly Revenue&amp;EBITDA'!T73 - 1, "")</f>
        <v/>
      </c>
      <c r="U77" s="46"/>
      <c r="V77" s="45"/>
      <c r="W77" s="46">
        <f>IFERROR('Quarterly Revenue&amp;EBITDA'!W77/'Quarterly Revenue&amp;EBITDA'!W73 - 1, "")</f>
        <v>7.8691002681721356E-2</v>
      </c>
      <c r="X77" s="46">
        <f>IFERROR('Quarterly Revenue&amp;EBITDA'!X77/'Quarterly Revenue&amp;EBITDA'!X73 - 1, "")</f>
        <v>0.1787890139498256</v>
      </c>
      <c r="Y77" s="46" t="str">
        <f>IFERROR('Quarterly Revenue&amp;EBITDA'!Y77/'Quarterly Revenue&amp;EBITDA'!Y73 - 1, "")</f>
        <v/>
      </c>
      <c r="Z77" s="46"/>
      <c r="AA77" s="46" t="str">
        <f>IFERROR('Quarterly Revenue&amp;EBITDA'!AA77/'Quarterly Revenue&amp;EBITDA'!AA73 - 1, "")</f>
        <v/>
      </c>
      <c r="AB77" s="46" t="str">
        <f>IFERROR('Quarterly Revenue&amp;EBITDA'!AB77/'Quarterly Revenue&amp;EBITDA'!AB73 - 1, "")</f>
        <v/>
      </c>
      <c r="AC77" s="28"/>
    </row>
    <row r="78" spans="1:29" ht="13">
      <c r="A78" s="27" t="s">
        <v>103</v>
      </c>
      <c r="B78" s="46" t="str">
        <f>IFERROR('Quarterly Revenue&amp;EBITDA'!B78/'Quarterly Revenue&amp;EBITDA'!B74 - 1, "")</f>
        <v/>
      </c>
      <c r="C78" s="46">
        <f>IFERROR('Quarterly Revenue&amp;EBITDA'!C78/'Quarterly Revenue&amp;EBITDA'!C74 - 1, "")</f>
        <v>9.2634291209955588E-2</v>
      </c>
      <c r="D78" s="46">
        <f>IFERROR('Quarterly Revenue&amp;EBITDA'!D78/'Quarterly Revenue&amp;EBITDA'!D74 - 1, "")</f>
        <v>0.15768792666242737</v>
      </c>
      <c r="E78" s="46">
        <f>IFERROR('Quarterly Revenue&amp;EBITDA'!E78/'Quarterly Revenue&amp;EBITDA'!E74 - 1, "")</f>
        <v>0.39816919344401014</v>
      </c>
      <c r="F78" s="46">
        <f>IFERROR('Quarterly Revenue&amp;EBITDA'!F78/'Quarterly Revenue&amp;EBITDA'!F74 - 1, "")</f>
        <v>0.1974317817014446</v>
      </c>
      <c r="G78" s="46">
        <f>IFERROR('Quarterly Revenue&amp;EBITDA'!G78/'Quarterly Revenue&amp;EBITDA'!G74 - 1, "")</f>
        <v>0.42938278836936838</v>
      </c>
      <c r="H78" s="46">
        <f>IFERROR('Quarterly Revenue&amp;EBITDA'!H78/'Quarterly Revenue&amp;EBITDA'!H74 - 1, "")</f>
        <v>2.4030131948253057</v>
      </c>
      <c r="I78" s="46" t="str">
        <f>IFERROR('Quarterly Revenue&amp;EBITDA'!I78/'Quarterly Revenue&amp;EBITDA'!I74 - 1, "")</f>
        <v/>
      </c>
      <c r="J78" s="46">
        <f>IFERROR('Quarterly Revenue&amp;EBITDA'!J78/'Quarterly Revenue&amp;EBITDA'!J74 - 1, "")</f>
        <v>0.12163452739463931</v>
      </c>
      <c r="K78" s="46" t="str">
        <f>IFERROR('Quarterly Revenue&amp;EBITDA'!K78/'Quarterly Revenue&amp;EBITDA'!K74 - 1, "")</f>
        <v/>
      </c>
      <c r="L78" s="46">
        <f>IFERROR('Quarterly Revenue&amp;EBITDA'!L78/'Quarterly Revenue&amp;EBITDA'!L74 - 1, "")</f>
        <v>0.15421589969600324</v>
      </c>
      <c r="M78" s="46" t="str">
        <f>IFERROR('Quarterly Revenue&amp;EBITDA'!M78/'Quarterly Revenue&amp;EBITDA'!M74 - 1, "")</f>
        <v/>
      </c>
      <c r="N78" s="46" t="str">
        <f>IFERROR('Quarterly Revenue&amp;EBITDA'!N78/'Quarterly Revenue&amp;EBITDA'!N74 - 1, "")</f>
        <v/>
      </c>
      <c r="O78" s="46">
        <f>IFERROR('Quarterly Revenue&amp;EBITDA'!O78/'Quarterly Revenue&amp;EBITDA'!O74 - 1, "")</f>
        <v>0.25346986951104888</v>
      </c>
      <c r="P78" s="46" t="str">
        <f>IFERROR('Quarterly Revenue&amp;EBITDA'!P78/'Quarterly Revenue&amp;EBITDA'!P74 - 1, "")</f>
        <v/>
      </c>
      <c r="Q78" s="46" t="str">
        <f>IFERROR('Quarterly Revenue&amp;EBITDA'!Q78/'Quarterly Revenue&amp;EBITDA'!Q74 - 1, "")</f>
        <v/>
      </c>
      <c r="R78" s="46">
        <f>IFERROR('Quarterly Revenue&amp;EBITDA'!R78/'Quarterly Revenue&amp;EBITDA'!R74 - 1, "")</f>
        <v>0.52326330712720703</v>
      </c>
      <c r="S78" s="46" t="str">
        <f>IFERROR('Quarterly Revenue&amp;EBITDA'!S78/'Quarterly Revenue&amp;EBITDA'!S74 - 1, "")</f>
        <v/>
      </c>
      <c r="T78" s="46" t="str">
        <f>IFERROR('Quarterly Revenue&amp;EBITDA'!T78/'Quarterly Revenue&amp;EBITDA'!T74 - 1, "")</f>
        <v/>
      </c>
      <c r="U78" s="45"/>
      <c r="V78" s="45"/>
      <c r="W78" s="46">
        <f>IFERROR('Quarterly Revenue&amp;EBITDA'!W78/'Quarterly Revenue&amp;EBITDA'!W74 - 1, "")</f>
        <v>7.8691002681721356E-2</v>
      </c>
      <c r="X78" s="46">
        <f>IFERROR('Quarterly Revenue&amp;EBITDA'!X78/'Quarterly Revenue&amp;EBITDA'!X74 - 1, "")</f>
        <v>0.1787890139498256</v>
      </c>
      <c r="Y78" s="46" t="str">
        <f>IFERROR('Quarterly Revenue&amp;EBITDA'!Y78/'Quarterly Revenue&amp;EBITDA'!Y74 - 1, "")</f>
        <v/>
      </c>
      <c r="Z78" s="46"/>
      <c r="AA78" s="46" t="str">
        <f>IFERROR('Quarterly Revenue&amp;EBITDA'!AA78/'Quarterly Revenue&amp;EBITDA'!AA74 - 1, "")</f>
        <v/>
      </c>
      <c r="AB78" s="46" t="str">
        <f>IFERROR('Quarterly Revenue&amp;EBITDA'!AB78/'Quarterly Revenue&amp;EBITDA'!AB74 - 1, "")</f>
        <v/>
      </c>
      <c r="AC78" s="28"/>
    </row>
    <row r="79" spans="1:29" ht="13">
      <c r="A79" s="27" t="s">
        <v>104</v>
      </c>
      <c r="B79" s="46">
        <f>IFERROR('Quarterly Revenue&amp;EBITDA'!B79/'Quarterly Revenue&amp;EBITDA'!B75 - 1, "")</f>
        <v>0.80141691175910545</v>
      </c>
      <c r="C79" s="46">
        <f ca="1">IFERROR('Quarterly Revenue&amp;EBITDA'!C79 * 1000/'Quarterly Revenue&amp;EBITDA'!C75 - 1, "")</f>
        <v>-6.8515599599175525E-2</v>
      </c>
      <c r="D79" s="46">
        <f ca="1">IFERROR('Quarterly Revenue&amp;EBITDA'!D79 * 1000/'Quarterly Revenue&amp;EBITDA'!D75 - 1, "")</f>
        <v>0.14143257881782301</v>
      </c>
      <c r="E79" s="46">
        <f ca="1">IFERROR('Quarterly Revenue&amp;EBITDA'!E79 * 1000/'Quarterly Revenue&amp;EBITDA'!E75 - 1, "")</f>
        <v>0.62502442302102046</v>
      </c>
      <c r="F79" s="46">
        <f ca="1">IFERROR('Quarterly Revenue&amp;EBITDA'!F79 * 1000/'Quarterly Revenue&amp;EBITDA'!F75 - 1, "")</f>
        <v>-5.6300268096514783E-2</v>
      </c>
      <c r="G79" s="46">
        <f ca="1">IFERROR('Quarterly Revenue&amp;EBITDA'!G79 * 1000/'Quarterly Revenue&amp;EBITDA'!G75 - 1, "")</f>
        <v>0.18773739379567411</v>
      </c>
      <c r="H79" s="46">
        <f>IFERROR('Quarterly Revenue&amp;EBITDA'!H79/'Quarterly Revenue&amp;EBITDA'!H75 - 1, "")</f>
        <v>2.4030131948253057</v>
      </c>
      <c r="I79" s="46">
        <f ca="1">IFERROR('Quarterly Revenue&amp;EBITDA'!I79 * 1000/'Quarterly Revenue&amp;EBITDA'!I75 - 1, "")</f>
        <v>-9.8908968464185176E-2</v>
      </c>
      <c r="J79" s="46">
        <f ca="1">IFERROR('Quarterly Revenue&amp;EBITDA'!J79 * 1000/'Quarterly Revenue&amp;EBITDA'!J75 - 1, "")</f>
        <v>0.17132256293363057</v>
      </c>
      <c r="K79" s="46" t="str">
        <f>IFERROR('Quarterly Revenue&amp;EBITDA'!K79/'Quarterly Revenue&amp;EBITDA'!K75 - 1, "")</f>
        <v/>
      </c>
      <c r="L79" s="46">
        <f ca="1">IFERROR('Quarterly Revenue&amp;EBITDA'!L79/'Quarterly Revenue&amp;EBITDA'!L75 - 1, "")</f>
        <v>-0.9989437210349893</v>
      </c>
      <c r="M79" s="46" t="str">
        <f>IFERROR('Quarterly Revenue&amp;EBITDA'!M79/'Quarterly Revenue&amp;EBITDA'!M75 - 1, "")</f>
        <v/>
      </c>
      <c r="N79" s="46" t="str">
        <f ca="1">IFERROR('Quarterly Revenue&amp;EBITDA'!N79/'Quarterly Revenue&amp;EBITDA'!N75 - 1, "")</f>
        <v/>
      </c>
      <c r="O79" s="46">
        <f>IFERROR('Quarterly Revenue&amp;EBITDA'!O79/'Quarterly Revenue&amp;EBITDA'!O75 - 1, "")</f>
        <v>0.25346986951104888</v>
      </c>
      <c r="P79" s="46" t="str">
        <f>IFERROR('Quarterly Revenue&amp;EBITDA'!P79/'Quarterly Revenue&amp;EBITDA'!P75 - 1, "")</f>
        <v/>
      </c>
      <c r="Q79" s="46" t="str">
        <f>IFERROR('Quarterly Revenue&amp;EBITDA'!Q79/'Quarterly Revenue&amp;EBITDA'!Q75 - 1, "")</f>
        <v/>
      </c>
      <c r="R79" s="46">
        <f>IFERROR('Quarterly Revenue&amp;EBITDA'!R79/'Quarterly Revenue&amp;EBITDA'!R75 - 1, "")</f>
        <v>1.4144505714821731E-2</v>
      </c>
      <c r="S79" s="46" t="str">
        <f>IFERROR('Quarterly Revenue&amp;EBITDA'!S79/'Quarterly Revenue&amp;EBITDA'!S75 - 1, "")</f>
        <v/>
      </c>
      <c r="T79" s="46" t="str">
        <f>IFERROR('Quarterly Revenue&amp;EBITDA'!T79/'Quarterly Revenue&amp;EBITDA'!T75 - 1, "")</f>
        <v/>
      </c>
      <c r="U79" s="45"/>
      <c r="V79" s="45"/>
      <c r="W79" s="46">
        <f>IFERROR('Quarterly Revenue&amp;EBITDA'!W79/'Quarterly Revenue&amp;EBITDA'!W75 - 1, "")</f>
        <v>7.8691002681721356E-2</v>
      </c>
      <c r="X79" s="46">
        <f>IFERROR('Quarterly Revenue&amp;EBITDA'!X79/'Quarterly Revenue&amp;EBITDA'!X75 - 1, "")</f>
        <v>0.19555169578989817</v>
      </c>
      <c r="Y79" s="46">
        <f>IFERROR('Quarterly Revenue&amp;EBITDA'!Y79/'Quarterly Revenue&amp;EBITDA'!Y75 - 1, "")</f>
        <v>0.41707447621960547</v>
      </c>
      <c r="Z79" s="46">
        <f>IFERROR('Quarterly Revenue&amp;EBITDA'!Z79/'Quarterly Revenue&amp;EBITDA'!Z75 - 1, "")</f>
        <v>2.7870464173881011</v>
      </c>
      <c r="AA79" s="46" t="str">
        <f>IFERROR('Quarterly Revenue&amp;EBITDA'!AA79/'Quarterly Revenue&amp;EBITDA'!AA75 - 1, "")</f>
        <v/>
      </c>
      <c r="AB79" s="46" t="str">
        <f>IFERROR('Quarterly Revenue&amp;EBITDA'!AB79/'Quarterly Revenue&amp;EBITDA'!AB75 - 1, "")</f>
        <v/>
      </c>
      <c r="AC79" s="28"/>
    </row>
    <row r="80" spans="1:29" ht="13">
      <c r="A80" s="27" t="s">
        <v>105</v>
      </c>
      <c r="B80" s="46">
        <f>IFERROR('Quarterly Revenue&amp;EBITDA'!B80/'Quarterly Revenue&amp;EBITDA'!B76 - 1, "")</f>
        <v>0.80141691175910545</v>
      </c>
      <c r="C80" s="46">
        <f ca="1">IFERROR('Quarterly Revenue&amp;EBITDA'!C80 * 1000/'Quarterly Revenue&amp;EBITDA'!C76 - 1, "")</f>
        <v>0.1084143982423218</v>
      </c>
      <c r="D80" s="46">
        <f ca="1">IFERROR('Quarterly Revenue&amp;EBITDA'!D80 * 1000/'Quarterly Revenue&amp;EBITDA'!D76 - 1, "")</f>
        <v>0.31648421380459002</v>
      </c>
      <c r="E80" s="46">
        <f ca="1">IFERROR('Quarterly Revenue&amp;EBITDA'!E80 * 1000/'Quarterly Revenue&amp;EBITDA'!E76 - 1, "")</f>
        <v>0.62978989053721124</v>
      </c>
      <c r="F80" s="46">
        <f ca="1">IFERROR('Quarterly Revenue&amp;EBITDA'!F80 * 1000/'Quarterly Revenue&amp;EBITDA'!F76 - 1, "")</f>
        <v>4.8257372654155528E-2</v>
      </c>
      <c r="G80" s="46">
        <f ca="1">IFERROR('Quarterly Revenue&amp;EBITDA'!G80 * 1000/'Quarterly Revenue&amp;EBITDA'!G76 - 1, "")</f>
        <v>0.33378289516578219</v>
      </c>
      <c r="H80" s="46">
        <f>IFERROR('Quarterly Revenue&amp;EBITDA'!H80/'Quarterly Revenue&amp;EBITDA'!H76 - 1, "")</f>
        <v>-1.3710240114065519E-2</v>
      </c>
      <c r="I80" s="46">
        <f ca="1">IFERROR('Quarterly Revenue&amp;EBITDA'!I80 * 1000/'Quarterly Revenue&amp;EBITDA'!I76 - 1, "")</f>
        <v>-6.0968293452150935E-2</v>
      </c>
      <c r="J80" s="46">
        <f ca="1">IFERROR('Quarterly Revenue&amp;EBITDA'!J80 * 1000/'Quarterly Revenue&amp;EBITDA'!J76 - 1, "")</f>
        <v>0.43591204148717777</v>
      </c>
      <c r="K80" s="46" t="str">
        <f>IFERROR('Quarterly Revenue&amp;EBITDA'!K80/'Quarterly Revenue&amp;EBITDA'!K76 - 1, "")</f>
        <v/>
      </c>
      <c r="L80" s="46">
        <f ca="1">IFERROR('Quarterly Revenue&amp;EBITDA'!L80/'Quarterly Revenue&amp;EBITDA'!L76 - 1, "")</f>
        <v>-0.99877306095658402</v>
      </c>
      <c r="M80" s="46" t="str">
        <f>IFERROR('Quarterly Revenue&amp;EBITDA'!M80/'Quarterly Revenue&amp;EBITDA'!M76 - 1, "")</f>
        <v/>
      </c>
      <c r="N80" s="46" t="str">
        <f ca="1">IFERROR('Quarterly Revenue&amp;EBITDA'!N80/'Quarterly Revenue&amp;EBITDA'!N76 - 1, "")</f>
        <v/>
      </c>
      <c r="O80" s="46">
        <f>IFERROR('Quarterly Revenue&amp;EBITDA'!O80/'Quarterly Revenue&amp;EBITDA'!O76 - 1, "")</f>
        <v>0.25346986951104888</v>
      </c>
      <c r="P80" s="46" t="str">
        <f>IFERROR('Quarterly Revenue&amp;EBITDA'!P80/'Quarterly Revenue&amp;EBITDA'!P76 - 1, "")</f>
        <v/>
      </c>
      <c r="Q80" s="46" t="str">
        <f>IFERROR('Quarterly Revenue&amp;EBITDA'!Q80/'Quarterly Revenue&amp;EBITDA'!Q76 - 1, "")</f>
        <v/>
      </c>
      <c r="R80" s="46">
        <f>IFERROR('Quarterly Revenue&amp;EBITDA'!R80/'Quarterly Revenue&amp;EBITDA'!R76 - 1, "")</f>
        <v>1.4144505714821731E-2</v>
      </c>
      <c r="S80" s="46" t="str">
        <f>IFERROR('Quarterly Revenue&amp;EBITDA'!S80/'Quarterly Revenue&amp;EBITDA'!S76 - 1, "")</f>
        <v/>
      </c>
      <c r="T80" s="46" t="str">
        <f>IFERROR('Quarterly Revenue&amp;EBITDA'!T80/'Quarterly Revenue&amp;EBITDA'!T76 - 1, "")</f>
        <v/>
      </c>
      <c r="U80" s="45"/>
      <c r="V80" s="45"/>
      <c r="W80" s="46">
        <f>IFERROR('Quarterly Revenue&amp;EBITDA'!W80/'Quarterly Revenue&amp;EBITDA'!W76 - 1, "")</f>
        <v>7.8691002681721356E-2</v>
      </c>
      <c r="X80" s="46">
        <f>IFERROR('Quarterly Revenue&amp;EBITDA'!X80/'Quarterly Revenue&amp;EBITDA'!X76 - 1, "")</f>
        <v>0.19555169578989817</v>
      </c>
      <c r="Y80" s="46">
        <f>IFERROR('Quarterly Revenue&amp;EBITDA'!Y80/'Quarterly Revenue&amp;EBITDA'!Y76 - 1, "")</f>
        <v>0.41707447621960547</v>
      </c>
      <c r="Z80" s="46">
        <f>IFERROR('Quarterly Revenue&amp;EBITDA'!Z80/'Quarterly Revenue&amp;EBITDA'!Z76 - 1, "")</f>
        <v>2.7870464173881011</v>
      </c>
      <c r="AA80" s="46" t="str">
        <f>IFERROR('Quarterly Revenue&amp;EBITDA'!AA80/'Quarterly Revenue&amp;EBITDA'!AA76 - 1, "")</f>
        <v/>
      </c>
      <c r="AB80" s="46" t="str">
        <f>IFERROR('Quarterly Revenue&amp;EBITDA'!AB80/'Quarterly Revenue&amp;EBITDA'!AB76 - 1, "")</f>
        <v/>
      </c>
      <c r="AC80" s="28"/>
    </row>
    <row r="81" spans="1:29" ht="13">
      <c r="A81" s="27" t="s">
        <v>106</v>
      </c>
      <c r="B81" s="46">
        <f>IFERROR('Quarterly Revenue&amp;EBITDA'!B81/'Quarterly Revenue&amp;EBITDA'!B77 - 1, "")</f>
        <v>0.80141691175910545</v>
      </c>
      <c r="C81" s="46">
        <f ca="1">IFERROR('Quarterly Revenue&amp;EBITDA'!C81 * 1000/'Quarterly Revenue&amp;EBITDA'!C77 - 1, "")</f>
        <v>0.60060936772785989</v>
      </c>
      <c r="D81" s="46">
        <f ca="1">IFERROR('Quarterly Revenue&amp;EBITDA'!D81 * 1000/'Quarterly Revenue&amp;EBITDA'!D77 - 1, "")</f>
        <v>0.54728859555084086</v>
      </c>
      <c r="E81" s="46">
        <f ca="1">IFERROR('Quarterly Revenue&amp;EBITDA'!E81 * 1000/'Quarterly Revenue&amp;EBITDA'!E77 - 1, "")</f>
        <v>1.0253236943810373</v>
      </c>
      <c r="F81" s="46">
        <f ca="1">IFERROR('Quarterly Revenue&amp;EBITDA'!F81 * 1000/'Quarterly Revenue&amp;EBITDA'!F77 - 1, "")</f>
        <v>0.12868632707774807</v>
      </c>
      <c r="G81" s="46">
        <f ca="1">IFERROR('Quarterly Revenue&amp;EBITDA'!G81 * 1000/'Quarterly Revenue&amp;EBITDA'!G77 - 1, "")</f>
        <v>0.84047136930697319</v>
      </c>
      <c r="H81" s="46">
        <f>IFERROR('Quarterly Revenue&amp;EBITDA'!H81/'Quarterly Revenue&amp;EBITDA'!H77 - 1, "")</f>
        <v>-1.3710240114065519E-2</v>
      </c>
      <c r="I81" s="46">
        <f ca="1">IFERROR('Quarterly Revenue&amp;EBITDA'!I81 * 1000/'Quarterly Revenue&amp;EBITDA'!I77 - 1, "")</f>
        <v>5.4278878189091273E-3</v>
      </c>
      <c r="J81" s="46">
        <f ca="1">IFERROR('Quarterly Revenue&amp;EBITDA'!J81 * 1000/'Quarterly Revenue&amp;EBITDA'!J77 - 1, "")</f>
        <v>-1.5035541789787277E-2</v>
      </c>
      <c r="K81" s="46" t="str">
        <f>IFERROR('Quarterly Revenue&amp;EBITDA'!K81/'Quarterly Revenue&amp;EBITDA'!K77 - 1, "")</f>
        <v/>
      </c>
      <c r="L81" s="46">
        <f ca="1">IFERROR('Quarterly Revenue&amp;EBITDA'!L81/'Quarterly Revenue&amp;EBITDA'!L77 - 1, "")</f>
        <v>-0.99896643804128937</v>
      </c>
      <c r="M81" s="46" t="str">
        <f>IFERROR('Quarterly Revenue&amp;EBITDA'!M81/'Quarterly Revenue&amp;EBITDA'!M77 - 1, "")</f>
        <v/>
      </c>
      <c r="N81" s="46" t="str">
        <f ca="1">IFERROR('Quarterly Revenue&amp;EBITDA'!N81/'Quarterly Revenue&amp;EBITDA'!N77 - 1, "")</f>
        <v/>
      </c>
      <c r="O81" s="46">
        <f>IFERROR('Quarterly Revenue&amp;EBITDA'!O81/'Quarterly Revenue&amp;EBITDA'!O77 - 1, "")</f>
        <v>0.38620689655172424</v>
      </c>
      <c r="P81" s="46" t="str">
        <f>IFERROR('Quarterly Revenue&amp;EBITDA'!P81/'Quarterly Revenue&amp;EBITDA'!P77 - 1, "")</f>
        <v/>
      </c>
      <c r="Q81" s="46" t="str">
        <f>IFERROR('Quarterly Revenue&amp;EBITDA'!Q81/'Quarterly Revenue&amp;EBITDA'!Q77 - 1, "")</f>
        <v/>
      </c>
      <c r="R81" s="46">
        <f>IFERROR('Quarterly Revenue&amp;EBITDA'!R81/'Quarterly Revenue&amp;EBITDA'!R77 - 1, "")</f>
        <v>1.4144505714821731E-2</v>
      </c>
      <c r="S81" s="46" t="str">
        <f>IFERROR('Quarterly Revenue&amp;EBITDA'!S81/'Quarterly Revenue&amp;EBITDA'!S77 - 1, "")</f>
        <v/>
      </c>
      <c r="T81" s="46" t="str">
        <f>IFERROR('Quarterly Revenue&amp;EBITDA'!T81/'Quarterly Revenue&amp;EBITDA'!T77 - 1, "")</f>
        <v/>
      </c>
      <c r="U81" s="45"/>
      <c r="V81" s="45"/>
      <c r="W81" s="46">
        <f>IFERROR('Quarterly Revenue&amp;EBITDA'!W81/'Quarterly Revenue&amp;EBITDA'!W77 - 1, "")</f>
        <v>4.0187508681903239E-2</v>
      </c>
      <c r="X81" s="46">
        <f>IFERROR('Quarterly Revenue&amp;EBITDA'!X81/'Quarterly Revenue&amp;EBITDA'!X77 - 1, "")</f>
        <v>0.19555169578989817</v>
      </c>
      <c r="Y81" s="46">
        <f>IFERROR('Quarterly Revenue&amp;EBITDA'!Y81/'Quarterly Revenue&amp;EBITDA'!Y77 - 1, "")</f>
        <v>0.41707447621960547</v>
      </c>
      <c r="Z81" s="46">
        <f>IFERROR('Quarterly Revenue&amp;EBITDA'!Z81/'Quarterly Revenue&amp;EBITDA'!Z77 - 1, "")</f>
        <v>2.7870464173881011</v>
      </c>
      <c r="AA81" s="46" t="str">
        <f>IFERROR('Quarterly Revenue&amp;EBITDA'!AA81/'Quarterly Revenue&amp;EBITDA'!AA77 - 1, "")</f>
        <v/>
      </c>
      <c r="AB81" s="46" t="str">
        <f>IFERROR('Quarterly Revenue&amp;EBITDA'!AB81/'Quarterly Revenue&amp;EBITDA'!AB77 - 1, "")</f>
        <v/>
      </c>
      <c r="AC81" s="28"/>
    </row>
    <row r="82" spans="1:29" ht="13">
      <c r="A82" s="27" t="s">
        <v>107</v>
      </c>
      <c r="B82" s="46">
        <f>IFERROR('Quarterly Revenue&amp;EBITDA'!B82/'Quarterly Revenue&amp;EBITDA'!B78 - 1, "")</f>
        <v>0.80141691175910545</v>
      </c>
      <c r="C82" s="46">
        <f ca="1">IFERROR('Quarterly Revenue&amp;EBITDA'!C82 * 1000/'Quarterly Revenue&amp;EBITDA'!C78 - 1, "")</f>
        <v>1.8214791499597816E-2</v>
      </c>
      <c r="D82" s="46">
        <f ca="1">IFERROR('Quarterly Revenue&amp;EBITDA'!D82 * 1000/'Quarterly Revenue&amp;EBITDA'!D78 - 1, "")</f>
        <v>0.25473654803870982</v>
      </c>
      <c r="E82" s="46">
        <f ca="1">IFERROR('Quarterly Revenue&amp;EBITDA'!E82 * 1000/'Quarterly Revenue&amp;EBITDA'!E78 - 1, "")</f>
        <v>0.77751938353912209</v>
      </c>
      <c r="F82" s="46">
        <f ca="1">IFERROR('Quarterly Revenue&amp;EBITDA'!F82 * 1000/'Quarterly Revenue&amp;EBITDA'!F78 - 1, "")</f>
        <v>-0.15281501340482573</v>
      </c>
      <c r="G82" s="46">
        <f ca="1">IFERROR('Quarterly Revenue&amp;EBITDA'!G82 * 1000/'Quarterly Revenue&amp;EBITDA'!G78 - 1, "")</f>
        <v>0.25926988426266573</v>
      </c>
      <c r="H82" s="46">
        <f>IFERROR('Quarterly Revenue&amp;EBITDA'!H82/'Quarterly Revenue&amp;EBITDA'!H78 - 1, "")</f>
        <v>-1.3710240114065519E-2</v>
      </c>
      <c r="I82" s="46">
        <f ca="1">IFERROR('Quarterly Revenue&amp;EBITDA'!I82 * 1000/'Quarterly Revenue&amp;EBITDA'!I78 - 1, "")</f>
        <v>5.2853731583952124E-2</v>
      </c>
      <c r="J82" s="46">
        <f ca="1">IFERROR('Quarterly Revenue&amp;EBITDA'!J82 * 1000/'Quarterly Revenue&amp;EBITDA'!J78 - 1, "")</f>
        <v>0.4596461248175443</v>
      </c>
      <c r="K82" s="46" t="str">
        <f>IFERROR('Quarterly Revenue&amp;EBITDA'!K82/'Quarterly Revenue&amp;EBITDA'!K78 - 1, "")</f>
        <v/>
      </c>
      <c r="L82" s="46">
        <f ca="1">IFERROR('Quarterly Revenue&amp;EBITDA'!L82/'Quarterly Revenue&amp;EBITDA'!L78 - 1, "")</f>
        <v>-0.99908249515770675</v>
      </c>
      <c r="M82" s="46" t="str">
        <f>IFERROR('Quarterly Revenue&amp;EBITDA'!M82/'Quarterly Revenue&amp;EBITDA'!M78 - 1, "")</f>
        <v/>
      </c>
      <c r="N82" s="46" t="str">
        <f ca="1">IFERROR('Quarterly Revenue&amp;EBITDA'!N82/'Quarterly Revenue&amp;EBITDA'!N78 - 1, "")</f>
        <v/>
      </c>
      <c r="O82" s="46">
        <f>IFERROR('Quarterly Revenue&amp;EBITDA'!O82/'Quarterly Revenue&amp;EBITDA'!O78 - 1, "")</f>
        <v>0.38620689655172424</v>
      </c>
      <c r="P82" s="46" t="str">
        <f>IFERROR('Quarterly Revenue&amp;EBITDA'!P82/'Quarterly Revenue&amp;EBITDA'!P78 - 1, "")</f>
        <v/>
      </c>
      <c r="Q82" s="46" t="str">
        <f>IFERROR('Quarterly Revenue&amp;EBITDA'!Q82/'Quarterly Revenue&amp;EBITDA'!Q78 - 1, "")</f>
        <v/>
      </c>
      <c r="R82" s="46">
        <f>IFERROR('Quarterly Revenue&amp;EBITDA'!R82/'Quarterly Revenue&amp;EBITDA'!R78 - 1, "")</f>
        <v>1.4144505714821731E-2</v>
      </c>
      <c r="S82" s="46" t="str">
        <f>IFERROR('Quarterly Revenue&amp;EBITDA'!S82/'Quarterly Revenue&amp;EBITDA'!S78 - 1, "")</f>
        <v/>
      </c>
      <c r="T82" s="46" t="str">
        <f>IFERROR('Quarterly Revenue&amp;EBITDA'!T82/'Quarterly Revenue&amp;EBITDA'!T78 - 1, "")</f>
        <v/>
      </c>
      <c r="U82" s="45"/>
      <c r="V82" s="45"/>
      <c r="W82" s="46">
        <f>IFERROR('Quarterly Revenue&amp;EBITDA'!W82/'Quarterly Revenue&amp;EBITDA'!W78 - 1, "")</f>
        <v>4.0187508681903239E-2</v>
      </c>
      <c r="X82" s="46">
        <f>IFERROR('Quarterly Revenue&amp;EBITDA'!X82/'Quarterly Revenue&amp;EBITDA'!X78 - 1, "")</f>
        <v>0.19555169578989817</v>
      </c>
      <c r="Y82" s="46">
        <f>IFERROR('Quarterly Revenue&amp;EBITDA'!Y82/'Quarterly Revenue&amp;EBITDA'!Y78 - 1, "")</f>
        <v>0.41707447621960547</v>
      </c>
      <c r="Z82" s="46">
        <f>IFERROR('Quarterly Revenue&amp;EBITDA'!Z82/'Quarterly Revenue&amp;EBITDA'!Z78 - 1, "")</f>
        <v>2.7870464173881011</v>
      </c>
      <c r="AA82" s="46" t="str">
        <f>IFERROR('Quarterly Revenue&amp;EBITDA'!AA82/'Quarterly Revenue&amp;EBITDA'!AA78 - 1, "")</f>
        <v/>
      </c>
      <c r="AB82" s="46" t="str">
        <f>IFERROR('Quarterly Revenue&amp;EBITDA'!AB82/'Quarterly Revenue&amp;EBITDA'!AB78 - 1, "")</f>
        <v/>
      </c>
      <c r="AC82" s="28"/>
    </row>
    <row r="83" spans="1:29" ht="13">
      <c r="A83" s="27" t="s">
        <v>108</v>
      </c>
      <c r="B83" s="46">
        <f>IFERROR('Quarterly Revenue&amp;EBITDA'!B83/'Quarterly Revenue&amp;EBITDA'!B79 - 1, "")</f>
        <v>0.54732914707630465</v>
      </c>
      <c r="C83" s="46">
        <f ca="1">IFERROR('Quarterly Revenue&amp;EBITDA'!C83/'Quarterly Revenue&amp;EBITDA'!C79 - 1, "")</f>
        <v>0.12635195530726251</v>
      </c>
      <c r="D83" s="46">
        <f ca="1">IFERROR('Quarterly Revenue&amp;EBITDA'!D83/'Quarterly Revenue&amp;EBITDA'!D79 - 1, "")</f>
        <v>0.14968487394957974</v>
      </c>
      <c r="E83" s="46">
        <f ca="1">IFERROR('Quarterly Revenue&amp;EBITDA'!E83/'Quarterly Revenue&amp;EBITDA'!E79 - 1, "")</f>
        <v>0.30645161290322576</v>
      </c>
      <c r="F83" s="46">
        <f ca="1">IFERROR('Quarterly Revenue&amp;EBITDA'!F83/'Quarterly Revenue&amp;EBITDA'!F79 - 1, "")</f>
        <v>5.6818181818181879E-2</v>
      </c>
      <c r="G83" s="46">
        <f ca="1">IFERROR('Quarterly Revenue&amp;EBITDA'!G83/'Quarterly Revenue&amp;EBITDA'!G79 - 1, "")</f>
        <v>0.67907151819322453</v>
      </c>
      <c r="H83" s="46">
        <f>IFERROR('Quarterly Revenue&amp;EBITDA'!H83/'Quarterly Revenue&amp;EBITDA'!H79 - 1, "")</f>
        <v>-1.3710240114065519E-2</v>
      </c>
      <c r="I83" s="46">
        <f ca="1">IFERROR('Quarterly Revenue&amp;EBITDA'!I83/'Quarterly Revenue&amp;EBITDA'!I79 - 1, "")</f>
        <v>0.31577894736842094</v>
      </c>
      <c r="J83" s="46">
        <f ca="1">IFERROR('Quarterly Revenue&amp;EBITDA'!J83/'Quarterly Revenue&amp;EBITDA'!J79 - 1, "")</f>
        <v>0.36401136363636355</v>
      </c>
      <c r="K83" s="46" t="str">
        <f>IFERROR('Quarterly Revenue&amp;EBITDA'!K83/'Quarterly Revenue&amp;EBITDA'!K79 - 1, "")</f>
        <v/>
      </c>
      <c r="L83" s="46">
        <f ca="1">IFERROR('Quarterly Revenue&amp;EBITDA'!L83/'Quarterly Revenue&amp;EBITDA'!L79 - 1, "")</f>
        <v>-0.12774149422044401</v>
      </c>
      <c r="M83" s="46" t="str">
        <f>IFERROR('Quarterly Revenue&amp;EBITDA'!M83/'Quarterly Revenue&amp;EBITDA'!M79 - 1, "")</f>
        <v/>
      </c>
      <c r="N83" s="46">
        <f ca="1">IFERROR('Quarterly Revenue&amp;EBITDA'!N83/'Quarterly Revenue&amp;EBITDA'!N79 - 1, "")</f>
        <v>0.25996204933586342</v>
      </c>
      <c r="O83" s="46">
        <f>IFERROR('Quarterly Revenue&amp;EBITDA'!O83/'Quarterly Revenue&amp;EBITDA'!O79 - 1, "")</f>
        <v>0.38620689655172424</v>
      </c>
      <c r="P83" s="46" t="str">
        <f>IFERROR('Quarterly Revenue&amp;EBITDA'!P83/'Quarterly Revenue&amp;EBITDA'!P79 - 1, "")</f>
        <v/>
      </c>
      <c r="Q83" s="46" t="str">
        <f>IFERROR('Quarterly Revenue&amp;EBITDA'!Q83/'Quarterly Revenue&amp;EBITDA'!Q79 - 1, "")</f>
        <v/>
      </c>
      <c r="R83" s="46">
        <f>IFERROR('Quarterly Revenue&amp;EBITDA'!R83/'Quarterly Revenue&amp;EBITDA'!R79 - 1, "")</f>
        <v>0.12598936455771503</v>
      </c>
      <c r="S83" s="46" t="str">
        <f>IFERROR('Quarterly Revenue&amp;EBITDA'!S83/'Quarterly Revenue&amp;EBITDA'!S79 - 1, "")</f>
        <v/>
      </c>
      <c r="T83" s="46" t="str">
        <f>IFERROR('Quarterly Revenue&amp;EBITDA'!T83/'Quarterly Revenue&amp;EBITDA'!T79 - 1, "")</f>
        <v/>
      </c>
      <c r="U83" s="45"/>
      <c r="V83" s="45"/>
      <c r="W83" s="46">
        <f>IFERROR('Quarterly Revenue&amp;EBITDA'!W83/'Quarterly Revenue&amp;EBITDA'!W79 - 1, "")</f>
        <v>4.0187508681903239E-2</v>
      </c>
      <c r="X83" s="46">
        <f>IFERROR('Quarterly Revenue&amp;EBITDA'!X83/'Quarterly Revenue&amp;EBITDA'!X79 - 1, "")</f>
        <v>0.48578005109661793</v>
      </c>
      <c r="Y83" s="46">
        <f>IFERROR('Quarterly Revenue&amp;EBITDA'!Y83/'Quarterly Revenue&amp;EBITDA'!Y79 - 1, "")</f>
        <v>0.33646297045730478</v>
      </c>
      <c r="Z83" s="46">
        <f>IFERROR('Quarterly Revenue&amp;EBITDA'!Z83/'Quarterly Revenue&amp;EBITDA'!Z79 - 1, "")</f>
        <v>1.617902589388311</v>
      </c>
      <c r="AA83" s="46" t="str">
        <f>IFERROR('Quarterly Revenue&amp;EBITDA'!AA83/'Quarterly Revenue&amp;EBITDA'!AA79 - 1, "")</f>
        <v/>
      </c>
      <c r="AB83" s="46">
        <f>IFERROR('Quarterly Revenue&amp;EBITDA'!AB83/'Quarterly Revenue&amp;EBITDA'!AB79 - 1, "")</f>
        <v>0.58776696457118272</v>
      </c>
      <c r="AC83" s="28"/>
    </row>
    <row r="84" spans="1:29" ht="13">
      <c r="A84" s="27" t="s">
        <v>109</v>
      </c>
      <c r="B84" s="46">
        <f>IFERROR('Quarterly Revenue&amp;EBITDA'!B84/'Quarterly Revenue&amp;EBITDA'!B80 - 1, "")</f>
        <v>0.54732914707630465</v>
      </c>
      <c r="C84" s="46">
        <f ca="1">IFERROR('Quarterly Revenue&amp;EBITDA'!C84/'Quarterly Revenue&amp;EBITDA'!C80 - 1, "")</f>
        <v>0.18331611893583721</v>
      </c>
      <c r="D84" s="46">
        <f ca="1">IFERROR('Quarterly Revenue&amp;EBITDA'!D84/'Quarterly Revenue&amp;EBITDA'!D80 - 1, "")</f>
        <v>0.17759562841530063</v>
      </c>
      <c r="E84" s="46">
        <f ca="1">IFERROR('Quarterly Revenue&amp;EBITDA'!E84/'Quarterly Revenue&amp;EBITDA'!E80 - 1, "")</f>
        <v>0.39327485380116967</v>
      </c>
      <c r="F84" s="46">
        <f ca="1">IFERROR('Quarterly Revenue&amp;EBITDA'!F84/'Quarterly Revenue&amp;EBITDA'!F80 - 1, "")</f>
        <v>8.4398976982097196E-2</v>
      </c>
      <c r="G84" s="46">
        <f ca="1">IFERROR('Quarterly Revenue&amp;EBITDA'!G84/'Quarterly Revenue&amp;EBITDA'!G80 - 1, "")</f>
        <v>0.66668156424581015</v>
      </c>
      <c r="H84" s="46">
        <f ca="1">IFERROR('Quarterly Revenue&amp;EBITDA'!H84 * 1000/'Quarterly Revenue&amp;EBITDA'!H80 - 1, "")</f>
        <v>0.13851802724030882</v>
      </c>
      <c r="I84" s="46">
        <f ca="1">IFERROR('Quarterly Revenue&amp;EBITDA'!I84/'Quarterly Revenue&amp;EBITDA'!I80 - 1, "")</f>
        <v>0.24649494949494954</v>
      </c>
      <c r="J84" s="46">
        <f ca="1">IFERROR('Quarterly Revenue&amp;EBITDA'!J84/'Quarterly Revenue&amp;EBITDA'!J80 - 1, "")</f>
        <v>0.58723966942148764</v>
      </c>
      <c r="K84" s="46" t="str">
        <f>IFERROR('Quarterly Revenue&amp;EBITDA'!K84/'Quarterly Revenue&amp;EBITDA'!K80 - 1, "")</f>
        <v/>
      </c>
      <c r="L84" s="46">
        <f ca="1">IFERROR('Quarterly Revenue&amp;EBITDA'!L84/'Quarterly Revenue&amp;EBITDA'!L80 - 1, "")</f>
        <v>-7.7052245807627706E-2</v>
      </c>
      <c r="M84" s="46" t="str">
        <f>IFERROR('Quarterly Revenue&amp;EBITDA'!M84/'Quarterly Revenue&amp;EBITDA'!M80 - 1, "")</f>
        <v/>
      </c>
      <c r="N84" s="46">
        <f ca="1">IFERROR('Quarterly Revenue&amp;EBITDA'!N84/'Quarterly Revenue&amp;EBITDA'!N80 - 1, "")</f>
        <v>0.35082996859578297</v>
      </c>
      <c r="O84" s="46">
        <f>IFERROR('Quarterly Revenue&amp;EBITDA'!O84/'Quarterly Revenue&amp;EBITDA'!O80 - 1, "")</f>
        <v>0.38620689655172424</v>
      </c>
      <c r="P84" s="46" t="str">
        <f>IFERROR('Quarterly Revenue&amp;EBITDA'!P84/'Quarterly Revenue&amp;EBITDA'!P80 - 1, "")</f>
        <v/>
      </c>
      <c r="Q84" s="46" t="str">
        <f>IFERROR('Quarterly Revenue&amp;EBITDA'!Q84/'Quarterly Revenue&amp;EBITDA'!Q80 - 1, "")</f>
        <v/>
      </c>
      <c r="R84" s="46">
        <f>IFERROR('Quarterly Revenue&amp;EBITDA'!R84/'Quarterly Revenue&amp;EBITDA'!R80 - 1, "")</f>
        <v>0.12598936455771503</v>
      </c>
      <c r="S84" s="46">
        <f>IFERROR('Quarterly Revenue&amp;EBITDA'!S84/'Quarterly Revenue&amp;EBITDA'!S80 - 1, "")</f>
        <v>0.96412988330796545</v>
      </c>
      <c r="T84" s="46" t="str">
        <f>IFERROR('Quarterly Revenue&amp;EBITDA'!T84/'Quarterly Revenue&amp;EBITDA'!T80 - 1, "")</f>
        <v/>
      </c>
      <c r="U84" s="45"/>
      <c r="V84" s="45"/>
      <c r="W84" s="46">
        <f>IFERROR('Quarterly Revenue&amp;EBITDA'!W84/'Quarterly Revenue&amp;EBITDA'!W80 - 1, "")</f>
        <v>4.0187508681903239E-2</v>
      </c>
      <c r="X84" s="46">
        <f>IFERROR('Quarterly Revenue&amp;EBITDA'!X84/'Quarterly Revenue&amp;EBITDA'!X80 - 1, "")</f>
        <v>0.48578005109661793</v>
      </c>
      <c r="Y84" s="46">
        <f>IFERROR('Quarterly Revenue&amp;EBITDA'!Y84/'Quarterly Revenue&amp;EBITDA'!Y80 - 1, "")</f>
        <v>0.33646297045730478</v>
      </c>
      <c r="Z84" s="46">
        <f>IFERROR('Quarterly Revenue&amp;EBITDA'!Z84/'Quarterly Revenue&amp;EBITDA'!Z80 - 1, "")</f>
        <v>1.617902589388311</v>
      </c>
      <c r="AA84" s="46" t="str">
        <f>IFERROR('Quarterly Revenue&amp;EBITDA'!AA84/'Quarterly Revenue&amp;EBITDA'!AA80 - 1, "")</f>
        <v/>
      </c>
      <c r="AB84" s="46">
        <f>IFERROR('Quarterly Revenue&amp;EBITDA'!AB84/'Quarterly Revenue&amp;EBITDA'!AB80 - 1, "")</f>
        <v>0.58776696457118272</v>
      </c>
      <c r="AC84" s="28"/>
    </row>
    <row r="85" spans="1:29" ht="13">
      <c r="A85" s="27" t="s">
        <v>110</v>
      </c>
      <c r="B85" s="46">
        <f>IFERROR('Quarterly Revenue&amp;EBITDA'!B85/'Quarterly Revenue&amp;EBITDA'!B81 - 1, "")</f>
        <v>0.54732914707630465</v>
      </c>
      <c r="C85" s="46">
        <f ca="1">IFERROR('Quarterly Revenue&amp;EBITDA'!C85/'Quarterly Revenue&amp;EBITDA'!C81 - 1, "")</f>
        <v>0.20130831752912504</v>
      </c>
      <c r="D85" s="46">
        <f ca="1">IFERROR('Quarterly Revenue&amp;EBITDA'!D85/'Quarterly Revenue&amp;EBITDA'!D81 - 1, "")</f>
        <v>0.14916698953893848</v>
      </c>
      <c r="E85" s="46">
        <f ca="1">IFERROR('Quarterly Revenue&amp;EBITDA'!E85/'Quarterly Revenue&amp;EBITDA'!E81 - 1, "")</f>
        <v>0.4070588235294117</v>
      </c>
      <c r="F85" s="46">
        <f ca="1">IFERROR('Quarterly Revenue&amp;EBITDA'!F85/'Quarterly Revenue&amp;EBITDA'!F81 - 1, "")</f>
        <v>4.2755344418052177E-2</v>
      </c>
      <c r="G85" s="46">
        <f ca="1">IFERROR('Quarterly Revenue&amp;EBITDA'!G85/'Quarterly Revenue&amp;EBITDA'!G81 - 1, "")</f>
        <v>0.16542510121457488</v>
      </c>
      <c r="H85" s="46">
        <f ca="1">IFERROR('Quarterly Revenue&amp;EBITDA'!H85 * 1000/'Quarterly Revenue&amp;EBITDA'!H81 - 1, "")</f>
        <v>9.2841969683862491E-2</v>
      </c>
      <c r="I85" s="46">
        <f ca="1">IFERROR('Quarterly Revenue&amp;EBITDA'!I85/'Quarterly Revenue&amp;EBITDA'!I81 - 1, "")</f>
        <v>0.24026415094339604</v>
      </c>
      <c r="J85" s="46">
        <f ca="1">IFERROR('Quarterly Revenue&amp;EBITDA'!J85/'Quarterly Revenue&amp;EBITDA'!J81 - 1, "")</f>
        <v>0.84237349397590355</v>
      </c>
      <c r="K85" s="46" t="str">
        <f>IFERROR('Quarterly Revenue&amp;EBITDA'!K85/'Quarterly Revenue&amp;EBITDA'!K81 - 1, "")</f>
        <v/>
      </c>
      <c r="L85" s="46">
        <f ca="1">IFERROR('Quarterly Revenue&amp;EBITDA'!L85/'Quarterly Revenue&amp;EBITDA'!L81 - 1, "")</f>
        <v>-6.5775448732386388E-2</v>
      </c>
      <c r="M85" s="46" t="str">
        <f>IFERROR('Quarterly Revenue&amp;EBITDA'!M85/'Quarterly Revenue&amp;EBITDA'!M81 - 1, "")</f>
        <v/>
      </c>
      <c r="N85" s="46">
        <f ca="1">IFERROR('Quarterly Revenue&amp;EBITDA'!N85/'Quarterly Revenue&amp;EBITDA'!N81 - 1, "")</f>
        <v>0.2622377622377623</v>
      </c>
      <c r="O85" s="46">
        <f>IFERROR('Quarterly Revenue&amp;EBITDA'!O85/'Quarterly Revenue&amp;EBITDA'!O81 - 1, "")</f>
        <v>2.5394456289978677</v>
      </c>
      <c r="P85" s="46" t="str">
        <f>IFERROR('Quarterly Revenue&amp;EBITDA'!P85/'Quarterly Revenue&amp;EBITDA'!P81 - 1, "")</f>
        <v/>
      </c>
      <c r="Q85" s="46" t="str">
        <f>IFERROR('Quarterly Revenue&amp;EBITDA'!Q85/'Quarterly Revenue&amp;EBITDA'!Q81 - 1, "")</f>
        <v/>
      </c>
      <c r="R85" s="46">
        <f>IFERROR('Quarterly Revenue&amp;EBITDA'!R85/'Quarterly Revenue&amp;EBITDA'!R81 - 1, "")</f>
        <v>0.12598936455771503</v>
      </c>
      <c r="S85" s="46">
        <f>IFERROR('Quarterly Revenue&amp;EBITDA'!S85/'Quarterly Revenue&amp;EBITDA'!S81 - 1, "")</f>
        <v>0.96412988330796545</v>
      </c>
      <c r="T85" s="46" t="str">
        <f>IFERROR('Quarterly Revenue&amp;EBITDA'!T85/'Quarterly Revenue&amp;EBITDA'!T81 - 1, "")</f>
        <v/>
      </c>
      <c r="U85" s="45"/>
      <c r="V85" s="45"/>
      <c r="W85" s="46">
        <f>IFERROR('Quarterly Revenue&amp;EBITDA'!W85/'Quarterly Revenue&amp;EBITDA'!W81 - 1, "")</f>
        <v>6.165249483622981E-2</v>
      </c>
      <c r="X85" s="46">
        <f>IFERROR('Quarterly Revenue&amp;EBITDA'!X85/'Quarterly Revenue&amp;EBITDA'!X81 - 1, "")</f>
        <v>0.48578005109661793</v>
      </c>
      <c r="Y85" s="46">
        <f>IFERROR('Quarterly Revenue&amp;EBITDA'!Y85/'Quarterly Revenue&amp;EBITDA'!Y81 - 1, "")</f>
        <v>0.33646297045730478</v>
      </c>
      <c r="Z85" s="46">
        <f>IFERROR('Quarterly Revenue&amp;EBITDA'!Z85/'Quarterly Revenue&amp;EBITDA'!Z81 - 1, "")</f>
        <v>1.617902589388311</v>
      </c>
      <c r="AA85" s="46" t="str">
        <f>IFERROR('Quarterly Revenue&amp;EBITDA'!AA85/'Quarterly Revenue&amp;EBITDA'!AA81 - 1, "")</f>
        <v/>
      </c>
      <c r="AB85" s="46">
        <f>IFERROR('Quarterly Revenue&amp;EBITDA'!AB85/'Quarterly Revenue&amp;EBITDA'!AB81 - 1, "")</f>
        <v>0.58776696457118272</v>
      </c>
      <c r="AC85" s="28"/>
    </row>
    <row r="86" spans="1:29" ht="13">
      <c r="A86" s="27" t="s">
        <v>111</v>
      </c>
      <c r="B86" s="46">
        <f>IFERROR('Quarterly Revenue&amp;EBITDA'!B86/'Quarterly Revenue&amp;EBITDA'!B82 - 1, "")</f>
        <v>0.54732914707630465</v>
      </c>
      <c r="C86" s="46">
        <f ca="1">IFERROR('Quarterly Revenue&amp;EBITDA'!C86/'Quarterly Revenue&amp;EBITDA'!C82 - 1, "")</f>
        <v>0.19378194207836463</v>
      </c>
      <c r="D86" s="46">
        <f ca="1">IFERROR('Quarterly Revenue&amp;EBITDA'!D86/'Quarterly Revenue&amp;EBITDA'!D82 - 1, "")</f>
        <v>0.10797897754419483</v>
      </c>
      <c r="E86" s="46">
        <f ca="1">IFERROR('Quarterly Revenue&amp;EBITDA'!E86/'Quarterly Revenue&amp;EBITDA'!E82 - 1, "")</f>
        <v>0.32439678284182305</v>
      </c>
      <c r="F86" s="46">
        <f ca="1">IFERROR('Quarterly Revenue&amp;EBITDA'!F86/'Quarterly Revenue&amp;EBITDA'!F82 - 1, "")</f>
        <v>1.5822784810126667E-2</v>
      </c>
      <c r="G86" s="46">
        <f ca="1">IFERROR('Quarterly Revenue&amp;EBITDA'!G86/'Quarterly Revenue&amp;EBITDA'!G82 - 1, "")</f>
        <v>7.421893491124254E-2</v>
      </c>
      <c r="H86" s="46">
        <f ca="1">IFERROR('Quarterly Revenue&amp;EBITDA'!H86 * 1000/'Quarterly Revenue&amp;EBITDA'!H82 - 1, "")</f>
        <v>-3.6573526726068617E-2</v>
      </c>
      <c r="I86" s="46">
        <f ca="1">IFERROR('Quarterly Revenue&amp;EBITDA'!I86/'Quarterly Revenue&amp;EBITDA'!I82 - 1, "")</f>
        <v>0.29739639639639637</v>
      </c>
      <c r="J86" s="46">
        <f ca="1">IFERROR('Quarterly Revenue&amp;EBITDA'!J86/'Quarterly Revenue&amp;EBITDA'!J82 - 1, "")</f>
        <v>0.40225203252032515</v>
      </c>
      <c r="K86" s="46" t="str">
        <f>IFERROR('Quarterly Revenue&amp;EBITDA'!K86/'Quarterly Revenue&amp;EBITDA'!K82 - 1, "")</f>
        <v/>
      </c>
      <c r="L86" s="46">
        <f ca="1">IFERROR('Quarterly Revenue&amp;EBITDA'!L86/'Quarterly Revenue&amp;EBITDA'!L82 - 1, "")</f>
        <v>0.24359901841526455</v>
      </c>
      <c r="M86" s="46" t="str">
        <f>IFERROR('Quarterly Revenue&amp;EBITDA'!M86/'Quarterly Revenue&amp;EBITDA'!M82 - 1, "")</f>
        <v/>
      </c>
      <c r="N86" s="46">
        <f ca="1">IFERROR('Quarterly Revenue&amp;EBITDA'!N86/'Quarterly Revenue&amp;EBITDA'!N82 - 1, "")</f>
        <v>0.42238442822384425</v>
      </c>
      <c r="O86" s="46">
        <f>IFERROR('Quarterly Revenue&amp;EBITDA'!O86/'Quarterly Revenue&amp;EBITDA'!O82 - 1, "")</f>
        <v>2.5394456289978677</v>
      </c>
      <c r="P86" s="46" t="str">
        <f>IFERROR('Quarterly Revenue&amp;EBITDA'!P86/'Quarterly Revenue&amp;EBITDA'!P82 - 1, "")</f>
        <v/>
      </c>
      <c r="Q86" s="46" t="str">
        <f>IFERROR('Quarterly Revenue&amp;EBITDA'!Q86/'Quarterly Revenue&amp;EBITDA'!Q82 - 1, "")</f>
        <v/>
      </c>
      <c r="R86" s="46">
        <f>IFERROR('Quarterly Revenue&amp;EBITDA'!R86/'Quarterly Revenue&amp;EBITDA'!R82 - 1, "")</f>
        <v>0.12598936455771503</v>
      </c>
      <c r="S86" s="46">
        <f>IFERROR('Quarterly Revenue&amp;EBITDA'!S86/'Quarterly Revenue&amp;EBITDA'!S82 - 1, "")</f>
        <v>0.96412988330796545</v>
      </c>
      <c r="T86" s="46" t="str">
        <f>IFERROR('Quarterly Revenue&amp;EBITDA'!T86/'Quarterly Revenue&amp;EBITDA'!T82 - 1, "")</f>
        <v/>
      </c>
      <c r="U86" s="45"/>
      <c r="V86" s="45"/>
      <c r="W86" s="46">
        <f>IFERROR('Quarterly Revenue&amp;EBITDA'!W86/'Quarterly Revenue&amp;EBITDA'!W82 - 1, "")</f>
        <v>6.165249483622981E-2</v>
      </c>
      <c r="X86" s="46">
        <f>IFERROR('Quarterly Revenue&amp;EBITDA'!X86/'Quarterly Revenue&amp;EBITDA'!X82 - 1, "")</f>
        <v>0.48578005109661793</v>
      </c>
      <c r="Y86" s="46">
        <f>IFERROR('Quarterly Revenue&amp;EBITDA'!Y86/'Quarterly Revenue&amp;EBITDA'!Y82 - 1, "")</f>
        <v>0.33646297045730478</v>
      </c>
      <c r="Z86" s="46">
        <f>IFERROR('Quarterly Revenue&amp;EBITDA'!Z86/'Quarterly Revenue&amp;EBITDA'!Z82 - 1, "")</f>
        <v>1.617902589388311</v>
      </c>
      <c r="AA86" s="46" t="str">
        <f>IFERROR('Quarterly Revenue&amp;EBITDA'!AA86/'Quarterly Revenue&amp;EBITDA'!AA82 - 1, "")</f>
        <v/>
      </c>
      <c r="AB86" s="46">
        <f>IFERROR('Quarterly Revenue&amp;EBITDA'!AB86/'Quarterly Revenue&amp;EBITDA'!AB82 - 1, "")</f>
        <v>0.58776696457118272</v>
      </c>
      <c r="AC86" s="28"/>
    </row>
    <row r="87" spans="1:29" ht="13">
      <c r="A87" s="27" t="s">
        <v>112</v>
      </c>
      <c r="B87" s="46">
        <f>IFERROR('Quarterly Revenue&amp;EBITDA'!B87/'Quarterly Revenue&amp;EBITDA'!B83 - 1, "")</f>
        <v>0.42559825991979605</v>
      </c>
      <c r="C87" s="46">
        <f ca="1">IFERROR('Quarterly Revenue&amp;EBITDA'!C87/'Quarterly Revenue&amp;EBITDA'!C83 - 1, "")</f>
        <v>0.21029848673474949</v>
      </c>
      <c r="D87" s="46">
        <f ca="1">IFERROR('Quarterly Revenue&amp;EBITDA'!D87/'Quarterly Revenue&amp;EBITDA'!D83 - 1, "")</f>
        <v>0.14572864321608048</v>
      </c>
      <c r="E87" s="46">
        <f ca="1">IFERROR('Quarterly Revenue&amp;EBITDA'!E87/'Quarterly Revenue&amp;EBITDA'!E83 - 1, "")</f>
        <v>0.21099887766554426</v>
      </c>
      <c r="F87" s="46">
        <f ca="1">IFERROR('Quarterly Revenue&amp;EBITDA'!F87/'Quarterly Revenue&amp;EBITDA'!F83 - 1, "")</f>
        <v>1.6129032258064502E-2</v>
      </c>
      <c r="G87" s="46">
        <f ca="1">IFERROR('Quarterly Revenue&amp;EBITDA'!G87/'Quarterly Revenue&amp;EBITDA'!G83 - 1, "")</f>
        <v>-3.0936617297604441E-2</v>
      </c>
      <c r="H87" s="46">
        <f ca="1">IFERROR('Quarterly Revenue&amp;EBITDA'!H87 * 1000/'Quarterly Revenue&amp;EBITDA'!H83 - 1, "")</f>
        <v>0.18588579063217892</v>
      </c>
      <c r="I87" s="46">
        <f ca="1">IFERROR('Quarterly Revenue&amp;EBITDA'!I87/'Quarterly Revenue&amp;EBITDA'!I83 - 1, "")</f>
        <v>0.18875351002808016</v>
      </c>
      <c r="J87" s="46">
        <f ca="1">IFERROR('Quarterly Revenue&amp;EBITDA'!J87/'Quarterly Revenue&amp;EBITDA'!J83 - 1, "")</f>
        <v>0.31468846067331491</v>
      </c>
      <c r="K87" s="46" t="str">
        <f>IFERROR('Quarterly Revenue&amp;EBITDA'!K87/'Quarterly Revenue&amp;EBITDA'!K83 - 1, "")</f>
        <v/>
      </c>
      <c r="L87" s="46">
        <f ca="1">IFERROR('Quarterly Revenue&amp;EBITDA'!L87/'Quarterly Revenue&amp;EBITDA'!L83 - 1, "")</f>
        <v>3.2329308994590189E-2</v>
      </c>
      <c r="M87" s="46" t="str">
        <f>IFERROR('Quarterly Revenue&amp;EBITDA'!M87/'Quarterly Revenue&amp;EBITDA'!M83 - 1, "")</f>
        <v/>
      </c>
      <c r="N87" s="46">
        <f ca="1">IFERROR('Quarterly Revenue&amp;EBITDA'!N87/'Quarterly Revenue&amp;EBITDA'!N83 - 1, "")</f>
        <v>0.51430722891566272</v>
      </c>
      <c r="O87" s="46">
        <f>IFERROR('Quarterly Revenue&amp;EBITDA'!O87/'Quarterly Revenue&amp;EBITDA'!O83 - 1, "")</f>
        <v>2.5394456289978677</v>
      </c>
      <c r="P87" s="46" t="str">
        <f>IFERROR('Quarterly Revenue&amp;EBITDA'!P87/'Quarterly Revenue&amp;EBITDA'!P83 - 1, "")</f>
        <v/>
      </c>
      <c r="Q87" s="46" t="str">
        <f>IFERROR('Quarterly Revenue&amp;EBITDA'!Q87/'Quarterly Revenue&amp;EBITDA'!Q83 - 1, "")</f>
        <v/>
      </c>
      <c r="R87" s="46">
        <f>IFERROR('Quarterly Revenue&amp;EBITDA'!R87/'Quarterly Revenue&amp;EBITDA'!R83 - 1, "")</f>
        <v>7.3044150572620481E-2</v>
      </c>
      <c r="S87" s="46">
        <f>IFERROR('Quarterly Revenue&amp;EBITDA'!S87/'Quarterly Revenue&amp;EBITDA'!S83 - 1, "")</f>
        <v>0.96412988330796545</v>
      </c>
      <c r="T87" s="46" t="str">
        <f>IFERROR('Quarterly Revenue&amp;EBITDA'!T87/'Quarterly Revenue&amp;EBITDA'!T83 - 1, "")</f>
        <v/>
      </c>
      <c r="U87" s="45"/>
      <c r="V87" s="45"/>
      <c r="W87" s="46">
        <f>IFERROR('Quarterly Revenue&amp;EBITDA'!W87/'Quarterly Revenue&amp;EBITDA'!W83 - 1, "")</f>
        <v>6.165249483622981E-2</v>
      </c>
      <c r="X87" s="46">
        <f>IFERROR('Quarterly Revenue&amp;EBITDA'!X87/'Quarterly Revenue&amp;EBITDA'!X83 - 1, "")</f>
        <v>0.14699317163799419</v>
      </c>
      <c r="Y87" s="46">
        <f>IFERROR('Quarterly Revenue&amp;EBITDA'!Y87/'Quarterly Revenue&amp;EBITDA'!Y83 - 1, "")</f>
        <v>0.33141553617571051</v>
      </c>
      <c r="Z87" s="46">
        <f>IFERROR('Quarterly Revenue&amp;EBITDA'!Z87/'Quarterly Revenue&amp;EBITDA'!Z83 - 1, "")</f>
        <v>0.43522840753384884</v>
      </c>
      <c r="AA87" s="46">
        <f>IFERROR('Quarterly Revenue&amp;EBITDA'!AA87/'Quarterly Revenue&amp;EBITDA'!AA83 - 1, "")</f>
        <v>-3.3881456322743642E-2</v>
      </c>
      <c r="AB87" s="46">
        <f>IFERROR('Quarterly Revenue&amp;EBITDA'!AB87/'Quarterly Revenue&amp;EBITDA'!AB83 - 1, "")</f>
        <v>0.76663026446987326</v>
      </c>
      <c r="AC87" s="28"/>
    </row>
    <row r="88" spans="1:29" ht="13">
      <c r="A88" s="27" t="s">
        <v>113</v>
      </c>
      <c r="B88" s="46">
        <f>IFERROR('Quarterly Revenue&amp;EBITDA'!B88/'Quarterly Revenue&amp;EBITDA'!B84 - 1, "")</f>
        <v>0.42559825991979605</v>
      </c>
      <c r="C88" s="46">
        <f ca="1">IFERROR('Quarterly Revenue&amp;EBITDA'!C88/'Quarterly Revenue&amp;EBITDA'!C84 - 1, "")</f>
        <v>0.16945892223519743</v>
      </c>
      <c r="D88" s="46">
        <f ca="1">IFERROR('Quarterly Revenue&amp;EBITDA'!D88/'Quarterly Revenue&amp;EBITDA'!D84 - 1, "")</f>
        <v>0.11368909512761016</v>
      </c>
      <c r="E88" s="46">
        <f ca="1">IFERROR('Quarterly Revenue&amp;EBITDA'!E88/'Quarterly Revenue&amp;EBITDA'!E84 - 1, "")</f>
        <v>0.16684155299055603</v>
      </c>
      <c r="F88" s="46">
        <f ca="1">IFERROR('Quarterly Revenue&amp;EBITDA'!F88/'Quarterly Revenue&amp;EBITDA'!F84 - 1, "")</f>
        <v>2.1226415094339535E-2</v>
      </c>
      <c r="G88" s="46">
        <f ca="1">IFERROR('Quarterly Revenue&amp;EBITDA'!G88/'Quarterly Revenue&amp;EBITDA'!G84 - 1, "")</f>
        <v>-0.21230089563445242</v>
      </c>
      <c r="H88" s="46">
        <f ca="1">IFERROR('Quarterly Revenue&amp;EBITDA'!H88/'Quarterly Revenue&amp;EBITDA'!H84 - 1, "")</f>
        <v>0</v>
      </c>
      <c r="I88" s="46">
        <f ca="1">IFERROR('Quarterly Revenue&amp;EBITDA'!I88/'Quarterly Revenue&amp;EBITDA'!I84 - 1, "")</f>
        <v>3.9350745119648423E-2</v>
      </c>
      <c r="J88" s="46">
        <f ca="1">IFERROR('Quarterly Revenue&amp;EBITDA'!J88/'Quarterly Revenue&amp;EBITDA'!J84 - 1, "")</f>
        <v>-0.28453159495147251</v>
      </c>
      <c r="K88" s="46" t="str">
        <f>IFERROR('Quarterly Revenue&amp;EBITDA'!K88/'Quarterly Revenue&amp;EBITDA'!K84 - 1, "")</f>
        <v/>
      </c>
      <c r="L88" s="46">
        <f ca="1">IFERROR('Quarterly Revenue&amp;EBITDA'!L88/'Quarterly Revenue&amp;EBITDA'!L84 - 1, "")</f>
        <v>-7.4264317693979343E-2</v>
      </c>
      <c r="M88" s="46" t="str">
        <f>IFERROR('Quarterly Revenue&amp;EBITDA'!M88/'Quarterly Revenue&amp;EBITDA'!M84 - 1, "")</f>
        <v/>
      </c>
      <c r="N88" s="46">
        <f ca="1">IFERROR('Quarterly Revenue&amp;EBITDA'!N88/'Quarterly Revenue&amp;EBITDA'!N84 - 1, "")</f>
        <v>0.44304217867817997</v>
      </c>
      <c r="O88" s="46">
        <f>IFERROR('Quarterly Revenue&amp;EBITDA'!O88/'Quarterly Revenue&amp;EBITDA'!O84 - 1, "")</f>
        <v>2.5394456289978677</v>
      </c>
      <c r="P88" s="46" t="str">
        <f>IFERROR('Quarterly Revenue&amp;EBITDA'!P88/'Quarterly Revenue&amp;EBITDA'!P84 - 1, "")</f>
        <v/>
      </c>
      <c r="Q88" s="46" t="str">
        <f>IFERROR('Quarterly Revenue&amp;EBITDA'!Q88/'Quarterly Revenue&amp;EBITDA'!Q84 - 1, "")</f>
        <v/>
      </c>
      <c r="R88" s="46">
        <f>IFERROR('Quarterly Revenue&amp;EBITDA'!R88/'Quarterly Revenue&amp;EBITDA'!R84 - 1, "")</f>
        <v>7.3044150572620481E-2</v>
      </c>
      <c r="S88" s="46">
        <f>IFERROR('Quarterly Revenue&amp;EBITDA'!S88/'Quarterly Revenue&amp;EBITDA'!S84 - 1, "")</f>
        <v>-0.2667837677266035</v>
      </c>
      <c r="T88" s="46" t="str">
        <f>IFERROR('Quarterly Revenue&amp;EBITDA'!T88/'Quarterly Revenue&amp;EBITDA'!T84 - 1, "")</f>
        <v/>
      </c>
      <c r="U88" s="45"/>
      <c r="V88" s="45"/>
      <c r="W88" s="46">
        <f>IFERROR('Quarterly Revenue&amp;EBITDA'!W88/'Quarterly Revenue&amp;EBITDA'!W84 - 1, "")</f>
        <v>6.165249483622981E-2</v>
      </c>
      <c r="X88" s="46">
        <f>IFERROR('Quarterly Revenue&amp;EBITDA'!X88/'Quarterly Revenue&amp;EBITDA'!X84 - 1, "")</f>
        <v>0.14699317163799419</v>
      </c>
      <c r="Y88" s="46">
        <f>IFERROR('Quarterly Revenue&amp;EBITDA'!Y88/'Quarterly Revenue&amp;EBITDA'!Y84 - 1, "")</f>
        <v>0.33141553617571051</v>
      </c>
      <c r="Z88" s="46">
        <f>IFERROR('Quarterly Revenue&amp;EBITDA'!Z88/'Quarterly Revenue&amp;EBITDA'!Z84 - 1, "")</f>
        <v>0.43522840753384884</v>
      </c>
      <c r="AA88" s="46">
        <f>IFERROR('Quarterly Revenue&amp;EBITDA'!AA88/'Quarterly Revenue&amp;EBITDA'!AA84 - 1, "")</f>
        <v>-3.3881456322743642E-2</v>
      </c>
      <c r="AB88" s="46">
        <f>IFERROR('Quarterly Revenue&amp;EBITDA'!AB88/'Quarterly Revenue&amp;EBITDA'!AB84 - 1, "")</f>
        <v>0.76663026446987326</v>
      </c>
      <c r="AC88" s="28"/>
    </row>
    <row r="89" spans="1:29" ht="13">
      <c r="A89" s="27" t="s">
        <v>114</v>
      </c>
      <c r="B89" s="46">
        <f>IFERROR('Quarterly Revenue&amp;EBITDA'!B89/'Quarterly Revenue&amp;EBITDA'!B85 - 1, "")</f>
        <v>0.42559825991979605</v>
      </c>
      <c r="C89" s="46">
        <f ca="1">IFERROR('Quarterly Revenue&amp;EBITDA'!C89/'Quarterly Revenue&amp;EBITDA'!C85 - 1, "")</f>
        <v>9.3608093226273281E-2</v>
      </c>
      <c r="D89" s="46">
        <f ca="1">IFERROR('Quarterly Revenue&amp;EBITDA'!D89/'Quarterly Revenue&amp;EBITDA'!D85 - 1, "")</f>
        <v>0.10451786918408623</v>
      </c>
      <c r="E89" s="46">
        <f ca="1">IFERROR('Quarterly Revenue&amp;EBITDA'!E89/'Quarterly Revenue&amp;EBITDA'!E85 - 1, "")</f>
        <v>0.14381270903010024</v>
      </c>
      <c r="F89" s="46">
        <f ca="1">IFERROR('Quarterly Revenue&amp;EBITDA'!F89/'Quarterly Revenue&amp;EBITDA'!F85 - 1, "")</f>
        <v>4.3280182232346309E-2</v>
      </c>
      <c r="G89" s="46">
        <f ca="1">IFERROR('Quarterly Revenue&amp;EBITDA'!G89/'Quarterly Revenue&amp;EBITDA'!G85 - 1, "")</f>
        <v>-0.11875564510525949</v>
      </c>
      <c r="H89" s="46">
        <f ca="1">IFERROR('Quarterly Revenue&amp;EBITDA'!H89/'Quarterly Revenue&amp;EBITDA'!H85 - 1, "")</f>
        <v>2.8637770897832704E-2</v>
      </c>
      <c r="I89" s="46">
        <f ca="1">IFERROR('Quarterly Revenue&amp;EBITDA'!I89/'Quarterly Revenue&amp;EBITDA'!I85 - 1, "")</f>
        <v>-7.77451547144552E-2</v>
      </c>
      <c r="J89" s="46">
        <f ca="1">IFERROR('Quarterly Revenue&amp;EBITDA'!J89/'Quarterly Revenue&amp;EBITDA'!J85 - 1, "")</f>
        <v>-0.32244943335273391</v>
      </c>
      <c r="K89" s="46" t="str">
        <f>IFERROR('Quarterly Revenue&amp;EBITDA'!K89/'Quarterly Revenue&amp;EBITDA'!K85 - 1, "")</f>
        <v/>
      </c>
      <c r="L89" s="46">
        <f ca="1">IFERROR('Quarterly Revenue&amp;EBITDA'!L89/'Quarterly Revenue&amp;EBITDA'!L85 - 1, "")</f>
        <v>5.1693483806154461E-3</v>
      </c>
      <c r="M89" s="46" t="str">
        <f>IFERROR('Quarterly Revenue&amp;EBITDA'!M89/'Quarterly Revenue&amp;EBITDA'!M85 - 1, "")</f>
        <v/>
      </c>
      <c r="N89" s="46">
        <f ca="1">IFERROR('Quarterly Revenue&amp;EBITDA'!N89/'Quarterly Revenue&amp;EBITDA'!N85 - 1, "")</f>
        <v>0.57125269313634974</v>
      </c>
      <c r="O89" s="46">
        <f ca="1">IFERROR('Quarterly Revenue&amp;EBITDA'!O89 * 1000/'Quarterly Revenue&amp;EBITDA'!O85 - 1, "")</f>
        <v>-0.593879944556989</v>
      </c>
      <c r="P89" s="46" t="str">
        <f>IFERROR('Quarterly Revenue&amp;EBITDA'!P89/'Quarterly Revenue&amp;EBITDA'!P85 - 1, "")</f>
        <v/>
      </c>
      <c r="Q89" s="46" t="str">
        <f>IFERROR('Quarterly Revenue&amp;EBITDA'!Q89/'Quarterly Revenue&amp;EBITDA'!Q85 - 1, "")</f>
        <v/>
      </c>
      <c r="R89" s="46">
        <f>IFERROR('Quarterly Revenue&amp;EBITDA'!R89/'Quarterly Revenue&amp;EBITDA'!R85 - 1, "")</f>
        <v>7.3044150572620481E-2</v>
      </c>
      <c r="S89" s="46">
        <f>IFERROR('Quarterly Revenue&amp;EBITDA'!S89/'Quarterly Revenue&amp;EBITDA'!S85 - 1, "")</f>
        <v>-0.2667837677266035</v>
      </c>
      <c r="T89" s="46" t="str">
        <f>IFERROR('Quarterly Revenue&amp;EBITDA'!T89/'Quarterly Revenue&amp;EBITDA'!T85 - 1, "")</f>
        <v/>
      </c>
      <c r="U89" s="45"/>
      <c r="V89" s="45"/>
      <c r="W89" s="46">
        <f>IFERROR('Quarterly Revenue&amp;EBITDA'!W89/'Quarterly Revenue&amp;EBITDA'!W85 - 1, "")</f>
        <v>-1.5109417488299859E-2</v>
      </c>
      <c r="X89" s="46">
        <f>IFERROR('Quarterly Revenue&amp;EBITDA'!X89/'Quarterly Revenue&amp;EBITDA'!X85 - 1, "")</f>
        <v>0.14699317163799419</v>
      </c>
      <c r="Y89" s="46">
        <f>IFERROR('Quarterly Revenue&amp;EBITDA'!Y89/'Quarterly Revenue&amp;EBITDA'!Y85 - 1, "")</f>
        <v>0.33141553617571051</v>
      </c>
      <c r="Z89" s="46">
        <f>IFERROR('Quarterly Revenue&amp;EBITDA'!Z89/'Quarterly Revenue&amp;EBITDA'!Z85 - 1, "")</f>
        <v>0.43522840753384884</v>
      </c>
      <c r="AA89" s="46">
        <f>IFERROR('Quarterly Revenue&amp;EBITDA'!AA89/'Quarterly Revenue&amp;EBITDA'!AA85 - 1, "")</f>
        <v>-3.3881456322743642E-2</v>
      </c>
      <c r="AB89" s="46">
        <f>IFERROR('Quarterly Revenue&amp;EBITDA'!AB89/'Quarterly Revenue&amp;EBITDA'!AB85 - 1, "")</f>
        <v>0.76663026446987326</v>
      </c>
      <c r="AC89" s="28"/>
    </row>
    <row r="90" spans="1:29" ht="13">
      <c r="A90" s="27" t="s">
        <v>115</v>
      </c>
      <c r="B90" s="46">
        <f>IFERROR('Quarterly Revenue&amp;EBITDA'!B90/'Quarterly Revenue&amp;EBITDA'!B86 - 1, "")</f>
        <v>0.42559825991979605</v>
      </c>
      <c r="C90" s="46">
        <f ca="1">IFERROR('Quarterly Revenue&amp;EBITDA'!C90/'Quarterly Revenue&amp;EBITDA'!C86 - 1, "")</f>
        <v>0.14627185158758471</v>
      </c>
      <c r="D90" s="46">
        <f ca="1">IFERROR('Quarterly Revenue&amp;EBITDA'!D90/'Quarterly Revenue&amp;EBITDA'!D86 - 1, "")</f>
        <v>0.10349288486416564</v>
      </c>
      <c r="E90" s="46">
        <f ca="1">IFERROR('Quarterly Revenue&amp;EBITDA'!E90/'Quarterly Revenue&amp;EBITDA'!E86 - 1, "")</f>
        <v>0.1163967611336032</v>
      </c>
      <c r="F90" s="46">
        <f ca="1">IFERROR('Quarterly Revenue&amp;EBITDA'!F90/'Quarterly Revenue&amp;EBITDA'!F86 - 1, "")</f>
        <v>7.7881619937694602E-2</v>
      </c>
      <c r="G90" s="46">
        <f ca="1">IFERROR('Quarterly Revenue&amp;EBITDA'!G90/'Quarterly Revenue&amp;EBITDA'!G86 - 1, "")</f>
        <v>-8.1330593853797817E-2</v>
      </c>
      <c r="H90" s="46">
        <f ca="1">IFERROR('Quarterly Revenue&amp;EBITDA'!H90/'Quarterly Revenue&amp;EBITDA'!H86 - 1, "")</f>
        <v>8.7796312554866418E-4</v>
      </c>
      <c r="I90" s="46">
        <f ca="1">IFERROR('Quarterly Revenue&amp;EBITDA'!I90/'Quarterly Revenue&amp;EBITDA'!I86 - 1, "")</f>
        <v>-7.982723541951664E-2</v>
      </c>
      <c r="J90" s="46">
        <f ca="1">IFERROR('Quarterly Revenue&amp;EBITDA'!J90/'Quarterly Revenue&amp;EBITDA'!J86 - 1, "")</f>
        <v>-0.27633829438127988</v>
      </c>
      <c r="K90" s="46" t="str">
        <f>IFERROR('Quarterly Revenue&amp;EBITDA'!K90/'Quarterly Revenue&amp;EBITDA'!K86 - 1, "")</f>
        <v/>
      </c>
      <c r="L90" s="46">
        <f ca="1">IFERROR('Quarterly Revenue&amp;EBITDA'!L90/'Quarterly Revenue&amp;EBITDA'!L86 - 1, "")</f>
        <v>-0.23263248543559445</v>
      </c>
      <c r="M90" s="46" t="str">
        <f>IFERROR('Quarterly Revenue&amp;EBITDA'!M90/'Quarterly Revenue&amp;EBITDA'!M86 - 1, "")</f>
        <v/>
      </c>
      <c r="N90" s="46">
        <f ca="1">IFERROR('Quarterly Revenue&amp;EBITDA'!N90/'Quarterly Revenue&amp;EBITDA'!N86 - 1, "")</f>
        <v>0.88847074923024283</v>
      </c>
      <c r="O90" s="46">
        <f ca="1">IFERROR('Quarterly Revenue&amp;EBITDA'!O90 * 1000/'Quarterly Revenue&amp;EBITDA'!O86 - 1, "")</f>
        <v>-0.593879944556989</v>
      </c>
      <c r="P90" s="46" t="str">
        <f>IFERROR('Quarterly Revenue&amp;EBITDA'!P90/'Quarterly Revenue&amp;EBITDA'!P86 - 1, "")</f>
        <v/>
      </c>
      <c r="Q90" s="46" t="str">
        <f>IFERROR('Quarterly Revenue&amp;EBITDA'!Q90/'Quarterly Revenue&amp;EBITDA'!Q86 - 1, "")</f>
        <v/>
      </c>
      <c r="R90" s="46">
        <f>IFERROR('Quarterly Revenue&amp;EBITDA'!R90/'Quarterly Revenue&amp;EBITDA'!R86 - 1, "")</f>
        <v>7.3044150572620481E-2</v>
      </c>
      <c r="S90" s="46">
        <f>IFERROR('Quarterly Revenue&amp;EBITDA'!S90/'Quarterly Revenue&amp;EBITDA'!S86 - 1, "")</f>
        <v>-0.2667837677266035</v>
      </c>
      <c r="T90" s="46" t="str">
        <f>IFERROR('Quarterly Revenue&amp;EBITDA'!T90/'Quarterly Revenue&amp;EBITDA'!T86 - 1, "")</f>
        <v/>
      </c>
      <c r="U90" s="45"/>
      <c r="V90" s="45"/>
      <c r="W90" s="46">
        <f>IFERROR('Quarterly Revenue&amp;EBITDA'!W90/'Quarterly Revenue&amp;EBITDA'!W86 - 1, "")</f>
        <v>-1.5109417488299859E-2</v>
      </c>
      <c r="X90" s="46">
        <f>IFERROR('Quarterly Revenue&amp;EBITDA'!X90/'Quarterly Revenue&amp;EBITDA'!X86 - 1, "")</f>
        <v>0.14699317163799419</v>
      </c>
      <c r="Y90" s="46">
        <f>IFERROR('Quarterly Revenue&amp;EBITDA'!Y90/'Quarterly Revenue&amp;EBITDA'!Y86 - 1, "")</f>
        <v>0.33141553617571051</v>
      </c>
      <c r="Z90" s="46">
        <f>IFERROR('Quarterly Revenue&amp;EBITDA'!Z90/'Quarterly Revenue&amp;EBITDA'!Z86 - 1, "")</f>
        <v>0.43522840753384884</v>
      </c>
      <c r="AA90" s="46">
        <f>IFERROR('Quarterly Revenue&amp;EBITDA'!AA90/'Quarterly Revenue&amp;EBITDA'!AA86 - 1, "")</f>
        <v>-3.3881456322743642E-2</v>
      </c>
      <c r="AB90" s="46">
        <f>IFERROR('Quarterly Revenue&amp;EBITDA'!AB90/'Quarterly Revenue&amp;EBITDA'!AB86 - 1, "")</f>
        <v>0.76663026446987326</v>
      </c>
      <c r="AC90" s="28"/>
    </row>
    <row r="91" spans="1:29" ht="13">
      <c r="A91" s="27" t="s">
        <v>116</v>
      </c>
      <c r="B91" s="46">
        <f ca="1">IFERROR('Quarterly Revenue&amp;EBITDA'!B91 * 1000/'Quarterly Revenue&amp;EBITDA'!B87 - 1, "")</f>
        <v>-8.1047704193746739E-2</v>
      </c>
      <c r="C91" s="46">
        <f ca="1">IFERROR('Quarterly Revenue&amp;EBITDA'!C91/'Quarterly Revenue&amp;EBITDA'!C87 - 1, "")</f>
        <v>-3.1145744434893596E-2</v>
      </c>
      <c r="D91" s="46">
        <f ca="1">IFERROR('Quarterly Revenue&amp;EBITDA'!D91/'Quarterly Revenue&amp;EBITDA'!D87 - 1, "")</f>
        <v>4.0271132376395569E-2</v>
      </c>
      <c r="E91" s="46">
        <f ca="1">IFERROR('Quarterly Revenue&amp;EBITDA'!E91/'Quarterly Revenue&amp;EBITDA'!E87 - 1, "")</f>
        <v>0.12882298424467109</v>
      </c>
      <c r="F91" s="46">
        <f ca="1">IFERROR('Quarterly Revenue&amp;EBITDA'!F91/'Quarterly Revenue&amp;EBITDA'!F87 - 1, "")</f>
        <v>-5.2910052910053462E-3</v>
      </c>
      <c r="G91" s="46">
        <f ca="1">IFERROR('Quarterly Revenue&amp;EBITDA'!G91/'Quarterly Revenue&amp;EBITDA'!G87 - 1, "")</f>
        <v>-0.19433691645717976</v>
      </c>
      <c r="H91" s="46">
        <f ca="1">IFERROR('Quarterly Revenue&amp;EBITDA'!H91/'Quarterly Revenue&amp;EBITDA'!H87 - 1, "")</f>
        <v>7.9885877318117027E-2</v>
      </c>
      <c r="I91" s="46">
        <f ca="1">IFERROR('Quarterly Revenue&amp;EBITDA'!I91/'Quarterly Revenue&amp;EBITDA'!I87 - 1, "")</f>
        <v>-0.10426466926436639</v>
      </c>
      <c r="J91" s="46">
        <f ca="1">IFERROR('Quarterly Revenue&amp;EBITDA'!J91/'Quarterly Revenue&amp;EBITDA'!J87 - 1, "")</f>
        <v>-0.23845100946732067</v>
      </c>
      <c r="K91" s="46" t="str">
        <f>IFERROR('Quarterly Revenue&amp;EBITDA'!K91/'Quarterly Revenue&amp;EBITDA'!K87 - 1, "")</f>
        <v/>
      </c>
      <c r="L91" s="46">
        <f ca="1">IFERROR('Quarterly Revenue&amp;EBITDA'!L91/'Quarterly Revenue&amp;EBITDA'!L87 - 1, "")</f>
        <v>-0.37254666718416074</v>
      </c>
      <c r="M91" s="46" t="str">
        <f ca="1">IFERROR('Quarterly Revenue&amp;EBITDA'!M91/'Quarterly Revenue&amp;EBITDA'!M87 - 1, "")</f>
        <v/>
      </c>
      <c r="N91" s="46">
        <f ca="1">IFERROR('Quarterly Revenue&amp;EBITDA'!N91/'Quarterly Revenue&amp;EBITDA'!N87 - 1, "")</f>
        <v>0.51193436101442069</v>
      </c>
      <c r="O91" s="46">
        <f ca="1">IFERROR('Quarterly Revenue&amp;EBITDA'!O91 * 1000/'Quarterly Revenue&amp;EBITDA'!O87 - 1, "")</f>
        <v>-0.55737996232718556</v>
      </c>
      <c r="P91" s="46" t="str">
        <f>IFERROR('Quarterly Revenue&amp;EBITDA'!P91/'Quarterly Revenue&amp;EBITDA'!P87 - 1, "")</f>
        <v/>
      </c>
      <c r="Q91" s="46" t="str">
        <f>IFERROR('Quarterly Revenue&amp;EBITDA'!Q91/'Quarterly Revenue&amp;EBITDA'!Q87 - 1, "")</f>
        <v/>
      </c>
      <c r="R91" s="46">
        <f>IFERROR('Quarterly Revenue&amp;EBITDA'!R91/'Quarterly Revenue&amp;EBITDA'!R87 - 1, "")</f>
        <v>0.17721089558646486</v>
      </c>
      <c r="S91" s="46">
        <f>IFERROR('Quarterly Revenue&amp;EBITDA'!S91/'Quarterly Revenue&amp;EBITDA'!S87 - 1, "")</f>
        <v>-0.2667837677266035</v>
      </c>
      <c r="T91" s="46" t="str">
        <f ca="1">IFERROR('Quarterly Revenue&amp;EBITDA'!T91/'Quarterly Revenue&amp;EBITDA'!T87 - 1, "")</f>
        <v/>
      </c>
      <c r="U91" s="45"/>
      <c r="V91" s="45"/>
      <c r="W91" s="46">
        <f>IFERROR('Quarterly Revenue&amp;EBITDA'!W91/'Quarterly Revenue&amp;EBITDA'!W87 - 1, "")</f>
        <v>-1.5109417488299859E-2</v>
      </c>
      <c r="X91" s="46">
        <f>IFERROR('Quarterly Revenue&amp;EBITDA'!X91/'Quarterly Revenue&amp;EBITDA'!X87 - 1, "")</f>
        <v>0.23086197907008965</v>
      </c>
      <c r="Y91" s="46">
        <f>IFERROR('Quarterly Revenue&amp;EBITDA'!Y91/'Quarterly Revenue&amp;EBITDA'!Y87 - 1, "")</f>
        <v>0.45925128500598911</v>
      </c>
      <c r="Z91" s="46">
        <f>IFERROR('Quarterly Revenue&amp;EBITDA'!Z91/'Quarterly Revenue&amp;EBITDA'!Z87 - 1, "")</f>
        <v>0.15511452358028777</v>
      </c>
      <c r="AA91" s="46">
        <f>IFERROR('Quarterly Revenue&amp;EBITDA'!AA91/'Quarterly Revenue&amp;EBITDA'!AA87 - 1, "")</f>
        <v>-0.12075026795284027</v>
      </c>
      <c r="AB91" s="46">
        <f>IFERROR('Quarterly Revenue&amp;EBITDA'!AB91/'Quarterly Revenue&amp;EBITDA'!AB87 - 1, "")</f>
        <v>0.26512215443330556</v>
      </c>
      <c r="AC91" s="28"/>
    </row>
    <row r="92" spans="1:29" ht="13">
      <c r="A92" s="27" t="s">
        <v>117</v>
      </c>
      <c r="B92" s="46">
        <f ca="1">IFERROR('Quarterly Revenue&amp;EBITDA'!B92 * 1000/'Quarterly Revenue&amp;EBITDA'!B88 - 1, "")</f>
        <v>0.32968782730487667</v>
      </c>
      <c r="C92" s="46">
        <f ca="1">IFERROR('Quarterly Revenue&amp;EBITDA'!C92/'Quarterly Revenue&amp;EBITDA'!C88 - 1, "")</f>
        <v>8.846414599103114E-2</v>
      </c>
      <c r="D92" s="46">
        <f ca="1">IFERROR('Quarterly Revenue&amp;EBITDA'!D92/'Quarterly Revenue&amp;EBITDA'!D88 - 1, "")</f>
        <v>9.4791666666666607E-2</v>
      </c>
      <c r="E92" s="46">
        <f ca="1">IFERROR('Quarterly Revenue&amp;EBITDA'!E92/'Quarterly Revenue&amp;EBITDA'!E88 - 1, "")</f>
        <v>0.139388489208633</v>
      </c>
      <c r="F92" s="46">
        <f ca="1">IFERROR('Quarterly Revenue&amp;EBITDA'!F92/'Quarterly Revenue&amp;EBITDA'!F88 - 1, "")</f>
        <v>-2.5404157043879882E-2</v>
      </c>
      <c r="G92" s="46">
        <f ca="1">IFERROR('Quarterly Revenue&amp;EBITDA'!G92/'Quarterly Revenue&amp;EBITDA'!G88 - 1, "")</f>
        <v>-4.808105566406673E-2</v>
      </c>
      <c r="H92" s="46">
        <f ca="1">IFERROR('Quarterly Revenue&amp;EBITDA'!H92/'Quarterly Revenue&amp;EBITDA'!H88 - 1, "")</f>
        <v>5.1263001485884141E-2</v>
      </c>
      <c r="I92" s="46">
        <f ca="1">IFERROR('Quarterly Revenue&amp;EBITDA'!I92/'Quarterly Revenue&amp;EBITDA'!I88 - 1, "")</f>
        <v>-0.11039381251997904</v>
      </c>
      <c r="J92" s="46">
        <f ca="1">IFERROR('Quarterly Revenue&amp;EBITDA'!J92/'Quarterly Revenue&amp;EBITDA'!J88 - 1, "")</f>
        <v>3.1489702350629534E-2</v>
      </c>
      <c r="K92" s="46" t="str">
        <f>IFERROR('Quarterly Revenue&amp;EBITDA'!K92/'Quarterly Revenue&amp;EBITDA'!K88 - 1, "")</f>
        <v/>
      </c>
      <c r="L92" s="46">
        <f ca="1">IFERROR('Quarterly Revenue&amp;EBITDA'!L92/'Quarterly Revenue&amp;EBITDA'!L88 - 1, "")</f>
        <v>-0.35724191397101512</v>
      </c>
      <c r="M92" s="46" t="str">
        <f ca="1">IFERROR('Quarterly Revenue&amp;EBITDA'!M92/'Quarterly Revenue&amp;EBITDA'!M88 - 1, "")</f>
        <v/>
      </c>
      <c r="N92" s="46">
        <f ca="1">IFERROR('Quarterly Revenue&amp;EBITDA'!N92/'Quarterly Revenue&amp;EBITDA'!N88 - 1, "")</f>
        <v>0.70840046029919468</v>
      </c>
      <c r="O92" s="46">
        <f ca="1">IFERROR('Quarterly Revenue&amp;EBITDA'!O92 * 1000/'Quarterly Revenue&amp;EBITDA'!O88 - 1, "")</f>
        <v>-0.55737996232718556</v>
      </c>
      <c r="P92" s="46" t="str">
        <f>IFERROR('Quarterly Revenue&amp;EBITDA'!P92/'Quarterly Revenue&amp;EBITDA'!P88 - 1, "")</f>
        <v/>
      </c>
      <c r="Q92" s="46" t="str">
        <f>IFERROR('Quarterly Revenue&amp;EBITDA'!Q92/'Quarterly Revenue&amp;EBITDA'!Q88 - 1, "")</f>
        <v/>
      </c>
      <c r="R92" s="46">
        <f>IFERROR('Quarterly Revenue&amp;EBITDA'!R92/'Quarterly Revenue&amp;EBITDA'!R88 - 1, "")</f>
        <v>0.17721089558646486</v>
      </c>
      <c r="S92" s="46">
        <f>IFERROR('Quarterly Revenue&amp;EBITDA'!S92/'Quarterly Revenue&amp;EBITDA'!S88 - 1, "")</f>
        <v>-0.20398097586753572</v>
      </c>
      <c r="T92" s="46" t="str">
        <f ca="1">IFERROR('Quarterly Revenue&amp;EBITDA'!T92/'Quarterly Revenue&amp;EBITDA'!T88 - 1, "")</f>
        <v/>
      </c>
      <c r="U92" s="45"/>
      <c r="V92" s="45"/>
      <c r="W92" s="46">
        <f>IFERROR('Quarterly Revenue&amp;EBITDA'!W92/'Quarterly Revenue&amp;EBITDA'!W88 - 1, "")</f>
        <v>-1.5109417488299859E-2</v>
      </c>
      <c r="X92" s="46">
        <f>IFERROR('Quarterly Revenue&amp;EBITDA'!X92/'Quarterly Revenue&amp;EBITDA'!X88 - 1, "")</f>
        <v>0.23086197907008965</v>
      </c>
      <c r="Y92" s="46">
        <f>IFERROR('Quarterly Revenue&amp;EBITDA'!Y92/'Quarterly Revenue&amp;EBITDA'!Y88 - 1, "")</f>
        <v>0.45925128500598911</v>
      </c>
      <c r="Z92" s="46">
        <f>IFERROR('Quarterly Revenue&amp;EBITDA'!Z92/'Quarterly Revenue&amp;EBITDA'!Z88 - 1, "")</f>
        <v>0.15511452358028777</v>
      </c>
      <c r="AA92" s="46">
        <f>IFERROR('Quarterly Revenue&amp;EBITDA'!AA92/'Quarterly Revenue&amp;EBITDA'!AA88 - 1, "")</f>
        <v>-0.12075026795284027</v>
      </c>
      <c r="AB92" s="46">
        <f>IFERROR('Quarterly Revenue&amp;EBITDA'!AB92/'Quarterly Revenue&amp;EBITDA'!AB88 - 1, "")</f>
        <v>0.26512215443330556</v>
      </c>
      <c r="AC92" s="28"/>
    </row>
    <row r="93" spans="1:29" ht="13">
      <c r="A93" s="27" t="s">
        <v>118</v>
      </c>
      <c r="B93" s="46">
        <f ca="1">IFERROR('Quarterly Revenue&amp;EBITDA'!B93 * 1000/'Quarterly Revenue&amp;EBITDA'!B89 - 1, "")</f>
        <v>0.80285515959129072</v>
      </c>
      <c r="C93" s="46">
        <f ca="1">IFERROR('Quarterly Revenue&amp;EBITDA'!C93/'Quarterly Revenue&amp;EBITDA'!C89 - 1, "")</f>
        <v>3.9370273597726602E-2</v>
      </c>
      <c r="D93" s="46">
        <f ca="1">IFERROR('Quarterly Revenue&amp;EBITDA'!D93/'Quarterly Revenue&amp;EBITDA'!D89 - 1, "")</f>
        <v>8.6080586080585997E-2</v>
      </c>
      <c r="E93" s="46">
        <f ca="1">IFERROR('Quarterly Revenue&amp;EBITDA'!E93/'Quarterly Revenue&amp;EBITDA'!E89 - 1, "")</f>
        <v>7.3830409356725246E-2</v>
      </c>
      <c r="F93" s="46">
        <f ca="1">IFERROR('Quarterly Revenue&amp;EBITDA'!F93/'Quarterly Revenue&amp;EBITDA'!F89 - 1, "")</f>
        <v>-6.5502183406113579E-2</v>
      </c>
      <c r="G93" s="46">
        <f ca="1">IFERROR('Quarterly Revenue&amp;EBITDA'!G93/'Quarterly Revenue&amp;EBITDA'!G89 - 1, "")</f>
        <v>-1.2516014585591817E-2</v>
      </c>
      <c r="H93" s="46">
        <f ca="1">IFERROR('Quarterly Revenue&amp;EBITDA'!H93/'Quarterly Revenue&amp;EBITDA'!H89 - 1, "")</f>
        <v>5.1166290443942719E-2</v>
      </c>
      <c r="I93" s="46">
        <f ca="1">IFERROR('Quarterly Revenue&amp;EBITDA'!I93/'Quarterly Revenue&amp;EBITDA'!I89 - 1, "")</f>
        <v>8.8686730393329416E-2</v>
      </c>
      <c r="J93" s="46">
        <f ca="1">IFERROR('Quarterly Revenue&amp;EBITDA'!J93/'Quarterly Revenue&amp;EBITDA'!J89 - 1, "")</f>
        <v>0.13848217818915343</v>
      </c>
      <c r="K93" s="46" t="str">
        <f>IFERROR('Quarterly Revenue&amp;EBITDA'!K93/'Quarterly Revenue&amp;EBITDA'!K89 - 1, "")</f>
        <v/>
      </c>
      <c r="L93" s="46">
        <f ca="1">IFERROR('Quarterly Revenue&amp;EBITDA'!L93/'Quarterly Revenue&amp;EBITDA'!L89 - 1, "")</f>
        <v>-0.28951150968467487</v>
      </c>
      <c r="M93" s="46" t="str">
        <f ca="1">IFERROR('Quarterly Revenue&amp;EBITDA'!M93/'Quarterly Revenue&amp;EBITDA'!M89 - 1, "")</f>
        <v/>
      </c>
      <c r="N93" s="46">
        <f ca="1">IFERROR('Quarterly Revenue&amp;EBITDA'!N93/'Quarterly Revenue&amp;EBITDA'!N89 - 1, "")</f>
        <v>0.5755142017629773</v>
      </c>
      <c r="O93" s="46">
        <f ca="1">IFERROR('Quarterly Revenue&amp;EBITDA'!O93/'Quarterly Revenue&amp;EBITDA'!O89 - 1, "")</f>
        <v>0.2411831626848675</v>
      </c>
      <c r="P93" s="46" t="str">
        <f>IFERROR('Quarterly Revenue&amp;EBITDA'!P93/'Quarterly Revenue&amp;EBITDA'!P89 - 1, "")</f>
        <v/>
      </c>
      <c r="Q93" s="46" t="str">
        <f>IFERROR('Quarterly Revenue&amp;EBITDA'!Q93/'Quarterly Revenue&amp;EBITDA'!Q89 - 1, "")</f>
        <v/>
      </c>
      <c r="R93" s="46">
        <f>IFERROR('Quarterly Revenue&amp;EBITDA'!R93/'Quarterly Revenue&amp;EBITDA'!R89 - 1, "")</f>
        <v>0.17721089558646486</v>
      </c>
      <c r="S93" s="46">
        <f>IFERROR('Quarterly Revenue&amp;EBITDA'!S93/'Quarterly Revenue&amp;EBITDA'!S89 - 1, "")</f>
        <v>-0.20398097586753572</v>
      </c>
      <c r="T93" s="46" t="str">
        <f ca="1">IFERROR('Quarterly Revenue&amp;EBITDA'!T93/'Quarterly Revenue&amp;EBITDA'!T89 - 1, "")</f>
        <v/>
      </c>
      <c r="U93" s="45"/>
      <c r="V93" s="45"/>
      <c r="W93" s="46">
        <f>IFERROR('Quarterly Revenue&amp;EBITDA'!W93/'Quarterly Revenue&amp;EBITDA'!W89 - 1, "")</f>
        <v>-0.34128426323480243</v>
      </c>
      <c r="X93" s="46">
        <f>IFERROR('Quarterly Revenue&amp;EBITDA'!X93/'Quarterly Revenue&amp;EBITDA'!X89 - 1, "")</f>
        <v>0.23086197907008965</v>
      </c>
      <c r="Y93" s="46">
        <f>IFERROR('Quarterly Revenue&amp;EBITDA'!Y93/'Quarterly Revenue&amp;EBITDA'!Y89 - 1, "")</f>
        <v>0.45925128500598911</v>
      </c>
      <c r="Z93" s="46">
        <f>IFERROR('Quarterly Revenue&amp;EBITDA'!Z93/'Quarterly Revenue&amp;EBITDA'!Z89 - 1, "")</f>
        <v>0.15511452358028777</v>
      </c>
      <c r="AA93" s="46">
        <f>IFERROR('Quarterly Revenue&amp;EBITDA'!AA93/'Quarterly Revenue&amp;EBITDA'!AA89 - 1, "")</f>
        <v>-0.12075026795284027</v>
      </c>
      <c r="AB93" s="46">
        <f>IFERROR('Quarterly Revenue&amp;EBITDA'!AB93/'Quarterly Revenue&amp;EBITDA'!AB89 - 1, "")</f>
        <v>0.26512215443330556</v>
      </c>
      <c r="AC93" s="28"/>
    </row>
    <row r="94" spans="1:29" ht="13">
      <c r="A94" s="27" t="s">
        <v>119</v>
      </c>
      <c r="B94" s="46">
        <f ca="1">IFERROR('Quarterly Revenue&amp;EBITDA'!B94 * 1000/'Quarterly Revenue&amp;EBITDA'!B90 - 1, "")</f>
        <v>0.2124912889839361</v>
      </c>
      <c r="C94" s="46">
        <f ca="1">IFERROR('Quarterly Revenue&amp;EBITDA'!C94/'Quarterly Revenue&amp;EBITDA'!C90 - 1, "")</f>
        <v>3.9215686274509887E-2</v>
      </c>
      <c r="D94" s="46">
        <f ca="1">IFERROR('Quarterly Revenue&amp;EBITDA'!D94/'Quarterly Revenue&amp;EBITDA'!D90 - 1, "")</f>
        <v>7.3466197733489613E-2</v>
      </c>
      <c r="E94" s="46">
        <f ca="1">IFERROR('Quarterly Revenue&amp;EBITDA'!E94/'Quarterly Revenue&amp;EBITDA'!E90 - 1, "")</f>
        <v>4.261106074342691E-2</v>
      </c>
      <c r="F94" s="46">
        <f ca="1">IFERROR('Quarterly Revenue&amp;EBITDA'!F94/'Quarterly Revenue&amp;EBITDA'!F90 - 1, "")</f>
        <v>-3.1791907514450823E-2</v>
      </c>
      <c r="G94" s="46">
        <f ca="1">IFERROR('Quarterly Revenue&amp;EBITDA'!G94/'Quarterly Revenue&amp;EBITDA'!G90 - 1, "")</f>
        <v>-6.7622827950928777E-2</v>
      </c>
      <c r="H94" s="46">
        <f ca="1">IFERROR('Quarterly Revenue&amp;EBITDA'!H94/'Quarterly Revenue&amp;EBITDA'!H90 - 1, "")</f>
        <v>0.15526315789473677</v>
      </c>
      <c r="I94" s="46">
        <f ca="1">IFERROR('Quarterly Revenue&amp;EBITDA'!I94/'Quarterly Revenue&amp;EBITDA'!I90 - 1, "")</f>
        <v>9.8743538467343406E-2</v>
      </c>
      <c r="J94" s="46">
        <f ca="1">IFERROR('Quarterly Revenue&amp;EBITDA'!J94/'Quarterly Revenue&amp;EBITDA'!J90 - 1, "")</f>
        <v>0.17685374354044003</v>
      </c>
      <c r="K94" s="46" t="str">
        <f>IFERROR('Quarterly Revenue&amp;EBITDA'!K94/'Quarterly Revenue&amp;EBITDA'!K90 - 1, "")</f>
        <v/>
      </c>
      <c r="L94" s="46">
        <f ca="1">IFERROR('Quarterly Revenue&amp;EBITDA'!L94/'Quarterly Revenue&amp;EBITDA'!L90 - 1, "")</f>
        <v>-0.36797464210506114</v>
      </c>
      <c r="M94" s="46"/>
      <c r="N94" s="46">
        <f ca="1">IFERROR('Quarterly Revenue&amp;EBITDA'!N94/'Quarterly Revenue&amp;EBITDA'!N90 - 1, "")</f>
        <v>0.36992753623188412</v>
      </c>
      <c r="O94" s="46">
        <f ca="1">IFERROR('Quarterly Revenue&amp;EBITDA'!O94/'Quarterly Revenue&amp;EBITDA'!O90 - 1, "")</f>
        <v>0.2411831626848675</v>
      </c>
      <c r="P94" s="46" t="str">
        <f>IFERROR('Quarterly Revenue&amp;EBITDA'!P94/'Quarterly Revenue&amp;EBITDA'!P90 - 1, "")</f>
        <v/>
      </c>
      <c r="Q94" s="46" t="str">
        <f>IFERROR('Quarterly Revenue&amp;EBITDA'!Q94/'Quarterly Revenue&amp;EBITDA'!Q90 - 1, "")</f>
        <v/>
      </c>
      <c r="R94" s="46">
        <f>IFERROR('Quarterly Revenue&amp;EBITDA'!R94/'Quarterly Revenue&amp;EBITDA'!R90 - 1, "")</f>
        <v>0.17721089558646486</v>
      </c>
      <c r="S94" s="46">
        <f>IFERROR('Quarterly Revenue&amp;EBITDA'!S94/'Quarterly Revenue&amp;EBITDA'!S90 - 1, "")</f>
        <v>-0.20398097586753572</v>
      </c>
      <c r="T94" s="46" t="str">
        <f ca="1">IFERROR('Quarterly Revenue&amp;EBITDA'!T94/'Quarterly Revenue&amp;EBITDA'!T90 - 1, "")</f>
        <v/>
      </c>
      <c r="U94" s="45"/>
      <c r="V94" s="45"/>
      <c r="W94" s="46">
        <f>IFERROR('Quarterly Revenue&amp;EBITDA'!W94/'Quarterly Revenue&amp;EBITDA'!W90 - 1, "")</f>
        <v>-0.34128426323480243</v>
      </c>
      <c r="X94" s="46">
        <f>IFERROR('Quarterly Revenue&amp;EBITDA'!X94/'Quarterly Revenue&amp;EBITDA'!X90 - 1, "")</f>
        <v>0.23086197907008965</v>
      </c>
      <c r="Y94" s="46">
        <f>IFERROR('Quarterly Revenue&amp;EBITDA'!Y94/'Quarterly Revenue&amp;EBITDA'!Y90 - 1, "")</f>
        <v>0.45925128500598911</v>
      </c>
      <c r="Z94" s="46">
        <f>IFERROR('Quarterly Revenue&amp;EBITDA'!Z94/'Quarterly Revenue&amp;EBITDA'!Z90 - 1, "")</f>
        <v>0.15511452358028777</v>
      </c>
      <c r="AA94" s="46">
        <f>IFERROR('Quarterly Revenue&amp;EBITDA'!AA94/'Quarterly Revenue&amp;EBITDA'!AA90 - 1, "")</f>
        <v>-0.12075026795284027</v>
      </c>
      <c r="AB94" s="46">
        <f>IFERROR('Quarterly Revenue&amp;EBITDA'!AB94/'Quarterly Revenue&amp;EBITDA'!AB90 - 1, "")</f>
        <v>0.26512215443330556</v>
      </c>
      <c r="AC94" s="28"/>
    </row>
    <row r="95" spans="1:29" ht="13">
      <c r="A95" s="27" t="s">
        <v>120</v>
      </c>
      <c r="B95" s="46">
        <f ca="1">IFERROR('Quarterly Revenue&amp;EBITDA'!B95/'Quarterly Revenue&amp;EBITDA'!B91 - 1, "")</f>
        <v>3.3730631704409486E-3</v>
      </c>
      <c r="C95" s="46">
        <f ca="1">IFERROR('Quarterly Revenue&amp;EBITDA'!C95/'Quarterly Revenue&amp;EBITDA'!C91 - 1, "")</f>
        <v>-0.19351427564328516</v>
      </c>
      <c r="D95" s="46">
        <f ca="1">IFERROR('Quarterly Revenue&amp;EBITDA'!D95/'Quarterly Revenue&amp;EBITDA'!D91 - 1, "")</f>
        <v>-0.15331544653123808</v>
      </c>
      <c r="E95" s="46">
        <f ca="1">IFERROR('Quarterly Revenue&amp;EBITDA'!E95/'Quarterly Revenue&amp;EBITDA'!E91 - 1, "")</f>
        <v>-0.45073891625615758</v>
      </c>
      <c r="F95" s="46">
        <f ca="1">IFERROR('Quarterly Revenue&amp;EBITDA'!F95/'Quarterly Revenue&amp;EBITDA'!F91 - 1, "")</f>
        <v>-0.26063829787234039</v>
      </c>
      <c r="G95" s="46">
        <f ca="1">IFERROR('Quarterly Revenue&amp;EBITDA'!G95/'Quarterly Revenue&amp;EBITDA'!G91 - 1, "")</f>
        <v>-0.33097243491577333</v>
      </c>
      <c r="H95" s="46">
        <f ca="1">IFERROR('Quarterly Revenue&amp;EBITDA'!H95/'Quarterly Revenue&amp;EBITDA'!H91 - 1, "")</f>
        <v>-0.23579920739762217</v>
      </c>
      <c r="I95" s="46">
        <f ca="1">IFERROR('Quarterly Revenue&amp;EBITDA'!I95/'Quarterly Revenue&amp;EBITDA'!I91 - 1, "")</f>
        <v>-0.42824943651389935</v>
      </c>
      <c r="J95" s="46">
        <f ca="1">IFERROR('Quarterly Revenue&amp;EBITDA'!J95/'Quarterly Revenue&amp;EBITDA'!J91 - 1, "")</f>
        <v>-0.12673806135949484</v>
      </c>
      <c r="K95" s="46" t="str">
        <f>IFERROR('Quarterly Revenue&amp;EBITDA'!K95/'Quarterly Revenue&amp;EBITDA'!K91 - 1, "")</f>
        <v/>
      </c>
      <c r="L95" s="46">
        <f ca="1">IFERROR('Quarterly Revenue&amp;EBITDA'!L95/'Quarterly Revenue&amp;EBITDA'!L91 - 1, "")</f>
        <v>-0.38724661205367783</v>
      </c>
      <c r="M95" s="46">
        <f ca="1">IFERROR('Quarterly Revenue&amp;EBITDA'!M95/'Quarterly Revenue&amp;EBITDA'!M91 - 1, "")</f>
        <v>0.98322147651007219</v>
      </c>
      <c r="N95" s="46">
        <f ca="1">IFERROR('Quarterly Revenue&amp;EBITDA'!N95/'Quarterly Revenue&amp;EBITDA'!N91 - 1, "")</f>
        <v>-0.12267719125143894</v>
      </c>
      <c r="O95" s="46">
        <f ca="1">IFERROR('Quarterly Revenue&amp;EBITDA'!O95/'Quarterly Revenue&amp;EBITDA'!O91 - 1, "")</f>
        <v>-0.7458246346555335</v>
      </c>
      <c r="P95" s="46" t="str">
        <f>IFERROR('Quarterly Revenue&amp;EBITDA'!P95/'Quarterly Revenue&amp;EBITDA'!P91 - 1, "")</f>
        <v/>
      </c>
      <c r="Q95" s="46" t="str">
        <f>IFERROR('Quarterly Revenue&amp;EBITDA'!Q95/'Quarterly Revenue&amp;EBITDA'!Q91 - 1, "")</f>
        <v/>
      </c>
      <c r="R95" s="46">
        <f>IFERROR('Quarterly Revenue&amp;EBITDA'!R95/'Quarterly Revenue&amp;EBITDA'!R91 - 1, "")</f>
        <v>-0.67120443950259623</v>
      </c>
      <c r="S95" s="46">
        <f>IFERROR('Quarterly Revenue&amp;EBITDA'!S95/'Quarterly Revenue&amp;EBITDA'!S91 - 1, "")</f>
        <v>-0.20398097586753572</v>
      </c>
      <c r="T95" s="46" t="str">
        <f ca="1">IFERROR('Quarterly Revenue&amp;EBITDA'!T95/'Quarterly Revenue&amp;EBITDA'!T91 - 1, "")</f>
        <v/>
      </c>
      <c r="U95" s="45"/>
      <c r="V95" s="45"/>
      <c r="W95" s="46">
        <f>IFERROR('Quarterly Revenue&amp;EBITDA'!W95/'Quarterly Revenue&amp;EBITDA'!W91 - 1, "")</f>
        <v>-0.34128426323480243</v>
      </c>
      <c r="X95" s="46">
        <f>IFERROR('Quarterly Revenue&amp;EBITDA'!X95/'Quarterly Revenue&amp;EBITDA'!X91 - 1, "")</f>
        <v>-0.66285196919239087</v>
      </c>
      <c r="Y95" s="46">
        <f>IFERROR('Quarterly Revenue&amp;EBITDA'!Y95/'Quarterly Revenue&amp;EBITDA'!Y91 - 1, "")</f>
        <v>-0.59597680846200207</v>
      </c>
      <c r="Z95" s="46">
        <f>IFERROR('Quarterly Revenue&amp;EBITDA'!Z95/'Quarterly Revenue&amp;EBITDA'!Z91 - 1, "")</f>
        <v>-0.61515924102233654</v>
      </c>
      <c r="AA95" s="46">
        <f>IFERROR('Quarterly Revenue&amp;EBITDA'!AA95/'Quarterly Revenue&amp;EBITDA'!AA91 - 1, "")</f>
        <v>-0.64319672330984712</v>
      </c>
      <c r="AB95" s="46">
        <f>IFERROR('Quarterly Revenue&amp;EBITDA'!AB95/'Quarterly Revenue&amp;EBITDA'!AB91 - 1, "")</f>
        <v>-0.37112131782781055</v>
      </c>
      <c r="AC95" s="28"/>
    </row>
    <row r="96" spans="1:29" ht="13">
      <c r="A96" s="27" t="s">
        <v>121</v>
      </c>
      <c r="B96" s="46">
        <f ca="1">IFERROR('Quarterly Revenue&amp;EBITDA'!B96/'Quarterly Revenue&amp;EBITDA'!B92 - 1, "")</f>
        <v>-0.72423887973640855</v>
      </c>
      <c r="C96" s="46">
        <f ca="1">IFERROR('Quarterly Revenue&amp;EBITDA'!C96/'Quarterly Revenue&amp;EBITDA'!C92 - 1, "")</f>
        <v>-0.83636363636363642</v>
      </c>
      <c r="D96" s="46">
        <f ca="1">IFERROR('Quarterly Revenue&amp;EBITDA'!D96/'Quarterly Revenue&amp;EBITDA'!D92 - 1, "")</f>
        <v>-0.820488423723438</v>
      </c>
      <c r="E96" s="46">
        <f ca="1">IFERROR('Quarterly Revenue&amp;EBITDA'!E96/'Quarterly Revenue&amp;EBITDA'!E92 - 1, "")</f>
        <v>-0.64640883977900554</v>
      </c>
      <c r="F96" s="46">
        <f ca="1">IFERROR('Quarterly Revenue&amp;EBITDA'!F96/'Quarterly Revenue&amp;EBITDA'!F92 - 1, "")</f>
        <v>-0.86018957345971558</v>
      </c>
      <c r="G96" s="46">
        <f ca="1">IFERROR('Quarterly Revenue&amp;EBITDA'!G96/'Quarterly Revenue&amp;EBITDA'!G92 - 1, "")</f>
        <v>-0.92802860974519441</v>
      </c>
      <c r="H96" s="46">
        <f ca="1">IFERROR('Quarterly Revenue&amp;EBITDA'!H96/'Quarterly Revenue&amp;EBITDA'!H92 - 1, "")</f>
        <v>-0.88268551236749115</v>
      </c>
      <c r="I96" s="46">
        <f ca="1">IFERROR('Quarterly Revenue&amp;EBITDA'!I96/'Quarterly Revenue&amp;EBITDA'!I92 - 1, "")</f>
        <v>-1.0850131463628396</v>
      </c>
      <c r="J96" s="46">
        <f ca="1">IFERROR('Quarterly Revenue&amp;EBITDA'!J96/'Quarterly Revenue&amp;EBITDA'!J92 - 1, "")</f>
        <v>-0.95512110458101973</v>
      </c>
      <c r="K96" s="46" t="str">
        <f>IFERROR('Quarterly Revenue&amp;EBITDA'!K96/'Quarterly Revenue&amp;EBITDA'!K92 - 1, "")</f>
        <v/>
      </c>
      <c r="L96" s="46">
        <f ca="1">IFERROR('Quarterly Revenue&amp;EBITDA'!L96/'Quarterly Revenue&amp;EBITDA'!L92 - 1, "")</f>
        <v>-0.92281938529130492</v>
      </c>
      <c r="M96" s="46">
        <f ca="1">IFERROR('Quarterly Revenue&amp;EBITDA'!M96/'Quarterly Revenue&amp;EBITDA'!M92 - 1, "")</f>
        <v>-0.90153389411182583</v>
      </c>
      <c r="N96" s="46">
        <f ca="1">IFERROR('Quarterly Revenue&amp;EBITDA'!N96/'Quarterly Revenue&amp;EBITDA'!N92 - 1, "")</f>
        <v>-0.96362656607840491</v>
      </c>
      <c r="O96" s="46">
        <f ca="1">IFERROR('Quarterly Revenue&amp;EBITDA'!O96/'Quarterly Revenue&amp;EBITDA'!O92 - 1, "")</f>
        <v>-0.7458246346555335</v>
      </c>
      <c r="P96" s="46" t="str">
        <f>IFERROR('Quarterly Revenue&amp;EBITDA'!P96/'Quarterly Revenue&amp;EBITDA'!P92 - 1, "")</f>
        <v/>
      </c>
      <c r="Q96" s="46" t="str">
        <f>IFERROR('Quarterly Revenue&amp;EBITDA'!Q96/'Quarterly Revenue&amp;EBITDA'!Q92 - 1, "")</f>
        <v/>
      </c>
      <c r="R96" s="46">
        <f>IFERROR('Quarterly Revenue&amp;EBITDA'!R96/'Quarterly Revenue&amp;EBITDA'!R92 - 1, "")</f>
        <v>-0.67120443950259623</v>
      </c>
      <c r="S96" s="46">
        <f>IFERROR('Quarterly Revenue&amp;EBITDA'!S96/'Quarterly Revenue&amp;EBITDA'!S92 - 1, "")</f>
        <v>-0.15817658774065058</v>
      </c>
      <c r="T96" s="46" t="str">
        <f ca="1">IFERROR('Quarterly Revenue&amp;EBITDA'!T96/'Quarterly Revenue&amp;EBITDA'!T92 - 1, "")</f>
        <v/>
      </c>
      <c r="U96" s="45"/>
      <c r="V96" s="45"/>
      <c r="W96" s="46">
        <f>IFERROR('Quarterly Revenue&amp;EBITDA'!W96/'Quarterly Revenue&amp;EBITDA'!W92 - 1, "")</f>
        <v>-0.34128426323480243</v>
      </c>
      <c r="X96" s="46">
        <f>IFERROR('Quarterly Revenue&amp;EBITDA'!X96/'Quarterly Revenue&amp;EBITDA'!X92 - 1, "")</f>
        <v>-0.66285196919239087</v>
      </c>
      <c r="Y96" s="46">
        <f>IFERROR('Quarterly Revenue&amp;EBITDA'!Y96/'Quarterly Revenue&amp;EBITDA'!Y92 - 1, "")</f>
        <v>-0.59597680846200207</v>
      </c>
      <c r="Z96" s="46">
        <f>IFERROR('Quarterly Revenue&amp;EBITDA'!Z96/'Quarterly Revenue&amp;EBITDA'!Z92 - 1, "")</f>
        <v>-0.61515924102233654</v>
      </c>
      <c r="AA96" s="46">
        <f>IFERROR('Quarterly Revenue&amp;EBITDA'!AA96/'Quarterly Revenue&amp;EBITDA'!AA92 - 1, "")</f>
        <v>-0.64319672330984712</v>
      </c>
      <c r="AB96" s="46">
        <f>IFERROR('Quarterly Revenue&amp;EBITDA'!AB96/'Quarterly Revenue&amp;EBITDA'!AB92 - 1, "")</f>
        <v>-0.37112131782781055</v>
      </c>
      <c r="AC96" s="28"/>
    </row>
    <row r="97" spans="1:29" ht="13">
      <c r="A97" s="27" t="s">
        <v>122</v>
      </c>
      <c r="B97" s="46">
        <f ca="1">IFERROR('Quarterly Revenue&amp;EBITDA'!B97/'Quarterly Revenue&amp;EBITDA'!B93 - 1, "")</f>
        <v>-0.18469015795868771</v>
      </c>
      <c r="C97" s="46">
        <f ca="1">IFERROR('Quarterly Revenue&amp;EBITDA'!C97/'Quarterly Revenue&amp;EBITDA'!C93 - 1, "")</f>
        <v>-0.47619047619047616</v>
      </c>
      <c r="D97" s="46">
        <f ca="1">IFERROR('Quarterly Revenue&amp;EBITDA'!D97/'Quarterly Revenue&amp;EBITDA'!D93 - 1, "")</f>
        <v>-0.57729061270376614</v>
      </c>
      <c r="E97" s="46">
        <f ca="1">IFERROR('Quarterly Revenue&amp;EBITDA'!E97/'Quarterly Revenue&amp;EBITDA'!E93 - 1, "")</f>
        <v>-0.45200816882232808</v>
      </c>
      <c r="F97" s="46">
        <f ca="1">IFERROR('Quarterly Revenue&amp;EBITDA'!F97/'Quarterly Revenue&amp;EBITDA'!F93 - 1, "")</f>
        <v>-0.64719626168224298</v>
      </c>
      <c r="G97" s="46">
        <f ca="1">IFERROR('Quarterly Revenue&amp;EBITDA'!G97/'Quarterly Revenue&amp;EBITDA'!G93 - 1, "")</f>
        <v>-0.75808383233532939</v>
      </c>
      <c r="H97" s="46">
        <f ca="1">IFERROR('Quarterly Revenue&amp;EBITDA'!H97/'Quarterly Revenue&amp;EBITDA'!H93 - 1, "")</f>
        <v>-0.75375805297065135</v>
      </c>
      <c r="I97" s="46">
        <f ca="1">IFERROR('Quarterly Revenue&amp;EBITDA'!I97/'Quarterly Revenue&amp;EBITDA'!I93 - 1, "")</f>
        <v>-0.91136363636363638</v>
      </c>
      <c r="J97" s="46">
        <f ca="1">IFERROR('Quarterly Revenue&amp;EBITDA'!J97/'Quarterly Revenue&amp;EBITDA'!J93 - 1, "")</f>
        <v>-0.80468306247191856</v>
      </c>
      <c r="K97" s="46" t="str">
        <f>IFERROR('Quarterly Revenue&amp;EBITDA'!K97/'Quarterly Revenue&amp;EBITDA'!K93 - 1, "")</f>
        <v/>
      </c>
      <c r="L97" s="46">
        <f ca="1">IFERROR('Quarterly Revenue&amp;EBITDA'!L97/'Quarterly Revenue&amp;EBITDA'!L93 - 1, "")</f>
        <v>-0.91365822929790397</v>
      </c>
      <c r="M97" s="46">
        <f ca="1">IFERROR('Quarterly Revenue&amp;EBITDA'!M97/'Quarterly Revenue&amp;EBITDA'!M93 - 1, "")</f>
        <v>-0.81225033288948068</v>
      </c>
      <c r="N97" s="46">
        <f ca="1">IFERROR('Quarterly Revenue&amp;EBITDA'!N97/'Quarterly Revenue&amp;EBITDA'!N93 - 1, "")</f>
        <v>-0.88549048862364788</v>
      </c>
      <c r="O97" s="46">
        <f ca="1">IFERROR('Quarterly Revenue&amp;EBITDA'!O97/'Quarterly Revenue&amp;EBITDA'!O93 - 1, "")</f>
        <v>-0.89505041246562778</v>
      </c>
      <c r="P97" s="46" t="str">
        <f>IFERROR('Quarterly Revenue&amp;EBITDA'!P97/'Quarterly Revenue&amp;EBITDA'!P93 - 1, "")</f>
        <v/>
      </c>
      <c r="Q97" s="46" t="str">
        <f>IFERROR('Quarterly Revenue&amp;EBITDA'!Q97/'Quarterly Revenue&amp;EBITDA'!Q93 - 1, "")</f>
        <v/>
      </c>
      <c r="R97" s="46">
        <f>IFERROR('Quarterly Revenue&amp;EBITDA'!R97/'Quarterly Revenue&amp;EBITDA'!R93 - 1, "")</f>
        <v>-0.67120443950259623</v>
      </c>
      <c r="S97" s="46">
        <f>IFERROR('Quarterly Revenue&amp;EBITDA'!S97/'Quarterly Revenue&amp;EBITDA'!S93 - 1, "")</f>
        <v>-0.15817658774065058</v>
      </c>
      <c r="T97" s="46" t="str">
        <f ca="1">IFERROR('Quarterly Revenue&amp;EBITDA'!T97/'Quarterly Revenue&amp;EBITDA'!T93 - 1, "")</f>
        <v/>
      </c>
      <c r="U97" s="45"/>
      <c r="V97" s="45"/>
      <c r="W97" s="46">
        <f>IFERROR('Quarterly Revenue&amp;EBITDA'!W97/'Quarterly Revenue&amp;EBITDA'!W93 - 1, "")</f>
        <v>-0.6617293683827099</v>
      </c>
      <c r="X97" s="46">
        <f>IFERROR('Quarterly Revenue&amp;EBITDA'!X97/'Quarterly Revenue&amp;EBITDA'!X93 - 1, "")</f>
        <v>-0.66285196919239087</v>
      </c>
      <c r="Y97" s="46">
        <f>IFERROR('Quarterly Revenue&amp;EBITDA'!Y97/'Quarterly Revenue&amp;EBITDA'!Y93 - 1, "")</f>
        <v>-0.59597680846200207</v>
      </c>
      <c r="Z97" s="46">
        <f>IFERROR('Quarterly Revenue&amp;EBITDA'!Z97/'Quarterly Revenue&amp;EBITDA'!Z93 - 1, "")</f>
        <v>-0.61515924102233654</v>
      </c>
      <c r="AA97" s="46">
        <f>IFERROR('Quarterly Revenue&amp;EBITDA'!AA97/'Quarterly Revenue&amp;EBITDA'!AA93 - 1, "")</f>
        <v>-0.64319672330984712</v>
      </c>
      <c r="AB97" s="46">
        <f>IFERROR('Quarterly Revenue&amp;EBITDA'!AB97/'Quarterly Revenue&amp;EBITDA'!AB93 - 1, "")</f>
        <v>-0.37112131782781055</v>
      </c>
      <c r="AC97" s="28"/>
    </row>
    <row r="98" spans="1:29" ht="13">
      <c r="A98" s="27" t="s">
        <v>123</v>
      </c>
      <c r="B98" s="46">
        <f ca="1">IFERROR('Quarterly Revenue&amp;EBITDA'!B98/'Quarterly Revenue&amp;EBITDA'!B94 - 1, "")</f>
        <v>-0.22402890695573618</v>
      </c>
      <c r="C98" s="46">
        <f ca="1">IFERROR('Quarterly Revenue&amp;EBITDA'!C98/'Quarterly Revenue&amp;EBITDA'!C94 - 1, "")</f>
        <v>-0.62923030847559147</v>
      </c>
      <c r="D98" s="46">
        <f ca="1">IFERROR('Quarterly Revenue&amp;EBITDA'!D98/'Quarterly Revenue&amp;EBITDA'!D94 - 1, "")</f>
        <v>-0.66508918820531493</v>
      </c>
      <c r="E98" s="46">
        <f ca="1">IFERROR('Quarterly Revenue&amp;EBITDA'!E98/'Quarterly Revenue&amp;EBITDA'!E94 - 1, "")</f>
        <v>-0.33826086956521739</v>
      </c>
      <c r="F98" s="46">
        <f ca="1">IFERROR('Quarterly Revenue&amp;EBITDA'!F98/'Quarterly Revenue&amp;EBITDA'!F94 - 1, "")</f>
        <v>-0.65373134328358207</v>
      </c>
      <c r="G98" s="46">
        <f ca="1">IFERROR('Quarterly Revenue&amp;EBITDA'!G98/'Quarterly Revenue&amp;EBITDA'!G94 - 1, "")</f>
        <v>-0.7922829581993569</v>
      </c>
      <c r="H98" s="46">
        <f ca="1">IFERROR('Quarterly Revenue&amp;EBITDA'!H98/'Quarterly Revenue&amp;EBITDA'!H94 - 1, "")</f>
        <v>-0.77220956719817768</v>
      </c>
      <c r="I98" s="46">
        <f ca="1">IFERROR('Quarterly Revenue&amp;EBITDA'!I98/'Quarterly Revenue&amp;EBITDA'!I94 - 1, "")</f>
        <v>-0.63429945054945058</v>
      </c>
      <c r="J98" s="46">
        <f ca="1">IFERROR('Quarterly Revenue&amp;EBITDA'!J98/'Quarterly Revenue&amp;EBITDA'!J94 - 1, "")</f>
        <v>-0.61327260720680243</v>
      </c>
      <c r="K98" s="46" t="str">
        <f>IFERROR('Quarterly Revenue&amp;EBITDA'!K98/'Quarterly Revenue&amp;EBITDA'!K94 - 1, "")</f>
        <v/>
      </c>
      <c r="L98" s="46">
        <f ca="1">IFERROR('Quarterly Revenue&amp;EBITDA'!L98/'Quarterly Revenue&amp;EBITDA'!L94 - 1, "")</f>
        <v>-0.76713873775939012</v>
      </c>
      <c r="M98" s="46">
        <f ca="1">IFERROR('Quarterly Revenue&amp;EBITDA'!M98/'Quarterly Revenue&amp;EBITDA'!M94 - 1, "")</f>
        <v>-0.705238095238095</v>
      </c>
      <c r="N98" s="46">
        <f ca="1">IFERROR('Quarterly Revenue&amp;EBITDA'!N98/'Quarterly Revenue&amp;EBITDA'!N94 - 1, "")</f>
        <v>-0.77902671250991795</v>
      </c>
      <c r="O98" s="46">
        <f ca="1">IFERROR('Quarterly Revenue&amp;EBITDA'!O98/'Quarterly Revenue&amp;EBITDA'!O94 - 1, "")</f>
        <v>-0.89505041246562778</v>
      </c>
      <c r="P98" s="46" t="str">
        <f>IFERROR('Quarterly Revenue&amp;EBITDA'!P98/'Quarterly Revenue&amp;EBITDA'!P94 - 1, "")</f>
        <v/>
      </c>
      <c r="Q98" s="46" t="str">
        <f>IFERROR('Quarterly Revenue&amp;EBITDA'!Q98/'Quarterly Revenue&amp;EBITDA'!Q94 - 1, "")</f>
        <v/>
      </c>
      <c r="R98" s="46">
        <f>IFERROR('Quarterly Revenue&amp;EBITDA'!R98/'Quarterly Revenue&amp;EBITDA'!R94 - 1, "")</f>
        <v>-0.67120443950259623</v>
      </c>
      <c r="S98" s="46">
        <f>IFERROR('Quarterly Revenue&amp;EBITDA'!S98/'Quarterly Revenue&amp;EBITDA'!S94 - 1, "")</f>
        <v>-0.15817658774065058</v>
      </c>
      <c r="T98" s="46" t="str">
        <f ca="1">IFERROR('Quarterly Revenue&amp;EBITDA'!T98/'Quarterly Revenue&amp;EBITDA'!T94 - 1, "")</f>
        <v/>
      </c>
      <c r="U98" s="45"/>
      <c r="V98" s="45"/>
      <c r="W98" s="46">
        <f>IFERROR('Quarterly Revenue&amp;EBITDA'!W98/'Quarterly Revenue&amp;EBITDA'!W94 - 1, "")</f>
        <v>-0.6617293683827099</v>
      </c>
      <c r="X98" s="46">
        <f>IFERROR('Quarterly Revenue&amp;EBITDA'!X98/'Quarterly Revenue&amp;EBITDA'!X94 - 1, "")</f>
        <v>-0.66285196919239087</v>
      </c>
      <c r="Y98" s="46">
        <f>IFERROR('Quarterly Revenue&amp;EBITDA'!Y98/'Quarterly Revenue&amp;EBITDA'!Y94 - 1, "")</f>
        <v>-0.59597680846200207</v>
      </c>
      <c r="Z98" s="46">
        <f>IFERROR('Quarterly Revenue&amp;EBITDA'!Z98/'Quarterly Revenue&amp;EBITDA'!Z94 - 1, "")</f>
        <v>-0.61515924102233654</v>
      </c>
      <c r="AA98" s="46">
        <f>IFERROR('Quarterly Revenue&amp;EBITDA'!AA98/'Quarterly Revenue&amp;EBITDA'!AA94 - 1, "")</f>
        <v>-0.64319672330984712</v>
      </c>
      <c r="AB98" s="46">
        <f>IFERROR('Quarterly Revenue&amp;EBITDA'!AB98/'Quarterly Revenue&amp;EBITDA'!AB94 - 1, "")</f>
        <v>-0.37112131782781055</v>
      </c>
      <c r="AC98" s="28"/>
    </row>
    <row r="99" spans="1:29" ht="13">
      <c r="A99" s="27" t="s">
        <v>124</v>
      </c>
      <c r="B99" s="46">
        <f ca="1">IFERROR('Quarterly Revenue&amp;EBITDA'!B99/'Quarterly Revenue&amp;EBITDA'!B95 - 1, "")</f>
        <v>5.3580889253174613E-2</v>
      </c>
      <c r="C99" s="46">
        <f ca="1">IFERROR('Quarterly Revenue&amp;EBITDA'!C99/'Quarterly Revenue&amp;EBITDA'!C95 - 1, "")</f>
        <v>-0.50131118881118875</v>
      </c>
      <c r="D99" s="46">
        <f ca="1">IFERROR('Quarterly Revenue&amp;EBITDA'!D99/'Quarterly Revenue&amp;EBITDA'!D95 - 1, "")</f>
        <v>-0.43594386600271617</v>
      </c>
      <c r="E99" s="46">
        <f ca="1">IFERROR('Quarterly Revenue&amp;EBITDA'!E99/'Quarterly Revenue&amp;EBITDA'!E95 - 1, "")</f>
        <v>-6.1285500747384147E-2</v>
      </c>
      <c r="F99" s="46">
        <f ca="1">IFERROR('Quarterly Revenue&amp;EBITDA'!F99/'Quarterly Revenue&amp;EBITDA'!F95 - 1, "")</f>
        <v>-0.55755395683453235</v>
      </c>
      <c r="G99" s="46">
        <f ca="1">IFERROR('Quarterly Revenue&amp;EBITDA'!G99/'Quarterly Revenue&amp;EBITDA'!G95 - 1, "")</f>
        <v>-0.72675250357653787</v>
      </c>
      <c r="H99" s="46">
        <f ca="1">IFERROR('Quarterly Revenue&amp;EBITDA'!H99/'Quarterly Revenue&amp;EBITDA'!H95 - 1, "")</f>
        <v>-0.73984442523768368</v>
      </c>
      <c r="I99" s="46">
        <f ca="1">IFERROR('Quarterly Revenue&amp;EBITDA'!I99/'Quarterly Revenue&amp;EBITDA'!I95 - 1, "")</f>
        <v>-0.31865965834428378</v>
      </c>
      <c r="J99" s="46">
        <f ca="1">IFERROR('Quarterly Revenue&amp;EBITDA'!J99/'Quarterly Revenue&amp;EBITDA'!J95 - 1, "")</f>
        <v>-0.24512606483334276</v>
      </c>
      <c r="K99" s="46" t="str">
        <f>IFERROR('Quarterly Revenue&amp;EBITDA'!K99/'Quarterly Revenue&amp;EBITDA'!K95 - 1, "")</f>
        <v/>
      </c>
      <c r="L99" s="46">
        <f ca="1">IFERROR('Quarterly Revenue&amp;EBITDA'!L99/'Quarterly Revenue&amp;EBITDA'!L95 - 1, "")</f>
        <v>-0.68382344595824729</v>
      </c>
      <c r="M99" s="46">
        <f ca="1">IFERROR('Quarterly Revenue&amp;EBITDA'!M99/'Quarterly Revenue&amp;EBITDA'!M95 - 1, "")</f>
        <v>-0.40524534686971292</v>
      </c>
      <c r="N99" s="46">
        <f ca="1">IFERROR('Quarterly Revenue&amp;EBITDA'!N99/'Quarterly Revenue&amp;EBITDA'!N95 - 1, "")</f>
        <v>-0.68978444236176195</v>
      </c>
      <c r="O99" s="46">
        <f ca="1">IFERROR('Quarterly Revenue&amp;EBITDA'!O99/'Quarterly Revenue&amp;EBITDA'!O95 - 1, "")</f>
        <v>-0.67556468172484396</v>
      </c>
      <c r="P99" s="46" t="str">
        <f ca="1">IFERROR('Quarterly Revenue&amp;EBITDA'!P99/'Quarterly Revenue&amp;EBITDA'!P95 - 1, "")</f>
        <v/>
      </c>
      <c r="Q99" s="46" t="str">
        <f>IFERROR('Quarterly Revenue&amp;EBITDA'!Q99/'Quarterly Revenue&amp;EBITDA'!Q95 - 1, "")</f>
        <v/>
      </c>
      <c r="R99" s="46">
        <f>IFERROR('Quarterly Revenue&amp;EBITDA'!R99/'Quarterly Revenue&amp;EBITDA'!R95 - 1, "")</f>
        <v>0.44597676186339452</v>
      </c>
      <c r="S99" s="46">
        <f>IFERROR('Quarterly Revenue&amp;EBITDA'!S99/'Quarterly Revenue&amp;EBITDA'!S95 - 1, "")</f>
        <v>-0.15817658774065058</v>
      </c>
      <c r="T99" s="46" t="str">
        <f ca="1">IFERROR('Quarterly Revenue&amp;EBITDA'!T99/'Quarterly Revenue&amp;EBITDA'!T95 - 1, "")</f>
        <v/>
      </c>
      <c r="U99" s="45"/>
      <c r="V99" s="45"/>
      <c r="W99" s="46">
        <f>IFERROR('Quarterly Revenue&amp;EBITDA'!W99/'Quarterly Revenue&amp;EBITDA'!W95 - 1, "")</f>
        <v>-0.6617293683827099</v>
      </c>
      <c r="X99" s="46">
        <f>IFERROR('Quarterly Revenue&amp;EBITDA'!X99/'Quarterly Revenue&amp;EBITDA'!X95 - 1, "")</f>
        <v>0.11192134518065266</v>
      </c>
      <c r="Y99" s="46">
        <f>IFERROR('Quarterly Revenue&amp;EBITDA'!Y99/'Quarterly Revenue&amp;EBITDA'!Y95 - 1, "")</f>
        <v>0.32995576586770903</v>
      </c>
      <c r="Z99" s="46">
        <f>IFERROR('Quarterly Revenue&amp;EBITDA'!Z99/'Quarterly Revenue&amp;EBITDA'!Z95 - 1, "")</f>
        <v>0.41300339799905728</v>
      </c>
      <c r="AA99" s="46">
        <f>IFERROR('Quarterly Revenue&amp;EBITDA'!AA99/'Quarterly Revenue&amp;EBITDA'!AA95 - 1, "")</f>
        <v>4.5644004099760771E-2</v>
      </c>
      <c r="AB99" s="46">
        <f>IFERROR('Quarterly Revenue&amp;EBITDA'!AB99/'Quarterly Revenue&amp;EBITDA'!AB95 - 1, "")</f>
        <v>-0.11055259406395468</v>
      </c>
      <c r="AC99" s="28"/>
    </row>
    <row r="100" spans="1:29" ht="13">
      <c r="A100" s="27" t="s">
        <v>125</v>
      </c>
      <c r="B100" s="46">
        <f ca="1">IFERROR('Quarterly Revenue&amp;EBITDA'!B100/'Quarterly Revenue&amp;EBITDA'!B96 - 1, "")</f>
        <v>2.9883503497882149</v>
      </c>
      <c r="C100" s="46">
        <f ca="1">IFERROR('Quarterly Revenue&amp;EBITDA'!C100/'Quarterly Revenue&amp;EBITDA'!C96 - 1, "")</f>
        <v>2.4285714285714284</v>
      </c>
      <c r="D100" s="46">
        <f ca="1">IFERROR('Quarterly Revenue&amp;EBITDA'!D100/'Quarterly Revenue&amp;EBITDA'!D96 - 1, "")</f>
        <v>2.7296819787985864</v>
      </c>
      <c r="E100" s="46">
        <f ca="1">IFERROR('Quarterly Revenue&amp;EBITDA'!E100/'Quarterly Revenue&amp;EBITDA'!E96 - 1, "")</f>
        <v>1.0357142857142856</v>
      </c>
      <c r="F100" s="46">
        <f ca="1">IFERROR('Quarterly Revenue&amp;EBITDA'!F100/'Quarterly Revenue&amp;EBITDA'!F96 - 1, "")</f>
        <v>2.9830508474576272</v>
      </c>
      <c r="G100" s="46">
        <f ca="1">IFERROR('Quarterly Revenue&amp;EBITDA'!G100/'Quarterly Revenue&amp;EBITDA'!G96 - 1, "")</f>
        <v>4.9300621118012415</v>
      </c>
      <c r="H100" s="46">
        <f ca="1">IFERROR('Quarterly Revenue&amp;EBITDA'!H100/'Quarterly Revenue&amp;EBITDA'!H96 - 1, "")</f>
        <v>3.1204819277108431</v>
      </c>
      <c r="I100" s="46">
        <f ca="1">IFERROR('Quarterly Revenue&amp;EBITDA'!I100/'Quarterly Revenue&amp;EBITDA'!I96 - 1, "")</f>
        <v>-7.5019587628865985</v>
      </c>
      <c r="J100" s="46">
        <f ca="1">IFERROR('Quarterly Revenue&amp;EBITDA'!J100/'Quarterly Revenue&amp;EBITDA'!J96 - 1, "")</f>
        <v>4.1616098097783363</v>
      </c>
      <c r="K100" s="46">
        <f>IFERROR('Quarterly Revenue&amp;EBITDA'!K100/'Quarterly Revenue&amp;EBITDA'!K96 - 1, "")</f>
        <v>1.6861926924517201</v>
      </c>
      <c r="L100" s="46">
        <f ca="1">IFERROR('Quarterly Revenue&amp;EBITDA'!L100/'Quarterly Revenue&amp;EBITDA'!L96 - 1, "")</f>
        <v>5.6245917305794002</v>
      </c>
      <c r="M100" s="46">
        <f ca="1">IFERROR('Quarterly Revenue&amp;EBITDA'!M100/'Quarterly Revenue&amp;EBITDA'!M96 - 1, "")</f>
        <v>3.1407035175879354</v>
      </c>
      <c r="N100" s="46">
        <f ca="1">IFERROR('Quarterly Revenue&amp;EBITDA'!N100/'Quarterly Revenue&amp;EBITDA'!N96 - 1, "")</f>
        <v>6.8962962962962964</v>
      </c>
      <c r="O100" s="46">
        <f ca="1">IFERROR('Quarterly Revenue&amp;EBITDA'!O100/'Quarterly Revenue&amp;EBITDA'!O96 - 1, "")</f>
        <v>0.14373716632444244</v>
      </c>
      <c r="P100" s="46" t="str">
        <f ca="1">IFERROR('Quarterly Revenue&amp;EBITDA'!P100/'Quarterly Revenue&amp;EBITDA'!P96 - 1, "")</f>
        <v/>
      </c>
      <c r="Q100" s="46" t="str">
        <f>IFERROR('Quarterly Revenue&amp;EBITDA'!Q100/'Quarterly Revenue&amp;EBITDA'!Q96 - 1, "")</f>
        <v/>
      </c>
      <c r="R100" s="46">
        <f>IFERROR('Quarterly Revenue&amp;EBITDA'!R100/'Quarterly Revenue&amp;EBITDA'!R96 - 1, "")</f>
        <v>0.44597676186339452</v>
      </c>
      <c r="S100" s="46">
        <f>IFERROR('Quarterly Revenue&amp;EBITDA'!S100/'Quarterly Revenue&amp;EBITDA'!S96 - 1, "")</f>
        <v>0.65017612112927825</v>
      </c>
      <c r="T100" s="46">
        <f ca="1">IFERROR('Quarterly Revenue&amp;EBITDA'!T100/'Quarterly Revenue&amp;EBITDA'!T96 - 1, "")</f>
        <v>1.8958333333333357</v>
      </c>
      <c r="U100" s="45"/>
      <c r="V100" s="45"/>
      <c r="W100" s="46">
        <f>IFERROR('Quarterly Revenue&amp;EBITDA'!W100/'Quarterly Revenue&amp;EBITDA'!W96 - 1, "")</f>
        <v>-0.6617293683827099</v>
      </c>
      <c r="X100" s="46">
        <f>IFERROR('Quarterly Revenue&amp;EBITDA'!X100/'Quarterly Revenue&amp;EBITDA'!X96 - 1, "")</f>
        <v>0.11192134518065266</v>
      </c>
      <c r="Y100" s="46">
        <f>IFERROR('Quarterly Revenue&amp;EBITDA'!Y100/'Quarterly Revenue&amp;EBITDA'!Y96 - 1, "")</f>
        <v>0.32995576586770903</v>
      </c>
      <c r="Z100" s="46">
        <f>IFERROR('Quarterly Revenue&amp;EBITDA'!Z100/'Quarterly Revenue&amp;EBITDA'!Z96 - 1, "")</f>
        <v>0.41300339799905728</v>
      </c>
      <c r="AA100" s="46">
        <f>IFERROR('Quarterly Revenue&amp;EBITDA'!AA100/'Quarterly Revenue&amp;EBITDA'!AA96 - 1, "")</f>
        <v>4.5644004099760771E-2</v>
      </c>
      <c r="AB100" s="46">
        <f>IFERROR('Quarterly Revenue&amp;EBITDA'!AB100/'Quarterly Revenue&amp;EBITDA'!AB96 - 1, "")</f>
        <v>-0.11055259406395468</v>
      </c>
      <c r="AC100" s="28"/>
    </row>
    <row r="101" spans="1:29" ht="13">
      <c r="A101" s="27" t="s">
        <v>126</v>
      </c>
      <c r="B101" s="46">
        <f ca="1">IFERROR('Quarterly Revenue&amp;EBITDA'!B101/'Quarterly Revenue&amp;EBITDA'!B97 - 1, "")</f>
        <v>0.66723695976154973</v>
      </c>
      <c r="C101" s="46">
        <f ca="1">IFERROR('Quarterly Revenue&amp;EBITDA'!C101/'Quarterly Revenue&amp;EBITDA'!C97 - 1, "")</f>
        <v>0.77121212121212124</v>
      </c>
      <c r="D101" s="46">
        <f ca="1">IFERROR('Quarterly Revenue&amp;EBITDA'!D101/'Quarterly Revenue&amp;EBITDA'!D97 - 1, "")</f>
        <v>0.96941489361702127</v>
      </c>
      <c r="E101" s="46">
        <f ca="1">IFERROR('Quarterly Revenue&amp;EBITDA'!E101/'Quarterly Revenue&amp;EBITDA'!E97 - 1, "")</f>
        <v>3.2298136645962705E-2</v>
      </c>
      <c r="F101" s="46">
        <f ca="1">IFERROR('Quarterly Revenue&amp;EBITDA'!F101/'Quarterly Revenue&amp;EBITDA'!F97 - 1, "")</f>
        <v>1.0066225165562912</v>
      </c>
      <c r="G101" s="46">
        <f ca="1">IFERROR('Quarterly Revenue&amp;EBITDA'!G101/'Quarterly Revenue&amp;EBITDA'!G97 - 1, "")</f>
        <v>1.2871287128712869</v>
      </c>
      <c r="H101" s="46">
        <f ca="1">IFERROR('Quarterly Revenue&amp;EBITDA'!H101/'Quarterly Revenue&amp;EBITDA'!H97 - 1, "")</f>
        <v>1.9040697674418601</v>
      </c>
      <c r="I101" s="46">
        <f ca="1">IFERROR('Quarterly Revenue&amp;EBITDA'!I101/'Quarterly Revenue&amp;EBITDA'!I97 - 1, "")</f>
        <v>6.1254700854700852</v>
      </c>
      <c r="J101" s="46">
        <f ca="1">IFERROR('Quarterly Revenue&amp;EBITDA'!J101/'Quarterly Revenue&amp;EBITDA'!J97 - 1, "")</f>
        <v>1.928903164199848</v>
      </c>
      <c r="K101" s="46">
        <f>IFERROR('Quarterly Revenue&amp;EBITDA'!K101/'Quarterly Revenue&amp;EBITDA'!K97 - 1, "")</f>
        <v>1.6861926924517201</v>
      </c>
      <c r="L101" s="46">
        <f ca="1">IFERROR('Quarterly Revenue&amp;EBITDA'!L101/'Quarterly Revenue&amp;EBITDA'!L97 - 1, "")</f>
        <v>5.1709874975127548</v>
      </c>
      <c r="M101" s="46">
        <f ca="1">IFERROR('Quarterly Revenue&amp;EBITDA'!M101/'Quarterly Revenue&amp;EBITDA'!M97 - 1, "")</f>
        <v>0.45626477541371036</v>
      </c>
      <c r="N101" s="46">
        <f ca="1">IFERROR('Quarterly Revenue&amp;EBITDA'!N101/'Quarterly Revenue&amp;EBITDA'!N97 - 1, "")</f>
        <v>2.2725298588490768</v>
      </c>
      <c r="O101" s="46">
        <f ca="1">IFERROR('Quarterly Revenue&amp;EBITDA'!O101/'Quarterly Revenue&amp;EBITDA'!O97 - 1, "")</f>
        <v>1.4323144104803491</v>
      </c>
      <c r="P101" s="46" t="str">
        <f ca="1">IFERROR('Quarterly Revenue&amp;EBITDA'!P101/'Quarterly Revenue&amp;EBITDA'!P97 - 1, "")</f>
        <v/>
      </c>
      <c r="Q101" s="46" t="str">
        <f>IFERROR('Quarterly Revenue&amp;EBITDA'!Q101/'Quarterly Revenue&amp;EBITDA'!Q97 - 1, "")</f>
        <v/>
      </c>
      <c r="R101" s="46">
        <f>IFERROR('Quarterly Revenue&amp;EBITDA'!R101/'Quarterly Revenue&amp;EBITDA'!R97 - 1, "")</f>
        <v>0.44597676186339452</v>
      </c>
      <c r="S101" s="46">
        <f>IFERROR('Quarterly Revenue&amp;EBITDA'!S101/'Quarterly Revenue&amp;EBITDA'!S97 - 1, "")</f>
        <v>0.65017612112927825</v>
      </c>
      <c r="T101" s="46" t="str">
        <f ca="1">IFERROR('Quarterly Revenue&amp;EBITDA'!T101/'Quarterly Revenue&amp;EBITDA'!T97 - 1, "")</f>
        <v/>
      </c>
      <c r="U101" s="45"/>
      <c r="V101" s="45"/>
      <c r="W101" s="46">
        <f>IFERROR('Quarterly Revenue&amp;EBITDA'!W101/'Quarterly Revenue&amp;EBITDA'!W97 - 1, "")</f>
        <v>0.5173112827839661</v>
      </c>
      <c r="X101" s="46">
        <f>IFERROR('Quarterly Revenue&amp;EBITDA'!X101/'Quarterly Revenue&amp;EBITDA'!X97 - 1, "")</f>
        <v>0.11192134518065266</v>
      </c>
      <c r="Y101" s="46">
        <f>IFERROR('Quarterly Revenue&amp;EBITDA'!Y101/'Quarterly Revenue&amp;EBITDA'!Y97 - 1, "")</f>
        <v>0.32995576586770903</v>
      </c>
      <c r="Z101" s="46">
        <f>IFERROR('Quarterly Revenue&amp;EBITDA'!Z101/'Quarterly Revenue&amp;EBITDA'!Z97 - 1, "")</f>
        <v>0.41300339799905728</v>
      </c>
      <c r="AA101" s="46">
        <f>IFERROR('Quarterly Revenue&amp;EBITDA'!AA101/'Quarterly Revenue&amp;EBITDA'!AA97 - 1, "")</f>
        <v>4.5644004099760771E-2</v>
      </c>
      <c r="AB101" s="46">
        <f>IFERROR('Quarterly Revenue&amp;EBITDA'!AB101/'Quarterly Revenue&amp;EBITDA'!AB97 - 1, "")</f>
        <v>-0.11055259406395468</v>
      </c>
      <c r="AC101" s="28"/>
    </row>
    <row r="102" spans="1:29" ht="13">
      <c r="A102" s="27" t="s">
        <v>127</v>
      </c>
      <c r="B102" s="46">
        <f ca="1">IFERROR('Quarterly Revenue&amp;EBITDA'!B102/'Quarterly Revenue&amp;EBITDA'!B98 - 1, "")</f>
        <v>0.78369732246798596</v>
      </c>
      <c r="C102" s="46">
        <f ca="1">IFERROR('Quarterly Revenue&amp;EBITDA'!C102/'Quarterly Revenue&amp;EBITDA'!C98 - 1, "")</f>
        <v>1.4079159935379644</v>
      </c>
      <c r="D102" s="46">
        <f ca="1">IFERROR('Quarterly Revenue&amp;EBITDA'!D102/'Quarterly Revenue&amp;EBITDA'!D98 - 1, "")</f>
        <v>1.4771739130434782</v>
      </c>
      <c r="E102" s="46">
        <f ca="1">IFERROR('Quarterly Revenue&amp;EBITDA'!E102/'Quarterly Revenue&amp;EBITDA'!E98 - 1, "")</f>
        <v>-3.4165571616294299E-2</v>
      </c>
      <c r="F102" s="46">
        <f ca="1">IFERROR('Quarterly Revenue&amp;EBITDA'!F102/'Quarterly Revenue&amp;EBITDA'!F98 - 1, "")</f>
        <v>1.0775862068965516</v>
      </c>
      <c r="G102" s="46">
        <f ca="1">IFERROR('Quarterly Revenue&amp;EBITDA'!G102/'Quarterly Revenue&amp;EBITDA'!G98 - 1, "")</f>
        <v>1.7593188854489168</v>
      </c>
      <c r="H102" s="46">
        <f ca="1">IFERROR('Quarterly Revenue&amp;EBITDA'!H102/'Quarterly Revenue&amp;EBITDA'!H98 - 1, "")</f>
        <v>2.1799999999999997</v>
      </c>
      <c r="I102" s="46">
        <f ca="1">IFERROR('Quarterly Revenue&amp;EBITDA'!I102/'Quarterly Revenue&amp;EBITDA'!I98 - 1, "")</f>
        <v>1.3392555309319008</v>
      </c>
      <c r="J102" s="46">
        <f ca="1">IFERROR('Quarterly Revenue&amp;EBITDA'!J102/'Quarterly Revenue&amp;EBITDA'!J98 - 1, "")</f>
        <v>1.0248389254656201</v>
      </c>
      <c r="K102" s="46">
        <f>IFERROR('Quarterly Revenue&amp;EBITDA'!K102/'Quarterly Revenue&amp;EBITDA'!K98 - 1, "")</f>
        <v>1.6861926924517201</v>
      </c>
      <c r="L102" s="46">
        <f ca="1">IFERROR('Quarterly Revenue&amp;EBITDA'!L102/'Quarterly Revenue&amp;EBITDA'!L98 - 1, "")</f>
        <v>1.8773362760741952</v>
      </c>
      <c r="M102" s="46">
        <f ca="1">IFERROR('Quarterly Revenue&amp;EBITDA'!M102/'Quarterly Revenue&amp;EBITDA'!M98 - 1, "")</f>
        <v>1.1712439418416793</v>
      </c>
      <c r="N102" s="46">
        <f ca="1">IFERROR('Quarterly Revenue&amp;EBITDA'!N102/'Quarterly Revenue&amp;EBITDA'!N98 - 1, "")</f>
        <v>1.2962298025134649</v>
      </c>
      <c r="O102" s="46">
        <f ca="1">IFERROR('Quarterly Revenue&amp;EBITDA'!O102/'Quarterly Revenue&amp;EBITDA'!O98 - 1, "")</f>
        <v>2.6244541484716022</v>
      </c>
      <c r="P102" s="46"/>
      <c r="Q102" s="46" t="str">
        <f>IFERROR('Quarterly Revenue&amp;EBITDA'!Q102/'Quarterly Revenue&amp;EBITDA'!Q98 - 1, "")</f>
        <v/>
      </c>
      <c r="R102" s="46">
        <f>IFERROR('Quarterly Revenue&amp;EBITDA'!R102/'Quarterly Revenue&amp;EBITDA'!R98 - 1, "")</f>
        <v>0.44597676186339452</v>
      </c>
      <c r="S102" s="46">
        <f>IFERROR('Quarterly Revenue&amp;EBITDA'!S102/'Quarterly Revenue&amp;EBITDA'!S98 - 1, "")</f>
        <v>0.65017612112927825</v>
      </c>
      <c r="T102" s="46" t="str">
        <f ca="1">IFERROR('Quarterly Revenue&amp;EBITDA'!T102/'Quarterly Revenue&amp;EBITDA'!T98 - 1, "")</f>
        <v/>
      </c>
      <c r="U102" s="45"/>
      <c r="V102" s="45"/>
      <c r="W102" s="46">
        <f>IFERROR('Quarterly Revenue&amp;EBITDA'!W102/'Quarterly Revenue&amp;EBITDA'!W98 - 1, "")</f>
        <v>0.5173112827839661</v>
      </c>
      <c r="X102" s="46">
        <f>IFERROR('Quarterly Revenue&amp;EBITDA'!X102/'Quarterly Revenue&amp;EBITDA'!X98 - 1, "")</f>
        <v>0.11192134518065266</v>
      </c>
      <c r="Y102" s="46">
        <f>IFERROR('Quarterly Revenue&amp;EBITDA'!Y102/'Quarterly Revenue&amp;EBITDA'!Y98 - 1, "")</f>
        <v>0.32995576586770903</v>
      </c>
      <c r="Z102" s="46">
        <f>IFERROR('Quarterly Revenue&amp;EBITDA'!Z102/'Quarterly Revenue&amp;EBITDA'!Z98 - 1, "")</f>
        <v>0.41300339799905728</v>
      </c>
      <c r="AA102" s="46">
        <f>IFERROR('Quarterly Revenue&amp;EBITDA'!AA102/'Quarterly Revenue&amp;EBITDA'!AA98 - 1, "")</f>
        <v>4.5644004099760771E-2</v>
      </c>
      <c r="AB102" s="46">
        <f>IFERROR('Quarterly Revenue&amp;EBITDA'!AB102/'Quarterly Revenue&amp;EBITDA'!AB98 - 1, "")</f>
        <v>-0.11055259406395468</v>
      </c>
      <c r="AC102" s="28"/>
    </row>
    <row r="103" spans="1:29" ht="13">
      <c r="A103" s="27" t="s">
        <v>128</v>
      </c>
      <c r="B103" s="46">
        <f ca="1">IFERROR('Quarterly Revenue&amp;EBITDA'!B103/'Quarterly Revenue&amp;EBITDA'!B99 - 1, "")</f>
        <v>0.7012918632235019</v>
      </c>
      <c r="C103" s="46">
        <f ca="1">IFERROR('Quarterly Revenue&amp;EBITDA'!C103/'Quarterly Revenue&amp;EBITDA'!C99 - 1, "")</f>
        <v>1.3619631901840492</v>
      </c>
      <c r="D103" s="46">
        <f ca="1">IFERROR('Quarterly Revenue&amp;EBITDA'!D103/'Quarterly Revenue&amp;EBITDA'!D99 - 1, "")</f>
        <v>0.804975922953451</v>
      </c>
      <c r="E103" s="46">
        <f ca="1">IFERROR('Quarterly Revenue&amp;EBITDA'!E103/'Quarterly Revenue&amp;EBITDA'!E99 - 1, "")</f>
        <v>3.3439490445859921E-2</v>
      </c>
      <c r="F103" s="46">
        <f ca="1">IFERROR('Quarterly Revenue&amp;EBITDA'!F103/'Quarterly Revenue&amp;EBITDA'!F99 - 1, "")</f>
        <v>1.1300813008130079</v>
      </c>
      <c r="G103" s="46">
        <f ca="1">IFERROR('Quarterly Revenue&amp;EBITDA'!G103/'Quarterly Revenue&amp;EBITDA'!G99 - 1, "")</f>
        <v>1.6606806282722513</v>
      </c>
      <c r="H103" s="46">
        <f ca="1">IFERROR('Quarterly Revenue&amp;EBITDA'!H103/'Quarterly Revenue&amp;EBITDA'!H99 - 1, "")</f>
        <v>2.9501661129568104</v>
      </c>
      <c r="I103" s="46">
        <f ca="1">IFERROR('Quarterly Revenue&amp;EBITDA'!I103/'Quarterly Revenue&amp;EBITDA'!I99 - 1, "")</f>
        <v>1.1680617164898748</v>
      </c>
      <c r="J103" s="46">
        <f ca="1">IFERROR('Quarterly Revenue&amp;EBITDA'!J103/'Quarterly Revenue&amp;EBITDA'!J99 - 1, "")</f>
        <v>0.11822622789411907</v>
      </c>
      <c r="K103" s="46">
        <f>IFERROR('Quarterly Revenue&amp;EBITDA'!K103/'Quarterly Revenue&amp;EBITDA'!K99 - 1, "")</f>
        <v>1.6861926924517201</v>
      </c>
      <c r="L103" s="46">
        <f ca="1">IFERROR('Quarterly Revenue&amp;EBITDA'!L103/'Quarterly Revenue&amp;EBITDA'!L99 - 1, "")</f>
        <v>1.6931502638454838</v>
      </c>
      <c r="M103" s="46">
        <f ca="1">IFERROR('Quarterly Revenue&amp;EBITDA'!M103/'Quarterly Revenue&amp;EBITDA'!M99 - 1, "")</f>
        <v>0.75061960900616453</v>
      </c>
      <c r="N103" s="46">
        <f ca="1">IFERROR('Quarterly Revenue&amp;EBITDA'!N103/'Quarterly Revenue&amp;EBITDA'!N99 - 1, "")</f>
        <v>1.4628398791540782</v>
      </c>
      <c r="O103" s="46">
        <f ca="1">IFERROR('Quarterly Revenue&amp;EBITDA'!O103/'Quarterly Revenue&amp;EBITDA'!O99 - 1, "")</f>
        <v>4.2531645569620053</v>
      </c>
      <c r="P103" s="46">
        <f ca="1">IFERROR('Quarterly Revenue&amp;EBITDA'!P103/'Quarterly Revenue&amp;EBITDA'!P99 - 1, "")</f>
        <v>-0.16228070175438603</v>
      </c>
      <c r="Q103" s="46" t="str">
        <f>IFERROR('Quarterly Revenue&amp;EBITDA'!Q103/'Quarterly Revenue&amp;EBITDA'!Q99 - 1, "")</f>
        <v/>
      </c>
      <c r="R103" s="46">
        <f>IFERROR('Quarterly Revenue&amp;EBITDA'!R103/'Quarterly Revenue&amp;EBITDA'!R99 - 1, "")</f>
        <v>0.76006308200660855</v>
      </c>
      <c r="S103" s="46">
        <f>IFERROR('Quarterly Revenue&amp;EBITDA'!S103/'Quarterly Revenue&amp;EBITDA'!S99 - 1, "")</f>
        <v>0.65017612112927825</v>
      </c>
      <c r="T103" s="46" t="str">
        <f ca="1">IFERROR('Quarterly Revenue&amp;EBITDA'!T103/'Quarterly Revenue&amp;EBITDA'!T99 - 1, "")</f>
        <v/>
      </c>
      <c r="U103" s="45"/>
      <c r="V103" s="45"/>
      <c r="W103" s="46">
        <f>IFERROR('Quarterly Revenue&amp;EBITDA'!W103/'Quarterly Revenue&amp;EBITDA'!W99 - 1, "")</f>
        <v>0.5173112827839661</v>
      </c>
      <c r="X103" s="46">
        <f>IFERROR('Quarterly Revenue&amp;EBITDA'!X103/'Quarterly Revenue&amp;EBITDA'!X99 - 1, "")</f>
        <v>1.2366552404458164</v>
      </c>
      <c r="Y103" s="46">
        <f>IFERROR('Quarterly Revenue&amp;EBITDA'!Y103/'Quarterly Revenue&amp;EBITDA'!Y99 - 1, "")</f>
        <v>1.2285454615771356</v>
      </c>
      <c r="Z103" s="46">
        <f>IFERROR('Quarterly Revenue&amp;EBITDA'!Z103/'Quarterly Revenue&amp;EBITDA'!Z99 - 1, "")</f>
        <v>-0.65984811209203953</v>
      </c>
      <c r="AA103" s="46">
        <f>IFERROR('Quarterly Revenue&amp;EBITDA'!AA103/'Quarterly Revenue&amp;EBITDA'!AA99 - 1, "")</f>
        <v>-0.23936483042540679</v>
      </c>
      <c r="AB103" s="46">
        <f>IFERROR('Quarterly Revenue&amp;EBITDA'!AB103/'Quarterly Revenue&amp;EBITDA'!AB99 - 1, "")</f>
        <v>0.72468248663101598</v>
      </c>
      <c r="AC103" s="28"/>
    </row>
    <row r="104" spans="1:29" ht="13">
      <c r="A104" s="27" t="s">
        <v>129</v>
      </c>
      <c r="B104" s="46">
        <f ca="1">IFERROR('Quarterly Revenue&amp;EBITDA'!B104/'Quarterly Revenue&amp;EBITDA'!B100 - 1, "")</f>
        <v>0.57587874738989631</v>
      </c>
      <c r="C104" s="46">
        <f ca="1">IFERROR('Quarterly Revenue&amp;EBITDA'!C104/'Quarterly Revenue&amp;EBITDA'!C100 - 1, "")</f>
        <v>0.98796296296296293</v>
      </c>
      <c r="D104" s="46">
        <f ca="1">IFERROR('Quarterly Revenue&amp;EBITDA'!D104/'Quarterly Revenue&amp;EBITDA'!D100 - 1, "")</f>
        <v>0.50686878256750356</v>
      </c>
      <c r="E104" s="46">
        <f ca="1">IFERROR('Quarterly Revenue&amp;EBITDA'!E104/'Quarterly Revenue&amp;EBITDA'!E100 - 1, "")</f>
        <v>-0.3432017543859649</v>
      </c>
      <c r="F104" s="46">
        <f ca="1">IFERROR('Quarterly Revenue&amp;EBITDA'!F104/'Quarterly Revenue&amp;EBITDA'!F100 - 1, "")</f>
        <v>0.77446808510638299</v>
      </c>
      <c r="G104" s="46">
        <f ca="1">IFERROR('Quarterly Revenue&amp;EBITDA'!G104/'Quarterly Revenue&amp;EBITDA'!G100 - 1, "")</f>
        <v>0.5163185788801139</v>
      </c>
      <c r="H104" s="46">
        <f ca="1">IFERROR('Quarterly Revenue&amp;EBITDA'!H104/'Quarterly Revenue&amp;EBITDA'!H100 - 1, "")</f>
        <v>1.1301169590643276</v>
      </c>
      <c r="I104" s="46">
        <f ca="1">IFERROR('Quarterly Revenue&amp;EBITDA'!I104/'Quarterly Revenue&amp;EBITDA'!I100 - 1, "")</f>
        <v>1.131332350283023</v>
      </c>
      <c r="J104" s="46">
        <f ca="1">IFERROR('Quarterly Revenue&amp;EBITDA'!J104/'Quarterly Revenue&amp;EBITDA'!J100 - 1, "")</f>
        <v>3.3472421039807516</v>
      </c>
      <c r="K104" s="46">
        <f>IFERROR('Quarterly Revenue&amp;EBITDA'!K104/'Quarterly Revenue&amp;EBITDA'!K100 - 1, "")</f>
        <v>0.21496425228526483</v>
      </c>
      <c r="L104" s="46">
        <f ca="1">IFERROR('Quarterly Revenue&amp;EBITDA'!L104/'Quarterly Revenue&amp;EBITDA'!L100 - 1, "")</f>
        <v>0.27447473942877898</v>
      </c>
      <c r="M104" s="46">
        <f ca="1">IFERROR('Quarterly Revenue&amp;EBITDA'!M104/'Quarterly Revenue&amp;EBITDA'!M100 - 1, "")</f>
        <v>0.34756433148185972</v>
      </c>
      <c r="N104" s="46">
        <f ca="1">IFERROR('Quarterly Revenue&amp;EBITDA'!N104/'Quarterly Revenue&amp;EBITDA'!N100 - 1, "")</f>
        <v>1.6060037523452158</v>
      </c>
      <c r="O104" s="46">
        <f ca="1">IFERROR('Quarterly Revenue&amp;EBITDA'!O104/'Quarterly Revenue&amp;EBITDA'!O100 - 1, "")</f>
        <v>2.1561938958707363</v>
      </c>
      <c r="P104" s="46">
        <f ca="1">IFERROR('Quarterly Revenue&amp;EBITDA'!P104/'Quarterly Revenue&amp;EBITDA'!P100 - 1, "")</f>
        <v>1.2719298245614037</v>
      </c>
      <c r="Q104" s="46" t="str">
        <f>IFERROR('Quarterly Revenue&amp;EBITDA'!Q104/'Quarterly Revenue&amp;EBITDA'!Q100 - 1, "")</f>
        <v/>
      </c>
      <c r="R104" s="46">
        <f>IFERROR('Quarterly Revenue&amp;EBITDA'!R104/'Quarterly Revenue&amp;EBITDA'!R100 - 1, "")</f>
        <v>0.76006308200660855</v>
      </c>
      <c r="S104" s="46">
        <f ca="1">IFERROR('Quarterly Revenue&amp;EBITDA'!S104/'Quarterly Revenue&amp;EBITDA'!S100 - 1, "")</f>
        <v>0.3632520739633236</v>
      </c>
      <c r="T104" s="46">
        <f ca="1">IFERROR('Quarterly Revenue&amp;EBITDA'!T104/'Quarterly Revenue&amp;EBITDA'!T100 - 1, "")</f>
        <v>1.6846446043165471</v>
      </c>
      <c r="U104" s="45"/>
      <c r="V104" s="45"/>
      <c r="W104" s="46">
        <f>IFERROR('Quarterly Revenue&amp;EBITDA'!W104/'Quarterly Revenue&amp;EBITDA'!W100 - 1, "")</f>
        <v>0.5173112827839661</v>
      </c>
      <c r="X104" s="46">
        <f>IFERROR('Quarterly Revenue&amp;EBITDA'!X104/'Quarterly Revenue&amp;EBITDA'!X100 - 1, "")</f>
        <v>1.2366552404458164</v>
      </c>
      <c r="Y104" s="46">
        <f>IFERROR('Quarterly Revenue&amp;EBITDA'!Y104/'Quarterly Revenue&amp;EBITDA'!Y100 - 1, "")</f>
        <v>1.2285454615771356</v>
      </c>
      <c r="Z104" s="46">
        <f>IFERROR('Quarterly Revenue&amp;EBITDA'!Z104/'Quarterly Revenue&amp;EBITDA'!Z100 - 1, "")</f>
        <v>-0.65984811209203953</v>
      </c>
      <c r="AA104" s="46">
        <f>IFERROR('Quarterly Revenue&amp;EBITDA'!AA104/'Quarterly Revenue&amp;EBITDA'!AA100 - 1, "")</f>
        <v>-0.23936483042540679</v>
      </c>
      <c r="AB104" s="46">
        <f>IFERROR('Quarterly Revenue&amp;EBITDA'!AB104/'Quarterly Revenue&amp;EBITDA'!AB100 - 1, "")</f>
        <v>0.72468248663101598</v>
      </c>
      <c r="AC104" s="28"/>
    </row>
    <row r="105" spans="1:29" ht="13">
      <c r="A105" s="27" t="s">
        <v>130</v>
      </c>
      <c r="B105" s="46">
        <f ca="1">IFERROR('Quarterly Revenue&amp;EBITDA'!B105/'Quarterly Revenue&amp;EBITDA'!B101 - 1, "")</f>
        <v>0.28916096667965774</v>
      </c>
      <c r="C105" s="46">
        <f ca="1">IFERROR('Quarterly Revenue&amp;EBITDA'!C105/'Quarterly Revenue&amp;EBITDA'!C101 - 1, "")</f>
        <v>0.29426860564585122</v>
      </c>
      <c r="D105" s="46">
        <f ca="1">IFERROR('Quarterly Revenue&amp;EBITDA'!D105/'Quarterly Revenue&amp;EBITDA'!D101 - 1, "")</f>
        <v>0.22180958811613771</v>
      </c>
      <c r="E105" s="46">
        <f ca="1">IFERROR('Quarterly Revenue&amp;EBITDA'!E105/'Quarterly Revenue&amp;EBITDA'!E101 - 1, "")</f>
        <v>0.1660649819494584</v>
      </c>
      <c r="F105" s="46">
        <f ca="1">IFERROR('Quarterly Revenue&amp;EBITDA'!F105/'Quarterly Revenue&amp;EBITDA'!F101 - 1, "")</f>
        <v>0.51485148514851486</v>
      </c>
      <c r="G105" s="46">
        <f ca="1">IFERROR('Quarterly Revenue&amp;EBITDA'!G105/'Quarterly Revenue&amp;EBITDA'!G101 - 1, "")</f>
        <v>0.32539682539682535</v>
      </c>
      <c r="H105" s="46">
        <f ca="1">IFERROR('Quarterly Revenue&amp;EBITDA'!H105/'Quarterly Revenue&amp;EBITDA'!H101 - 1, "")</f>
        <v>0.43443443443443441</v>
      </c>
      <c r="I105" s="46">
        <f ca="1">IFERROR('Quarterly Revenue&amp;EBITDA'!I105/'Quarterly Revenue&amp;EBITDA'!I101 - 1, "")</f>
        <v>0.74642548699740918</v>
      </c>
      <c r="J105" s="46">
        <f ca="1">IFERROR('Quarterly Revenue&amp;EBITDA'!J105/'Quarterly Revenue&amp;EBITDA'!J101 - 1, "")</f>
        <v>0.94510884867884815</v>
      </c>
      <c r="K105" s="46">
        <f>IFERROR('Quarterly Revenue&amp;EBITDA'!K105/'Quarterly Revenue&amp;EBITDA'!K101 - 1, "")</f>
        <v>0.21496425228526483</v>
      </c>
      <c r="L105" s="46">
        <f ca="1">IFERROR('Quarterly Revenue&amp;EBITDA'!L105/'Quarterly Revenue&amp;EBITDA'!L101 - 1, "")</f>
        <v>0.36974342164105378</v>
      </c>
      <c r="M105" s="46">
        <f ca="1">IFERROR('Quarterly Revenue&amp;EBITDA'!M105/'Quarterly Revenue&amp;EBITDA'!M101 - 1, "")</f>
        <v>0.98284465918045161</v>
      </c>
      <c r="N105" s="46">
        <f ca="1">IFERROR('Quarterly Revenue&amp;EBITDA'!N105/'Quarterly Revenue&amp;EBITDA'!N101 - 1, "")</f>
        <v>1.0278699402786997</v>
      </c>
      <c r="O105" s="46">
        <f ca="1">IFERROR('Quarterly Revenue&amp;EBITDA'!O105/'Quarterly Revenue&amp;EBITDA'!O101 - 1, "")</f>
        <v>2.1561938958707363</v>
      </c>
      <c r="P105" s="46">
        <f ca="1">IFERROR('Quarterly Revenue&amp;EBITDA'!P105/'Quarterly Revenue&amp;EBITDA'!P101 - 1, "")</f>
        <v>1.2719298245614037</v>
      </c>
      <c r="Q105" s="46" t="str">
        <f>IFERROR('Quarterly Revenue&amp;EBITDA'!Q105/'Quarterly Revenue&amp;EBITDA'!Q101 - 1, "")</f>
        <v/>
      </c>
      <c r="R105" s="46">
        <f>IFERROR('Quarterly Revenue&amp;EBITDA'!R105/'Quarterly Revenue&amp;EBITDA'!R101 - 1, "")</f>
        <v>0.76006308200660855</v>
      </c>
      <c r="S105" s="46">
        <f ca="1">IFERROR('Quarterly Revenue&amp;EBITDA'!S105/'Quarterly Revenue&amp;EBITDA'!S101 - 1, "")</f>
        <v>0.67912546973054688</v>
      </c>
      <c r="T105" s="46" t="str">
        <f ca="1">IFERROR('Quarterly Revenue&amp;EBITDA'!T105/'Quarterly Revenue&amp;EBITDA'!T101 - 1, "")</f>
        <v/>
      </c>
      <c r="U105" s="45"/>
      <c r="V105" s="45"/>
      <c r="W105" s="46">
        <f>IFERROR('Quarterly Revenue&amp;EBITDA'!W105/'Quarterly Revenue&amp;EBITDA'!W101 - 1, "")</f>
        <v>1.1008799584464066</v>
      </c>
      <c r="X105" s="46">
        <f>IFERROR('Quarterly Revenue&amp;EBITDA'!X105/'Quarterly Revenue&amp;EBITDA'!X101 - 1, "")</f>
        <v>1.2366552404458164</v>
      </c>
      <c r="Y105" s="46">
        <f>IFERROR('Quarterly Revenue&amp;EBITDA'!Y105/'Quarterly Revenue&amp;EBITDA'!Y101 - 1, "")</f>
        <v>1.2285454615771356</v>
      </c>
      <c r="Z105" s="46">
        <f>IFERROR('Quarterly Revenue&amp;EBITDA'!Z105/'Quarterly Revenue&amp;EBITDA'!Z101 - 1, "")</f>
        <v>-0.65984811209203953</v>
      </c>
      <c r="AA105" s="46">
        <f>IFERROR('Quarterly Revenue&amp;EBITDA'!AA105/'Quarterly Revenue&amp;EBITDA'!AA101 - 1, "")</f>
        <v>-0.23936483042540679</v>
      </c>
      <c r="AB105" s="46">
        <f>IFERROR('Quarterly Revenue&amp;EBITDA'!AB105/'Quarterly Revenue&amp;EBITDA'!AB101 - 1, "")</f>
        <v>0.72468248663101598</v>
      </c>
      <c r="AC105" s="28"/>
    </row>
    <row r="106" spans="1:29" ht="13">
      <c r="A106" s="27" t="s">
        <v>131</v>
      </c>
      <c r="B106" s="46">
        <f ca="1">IFERROR('Quarterly Revenue&amp;EBITDA'!B106/'Quarterly Revenue&amp;EBITDA'!B102 - 1, "")</f>
        <v>0.24135554459090103</v>
      </c>
      <c r="C106" s="46">
        <f ca="1">IFERROR('Quarterly Revenue&amp;EBITDA'!C106/'Quarterly Revenue&amp;EBITDA'!C102 - 1, "")</f>
        <v>0.35826903723582681</v>
      </c>
      <c r="D106" s="46">
        <f ca="1">IFERROR('Quarterly Revenue&amp;EBITDA'!D106/'Quarterly Revenue&amp;EBITDA'!D102 - 1, "")</f>
        <v>0.14874945151382191</v>
      </c>
      <c r="E106" s="46">
        <f ca="1">IFERROR('Quarterly Revenue&amp;EBITDA'!E106/'Quarterly Revenue&amp;EBITDA'!E102 - 1, "")</f>
        <v>-6.8027210884353817E-3</v>
      </c>
      <c r="F106" s="46">
        <f ca="1">IFERROR('Quarterly Revenue&amp;EBITDA'!F106/'Quarterly Revenue&amp;EBITDA'!F102 - 1, "")</f>
        <v>0.46887966804979264</v>
      </c>
      <c r="G106" s="46">
        <f ca="1">IFERROR('Quarterly Revenue&amp;EBITDA'!G106/'Quarterly Revenue&amp;EBITDA'!G102 - 1, "")</f>
        <v>0.17686197069317577</v>
      </c>
      <c r="H106" s="46">
        <f ca="1">IFERROR('Quarterly Revenue&amp;EBITDA'!H106/'Quarterly Revenue&amp;EBITDA'!H102 - 1, "")</f>
        <v>0.36792452830188682</v>
      </c>
      <c r="I106" s="46">
        <f ca="1">IFERROR('Quarterly Revenue&amp;EBITDA'!I106/'Quarterly Revenue&amp;EBITDA'!I102 - 1, "")</f>
        <v>0.16848646391984334</v>
      </c>
      <c r="J106" s="46">
        <f ca="1">IFERROR('Quarterly Revenue&amp;EBITDA'!J106/'Quarterly Revenue&amp;EBITDA'!J102 - 1, "")</f>
        <v>0.48253827495370505</v>
      </c>
      <c r="K106" s="46">
        <f>IFERROR('Quarterly Revenue&amp;EBITDA'!K106/'Quarterly Revenue&amp;EBITDA'!K102 - 1, "")</f>
        <v>0.21496425228526483</v>
      </c>
      <c r="L106" s="46">
        <f ca="1">IFERROR('Quarterly Revenue&amp;EBITDA'!L106/'Quarterly Revenue&amp;EBITDA'!L102 - 1, "")</f>
        <v>0.54000737311633906</v>
      </c>
      <c r="M106" s="46">
        <f ca="1">IFERROR('Quarterly Revenue&amp;EBITDA'!M106/'Quarterly Revenue&amp;EBITDA'!M102 - 1, "")</f>
        <v>-0.2082391117855843</v>
      </c>
      <c r="N106" s="46">
        <f ca="1">IFERROR('Quarterly Revenue&amp;EBITDA'!N106/'Quarterly Revenue&amp;EBITDA'!N102 - 1, "")</f>
        <v>0.43002345582486323</v>
      </c>
      <c r="O106" s="46">
        <f ca="1">IFERROR('Quarterly Revenue&amp;EBITDA'!O106/'Quarterly Revenue&amp;EBITDA'!O102 - 1, "")</f>
        <v>1.2722891566265111</v>
      </c>
      <c r="P106" s="46">
        <f ca="1">IFERROR('Quarterly Revenue&amp;EBITDA'!P106/'Quarterly Revenue&amp;EBITDA'!P102 - 1, "")</f>
        <v>1.9319371727748691</v>
      </c>
      <c r="Q106" s="46" t="str">
        <f>IFERROR('Quarterly Revenue&amp;EBITDA'!Q106/'Quarterly Revenue&amp;EBITDA'!Q102 - 1, "")</f>
        <v/>
      </c>
      <c r="R106" s="46">
        <f>IFERROR('Quarterly Revenue&amp;EBITDA'!R106/'Quarterly Revenue&amp;EBITDA'!R102 - 1, "")</f>
        <v>0.76006308200660855</v>
      </c>
      <c r="S106" s="46">
        <f ca="1">IFERROR('Quarterly Revenue&amp;EBITDA'!S106/'Quarterly Revenue&amp;EBITDA'!S102 - 1, "")</f>
        <v>1.0859455376763476</v>
      </c>
      <c r="T106" s="46" t="str">
        <f ca="1">IFERROR('Quarterly Revenue&amp;EBITDA'!T106/'Quarterly Revenue&amp;EBITDA'!T102 - 1, "")</f>
        <v/>
      </c>
      <c r="U106" s="45"/>
      <c r="V106" s="45"/>
      <c r="W106" s="46">
        <f>IFERROR('Quarterly Revenue&amp;EBITDA'!W106/'Quarterly Revenue&amp;EBITDA'!W102 - 1, "")</f>
        <v>1.1008799584464066</v>
      </c>
      <c r="X106" s="46">
        <f>IFERROR('Quarterly Revenue&amp;EBITDA'!X106/'Quarterly Revenue&amp;EBITDA'!X102 - 1, "")</f>
        <v>1.2366552404458164</v>
      </c>
      <c r="Y106" s="46">
        <f>IFERROR('Quarterly Revenue&amp;EBITDA'!Y106/'Quarterly Revenue&amp;EBITDA'!Y102 - 1, "")</f>
        <v>1.2285454615771356</v>
      </c>
      <c r="Z106" s="46">
        <f>IFERROR('Quarterly Revenue&amp;EBITDA'!Z106/'Quarterly Revenue&amp;EBITDA'!Z102 - 1, "")</f>
        <v>-0.65984811209203953</v>
      </c>
      <c r="AA106" s="46">
        <f>IFERROR('Quarterly Revenue&amp;EBITDA'!AA106/'Quarterly Revenue&amp;EBITDA'!AA102 - 1, "")</f>
        <v>-0.23936483042540679</v>
      </c>
      <c r="AB106" s="46">
        <f>IFERROR('Quarterly Revenue&amp;EBITDA'!AB106/'Quarterly Revenue&amp;EBITDA'!AB102 - 1, "")</f>
        <v>0.72468248663101598</v>
      </c>
      <c r="AC106" s="28"/>
    </row>
    <row r="107" spans="1:29" ht="13">
      <c r="A107" s="27" t="s">
        <v>132</v>
      </c>
      <c r="B107" s="46">
        <f ca="1">IFERROR('Quarterly Revenue&amp;EBITDA'!B107/'Quarterly Revenue&amp;EBITDA'!B103 - 1, "")</f>
        <v>0.20482167247539174</v>
      </c>
      <c r="C107" s="46">
        <f ca="1">IFERROR('Quarterly Revenue&amp;EBITDA'!C107/'Quarterly Revenue&amp;EBITDA'!C103 - 1, "")</f>
        <v>0.40185528756957334</v>
      </c>
      <c r="D107" s="46">
        <f ca="1">IFERROR('Quarterly Revenue&amp;EBITDA'!D107/'Quarterly Revenue&amp;EBITDA'!D103 - 1, "")</f>
        <v>0.18497109826589586</v>
      </c>
      <c r="E107" s="46">
        <f ca="1">IFERROR('Quarterly Revenue&amp;EBITDA'!E107/'Quarterly Revenue&amp;EBITDA'!E103 - 1, "")</f>
        <v>1.0662557781201847</v>
      </c>
      <c r="F107" s="46">
        <f ca="1">IFERROR('Quarterly Revenue&amp;EBITDA'!F107/'Quarterly Revenue&amp;EBITDA'!F103 - 1, "")</f>
        <v>0.41603053435114501</v>
      </c>
      <c r="G107" s="46">
        <f ca="1">IFERROR('Quarterly Revenue&amp;EBITDA'!G107/'Quarterly Revenue&amp;EBITDA'!G103 - 1, "")</f>
        <v>9.2465416478088924E-2</v>
      </c>
      <c r="H107" s="46">
        <f ca="1">IFERROR('Quarterly Revenue&amp;EBITDA'!H107/'Quarterly Revenue&amp;EBITDA'!H103 - 1, "")</f>
        <v>0.26240538267451652</v>
      </c>
      <c r="I107" s="46">
        <f ca="1">IFERROR('Quarterly Revenue&amp;EBITDA'!I107/'Quarterly Revenue&amp;EBITDA'!I103 - 1, "")</f>
        <v>0.41180813777643355</v>
      </c>
      <c r="J107" s="46">
        <f ca="1">IFERROR('Quarterly Revenue&amp;EBITDA'!J107/'Quarterly Revenue&amp;EBITDA'!J103 - 1, "")</f>
        <v>0.67657782744646489</v>
      </c>
      <c r="K107" s="46">
        <f>IFERROR('Quarterly Revenue&amp;EBITDA'!K107/'Quarterly Revenue&amp;EBITDA'!K103 - 1, "")</f>
        <v>0.21496425228526483</v>
      </c>
      <c r="L107" s="46">
        <f ca="1">IFERROR('Quarterly Revenue&amp;EBITDA'!L107/'Quarterly Revenue&amp;EBITDA'!L103 - 1, "")</f>
        <v>0.97685985283710886</v>
      </c>
      <c r="M107" s="46">
        <f ca="1">IFERROR('Quarterly Revenue&amp;EBITDA'!M107/'Quarterly Revenue&amp;EBITDA'!M103 - 1, "")</f>
        <v>0.27067669172932329</v>
      </c>
      <c r="N107" s="46">
        <f ca="1">IFERROR('Quarterly Revenue&amp;EBITDA'!N107/'Quarterly Revenue&amp;EBITDA'!N103 - 1, "")</f>
        <v>0.57556427870461246</v>
      </c>
      <c r="O107" s="46">
        <f ca="1">IFERROR('Quarterly Revenue&amp;EBITDA'!O107/'Quarterly Revenue&amp;EBITDA'!O103 - 1, "")</f>
        <v>1.2722891566265111</v>
      </c>
      <c r="P107" s="46">
        <f ca="1">IFERROR('Quarterly Revenue&amp;EBITDA'!P107/'Quarterly Revenue&amp;EBITDA'!P103 - 1, "")</f>
        <v>1.9319371727748691</v>
      </c>
      <c r="Q107" s="46" t="str">
        <f>IFERROR('Quarterly Revenue&amp;EBITDA'!Q107/'Quarterly Revenue&amp;EBITDA'!Q103 - 1, "")</f>
        <v/>
      </c>
      <c r="R107" s="46">
        <f ca="1">IFERROR('Quarterly Revenue&amp;EBITDA'!R107/'Quarterly Revenue&amp;EBITDA'!R103 - 1, "")</f>
        <v>0.1948140607952018</v>
      </c>
      <c r="S107" s="46">
        <f ca="1">IFERROR('Quarterly Revenue&amp;EBITDA'!S107/'Quarterly Revenue&amp;EBITDA'!S103 - 1, "")</f>
        <v>0.7997712346181598</v>
      </c>
      <c r="T107" s="46" t="str">
        <f ca="1">IFERROR('Quarterly Revenue&amp;EBITDA'!T107/'Quarterly Revenue&amp;EBITDA'!T103 - 1, "")</f>
        <v/>
      </c>
      <c r="U107" s="45"/>
      <c r="V107" s="45"/>
      <c r="W107" s="46">
        <f>IFERROR('Quarterly Revenue&amp;EBITDA'!W107/'Quarterly Revenue&amp;EBITDA'!W103 - 1, "")</f>
        <v>1.1008799584464066</v>
      </c>
      <c r="X107" s="46">
        <f>IFERROR('Quarterly Revenue&amp;EBITDA'!X107/'Quarterly Revenue&amp;EBITDA'!X103 - 1, "")</f>
        <v>0.27491033494523465</v>
      </c>
      <c r="Y107" s="46">
        <f>IFERROR('Quarterly Revenue&amp;EBITDA'!Y107/'Quarterly Revenue&amp;EBITDA'!Y103 - 1, "")</f>
        <v>0.79870191848811678</v>
      </c>
      <c r="Z107" s="46">
        <f>IFERROR('Quarterly Revenue&amp;EBITDA'!Z107/'Quarterly Revenue&amp;EBITDA'!Z103 - 1, "")</f>
        <v>0.18939264846770509</v>
      </c>
      <c r="AA107" s="46"/>
      <c r="AB107" s="46">
        <f>IFERROR('Quarterly Revenue&amp;EBITDA'!AB107/'Quarterly Revenue&amp;EBITDA'!AB103 - 1, "")</f>
        <v>0.31249807312013611</v>
      </c>
      <c r="AC107" s="28"/>
    </row>
    <row r="108" spans="1:29" ht="13">
      <c r="A108" s="27" t="s">
        <v>133</v>
      </c>
      <c r="B108" s="46">
        <f ca="1">IFERROR('Quarterly Revenue&amp;EBITDA'!B108/'Quarterly Revenue&amp;EBITDA'!B104 - 1, "")</f>
        <v>0.18054832762782502</v>
      </c>
      <c r="C108" s="46">
        <f ca="1">IFERROR('Quarterly Revenue&amp;EBITDA'!C108/'Quarterly Revenue&amp;EBITDA'!C104 - 1, "")</f>
        <v>0.27200745225896594</v>
      </c>
      <c r="D108" s="46">
        <f ca="1">IFERROR('Quarterly Revenue&amp;EBITDA'!D108/'Quarterly Revenue&amp;EBITDA'!D104 - 1, "")</f>
        <v>5.5642879597610717E-2</v>
      </c>
      <c r="E108" s="46">
        <f ca="1">IFERROR('Quarterly Revenue&amp;EBITDA'!E108/'Quarterly Revenue&amp;EBITDA'!E104 - 1, "")</f>
        <v>1.5943238731218696</v>
      </c>
      <c r="F108" s="46">
        <f ca="1">IFERROR('Quarterly Revenue&amp;EBITDA'!F108/'Quarterly Revenue&amp;EBITDA'!F104 - 1, "")</f>
        <v>0.184652278177458</v>
      </c>
      <c r="G108" s="46">
        <f ca="1">IFERROR('Quarterly Revenue&amp;EBITDA'!G108/'Quarterly Revenue&amp;EBITDA'!G104 - 1, "")</f>
        <v>-0.14045133972052026</v>
      </c>
      <c r="H108" s="46">
        <f ca="1">IFERROR('Quarterly Revenue&amp;EBITDA'!H108/'Quarterly Revenue&amp;EBITDA'!H104 - 1, "")</f>
        <v>8.0988332189430245E-2</v>
      </c>
      <c r="I108" s="46">
        <f ca="1">IFERROR('Quarterly Revenue&amp;EBITDA'!I108/'Quarterly Revenue&amp;EBITDA'!I104 - 1, "")</f>
        <v>0.23138497704971694</v>
      </c>
      <c r="J108" s="46">
        <f ca="1">IFERROR('Quarterly Revenue&amp;EBITDA'!J108/'Quarterly Revenue&amp;EBITDA'!J104 - 1, "")</f>
        <v>0.37831475552254901</v>
      </c>
      <c r="K108" s="46">
        <f>IFERROR('Quarterly Revenue&amp;EBITDA'!K108 /'Quarterly Revenue&amp;EBITDA'!K104 - 1, "")</f>
        <v>0.30758765387578468</v>
      </c>
      <c r="L108" s="46">
        <f ca="1">IFERROR('Quarterly Revenue&amp;EBITDA'!L108/'Quarterly Revenue&amp;EBITDA'!L104 - 1, "")</f>
        <v>0.55064560713713151</v>
      </c>
      <c r="M108" s="46">
        <f ca="1">IFERROR('Quarterly Revenue&amp;EBITDA'!M108/'Quarterly Revenue&amp;EBITDA'!M104 - 1, "")</f>
        <v>0.55000000000000004</v>
      </c>
      <c r="N108" s="46">
        <f ca="1">IFERROR('Quarterly Revenue&amp;EBITDA'!N108/'Quarterly Revenue&amp;EBITDA'!N104 - 1, "")</f>
        <v>0.4029877609791217</v>
      </c>
      <c r="O108" s="46">
        <f ca="1">IFERROR('Quarterly Revenue&amp;EBITDA'!O108/'Quarterly Revenue&amp;EBITDA'!O104 - 1, "")</f>
        <v>0.39078498293515374</v>
      </c>
      <c r="P108" s="46">
        <f ca="1">IFERROR('Quarterly Revenue&amp;EBITDA'!P108/'Quarterly Revenue&amp;EBITDA'!P104 - 1, "")</f>
        <v>5.9845559845559837E-2</v>
      </c>
      <c r="Q108" s="46"/>
      <c r="R108" s="46">
        <f ca="1">IFERROR('Quarterly Revenue&amp;EBITDA'!R108/'Quarterly Revenue&amp;EBITDA'!R104 - 1, "")</f>
        <v>0.21895171858904416</v>
      </c>
      <c r="S108" s="46">
        <f ca="1">IFERROR('Quarterly Revenue&amp;EBITDA'!S108/'Quarterly Revenue&amp;EBITDA'!S104 - 1, "")</f>
        <v>0.20219108744969883</v>
      </c>
      <c r="T108" s="46">
        <f ca="1">IFERROR('Quarterly Revenue&amp;EBITDA'!T108/'Quarterly Revenue&amp;EBITDA'!T104 - 1, "")</f>
        <v>0.18449503384020383</v>
      </c>
      <c r="U108" s="45"/>
      <c r="V108" s="45"/>
      <c r="W108" s="46">
        <f>IFERROR('Quarterly Revenue&amp;EBITDA'!W108/'Quarterly Revenue&amp;EBITDA'!W104 - 1, "")</f>
        <v>1.1008799584464066</v>
      </c>
      <c r="X108" s="46">
        <f>IFERROR('Quarterly Revenue&amp;EBITDA'!X108/'Quarterly Revenue&amp;EBITDA'!X104 - 1, "")</f>
        <v>0.27491033494523465</v>
      </c>
      <c r="Y108" s="46">
        <f>IFERROR('Quarterly Revenue&amp;EBITDA'!Y108/'Quarterly Revenue&amp;EBITDA'!Y104 - 1, "")</f>
        <v>0.79870191848811678</v>
      </c>
      <c r="Z108" s="46">
        <f>IFERROR('Quarterly Revenue&amp;EBITDA'!Z108/'Quarterly Revenue&amp;EBITDA'!Z104 - 1, "")</f>
        <v>0.18939264846770509</v>
      </c>
      <c r="AA108" s="46"/>
      <c r="AB108" s="46">
        <f>IFERROR('Quarterly Revenue&amp;EBITDA'!AB108/'Quarterly Revenue&amp;EBITDA'!AB104 - 1, "")</f>
        <v>0.31249807312013611</v>
      </c>
      <c r="AC108" s="28"/>
    </row>
    <row r="109" spans="1:29" ht="13">
      <c r="A109" s="27" t="s">
        <v>134</v>
      </c>
      <c r="B109" s="46">
        <f ca="1">IFERROR('Quarterly Revenue&amp;EBITDA'!B109/'Quarterly Revenue&amp;EBITDA'!B105 - 1, "")</f>
        <v>0.17771051965566631</v>
      </c>
      <c r="C109" s="46">
        <f ca="1">IFERROR('Quarterly Revenue&amp;EBITDA'!C109/'Quarterly Revenue&amp;EBITDA'!C105 - 1, "")</f>
        <v>0.21298744216787835</v>
      </c>
      <c r="D109" s="46">
        <f ca="1">IFERROR('Quarterly Revenue&amp;EBITDA'!D109/'Quarterly Revenue&amp;EBITDA'!D105 - 1, "")</f>
        <v>8.5659021829234572E-2</v>
      </c>
      <c r="E109" s="46">
        <f ca="1">IFERROR('Quarterly Revenue&amp;EBITDA'!E109/'Quarterly Revenue&amp;EBITDA'!E105 - 1, "")</f>
        <v>0.94530443756449944</v>
      </c>
      <c r="F109" s="46">
        <f ca="1">IFERROR('Quarterly Revenue&amp;EBITDA'!F109/'Quarterly Revenue&amp;EBITDA'!F105 - 1, "")</f>
        <v>0.16122004357298469</v>
      </c>
      <c r="G109" s="46">
        <f ca="1">IFERROR('Quarterly Revenue&amp;EBITDA'!G109/'Quarterly Revenue&amp;EBITDA'!G105 - 1, "")</f>
        <v>-0.14065323897659221</v>
      </c>
      <c r="H109" s="46">
        <f ca="1">IFERROR('Quarterly Revenue&amp;EBITDA'!H109/'Quarterly Revenue&amp;EBITDA'!H105 - 1, "")</f>
        <v>0.18283321702721556</v>
      </c>
      <c r="I109" s="46">
        <f ca="1">IFERROR('Quarterly Revenue&amp;EBITDA'!I109/'Quarterly Revenue&amp;EBITDA'!I105 - 1, "")</f>
        <v>0.22324789142558865</v>
      </c>
      <c r="J109" s="46">
        <f ca="1">IFERROR('Quarterly Revenue&amp;EBITDA'!J109/'Quarterly Revenue&amp;EBITDA'!J105 - 1, "")</f>
        <v>0.28521797430935436</v>
      </c>
      <c r="K109" s="46">
        <f>IFERROR('Quarterly Revenue&amp;EBITDA'!K109/'Quarterly Revenue&amp;EBITDA'!K105 - 1, "")</f>
        <v>0.30758765387578468</v>
      </c>
      <c r="L109" s="46">
        <f ca="1">IFERROR('Quarterly Revenue&amp;EBITDA'!L109/'Quarterly Revenue&amp;EBITDA'!L105 - 1, "")</f>
        <v>0.3959341003861494</v>
      </c>
      <c r="M109" s="46">
        <f ca="1">IFERROR('Quarterly Revenue&amp;EBITDA'!M109/'Quarterly Revenue&amp;EBITDA'!M105 - 1, "")</f>
        <v>0.58333333333333326</v>
      </c>
      <c r="N109" s="46">
        <f ca="1">IFERROR('Quarterly Revenue&amp;EBITDA'!N109/'Quarterly Revenue&amp;EBITDA'!N105 - 1, "")</f>
        <v>0.33115183246073276</v>
      </c>
      <c r="O109" s="46">
        <f ca="1">IFERROR('Quarterly Revenue&amp;EBITDA'!O109/'Quarterly Revenue&amp;EBITDA'!O105 - 1, "")</f>
        <v>0.39078498293515374</v>
      </c>
      <c r="P109" s="46">
        <f ca="1">IFERROR('Quarterly Revenue&amp;EBITDA'!P109/'Quarterly Revenue&amp;EBITDA'!P105 - 1, "")</f>
        <v>5.9845559845559837E-2</v>
      </c>
      <c r="Q109" s="46"/>
      <c r="R109" s="46">
        <f ca="1">IFERROR('Quarterly Revenue&amp;EBITDA'!R109/'Quarterly Revenue&amp;EBITDA'!R105 - 1, "")</f>
        <v>9.2899505665644755E-2</v>
      </c>
      <c r="S109" s="46">
        <f ca="1">IFERROR('Quarterly Revenue&amp;EBITDA'!S109/'Quarterly Revenue&amp;EBITDA'!S105 - 1, "")</f>
        <v>0.14287697604679162</v>
      </c>
      <c r="T109" s="46">
        <f ca="1">IFERROR('Quarterly Revenue&amp;EBITDA'!T109/'Quarterly Revenue&amp;EBITDA'!T105 - 1, "")</f>
        <v>0.11627679357932852</v>
      </c>
      <c r="U109" s="45"/>
      <c r="V109" s="45"/>
      <c r="W109" s="46">
        <f>IFERROR('Quarterly Revenue&amp;EBITDA'!W109/'Quarterly Revenue&amp;EBITDA'!W105 - 1, "")</f>
        <v>0.2103252121200101</v>
      </c>
      <c r="X109" s="46">
        <f>IFERROR('Quarterly Revenue&amp;EBITDA'!X109/'Quarterly Revenue&amp;EBITDA'!X105 - 1, "")</f>
        <v>0.27491033494523465</v>
      </c>
      <c r="Y109" s="46">
        <f>IFERROR('Quarterly Revenue&amp;EBITDA'!Y109/'Quarterly Revenue&amp;EBITDA'!Y105 - 1, "")</f>
        <v>0.79870191848811678</v>
      </c>
      <c r="Z109" s="46">
        <f>IFERROR('Quarterly Revenue&amp;EBITDA'!Z109/'Quarterly Revenue&amp;EBITDA'!Z105 - 1, "")</f>
        <v>0.18939264846770509</v>
      </c>
      <c r="AA109" s="46"/>
      <c r="AB109" s="46">
        <f>IFERROR('Quarterly Revenue&amp;EBITDA'!AB109/'Quarterly Revenue&amp;EBITDA'!AB105 - 1, "")</f>
        <v>0.31249807312013611</v>
      </c>
      <c r="AC109" s="28"/>
    </row>
    <row r="110" spans="1:29" ht="13">
      <c r="A110" s="27" t="s">
        <v>135</v>
      </c>
      <c r="B110" s="46">
        <f ca="1">IFERROR('Quarterly Revenue&amp;EBITDA'!B110/'Quarterly Revenue&amp;EBITDA'!B106 - 1, "")</f>
        <v>0.16614090431125139</v>
      </c>
      <c r="C110" s="46">
        <f ca="1">IFERROR('Quarterly Revenue&amp;EBITDA'!C110/'Quarterly Revenue&amp;EBITDA'!C106 - 1, "")</f>
        <v>0.1815263027908125</v>
      </c>
      <c r="D110" s="46">
        <f ca="1">IFERROR('Quarterly Revenue&amp;EBITDA'!D110/'Quarterly Revenue&amp;EBITDA'!D106 - 1, "")</f>
        <v>0.1027501909854851</v>
      </c>
      <c r="E110" s="46">
        <f ca="1">IFERROR('Quarterly Revenue&amp;EBITDA'!E110/'Quarterly Revenue&amp;EBITDA'!E106 - 1, "")</f>
        <v>0.9945205479452055</v>
      </c>
      <c r="F110" s="46">
        <f ca="1">IFERROR('Quarterly Revenue&amp;EBITDA'!F110/'Quarterly Revenue&amp;EBITDA'!F106 - 1, "")</f>
        <v>0.10169491525423724</v>
      </c>
      <c r="G110" s="46">
        <f ca="1">IFERROR('Quarterly Revenue&amp;EBITDA'!G110/'Quarterly Revenue&amp;EBITDA'!G106 - 1, "")</f>
        <v>-0.12577105320863002</v>
      </c>
      <c r="H110" s="46">
        <f ca="1">IFERROR('Quarterly Revenue&amp;EBITDA'!H110/'Quarterly Revenue&amp;EBITDA'!H106 - 1, "")</f>
        <v>0.12796934865900367</v>
      </c>
      <c r="I110" s="46">
        <f ca="1">IFERROR('Quarterly Revenue&amp;EBITDA'!I110/'Quarterly Revenue&amp;EBITDA'!I106 - 1, "")</f>
        <v>0.39932115815365998</v>
      </c>
      <c r="J110" s="46">
        <f ca="1">IFERROR('Quarterly Revenue&amp;EBITDA'!J110/'Quarterly Revenue&amp;EBITDA'!J106 - 1, "")</f>
        <v>0.25620726458135423</v>
      </c>
      <c r="K110" s="46">
        <f>IFERROR('Quarterly Revenue&amp;EBITDA'!K110/'Quarterly Revenue&amp;EBITDA'!K106 - 1, "")</f>
        <v>0.30758765387578468</v>
      </c>
      <c r="L110" s="46">
        <f ca="1">IFERROR('Quarterly Revenue&amp;EBITDA'!L110/'Quarterly Revenue&amp;EBITDA'!L106 - 1, "")</f>
        <v>0.38247658632098891</v>
      </c>
      <c r="M110" s="46">
        <f ca="1">IFERROR('Quarterly Revenue&amp;EBITDA'!M110/'Quarterly Revenue&amp;EBITDA'!M106 - 1, "")</f>
        <v>1.2406671130434783</v>
      </c>
      <c r="N110" s="46">
        <f ca="1">IFERROR('Quarterly Revenue&amp;EBITDA'!N110/'Quarterly Revenue&amp;EBITDA'!N106 - 1, "")</f>
        <v>0.50446509932567896</v>
      </c>
      <c r="O110" s="46">
        <f ca="1">IFERROR('Quarterly Revenue&amp;EBITDA'!O110/'Quarterly Revenue&amp;EBITDA'!O106 - 1, "")</f>
        <v>0.2036055143160147</v>
      </c>
      <c r="P110" s="46">
        <f ca="1">IFERROR('Quarterly Revenue&amp;EBITDA'!P110/'Quarterly Revenue&amp;EBITDA'!P106 - 1, "")</f>
        <v>7.1428571428571397E-2</v>
      </c>
      <c r="Q110" s="46"/>
      <c r="R110" s="46">
        <f ca="1">IFERROR('Quarterly Revenue&amp;EBITDA'!R110/'Quarterly Revenue&amp;EBITDA'!R106 - 1, "")</f>
        <v>-0.19809336884901163</v>
      </c>
      <c r="S110" s="46">
        <f ca="1">IFERROR('Quarterly Revenue&amp;EBITDA'!S110/'Quarterly Revenue&amp;EBITDA'!S106 - 1, "")</f>
        <v>-6.9884742327928073E-3</v>
      </c>
      <c r="T110" s="46">
        <f ca="1">IFERROR('Quarterly Revenue&amp;EBITDA'!T110/'Quarterly Revenue&amp;EBITDA'!T106 - 1, "")</f>
        <v>0.22518559252130887</v>
      </c>
      <c r="U110" s="45"/>
      <c r="V110" s="45"/>
      <c r="W110" s="46">
        <f>IFERROR('Quarterly Revenue&amp;EBITDA'!W110/'Quarterly Revenue&amp;EBITDA'!W106 - 1, "")</f>
        <v>0.2103252121200101</v>
      </c>
      <c r="X110" s="46">
        <f>IFERROR('Quarterly Revenue&amp;EBITDA'!X110/'Quarterly Revenue&amp;EBITDA'!X106 - 1, "")</f>
        <v>0.27491033494523465</v>
      </c>
      <c r="Y110" s="46">
        <f>IFERROR('Quarterly Revenue&amp;EBITDA'!Y110/'Quarterly Revenue&amp;EBITDA'!Y106 - 1, "")</f>
        <v>0.79870191848811678</v>
      </c>
      <c r="Z110" s="46">
        <f>IFERROR('Quarterly Revenue&amp;EBITDA'!Z110/'Quarterly Revenue&amp;EBITDA'!Z106 - 1, "")</f>
        <v>0.18939264846770509</v>
      </c>
      <c r="AA110" s="46"/>
      <c r="AB110" s="46">
        <f>IFERROR('Quarterly Revenue&amp;EBITDA'!AB110/'Quarterly Revenue&amp;EBITDA'!AB106 - 1, "")</f>
        <v>0.31249807312013611</v>
      </c>
      <c r="AC110" s="28"/>
    </row>
    <row r="111" spans="1:29" ht="13">
      <c r="A111" s="27" t="s">
        <v>136</v>
      </c>
      <c r="B111" s="46">
        <f ca="1">IFERROR('Quarterly Revenue&amp;EBITDA'!B111/'Quarterly Revenue&amp;EBITDA'!B107 - 1, "")</f>
        <v>0.17821782178217815</v>
      </c>
      <c r="C111" s="46">
        <f ca="1">IFERROR('Quarterly Revenue&amp;EBITDA'!C111/'Quarterly Revenue&amp;EBITDA'!C107 - 1, "")</f>
        <v>0.16860772895712017</v>
      </c>
      <c r="D111" s="46">
        <f ca="1">IFERROR('Quarterly Revenue&amp;EBITDA'!D111/'Quarterly Revenue&amp;EBITDA'!D107 - 1, "")</f>
        <v>8.405253283302061E-2</v>
      </c>
      <c r="E111" s="46">
        <f ca="1">IFERROR('Quarterly Revenue&amp;EBITDA'!E111/'Quarterly Revenue&amp;EBITDA'!E107 - 1, "")</f>
        <v>0.23117076808351977</v>
      </c>
      <c r="F111" s="46">
        <f ca="1">IFERROR('Quarterly Revenue&amp;EBITDA'!F111/'Quarterly Revenue&amp;EBITDA'!F107 - 1, "")</f>
        <v>6.4690026954177915E-2</v>
      </c>
      <c r="G111" s="46">
        <f ca="1">IFERROR('Quarterly Revenue&amp;EBITDA'!G111/'Quarterly Revenue&amp;EBITDA'!G107 - 1, "")</f>
        <v>-8.6512482438128147E-2</v>
      </c>
      <c r="H111" s="46">
        <f ca="1">IFERROR('Quarterly Revenue&amp;EBITDA'!H111/'Quarterly Revenue&amp;EBITDA'!H107 - 1, "")</f>
        <v>0.12191872085276478</v>
      </c>
      <c r="I111" s="46">
        <f ca="1">IFERROR('Quarterly Revenue&amp;EBITDA'!I111/'Quarterly Revenue&amp;EBITDA'!I107 - 1, "")</f>
        <v>9.4469683126768178E-2</v>
      </c>
      <c r="J111" s="46">
        <f ca="1">IFERROR('Quarterly Revenue&amp;EBITDA'!J111/'Quarterly Revenue&amp;EBITDA'!J107 - 1, "")</f>
        <v>0.36603085044067263</v>
      </c>
      <c r="K111" s="46">
        <f ca="1">IFERROR('Quarterly Revenue&amp;EBITDA'!K111/'Quarterly Revenue&amp;EBITDA'!K107 - 1, "")</f>
        <v>0.34325249361627996</v>
      </c>
      <c r="L111" s="46">
        <f ca="1">IFERROR('Quarterly Revenue&amp;EBITDA'!L111/'Quarterly Revenue&amp;EBITDA'!L107 - 1, "")</f>
        <v>0.47660418986065012</v>
      </c>
      <c r="M111" s="46">
        <f ca="1">IFERROR('Quarterly Revenue&amp;EBITDA'!M111/'Quarterly Revenue&amp;EBITDA'!M107 - 1, "")</f>
        <v>0.20378182840236692</v>
      </c>
      <c r="N111" s="46">
        <f ca="1">IFERROR('Quarterly Revenue&amp;EBITDA'!N111/'Quarterly Revenue&amp;EBITDA'!N107 - 1, "")</f>
        <v>0.39660541887262535</v>
      </c>
      <c r="O111" s="46">
        <f ca="1">IFERROR('Quarterly Revenue&amp;EBITDA'!O111/'Quarterly Revenue&amp;EBITDA'!O107 - 1, "")</f>
        <v>0.2036055143160147</v>
      </c>
      <c r="P111" s="46">
        <f ca="1">IFERROR('Quarterly Revenue&amp;EBITDA'!P111/'Quarterly Revenue&amp;EBITDA'!P107 - 1, "")</f>
        <v>7.1428571428571397E-2</v>
      </c>
      <c r="Q111" s="46"/>
      <c r="R111" s="46">
        <f ca="1">IFERROR('Quarterly Revenue&amp;EBITDA'!R111/'Quarterly Revenue&amp;EBITDA'!R107 - 1, "")</f>
        <v>-0.12008978675645343</v>
      </c>
      <c r="S111" s="46">
        <f ca="1">IFERROR('Quarterly Revenue&amp;EBITDA'!S111/'Quarterly Revenue&amp;EBITDA'!S107 - 1, "")</f>
        <v>0.18557600145069153</v>
      </c>
      <c r="T111" s="46">
        <f ca="1">IFERROR('Quarterly Revenue&amp;EBITDA'!T111/'Quarterly Revenue&amp;EBITDA'!T107 - 1, "")</f>
        <v>-0.11416970614548216</v>
      </c>
      <c r="U111" s="45"/>
      <c r="V111" s="45"/>
      <c r="W111" s="46">
        <f>IFERROR('Quarterly Revenue&amp;EBITDA'!W111/'Quarterly Revenue&amp;EBITDA'!W107 - 1, "")</f>
        <v>0.2103252121200101</v>
      </c>
      <c r="X111" s="46"/>
      <c r="Y111" s="46"/>
      <c r="Z111" s="46"/>
      <c r="AA111" s="46"/>
      <c r="AB111" s="46"/>
      <c r="AC111" s="28"/>
    </row>
    <row r="112" spans="1:29" ht="13">
      <c r="A112" s="27" t="s">
        <v>137</v>
      </c>
      <c r="B112" s="46">
        <f ca="1">IFERROR('Quarterly Revenue&amp;EBITDA'!B112/'Quarterly Revenue&amp;EBITDA'!B108 - 1, "")</f>
        <v>0.106280193236715</v>
      </c>
      <c r="C112" s="46">
        <f ca="1">IFERROR('Quarterly Revenue&amp;EBITDA'!C112/'Quarterly Revenue&amp;EBITDA'!C108 - 1, "")</f>
        <v>7.2683998535335137E-2</v>
      </c>
      <c r="D112" s="46">
        <f ca="1">IFERROR('Quarterly Revenue&amp;EBITDA'!D112/'Quarterly Revenue&amp;EBITDA'!D108 - 1, "")</f>
        <v>5.9559261465157887E-2</v>
      </c>
      <c r="E112" s="46">
        <f ca="1">IFERROR('Quarterly Revenue&amp;EBITDA'!E112/'Quarterly Revenue&amp;EBITDA'!E108 - 1, "")</f>
        <v>0.13191763191763184</v>
      </c>
      <c r="F112" s="46">
        <f ca="1">IFERROR('Quarterly Revenue&amp;EBITDA'!F112/'Quarterly Revenue&amp;EBITDA'!F108 - 1, "")</f>
        <v>6.0728744939271273E-3</v>
      </c>
      <c r="G112" s="46">
        <f ca="1">IFERROR('Quarterly Revenue&amp;EBITDA'!G112/'Quarterly Revenue&amp;EBITDA'!G108 - 1, "")</f>
        <v>-4.7245170207978471E-2</v>
      </c>
      <c r="H112" s="46">
        <f ca="1">IFERROR('Quarterly Revenue&amp;EBITDA'!H112/'Quarterly Revenue&amp;EBITDA'!H108 - 1, "")</f>
        <v>1.5873015873015817E-2</v>
      </c>
      <c r="I112" s="46">
        <f ca="1">IFERROR('Quarterly Revenue&amp;EBITDA'!I112/'Quarterly Revenue&amp;EBITDA'!I108 - 1, "")</f>
        <v>0.11794664217877759</v>
      </c>
      <c r="J112" s="46">
        <f ca="1">IFERROR('Quarterly Revenue&amp;EBITDA'!J112/'Quarterly Revenue&amp;EBITDA'!J108 - 1, "")</f>
        <v>0.29374119991257097</v>
      </c>
      <c r="K112" s="46">
        <f ca="1">IFERROR('Quarterly Revenue&amp;EBITDA'!K112/'Quarterly Revenue&amp;EBITDA'!K108 - 1, "")</f>
        <v>0.12687011641715396</v>
      </c>
      <c r="L112" s="46">
        <f ca="1">IFERROR('Quarterly Revenue&amp;EBITDA'!L112/'Quarterly Revenue&amp;EBITDA'!L108 - 1, "")</f>
        <v>0.25844973693691276</v>
      </c>
      <c r="M112" s="46">
        <f ca="1">IFERROR('Quarterly Revenue&amp;EBITDA'!M112/'Quarterly Revenue&amp;EBITDA'!M108 - 1, "")</f>
        <v>0.74193548387096753</v>
      </c>
      <c r="N112" s="46">
        <f ca="1">IFERROR('Quarterly Revenue&amp;EBITDA'!N112/'Quarterly Revenue&amp;EBITDA'!N108 - 1, "")</f>
        <v>0.62668377164849254</v>
      </c>
      <c r="O112" s="46"/>
      <c r="P112" s="46">
        <f ca="1">IFERROR('Quarterly Revenue&amp;EBITDA'!P112/'Quarterly Revenue&amp;EBITDA'!P108 - 1, "")</f>
        <v>0.13114754098360648</v>
      </c>
      <c r="Q112" s="46" t="str">
        <f>IFERROR('Quarterly Revenue&amp;EBITDA'!Q112/'Quarterly Revenue&amp;EBITDA'!Q108 - 1, "")</f>
        <v/>
      </c>
      <c r="R112" s="46">
        <f ca="1">IFERROR('Quarterly Revenue&amp;EBITDA'!R112/'Quarterly Revenue&amp;EBITDA'!R108 - 1, "")</f>
        <v>-5.1705170517051702E-2</v>
      </c>
      <c r="S112" s="46">
        <f ca="1">IFERROR('Quarterly Revenue&amp;EBITDA'!S112/'Quarterly Revenue&amp;EBITDA'!S108 - 1, "")</f>
        <v>3.9656725617562172E-2</v>
      </c>
      <c r="T112" s="46">
        <f ca="1">IFERROR('Quarterly Revenue&amp;EBITDA'!T112/'Quarterly Revenue&amp;EBITDA'!T108 - 1, "")</f>
        <v>-6.4336598397150557E-2</v>
      </c>
      <c r="U112" s="45"/>
      <c r="V112" s="45"/>
      <c r="W112" s="46">
        <f>IFERROR('Quarterly Revenue&amp;EBITDA'!W112/'Quarterly Revenue&amp;EBITDA'!W108 - 1, "")</f>
        <v>0.2103252121200101</v>
      </c>
      <c r="X112" s="46"/>
      <c r="Y112" s="46"/>
      <c r="Z112" s="46"/>
      <c r="AA112" s="46"/>
      <c r="AB112" s="46"/>
      <c r="AC112" s="28"/>
    </row>
    <row r="113" spans="1:29" ht="13">
      <c r="A113" s="27" t="s">
        <v>138</v>
      </c>
      <c r="B113" s="46">
        <f ca="1">IFERROR('Quarterly Revenue&amp;EBITDA'!B113/'Quarterly Revenue&amp;EBITDA'!B109 - 1, "")</f>
        <v>9.8616426258463452E-2</v>
      </c>
      <c r="C113" s="46">
        <f ca="1">IFERROR('Quarterly Revenue&amp;EBITDA'!C113/'Quarterly Revenue&amp;EBITDA'!C109 - 1, "")</f>
        <v>8.8952458793079892E-2</v>
      </c>
      <c r="D113" s="46">
        <f ca="1">IFERROR('Quarterly Revenue&amp;EBITDA'!D113/'Quarterly Revenue&amp;EBITDA'!D109 - 1, "")</f>
        <v>3.3341817256299366E-2</v>
      </c>
      <c r="E113" s="46">
        <f ca="1">IFERROR('Quarterly Revenue&amp;EBITDA'!E113/'Quarterly Revenue&amp;EBITDA'!E109 - 1, "")</f>
        <v>0.20159151193633962</v>
      </c>
      <c r="F113" s="46">
        <f ca="1">IFERROR('Quarterly Revenue&amp;EBITDA'!F113/'Quarterly Revenue&amp;EBITDA'!F109 - 1, "")</f>
        <v>-1.8761726078799779E-3</v>
      </c>
      <c r="G113" s="46">
        <f ca="1">IFERROR('Quarterly Revenue&amp;EBITDA'!G113/'Quarterly Revenue&amp;EBITDA'!G109 - 1, "")</f>
        <v>-7.459046508976197E-2</v>
      </c>
      <c r="H113" s="46">
        <f ca="1">IFERROR('Quarterly Revenue&amp;EBITDA'!H113/'Quarterly Revenue&amp;EBITDA'!H109 - 1, "")</f>
        <v>-1.0029498525073621E-2</v>
      </c>
      <c r="I113" s="46">
        <f ca="1">IFERROR('Quarterly Revenue&amp;EBITDA'!I113/'Quarterly Revenue&amp;EBITDA'!I109 - 1, "")</f>
        <v>8.8714205502526733E-2</v>
      </c>
      <c r="J113" s="46">
        <f ca="1">IFERROR('Quarterly Revenue&amp;EBITDA'!J113/'Quarterly Revenue&amp;EBITDA'!J109 - 1, "")</f>
        <v>0.25077360839409568</v>
      </c>
      <c r="K113" s="46">
        <f ca="1">IFERROR('Quarterly Revenue&amp;EBITDA'!K113/'Quarterly Revenue&amp;EBITDA'!K109 - 1, "")</f>
        <v>0.28949824071775065</v>
      </c>
      <c r="L113" s="46">
        <f ca="1">IFERROR('Quarterly Revenue&amp;EBITDA'!L113/'Quarterly Revenue&amp;EBITDA'!L109 - 1, "")</f>
        <v>0.24228006195152463</v>
      </c>
      <c r="M113" s="46">
        <f ca="1">IFERROR('Quarterly Revenue&amp;EBITDA'!M113/'Quarterly Revenue&amp;EBITDA'!M109 - 1, "")</f>
        <v>8.0297607655501757E-3</v>
      </c>
      <c r="N113" s="46">
        <f ca="1">IFERROR('Quarterly Revenue&amp;EBITDA'!N113/'Quarterly Revenue&amp;EBITDA'!N109 - 1, "")</f>
        <v>0.76130776794493626</v>
      </c>
      <c r="O113" s="46"/>
      <c r="P113" s="46">
        <f ca="1">IFERROR('Quarterly Revenue&amp;EBITDA'!P113/'Quarterly Revenue&amp;EBITDA'!P109 - 1, "")</f>
        <v>0.13114754098360648</v>
      </c>
      <c r="Q113" s="45"/>
      <c r="R113" s="46">
        <f ca="1">IFERROR('Quarterly Revenue&amp;EBITDA'!R113/'Quarterly Revenue&amp;EBITDA'!R109 - 1, "")</f>
        <v>6.3803680981595168E-2</v>
      </c>
      <c r="S113" s="46">
        <f ca="1">IFERROR('Quarterly Revenue&amp;EBITDA'!S113/'Quarterly Revenue&amp;EBITDA'!S109 - 1, "")</f>
        <v>-0.11583158542609673</v>
      </c>
      <c r="T113" s="46">
        <f ca="1">IFERROR('Quarterly Revenue&amp;EBITDA'!T113/'Quarterly Revenue&amp;EBITDA'!T109 - 1, "")</f>
        <v>1.4740026304252525</v>
      </c>
      <c r="U113" s="45"/>
      <c r="V113" s="45"/>
      <c r="W113" s="45"/>
      <c r="X113" s="46"/>
      <c r="Y113" s="46"/>
      <c r="Z113" s="46"/>
      <c r="AA113" s="46"/>
      <c r="AB113" s="46"/>
      <c r="AC113" s="28"/>
    </row>
    <row r="114" spans="1:29" ht="13">
      <c r="A114" s="27" t="s">
        <v>139</v>
      </c>
      <c r="B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0.12904905738985528</v>
      </c>
      <c r="C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0.11740184197770231</v>
      </c>
      <c r="D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6.5552903739061197E-2</v>
      </c>
      <c r="E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0.2941923774954629</v>
      </c>
      <c r="F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3.5388127853881235E-2</v>
      </c>
      <c r="G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-8.1192558352384259E-2</v>
      </c>
      <c r="H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5.8920342330480491E-2</v>
      </c>
      <c r="I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0.16736922205432236</v>
      </c>
      <c r="J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0.28948675617631148</v>
      </c>
      <c r="K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0.25898870379607053</v>
      </c>
      <c r="L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0.33384010146624576</v>
      </c>
      <c r="M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0.46655974521354926</v>
      </c>
      <c r="N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0.58886494252873578</v>
      </c>
      <c r="O114" s="45"/>
      <c r="P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0.10099188458070341</v>
      </c>
      <c r="Q114" s="45"/>
      <c r="R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-7.4306257176824819E-2</v>
      </c>
      <c r="S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2.178034257272099E-2</v>
      </c>
      <c r="T114" s="45">
        <f ca="1">IFERROR(AVERAGE(INDIRECT("'Quarterly Revenue&amp;EBITDA'!"&amp;ADDRESS(ROW()-4,COLUMN())):INDIRECT("'Quarterly Revenue&amp;EBITDA'!"&amp;ADDRESS(ROW()-1,COLUMN())))/AVERAGE(INDIRECT("'Quarterly Revenue&amp;EBITDA'!"&amp;ADDRESS(ROW()-8,COLUMN())):INDIRECT("'Quarterly Revenue&amp;EBITDA'!"&amp;ADDRESS(ROW()-5,COLUMN())))-1,"")</f>
        <v>0.33269081732011196</v>
      </c>
      <c r="U114" s="45"/>
      <c r="V114" s="45"/>
      <c r="W114" s="45">
        <f ca="1">IFERROR(AVERAGE(INDIRECT("'Quarterly Revenue&amp;EBITDA'!"&amp;ADDRESS(ROW()-5,COLUMN())):INDIRECT("'Quarterly Revenue&amp;EBITDA'!"&amp;ADDRESS(ROW()-2,COLUMN())))/AVERAGE(INDIRECT("'Quarterly Revenue&amp;EBITDA'!"&amp;ADDRESS(ROW()-9,COLUMN())):INDIRECT("'Quarterly Revenue&amp;EBITDA'!"&amp;ADDRESS(ROW()-6,COLUMN())))-1,"")</f>
        <v>0.2103252121200101</v>
      </c>
      <c r="X114" s="46"/>
      <c r="Y114" s="46"/>
      <c r="Z114" s="46"/>
      <c r="AA114" s="46"/>
      <c r="AB114" s="46"/>
      <c r="AC114" s="28"/>
    </row>
    <row r="115" spans="1:29" ht="1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1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ht="1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ht="1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ht="1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ht="1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ht="1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ht="1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ht="1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ht="1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ht="1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1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ht="1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1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ht="1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ht="1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ht="1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ht="1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ht="1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ht="1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ht="1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ht="1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ht="1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ht="1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ht="1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ht="1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ht="1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ht="1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ht="1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ht="1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ht="1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ht="1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ht="1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ht="1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ht="1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ht="1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ht="1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1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ht="1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ht="1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ht="1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ht="1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ht="1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ht="1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ht="1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ht="1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ht="1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ht="1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ht="1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ht="1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ht="1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ht="1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ht="1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ht="1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ht="1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ht="1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ht="1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ht="1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ht="1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ht="1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ht="1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ht="1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ht="1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ht="1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ht="1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ht="1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ht="1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ht="1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ht="1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ht="1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ht="1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ht="1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ht="1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ht="1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ht="1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ht="1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ht="1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ht="1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ht="1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ht="1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ht="1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ht="1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ht="1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ht="1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ht="1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ht="1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ht="1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ht="1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ht="1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ht="1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ht="1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ht="1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ht="1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ht="1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ht="1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ht="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ht="1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ht="1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ht="1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ht="1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ht="1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ht="1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ht="1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ht="1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ht="1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ht="1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ht="1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ht="1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ht="1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ht="1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ht="1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ht="1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  <row r="1001" spans="1:29" ht="13">
      <c r="A1001" s="28"/>
      <c r="B1001" s="28"/>
      <c r="C1001" s="28"/>
      <c r="D1001" s="28"/>
      <c r="E1001" s="28"/>
      <c r="F1001" s="28"/>
      <c r="G1001" s="28"/>
      <c r="H1001" s="28"/>
      <c r="I1001" s="28"/>
      <c r="J1001" s="28"/>
      <c r="K1001" s="28"/>
      <c r="L1001" s="28"/>
      <c r="M1001" s="28"/>
      <c r="N1001" s="28"/>
      <c r="O1001" s="28"/>
      <c r="P1001" s="28"/>
      <c r="Q1001" s="28"/>
      <c r="R1001" s="28"/>
      <c r="S1001" s="28"/>
      <c r="T1001" s="28"/>
      <c r="U1001" s="28"/>
      <c r="V1001" s="28"/>
      <c r="W1001" s="28"/>
      <c r="X1001" s="28"/>
      <c r="Y1001" s="28"/>
      <c r="Z1001" s="28"/>
      <c r="AA1001" s="28"/>
      <c r="AB1001" s="28"/>
      <c r="AC1001" s="28"/>
    </row>
  </sheetData>
  <pageMargins left="0.7" right="0.7" top="0.75" bottom="0.75" header="0.3" footer="0.3"/>
  <pageSetup orientation="portrait" horizontalDpi="0" verticalDpi="0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C1001"/>
  <sheetViews>
    <sheetView workbookViewId="0">
      <pane xSplit="1" ySplit="1" topLeftCell="B75" activePane="bottomRight" state="frozen"/>
      <selection pane="topRight" activeCell="B1" sqref="B1"/>
      <selection pane="bottomLeft" activeCell="A2" sqref="A2"/>
      <selection pane="bottomRight" activeCell="A114" sqref="A114:XFD114"/>
    </sheetView>
  </sheetViews>
  <sheetFormatPr baseColWidth="10" defaultColWidth="12.6640625" defaultRowHeight="15.75" customHeight="1"/>
  <cols>
    <col min="1" max="1" width="14.664062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26" t="s">
        <v>13</v>
      </c>
      <c r="P1" s="5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140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3">
      <c r="A3" s="27" t="s">
        <v>28</v>
      </c>
      <c r="B3" s="45"/>
      <c r="C3" s="45"/>
      <c r="D3" s="46">
        <f>'Quarterly Revenue&amp;EBITDA'!D118/'Quarterly Revenue&amp;EBITDA'!D3</f>
        <v>-10.369803063457331</v>
      </c>
      <c r="E3" s="45"/>
      <c r="F3" s="45"/>
      <c r="G3" s="45"/>
      <c r="H3" s="45"/>
      <c r="I3" s="45"/>
      <c r="J3" s="45"/>
      <c r="K3" s="45"/>
      <c r="L3" s="45"/>
      <c r="M3" s="45"/>
      <c r="N3" s="45"/>
      <c r="O3" s="47"/>
      <c r="P3" s="45"/>
      <c r="Q3" s="45"/>
      <c r="R3" s="46"/>
      <c r="S3" s="45"/>
      <c r="T3" s="45"/>
      <c r="U3" s="46"/>
      <c r="V3" s="46">
        <f>'Quarterly Revenue&amp;EBITDA'!V118/'Quarterly Revenue&amp;EBITDA'!V3</f>
        <v>-2.0157209001830516</v>
      </c>
      <c r="W3" s="46">
        <f>'Quarterly Revenue&amp;EBITDA'!W118/'Quarterly Revenue&amp;EBITDA'!W3</f>
        <v>1.8801055811042477E-2</v>
      </c>
      <c r="X3" s="28"/>
      <c r="Y3" s="28"/>
      <c r="Z3" s="28"/>
      <c r="AA3" s="28"/>
      <c r="AB3" s="28"/>
      <c r="AC3" s="28"/>
    </row>
    <row r="4" spans="1:29" ht="13">
      <c r="A4" s="27" t="s">
        <v>29</v>
      </c>
      <c r="B4" s="45"/>
      <c r="C4" s="45"/>
      <c r="D4" s="46">
        <f>'Quarterly Revenue&amp;EBITDA'!D119/'Quarterly Revenue&amp;EBITDA'!D4</f>
        <v>-10.369803063457331</v>
      </c>
      <c r="E4" s="45"/>
      <c r="F4" s="45"/>
      <c r="G4" s="45"/>
      <c r="H4" s="45"/>
      <c r="I4" s="45"/>
      <c r="J4" s="45"/>
      <c r="K4" s="45"/>
      <c r="L4" s="45"/>
      <c r="M4" s="45"/>
      <c r="N4" s="45"/>
      <c r="O4" s="47"/>
      <c r="P4" s="45"/>
      <c r="Q4" s="45"/>
      <c r="R4" s="46"/>
      <c r="S4" s="45"/>
      <c r="T4" s="45"/>
      <c r="U4" s="46"/>
      <c r="V4" s="46">
        <f>'Quarterly Revenue&amp;EBITDA'!V119/'Quarterly Revenue&amp;EBITDA'!V4</f>
        <v>-2.0157209001830516</v>
      </c>
      <c r="W4" s="46">
        <f>'Quarterly Revenue&amp;EBITDA'!W119/'Quarterly Revenue&amp;EBITDA'!W4</f>
        <v>1.8801055811042477E-2</v>
      </c>
      <c r="X4" s="28"/>
      <c r="Y4" s="28"/>
      <c r="Z4" s="28"/>
      <c r="AA4" s="28"/>
      <c r="AB4" s="28"/>
      <c r="AC4" s="28"/>
    </row>
    <row r="5" spans="1:29" ht="13">
      <c r="A5" s="27" t="s">
        <v>30</v>
      </c>
      <c r="B5" s="45"/>
      <c r="C5" s="45"/>
      <c r="D5" s="46">
        <f>'Quarterly Revenue&amp;EBITDA'!D120/'Quarterly Revenue&amp;EBITDA'!D5</f>
        <v>-10.369803063457331</v>
      </c>
      <c r="E5" s="45"/>
      <c r="F5" s="45"/>
      <c r="G5" s="45"/>
      <c r="H5" s="45"/>
      <c r="I5" s="45"/>
      <c r="J5" s="45"/>
      <c r="K5" s="45"/>
      <c r="L5" s="45"/>
      <c r="M5" s="45"/>
      <c r="N5" s="45"/>
      <c r="O5" s="47"/>
      <c r="P5" s="45"/>
      <c r="Q5" s="45"/>
      <c r="R5" s="46"/>
      <c r="S5" s="45"/>
      <c r="T5" s="45"/>
      <c r="U5" s="46"/>
      <c r="V5" s="46">
        <f>'Quarterly Revenue&amp;EBITDA'!V120/'Quarterly Revenue&amp;EBITDA'!V5</f>
        <v>-2.0157209001830516</v>
      </c>
      <c r="W5" s="46">
        <f>'Quarterly Revenue&amp;EBITDA'!W120/'Quarterly Revenue&amp;EBITDA'!W5</f>
        <v>2.2011790332618769E-2</v>
      </c>
      <c r="X5" s="28"/>
      <c r="Y5" s="28"/>
      <c r="Z5" s="28"/>
      <c r="AA5" s="28"/>
      <c r="AB5" s="28"/>
      <c r="AC5" s="28"/>
    </row>
    <row r="6" spans="1:29" ht="13">
      <c r="A6" s="27" t="s">
        <v>31</v>
      </c>
      <c r="B6" s="45"/>
      <c r="C6" s="45"/>
      <c r="D6" s="46">
        <f>'Quarterly Revenue&amp;EBITDA'!D121/'Quarterly Revenue&amp;EBITDA'!D6</f>
        <v>-10.369803063457331</v>
      </c>
      <c r="E6" s="45"/>
      <c r="F6" s="45"/>
      <c r="G6" s="45"/>
      <c r="H6" s="45"/>
      <c r="I6" s="45"/>
      <c r="J6" s="45"/>
      <c r="K6" s="45"/>
      <c r="L6" s="45"/>
      <c r="M6" s="45"/>
      <c r="N6" s="45"/>
      <c r="O6" s="47"/>
      <c r="P6" s="45"/>
      <c r="Q6" s="45"/>
      <c r="R6" s="46"/>
      <c r="S6" s="45"/>
      <c r="T6" s="45"/>
      <c r="U6" s="46"/>
      <c r="V6" s="46">
        <f>'Quarterly Revenue&amp;EBITDA'!V121/'Quarterly Revenue&amp;EBITDA'!V6</f>
        <v>-2.0157209001830516</v>
      </c>
      <c r="W6" s="46">
        <f>'Quarterly Revenue&amp;EBITDA'!W121/'Quarterly Revenue&amp;EBITDA'!W6</f>
        <v>2.2011790332618769E-2</v>
      </c>
      <c r="X6" s="28"/>
      <c r="Y6" s="28"/>
      <c r="Z6" s="28"/>
      <c r="AA6" s="28"/>
      <c r="AB6" s="28"/>
      <c r="AC6" s="28"/>
    </row>
    <row r="7" spans="1:29" ht="13">
      <c r="A7" s="27" t="s">
        <v>32</v>
      </c>
      <c r="B7" s="45"/>
      <c r="C7" s="46">
        <f>'Quarterly Revenue&amp;EBITDA'!C122/'Quarterly Revenue&amp;EBITDA'!C7</f>
        <v>-1.5027385986321196</v>
      </c>
      <c r="D7" s="46">
        <f>'Quarterly Revenue&amp;EBITDA'!D122/'Quarterly Revenue&amp;EBITDA'!D7</f>
        <v>-2.0776741158602734</v>
      </c>
      <c r="E7" s="45"/>
      <c r="F7" s="45"/>
      <c r="G7" s="45"/>
      <c r="H7" s="45"/>
      <c r="I7" s="45"/>
      <c r="J7" s="45"/>
      <c r="K7" s="45"/>
      <c r="L7" s="45"/>
      <c r="M7" s="45"/>
      <c r="N7" s="45"/>
      <c r="O7" s="47"/>
      <c r="P7" s="45"/>
      <c r="Q7" s="45"/>
      <c r="R7" s="46"/>
      <c r="S7" s="45"/>
      <c r="T7" s="45"/>
      <c r="U7" s="46"/>
      <c r="V7" s="46">
        <f>'Quarterly Revenue&amp;EBITDA'!V122/'Quarterly Revenue&amp;EBITDA'!V7</f>
        <v>-1.0019775873434411</v>
      </c>
      <c r="W7" s="46">
        <f>'Quarterly Revenue&amp;EBITDA'!W122/'Quarterly Revenue&amp;EBITDA'!W7</f>
        <v>2.2011790332618769E-2</v>
      </c>
      <c r="X7" s="28"/>
      <c r="Y7" s="28"/>
      <c r="Z7" s="28"/>
      <c r="AA7" s="28"/>
      <c r="AB7" s="28"/>
      <c r="AC7" s="28"/>
    </row>
    <row r="8" spans="1:29" ht="13">
      <c r="A8" s="27" t="s">
        <v>33</v>
      </c>
      <c r="B8" s="45"/>
      <c r="C8" s="46">
        <f>'Quarterly Revenue&amp;EBITDA'!C123/'Quarterly Revenue&amp;EBITDA'!C8</f>
        <v>-1.5027385986321196</v>
      </c>
      <c r="D8" s="46">
        <f>'Quarterly Revenue&amp;EBITDA'!D123/'Quarterly Revenue&amp;EBITDA'!D8</f>
        <v>-2.0776741158602734</v>
      </c>
      <c r="E8" s="45"/>
      <c r="F8" s="45"/>
      <c r="G8" s="45"/>
      <c r="H8" s="45"/>
      <c r="I8" s="45"/>
      <c r="J8" s="45"/>
      <c r="K8" s="45"/>
      <c r="L8" s="45"/>
      <c r="M8" s="45"/>
      <c r="N8" s="45"/>
      <c r="O8" s="47"/>
      <c r="P8" s="45"/>
      <c r="Q8" s="45"/>
      <c r="R8" s="46"/>
      <c r="S8" s="45"/>
      <c r="T8" s="45"/>
      <c r="U8" s="46"/>
      <c r="V8" s="46">
        <f>'Quarterly Revenue&amp;EBITDA'!V123/'Quarterly Revenue&amp;EBITDA'!V8</f>
        <v>-1.0019775873434411</v>
      </c>
      <c r="W8" s="46">
        <f>'Quarterly Revenue&amp;EBITDA'!W123/'Quarterly Revenue&amp;EBITDA'!W8</f>
        <v>2.2011790332618769E-2</v>
      </c>
      <c r="X8" s="28"/>
      <c r="Y8" s="28"/>
      <c r="Z8" s="28"/>
      <c r="AA8" s="28"/>
      <c r="AB8" s="28"/>
      <c r="AC8" s="28"/>
    </row>
    <row r="9" spans="1:29" ht="13">
      <c r="A9" s="27" t="s">
        <v>34</v>
      </c>
      <c r="B9" s="45"/>
      <c r="C9" s="46">
        <f>'Quarterly Revenue&amp;EBITDA'!C124/'Quarterly Revenue&amp;EBITDA'!C9</f>
        <v>-1.5027385986321196</v>
      </c>
      <c r="D9" s="46">
        <f>'Quarterly Revenue&amp;EBITDA'!D124/'Quarterly Revenue&amp;EBITDA'!D9</f>
        <v>-2.0776741158602734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7"/>
      <c r="P9" s="45"/>
      <c r="Q9" s="45"/>
      <c r="R9" s="46"/>
      <c r="S9" s="45"/>
      <c r="T9" s="45"/>
      <c r="U9" s="46"/>
      <c r="V9" s="46">
        <f>'Quarterly Revenue&amp;EBITDA'!V124/'Quarterly Revenue&amp;EBITDA'!V9</f>
        <v>-1.0019775873434411</v>
      </c>
      <c r="W9" s="46">
        <f>'Quarterly Revenue&amp;EBITDA'!W124/'Quarterly Revenue&amp;EBITDA'!W9</f>
        <v>1.722575843340985E-2</v>
      </c>
      <c r="X9" s="28"/>
      <c r="Y9" s="28"/>
      <c r="Z9" s="28"/>
      <c r="AA9" s="28"/>
      <c r="AB9" s="28"/>
      <c r="AC9" s="28"/>
    </row>
    <row r="10" spans="1:29" ht="13">
      <c r="A10" s="27" t="s">
        <v>35</v>
      </c>
      <c r="B10" s="45"/>
      <c r="C10" s="46">
        <f>'Quarterly Revenue&amp;EBITDA'!C125/'Quarterly Revenue&amp;EBITDA'!C10</f>
        <v>-1.5027385986321196</v>
      </c>
      <c r="D10" s="46">
        <f>'Quarterly Revenue&amp;EBITDA'!D125/'Quarterly Revenue&amp;EBITDA'!D10</f>
        <v>-2.0776741158602734</v>
      </c>
      <c r="E10" s="45"/>
      <c r="F10" s="45"/>
      <c r="G10" s="45"/>
      <c r="H10" s="45"/>
      <c r="I10" s="45"/>
      <c r="J10" s="45"/>
      <c r="K10" s="45"/>
      <c r="L10" s="45"/>
      <c r="M10" s="45"/>
      <c r="N10" s="45"/>
      <c r="O10" s="47"/>
      <c r="P10" s="45"/>
      <c r="Q10" s="45"/>
      <c r="R10" s="46"/>
      <c r="S10" s="45"/>
      <c r="T10" s="45"/>
      <c r="U10" s="46"/>
      <c r="V10" s="46">
        <f>'Quarterly Revenue&amp;EBITDA'!V125/'Quarterly Revenue&amp;EBITDA'!V10</f>
        <v>-1.0019775873434411</v>
      </c>
      <c r="W10" s="46">
        <f>'Quarterly Revenue&amp;EBITDA'!W125/'Quarterly Revenue&amp;EBITDA'!W10</f>
        <v>1.722575843340985E-2</v>
      </c>
      <c r="X10" s="28"/>
      <c r="Y10" s="28"/>
      <c r="Z10" s="28"/>
      <c r="AA10" s="28"/>
      <c r="AB10" s="28"/>
      <c r="AC10" s="28"/>
    </row>
    <row r="11" spans="1:29" ht="13">
      <c r="A11" s="27" t="s">
        <v>36</v>
      </c>
      <c r="B11" s="45"/>
      <c r="C11" s="46">
        <f>'Quarterly Revenue&amp;EBITDA'!C126/'Quarterly Revenue&amp;EBITDA'!C11</f>
        <v>-0.12031467009390352</v>
      </c>
      <c r="D11" s="46">
        <f>'Quarterly Revenue&amp;EBITDA'!D126/'Quarterly Revenue&amp;EBITDA'!D11</f>
        <v>-0.48642083774774542</v>
      </c>
      <c r="E11" s="45"/>
      <c r="F11" s="45"/>
      <c r="G11" s="45"/>
      <c r="H11" s="45"/>
      <c r="I11" s="45"/>
      <c r="J11" s="45"/>
      <c r="K11" s="45"/>
      <c r="L11" s="45"/>
      <c r="M11" s="45"/>
      <c r="N11" s="45"/>
      <c r="O11" s="47"/>
      <c r="P11" s="45"/>
      <c r="Q11" s="45"/>
      <c r="R11" s="46">
        <f>'Quarterly Revenue&amp;EBITDA'!R126/'Quarterly Revenue&amp;EBITDA'!R11</f>
        <v>-34.158974358974362</v>
      </c>
      <c r="S11" s="45"/>
      <c r="T11" s="45"/>
      <c r="U11" s="46"/>
      <c r="V11" s="46">
        <f>'Quarterly Revenue&amp;EBITDA'!V126/'Quarterly Revenue&amp;EBITDA'!V11</f>
        <v>-0.32142022527926217</v>
      </c>
      <c r="W11" s="46">
        <f>'Quarterly Revenue&amp;EBITDA'!W126/'Quarterly Revenue&amp;EBITDA'!W11</f>
        <v>1.722575843340985E-2</v>
      </c>
      <c r="X11" s="28"/>
      <c r="Y11" s="28"/>
      <c r="Z11" s="28"/>
      <c r="AA11" s="28"/>
      <c r="AB11" s="28"/>
      <c r="AC11" s="28"/>
    </row>
    <row r="12" spans="1:29" ht="13">
      <c r="A12" s="27" t="s">
        <v>37</v>
      </c>
      <c r="B12" s="45"/>
      <c r="C12" s="46">
        <f>'Quarterly Revenue&amp;EBITDA'!C127/'Quarterly Revenue&amp;EBITDA'!C12</f>
        <v>-0.12031467009390352</v>
      </c>
      <c r="D12" s="46">
        <f>'Quarterly Revenue&amp;EBITDA'!D127/'Quarterly Revenue&amp;EBITDA'!D12</f>
        <v>-0.48642083774774542</v>
      </c>
      <c r="E12" s="45"/>
      <c r="F12" s="45"/>
      <c r="G12" s="45"/>
      <c r="H12" s="45"/>
      <c r="I12" s="45"/>
      <c r="J12" s="45"/>
      <c r="K12" s="45"/>
      <c r="L12" s="45"/>
      <c r="M12" s="45"/>
      <c r="N12" s="45"/>
      <c r="O12" s="47"/>
      <c r="P12" s="45"/>
      <c r="Q12" s="45"/>
      <c r="R12" s="46">
        <f>'Quarterly Revenue&amp;EBITDA'!R127/'Quarterly Revenue&amp;EBITDA'!R12</f>
        <v>-34.158974358974362</v>
      </c>
      <c r="S12" s="45"/>
      <c r="T12" s="45"/>
      <c r="U12" s="46"/>
      <c r="V12" s="46">
        <f>'Quarterly Revenue&amp;EBITDA'!V127/'Quarterly Revenue&amp;EBITDA'!V12</f>
        <v>-0.32142022527926217</v>
      </c>
      <c r="W12" s="46">
        <f>'Quarterly Revenue&amp;EBITDA'!W127/'Quarterly Revenue&amp;EBITDA'!W12</f>
        <v>1.722575843340985E-2</v>
      </c>
      <c r="X12" s="28"/>
      <c r="Y12" s="28"/>
      <c r="Z12" s="28"/>
      <c r="AA12" s="28"/>
      <c r="AB12" s="28"/>
      <c r="AC12" s="28"/>
    </row>
    <row r="13" spans="1:29" ht="13">
      <c r="A13" s="27" t="s">
        <v>38</v>
      </c>
      <c r="B13" s="45"/>
      <c r="C13" s="46">
        <f>'Quarterly Revenue&amp;EBITDA'!C128/'Quarterly Revenue&amp;EBITDA'!C13</f>
        <v>-0.12031467009390352</v>
      </c>
      <c r="D13" s="46">
        <f>'Quarterly Revenue&amp;EBITDA'!D128/'Quarterly Revenue&amp;EBITDA'!D13</f>
        <v>-0.48642083774774542</v>
      </c>
      <c r="E13" s="45"/>
      <c r="F13" s="45"/>
      <c r="G13" s="45"/>
      <c r="H13" s="45"/>
      <c r="I13" s="45"/>
      <c r="J13" s="45"/>
      <c r="K13" s="45"/>
      <c r="L13" s="45"/>
      <c r="M13" s="45"/>
      <c r="N13" s="45"/>
      <c r="O13" s="47"/>
      <c r="P13" s="45"/>
      <c r="Q13" s="45"/>
      <c r="R13" s="46">
        <f>'Quarterly Revenue&amp;EBITDA'!R128/'Quarterly Revenue&amp;EBITDA'!R13</f>
        <v>-34.158974358974362</v>
      </c>
      <c r="S13" s="45"/>
      <c r="T13" s="45"/>
      <c r="U13" s="46"/>
      <c r="V13" s="46">
        <f>'Quarterly Revenue&amp;EBITDA'!V128/'Quarterly Revenue&amp;EBITDA'!V13</f>
        <v>-0.32142022527926217</v>
      </c>
      <c r="W13" s="46">
        <f>'Quarterly Revenue&amp;EBITDA'!W128/'Quarterly Revenue&amp;EBITDA'!W13</f>
        <v>2.360059107323936E-2</v>
      </c>
      <c r="X13" s="28"/>
      <c r="Y13" s="28"/>
      <c r="Z13" s="28"/>
      <c r="AA13" s="28"/>
      <c r="AB13" s="28"/>
      <c r="AC13" s="28"/>
    </row>
    <row r="14" spans="1:29" ht="13">
      <c r="A14" s="27" t="s">
        <v>39</v>
      </c>
      <c r="B14" s="45"/>
      <c r="C14" s="46">
        <f>'Quarterly Revenue&amp;EBITDA'!C129/'Quarterly Revenue&amp;EBITDA'!C14</f>
        <v>-0.12031467009390352</v>
      </c>
      <c r="D14" s="46">
        <f>'Quarterly Revenue&amp;EBITDA'!D129/'Quarterly Revenue&amp;EBITDA'!D14</f>
        <v>-0.48642083774774542</v>
      </c>
      <c r="E14" s="45"/>
      <c r="F14" s="45"/>
      <c r="G14" s="45"/>
      <c r="H14" s="45"/>
      <c r="I14" s="45"/>
      <c r="J14" s="45"/>
      <c r="K14" s="45"/>
      <c r="L14" s="45"/>
      <c r="M14" s="45"/>
      <c r="N14" s="45"/>
      <c r="O14" s="47"/>
      <c r="P14" s="45"/>
      <c r="Q14" s="45"/>
      <c r="R14" s="46">
        <f>'Quarterly Revenue&amp;EBITDA'!R129/'Quarterly Revenue&amp;EBITDA'!R14</f>
        <v>-34.158974358974362</v>
      </c>
      <c r="S14" s="45"/>
      <c r="T14" s="45"/>
      <c r="U14" s="46"/>
      <c r="V14" s="46">
        <f>'Quarterly Revenue&amp;EBITDA'!V129/'Quarterly Revenue&amp;EBITDA'!V14</f>
        <v>-0.32142022527926217</v>
      </c>
      <c r="W14" s="46">
        <f>'Quarterly Revenue&amp;EBITDA'!W129/'Quarterly Revenue&amp;EBITDA'!W14</f>
        <v>2.360059107323936E-2</v>
      </c>
      <c r="X14" s="28"/>
      <c r="Y14" s="28"/>
      <c r="Z14" s="28"/>
      <c r="AA14" s="28"/>
      <c r="AB14" s="28"/>
      <c r="AC14" s="28"/>
    </row>
    <row r="15" spans="1:29" ht="13">
      <c r="A15" s="27" t="s">
        <v>40</v>
      </c>
      <c r="B15" s="45"/>
      <c r="C15" s="46">
        <f>'Quarterly Revenue&amp;EBITDA'!C130/'Quarterly Revenue&amp;EBITDA'!C15</f>
        <v>-2.5518133456802514E-2</v>
      </c>
      <c r="D15" s="46">
        <f>'Quarterly Revenue&amp;EBITDA'!D130/'Quarterly Revenue&amp;EBITDA'!D15</f>
        <v>-1.1555515634411557</v>
      </c>
      <c r="E15" s="46">
        <f>'Quarterly Revenue&amp;EBITDA'!E130/'Quarterly Revenue&amp;EBITDA'!E15</f>
        <v>-4.7807692307692307</v>
      </c>
      <c r="F15" s="45"/>
      <c r="G15" s="45"/>
      <c r="H15" s="45"/>
      <c r="I15" s="45"/>
      <c r="J15" s="45"/>
      <c r="K15" s="45"/>
      <c r="L15" s="45"/>
      <c r="M15" s="45"/>
      <c r="N15" s="45"/>
      <c r="O15" s="47"/>
      <c r="P15" s="45"/>
      <c r="Q15" s="45"/>
      <c r="R15" s="46">
        <f>'Quarterly Revenue&amp;EBITDA'!R130/'Quarterly Revenue&amp;EBITDA'!R15</f>
        <v>-10.197124135420459</v>
      </c>
      <c r="S15" s="45"/>
      <c r="T15" s="45"/>
      <c r="U15" s="46"/>
      <c r="V15" s="46">
        <f>'Quarterly Revenue&amp;EBITDA'!V130/'Quarterly Revenue&amp;EBITDA'!V15</f>
        <v>-0.56567187418902787</v>
      </c>
      <c r="W15" s="46">
        <f>'Quarterly Revenue&amp;EBITDA'!W130/'Quarterly Revenue&amp;EBITDA'!W15</f>
        <v>2.360059107323936E-2</v>
      </c>
      <c r="X15" s="28"/>
      <c r="Y15" s="28"/>
      <c r="Z15" s="28"/>
      <c r="AA15" s="28"/>
      <c r="AB15" s="28"/>
      <c r="AC15" s="28"/>
    </row>
    <row r="16" spans="1:29" ht="13">
      <c r="A16" s="27" t="s">
        <v>41</v>
      </c>
      <c r="B16" s="45"/>
      <c r="C16" s="46">
        <f>'Quarterly Revenue&amp;EBITDA'!C131/'Quarterly Revenue&amp;EBITDA'!C16</f>
        <v>-2.5518133456802514E-2</v>
      </c>
      <c r="D16" s="46">
        <f>'Quarterly Revenue&amp;EBITDA'!D131/'Quarterly Revenue&amp;EBITDA'!D16</f>
        <v>-1.1555515634411557</v>
      </c>
      <c r="E16" s="46">
        <f>'Quarterly Revenue&amp;EBITDA'!E131/'Quarterly Revenue&amp;EBITDA'!E16</f>
        <v>-4.7807692307692307</v>
      </c>
      <c r="F16" s="45"/>
      <c r="G16" s="45"/>
      <c r="H16" s="45"/>
      <c r="I16" s="45"/>
      <c r="J16" s="45"/>
      <c r="K16" s="45"/>
      <c r="L16" s="45"/>
      <c r="M16" s="45"/>
      <c r="N16" s="45"/>
      <c r="O16" s="47"/>
      <c r="P16" s="45"/>
      <c r="Q16" s="45"/>
      <c r="R16" s="46">
        <f>'Quarterly Revenue&amp;EBITDA'!R131/'Quarterly Revenue&amp;EBITDA'!R16</f>
        <v>-10.197124135420459</v>
      </c>
      <c r="S16" s="45"/>
      <c r="T16" s="45"/>
      <c r="U16" s="46"/>
      <c r="V16" s="46">
        <f>'Quarterly Revenue&amp;EBITDA'!V131/'Quarterly Revenue&amp;EBITDA'!V16</f>
        <v>-0.56567187418902787</v>
      </c>
      <c r="W16" s="46">
        <f>'Quarterly Revenue&amp;EBITDA'!W131/'Quarterly Revenue&amp;EBITDA'!W16</f>
        <v>2.360059107323936E-2</v>
      </c>
      <c r="X16" s="28"/>
      <c r="Y16" s="28"/>
      <c r="Z16" s="28"/>
      <c r="AA16" s="28"/>
      <c r="AB16" s="28"/>
      <c r="AC16" s="28"/>
    </row>
    <row r="17" spans="1:29" ht="13">
      <c r="A17" s="27" t="s">
        <v>42</v>
      </c>
      <c r="B17" s="45"/>
      <c r="C17" s="46">
        <f>'Quarterly Revenue&amp;EBITDA'!C132/'Quarterly Revenue&amp;EBITDA'!C17</f>
        <v>-2.5518133456802514E-2</v>
      </c>
      <c r="D17" s="46">
        <f>'Quarterly Revenue&amp;EBITDA'!D132/'Quarterly Revenue&amp;EBITDA'!D17</f>
        <v>-1.1555515634411557</v>
      </c>
      <c r="E17" s="46">
        <f>'Quarterly Revenue&amp;EBITDA'!E132/'Quarterly Revenue&amp;EBITDA'!E17</f>
        <v>-4.7807692307692307</v>
      </c>
      <c r="F17" s="46"/>
      <c r="G17" s="46"/>
      <c r="H17" s="46"/>
      <c r="I17" s="46"/>
      <c r="J17" s="46"/>
      <c r="K17" s="46"/>
      <c r="L17" s="46"/>
      <c r="M17" s="46"/>
      <c r="N17" s="46"/>
      <c r="O17" s="48"/>
      <c r="P17" s="45"/>
      <c r="Q17" s="45"/>
      <c r="R17" s="46">
        <f>'Quarterly Revenue&amp;EBITDA'!R132/'Quarterly Revenue&amp;EBITDA'!R17</f>
        <v>-10.197124135420459</v>
      </c>
      <c r="S17" s="45"/>
      <c r="T17" s="45"/>
      <c r="U17" s="46"/>
      <c r="V17" s="46">
        <f>'Quarterly Revenue&amp;EBITDA'!V132/'Quarterly Revenue&amp;EBITDA'!V17</f>
        <v>-0.56567187418902787</v>
      </c>
      <c r="W17" s="46">
        <f>'Quarterly Revenue&amp;EBITDA'!W132/'Quarterly Revenue&amp;EBITDA'!W17</f>
        <v>2.7867647155018244E-2</v>
      </c>
      <c r="X17" s="28"/>
      <c r="Y17" s="28"/>
      <c r="Z17" s="28"/>
      <c r="AA17" s="28"/>
      <c r="AB17" s="28"/>
      <c r="AC17" s="28"/>
    </row>
    <row r="18" spans="1:29" ht="13">
      <c r="A18" s="27" t="s">
        <v>43</v>
      </c>
      <c r="B18" s="45"/>
      <c r="C18" s="46">
        <f>'Quarterly Revenue&amp;EBITDA'!C133/'Quarterly Revenue&amp;EBITDA'!C18</f>
        <v>-2.5518133456802514E-2</v>
      </c>
      <c r="D18" s="46">
        <f>'Quarterly Revenue&amp;EBITDA'!D133/'Quarterly Revenue&amp;EBITDA'!D18</f>
        <v>-1.1555515634411557</v>
      </c>
      <c r="E18" s="46">
        <f>'Quarterly Revenue&amp;EBITDA'!E133/'Quarterly Revenue&amp;EBITDA'!E18</f>
        <v>-4.7807692307692307</v>
      </c>
      <c r="F18" s="45"/>
      <c r="G18" s="45"/>
      <c r="H18" s="45"/>
      <c r="I18" s="45"/>
      <c r="J18" s="45"/>
      <c r="K18" s="45"/>
      <c r="L18" s="45"/>
      <c r="M18" s="45"/>
      <c r="N18" s="45"/>
      <c r="O18" s="48"/>
      <c r="P18" s="45"/>
      <c r="Q18" s="45"/>
      <c r="R18" s="46">
        <f>'Quarterly Revenue&amp;EBITDA'!R133/'Quarterly Revenue&amp;EBITDA'!R18</f>
        <v>-10.197124135420459</v>
      </c>
      <c r="S18" s="45"/>
      <c r="T18" s="45"/>
      <c r="U18" s="46"/>
      <c r="V18" s="46">
        <f>'Quarterly Revenue&amp;EBITDA'!V133/'Quarterly Revenue&amp;EBITDA'!V18</f>
        <v>-0.56567187418902787</v>
      </c>
      <c r="W18" s="46">
        <f>'Quarterly Revenue&amp;EBITDA'!W133/'Quarterly Revenue&amp;EBITDA'!W18</f>
        <v>2.7867647155018244E-2</v>
      </c>
      <c r="X18" s="28"/>
      <c r="Y18" s="28"/>
      <c r="Z18" s="28"/>
      <c r="AA18" s="28"/>
      <c r="AB18" s="28"/>
      <c r="AC18" s="28"/>
    </row>
    <row r="19" spans="1:29" ht="13">
      <c r="A19" s="27" t="s">
        <v>44</v>
      </c>
      <c r="B19" s="45"/>
      <c r="C19" s="46">
        <f>'Quarterly Revenue&amp;EBITDA'!C134/'Quarterly Revenue&amp;EBITDA'!C19</f>
        <v>5.7605997168345205E-3</v>
      </c>
      <c r="D19" s="46">
        <f>'Quarterly Revenue&amp;EBITDA'!D134/'Quarterly Revenue&amp;EBITDA'!D19</f>
        <v>-5.839708397083971E-2</v>
      </c>
      <c r="E19" s="46">
        <f>'Quarterly Revenue&amp;EBITDA'!E134/'Quarterly Revenue&amp;EBITDA'!E19</f>
        <v>-0.37203613097478361</v>
      </c>
      <c r="F19" s="45"/>
      <c r="G19" s="45"/>
      <c r="H19" s="45"/>
      <c r="I19" s="45"/>
      <c r="J19" s="45"/>
      <c r="K19" s="45"/>
      <c r="L19" s="45"/>
      <c r="M19" s="45"/>
      <c r="N19" s="45"/>
      <c r="O19" s="48">
        <f>'Quarterly Revenue&amp;EBITDA'!O134/'Quarterly Revenue&amp;EBITDA'!O19</f>
        <v>-6.4532374100719423</v>
      </c>
      <c r="P19" s="45"/>
      <c r="Q19" s="45"/>
      <c r="R19" s="46">
        <f>'Quarterly Revenue&amp;EBITDA'!R134/'Quarterly Revenue&amp;EBITDA'!R19</f>
        <v>-1.823914248752541</v>
      </c>
      <c r="S19" s="45"/>
      <c r="T19" s="45"/>
      <c r="U19" s="46">
        <f>'Quarterly Revenue&amp;EBITDA'!U134/'Quarterly Revenue&amp;EBITDA'!U19</f>
        <v>-2.378568301730295</v>
      </c>
      <c r="V19" s="46">
        <f>'Quarterly Revenue&amp;EBITDA'!V134/'Quarterly Revenue&amp;EBITDA'!V19</f>
        <v>-0.30367829804155483</v>
      </c>
      <c r="W19" s="46">
        <f>'Quarterly Revenue&amp;EBITDA'!W134/'Quarterly Revenue&amp;EBITDA'!W19</f>
        <v>2.7867647155018244E-2</v>
      </c>
      <c r="X19" s="28"/>
      <c r="Y19" s="28"/>
      <c r="Z19" s="28"/>
      <c r="AA19" s="28"/>
      <c r="AB19" s="28"/>
      <c r="AC19" s="28"/>
    </row>
    <row r="20" spans="1:29" ht="13">
      <c r="A20" s="27" t="s">
        <v>45</v>
      </c>
      <c r="B20" s="45"/>
      <c r="C20" s="46">
        <f>'Quarterly Revenue&amp;EBITDA'!C135/'Quarterly Revenue&amp;EBITDA'!C20</f>
        <v>5.7605997168345205E-3</v>
      </c>
      <c r="D20" s="46">
        <f>'Quarterly Revenue&amp;EBITDA'!D135/'Quarterly Revenue&amp;EBITDA'!D20</f>
        <v>-5.839708397083971E-2</v>
      </c>
      <c r="E20" s="46">
        <f>'Quarterly Revenue&amp;EBITDA'!E135/'Quarterly Revenue&amp;EBITDA'!E20</f>
        <v>-0.37203613097478361</v>
      </c>
      <c r="F20" s="45"/>
      <c r="G20" s="45"/>
      <c r="H20" s="45"/>
      <c r="I20" s="45"/>
      <c r="J20" s="45"/>
      <c r="K20" s="45"/>
      <c r="L20" s="45"/>
      <c r="M20" s="45"/>
      <c r="N20" s="45"/>
      <c r="O20" s="48">
        <f>'Quarterly Revenue&amp;EBITDA'!O135/'Quarterly Revenue&amp;EBITDA'!O20</f>
        <v>-6.4532374100719423</v>
      </c>
      <c r="P20" s="45"/>
      <c r="Q20" s="45"/>
      <c r="R20" s="46">
        <f>'Quarterly Revenue&amp;EBITDA'!R135/'Quarterly Revenue&amp;EBITDA'!R20</f>
        <v>-1.823914248752541</v>
      </c>
      <c r="S20" s="45"/>
      <c r="T20" s="45"/>
      <c r="U20" s="46">
        <f>'Quarterly Revenue&amp;EBITDA'!U135/'Quarterly Revenue&amp;EBITDA'!U20</f>
        <v>-2.378568301730295</v>
      </c>
      <c r="V20" s="46">
        <f>'Quarterly Revenue&amp;EBITDA'!V135/'Quarterly Revenue&amp;EBITDA'!V20</f>
        <v>-0.30367829804155483</v>
      </c>
      <c r="W20" s="46">
        <f>'Quarterly Revenue&amp;EBITDA'!W135/'Quarterly Revenue&amp;EBITDA'!W20</f>
        <v>2.7867647155018244E-2</v>
      </c>
      <c r="X20" s="28"/>
      <c r="Y20" s="28"/>
      <c r="Z20" s="28"/>
      <c r="AA20" s="28"/>
      <c r="AB20" s="28"/>
      <c r="AC20" s="28"/>
    </row>
    <row r="21" spans="1:29" ht="13">
      <c r="A21" s="27" t="s">
        <v>46</v>
      </c>
      <c r="B21" s="45"/>
      <c r="C21" s="46">
        <f>'Quarterly Revenue&amp;EBITDA'!C136/'Quarterly Revenue&amp;EBITDA'!C21</f>
        <v>5.7605997168345205E-3</v>
      </c>
      <c r="D21" s="46">
        <f>'Quarterly Revenue&amp;EBITDA'!D136/'Quarterly Revenue&amp;EBITDA'!D21</f>
        <v>-5.839708397083971E-2</v>
      </c>
      <c r="E21" s="46">
        <f>'Quarterly Revenue&amp;EBITDA'!E136/'Quarterly Revenue&amp;EBITDA'!E21</f>
        <v>-0.37203613097478361</v>
      </c>
      <c r="F21" s="45"/>
      <c r="G21" s="45"/>
      <c r="H21" s="45"/>
      <c r="I21" s="45"/>
      <c r="J21" s="45"/>
      <c r="K21" s="45"/>
      <c r="L21" s="45"/>
      <c r="M21" s="45"/>
      <c r="N21" s="45"/>
      <c r="O21" s="48">
        <f>'Quarterly Revenue&amp;EBITDA'!O136/'Quarterly Revenue&amp;EBITDA'!O21</f>
        <v>-0.77892756349952963</v>
      </c>
      <c r="P21" s="45"/>
      <c r="Q21" s="45"/>
      <c r="R21" s="46">
        <f>'Quarterly Revenue&amp;EBITDA'!R136/'Quarterly Revenue&amp;EBITDA'!R21</f>
        <v>-1.823914248752541</v>
      </c>
      <c r="S21" s="45"/>
      <c r="T21" s="45"/>
      <c r="U21" s="46">
        <f>'Quarterly Revenue&amp;EBITDA'!U136/'Quarterly Revenue&amp;EBITDA'!U21</f>
        <v>-2.378568301730295</v>
      </c>
      <c r="V21" s="46">
        <f>'Quarterly Revenue&amp;EBITDA'!V136/'Quarterly Revenue&amp;EBITDA'!V21</f>
        <v>-0.30367829804155483</v>
      </c>
      <c r="W21" s="46">
        <f>'Quarterly Revenue&amp;EBITDA'!W136/'Quarterly Revenue&amp;EBITDA'!W21</f>
        <v>2.0878210520522959E-2</v>
      </c>
      <c r="X21" s="28"/>
      <c r="Y21" s="28"/>
      <c r="Z21" s="28"/>
      <c r="AA21" s="28"/>
      <c r="AB21" s="28"/>
      <c r="AC21" s="28"/>
    </row>
    <row r="22" spans="1:29" ht="13">
      <c r="A22" s="27" t="s">
        <v>47</v>
      </c>
      <c r="B22" s="45"/>
      <c r="C22" s="46">
        <f>'Quarterly Revenue&amp;EBITDA'!C137/'Quarterly Revenue&amp;EBITDA'!C22</f>
        <v>5.7605997168345205E-3</v>
      </c>
      <c r="D22" s="46">
        <f>'Quarterly Revenue&amp;EBITDA'!D137/'Quarterly Revenue&amp;EBITDA'!D22</f>
        <v>-5.839708397083971E-2</v>
      </c>
      <c r="E22" s="46">
        <f>'Quarterly Revenue&amp;EBITDA'!E137/'Quarterly Revenue&amp;EBITDA'!E22</f>
        <v>-0.37203613097478361</v>
      </c>
      <c r="F22" s="45"/>
      <c r="G22" s="45"/>
      <c r="H22" s="45"/>
      <c r="I22" s="45"/>
      <c r="J22" s="45"/>
      <c r="K22" s="45"/>
      <c r="L22" s="45"/>
      <c r="M22" s="45"/>
      <c r="N22" s="45"/>
      <c r="O22" s="48">
        <f>'Quarterly Revenue&amp;EBITDA'!O137/'Quarterly Revenue&amp;EBITDA'!O22</f>
        <v>-0.77892756349952963</v>
      </c>
      <c r="P22" s="45"/>
      <c r="Q22" s="45"/>
      <c r="R22" s="46">
        <f>'Quarterly Revenue&amp;EBITDA'!R137/'Quarterly Revenue&amp;EBITDA'!R22</f>
        <v>-1.823914248752541</v>
      </c>
      <c r="S22" s="45"/>
      <c r="T22" s="45"/>
      <c r="U22" s="46">
        <f>'Quarterly Revenue&amp;EBITDA'!U137/'Quarterly Revenue&amp;EBITDA'!U22</f>
        <v>-2.378568301730295</v>
      </c>
      <c r="V22" s="46">
        <f>'Quarterly Revenue&amp;EBITDA'!V137/'Quarterly Revenue&amp;EBITDA'!V22</f>
        <v>-0.30367829804155483</v>
      </c>
      <c r="W22" s="46">
        <f>'Quarterly Revenue&amp;EBITDA'!W137/'Quarterly Revenue&amp;EBITDA'!W22</f>
        <v>2.0878210520522959E-2</v>
      </c>
      <c r="X22" s="28"/>
      <c r="Y22" s="28"/>
      <c r="Z22" s="28"/>
      <c r="AA22" s="28"/>
      <c r="AB22" s="28"/>
      <c r="AC22" s="28"/>
    </row>
    <row r="23" spans="1:29" ht="13">
      <c r="A23" s="27" t="s">
        <v>48</v>
      </c>
      <c r="B23" s="45"/>
      <c r="C23" s="46">
        <f>'Quarterly Revenue&amp;EBITDA'!C138/'Quarterly Revenue&amp;EBITDA'!C23</f>
        <v>2.257260319288645E-2</v>
      </c>
      <c r="D23" s="46">
        <f>'Quarterly Revenue&amp;EBITDA'!D138/'Quarterly Revenue&amp;EBITDA'!D23</f>
        <v>0.1717058852959325</v>
      </c>
      <c r="E23" s="46">
        <f>'Quarterly Revenue&amp;EBITDA'!E138/'Quarterly Revenue&amp;EBITDA'!E23</f>
        <v>0.27182637182637182</v>
      </c>
      <c r="F23" s="45"/>
      <c r="G23" s="45"/>
      <c r="H23" s="45"/>
      <c r="I23" s="45"/>
      <c r="J23" s="45"/>
      <c r="K23" s="45"/>
      <c r="L23" s="45"/>
      <c r="M23" s="45"/>
      <c r="N23" s="45"/>
      <c r="O23" s="48">
        <f>'Quarterly Revenue&amp;EBITDA'!O138/'Quarterly Revenue&amp;EBITDA'!O23</f>
        <v>-0.77892756349952963</v>
      </c>
      <c r="P23" s="45"/>
      <c r="Q23" s="45"/>
      <c r="R23" s="46">
        <f>'Quarterly Revenue&amp;EBITDA'!R138/'Quarterly Revenue&amp;EBITDA'!R23</f>
        <v>-0.20997864067035435</v>
      </c>
      <c r="S23" s="45"/>
      <c r="T23" s="45"/>
      <c r="U23" s="46">
        <f>'Quarterly Revenue&amp;EBITDA'!U138/'Quarterly Revenue&amp;EBITDA'!U23</f>
        <v>-0.10184604865819612</v>
      </c>
      <c r="V23" s="46"/>
      <c r="W23" s="46">
        <f>'Quarterly Revenue&amp;EBITDA'!W138/'Quarterly Revenue&amp;EBITDA'!W23</f>
        <v>2.0878210520522959E-2</v>
      </c>
      <c r="X23" s="28"/>
      <c r="Y23" s="28"/>
      <c r="Z23" s="28"/>
      <c r="AA23" s="28"/>
      <c r="AB23" s="28"/>
      <c r="AC23" s="28"/>
    </row>
    <row r="24" spans="1:29" ht="13">
      <c r="A24" s="27" t="s">
        <v>49</v>
      </c>
      <c r="B24" s="45"/>
      <c r="C24" s="46">
        <f>'Quarterly Revenue&amp;EBITDA'!C139/'Quarterly Revenue&amp;EBITDA'!C24</f>
        <v>2.257260319288645E-2</v>
      </c>
      <c r="D24" s="46">
        <f>'Quarterly Revenue&amp;EBITDA'!D139/'Quarterly Revenue&amp;EBITDA'!D24</f>
        <v>0.1717058852959325</v>
      </c>
      <c r="E24" s="46">
        <f>'Quarterly Revenue&amp;EBITDA'!E139/'Quarterly Revenue&amp;EBITDA'!E24</f>
        <v>0.27182637182637182</v>
      </c>
      <c r="F24" s="45"/>
      <c r="G24" s="45"/>
      <c r="H24" s="45"/>
      <c r="I24" s="45"/>
      <c r="J24" s="45"/>
      <c r="K24" s="45"/>
      <c r="L24" s="45"/>
      <c r="M24" s="45"/>
      <c r="N24" s="45"/>
      <c r="O24" s="48">
        <f>'Quarterly Revenue&amp;EBITDA'!O139/'Quarterly Revenue&amp;EBITDA'!O24</f>
        <v>-0.77892756349952963</v>
      </c>
      <c r="P24" s="45"/>
      <c r="Q24" s="45"/>
      <c r="R24" s="46">
        <f>'Quarterly Revenue&amp;EBITDA'!R139/'Quarterly Revenue&amp;EBITDA'!R24</f>
        <v>-0.20997864067035435</v>
      </c>
      <c r="S24" s="45"/>
      <c r="T24" s="45"/>
      <c r="U24" s="46">
        <f>'Quarterly Revenue&amp;EBITDA'!U139/'Quarterly Revenue&amp;EBITDA'!U24</f>
        <v>-0.10184604865819612</v>
      </c>
      <c r="V24" s="46"/>
      <c r="W24" s="46">
        <f>'Quarterly Revenue&amp;EBITDA'!W139/'Quarterly Revenue&amp;EBITDA'!W24</f>
        <v>2.0878210520522959E-2</v>
      </c>
      <c r="X24" s="28"/>
      <c r="Y24" s="28"/>
      <c r="Z24" s="28"/>
      <c r="AA24" s="28"/>
      <c r="AB24" s="28"/>
      <c r="AC24" s="28"/>
    </row>
    <row r="25" spans="1:29" ht="13">
      <c r="A25" s="27" t="s">
        <v>50</v>
      </c>
      <c r="B25" s="45"/>
      <c r="C25" s="46">
        <f>'Quarterly Revenue&amp;EBITDA'!C140/'Quarterly Revenue&amp;EBITDA'!C25</f>
        <v>2.257260319288645E-2</v>
      </c>
      <c r="D25" s="46">
        <f>'Quarterly Revenue&amp;EBITDA'!D140/'Quarterly Revenue&amp;EBITDA'!D25</f>
        <v>0.1717058852959325</v>
      </c>
      <c r="E25" s="46">
        <f>'Quarterly Revenue&amp;EBITDA'!E140/'Quarterly Revenue&amp;EBITDA'!E25</f>
        <v>0.27182637182637182</v>
      </c>
      <c r="F25" s="45"/>
      <c r="G25" s="45"/>
      <c r="H25" s="45"/>
      <c r="I25" s="45"/>
      <c r="J25" s="45"/>
      <c r="K25" s="45"/>
      <c r="L25" s="45"/>
      <c r="M25" s="45"/>
      <c r="N25" s="45"/>
      <c r="O25" s="48">
        <f>'Quarterly Revenue&amp;EBITDA'!O140/'Quarterly Revenue&amp;EBITDA'!O25</f>
        <v>-0.4621212121212121</v>
      </c>
      <c r="P25" s="45"/>
      <c r="Q25" s="45"/>
      <c r="R25" s="46">
        <f>'Quarterly Revenue&amp;EBITDA'!R140/'Quarterly Revenue&amp;EBITDA'!R25</f>
        <v>-0.20997864067035435</v>
      </c>
      <c r="S25" s="45"/>
      <c r="T25" s="45"/>
      <c r="U25" s="46">
        <f>'Quarterly Revenue&amp;EBITDA'!U140/'Quarterly Revenue&amp;EBITDA'!U25</f>
        <v>-0.10184604865819612</v>
      </c>
      <c r="V25" s="46"/>
      <c r="W25" s="46">
        <f>'Quarterly Revenue&amp;EBITDA'!W140/'Quarterly Revenue&amp;EBITDA'!W25</f>
        <v>0.15488030830801156</v>
      </c>
      <c r="X25" s="28"/>
      <c r="Y25" s="28"/>
      <c r="Z25" s="28"/>
      <c r="AA25" s="28"/>
      <c r="AB25" s="28"/>
      <c r="AC25" s="28"/>
    </row>
    <row r="26" spans="1:29" ht="13">
      <c r="A26" s="27" t="s">
        <v>51</v>
      </c>
      <c r="B26" s="45"/>
      <c r="C26" s="46">
        <f>'Quarterly Revenue&amp;EBITDA'!C141/'Quarterly Revenue&amp;EBITDA'!C26</f>
        <v>2.257260319288645E-2</v>
      </c>
      <c r="D26" s="46">
        <f>'Quarterly Revenue&amp;EBITDA'!D141/'Quarterly Revenue&amp;EBITDA'!D26</f>
        <v>0.1717058852959325</v>
      </c>
      <c r="E26" s="46">
        <f>'Quarterly Revenue&amp;EBITDA'!E141/'Quarterly Revenue&amp;EBITDA'!E26</f>
        <v>0.27182637182637182</v>
      </c>
      <c r="F26" s="45"/>
      <c r="G26" s="45"/>
      <c r="H26" s="45"/>
      <c r="I26" s="45"/>
      <c r="J26" s="45"/>
      <c r="K26" s="45"/>
      <c r="L26" s="45"/>
      <c r="M26" s="45"/>
      <c r="N26" s="45"/>
      <c r="O26" s="48">
        <f>'Quarterly Revenue&amp;EBITDA'!O141/'Quarterly Revenue&amp;EBITDA'!O26</f>
        <v>-0.4621212121212121</v>
      </c>
      <c r="P26" s="45"/>
      <c r="Q26" s="45"/>
      <c r="R26" s="46">
        <f>'Quarterly Revenue&amp;EBITDA'!R141/'Quarterly Revenue&amp;EBITDA'!R26</f>
        <v>-0.20997864067035435</v>
      </c>
      <c r="S26" s="45"/>
      <c r="T26" s="45"/>
      <c r="U26" s="46">
        <f>'Quarterly Revenue&amp;EBITDA'!U141/'Quarterly Revenue&amp;EBITDA'!U26</f>
        <v>-0.10184604865819612</v>
      </c>
      <c r="V26" s="46"/>
      <c r="W26" s="46">
        <f>'Quarterly Revenue&amp;EBITDA'!W141/'Quarterly Revenue&amp;EBITDA'!W26</f>
        <v>0.15488030830801156</v>
      </c>
      <c r="X26" s="28"/>
      <c r="Y26" s="28"/>
      <c r="Z26" s="28"/>
      <c r="AA26" s="28"/>
      <c r="AB26" s="28"/>
      <c r="AC26" s="28"/>
    </row>
    <row r="27" spans="1:29" ht="13">
      <c r="A27" s="27" t="s">
        <v>52</v>
      </c>
      <c r="B27" s="45"/>
      <c r="C27" s="46">
        <f>'Quarterly Revenue&amp;EBITDA'!C142/'Quarterly Revenue&amp;EBITDA'!C27</f>
        <v>3.010787797527039E-2</v>
      </c>
      <c r="D27" s="46">
        <f>'Quarterly Revenue&amp;EBITDA'!D142/'Quarterly Revenue&amp;EBITDA'!D27</f>
        <v>0.15643429624504179</v>
      </c>
      <c r="E27" s="46">
        <f>'Quarterly Revenue&amp;EBITDA'!E142/'Quarterly Revenue&amp;EBITDA'!E27</f>
        <v>0.35978639424193176</v>
      </c>
      <c r="F27" s="45"/>
      <c r="G27" s="45"/>
      <c r="H27" s="45"/>
      <c r="I27" s="45"/>
      <c r="J27" s="45"/>
      <c r="K27" s="45"/>
      <c r="L27" s="45"/>
      <c r="M27" s="45"/>
      <c r="N27" s="45"/>
      <c r="O27" s="48">
        <f>'Quarterly Revenue&amp;EBITDA'!O142/'Quarterly Revenue&amp;EBITDA'!O27</f>
        <v>-0.4621212121212121</v>
      </c>
      <c r="P27" s="45"/>
      <c r="Q27" s="45"/>
      <c r="R27" s="46">
        <f>'Quarterly Revenue&amp;EBITDA'!R142/'Quarterly Revenue&amp;EBITDA'!R27</f>
        <v>-0.25322625202257387</v>
      </c>
      <c r="S27" s="45"/>
      <c r="T27" s="45"/>
      <c r="U27" s="46">
        <f>'Quarterly Revenue&amp;EBITDA'!U142/'Quarterly Revenue&amp;EBITDA'!U27</f>
        <v>-6.6279358253390666E-2</v>
      </c>
      <c r="V27" s="46"/>
      <c r="W27" s="46">
        <f>'Quarterly Revenue&amp;EBITDA'!W142/'Quarterly Revenue&amp;EBITDA'!W27</f>
        <v>0.15488030830801156</v>
      </c>
      <c r="X27" s="28"/>
      <c r="Y27" s="28"/>
      <c r="Z27" s="28"/>
      <c r="AA27" s="28"/>
      <c r="AB27" s="28"/>
      <c r="AC27" s="28"/>
    </row>
    <row r="28" spans="1:29" ht="13">
      <c r="A28" s="27" t="s">
        <v>53</v>
      </c>
      <c r="B28" s="45"/>
      <c r="C28" s="46">
        <f>'Quarterly Revenue&amp;EBITDA'!C143/'Quarterly Revenue&amp;EBITDA'!C28</f>
        <v>3.010787797527039E-2</v>
      </c>
      <c r="D28" s="46">
        <f>'Quarterly Revenue&amp;EBITDA'!D143/'Quarterly Revenue&amp;EBITDA'!D28</f>
        <v>0.15643429624504179</v>
      </c>
      <c r="E28" s="46">
        <f>'Quarterly Revenue&amp;EBITDA'!E143/'Quarterly Revenue&amp;EBITDA'!E28</f>
        <v>0.35978639424193176</v>
      </c>
      <c r="F28" s="45"/>
      <c r="G28" s="45"/>
      <c r="H28" s="45"/>
      <c r="I28" s="45"/>
      <c r="J28" s="45"/>
      <c r="K28" s="45"/>
      <c r="L28" s="45"/>
      <c r="M28" s="45"/>
      <c r="N28" s="45"/>
      <c r="O28" s="48">
        <f>'Quarterly Revenue&amp;EBITDA'!O143/'Quarterly Revenue&amp;EBITDA'!O28</f>
        <v>-0.4621212121212121</v>
      </c>
      <c r="P28" s="45"/>
      <c r="Q28" s="45"/>
      <c r="R28" s="46">
        <f>'Quarterly Revenue&amp;EBITDA'!R143/'Quarterly Revenue&amp;EBITDA'!R28</f>
        <v>-0.25322625202257387</v>
      </c>
      <c r="S28" s="45"/>
      <c r="T28" s="45"/>
      <c r="U28" s="46">
        <f>'Quarterly Revenue&amp;EBITDA'!U143/'Quarterly Revenue&amp;EBITDA'!U28</f>
        <v>-6.6279358253390666E-2</v>
      </c>
      <c r="V28" s="46"/>
      <c r="W28" s="46">
        <f>'Quarterly Revenue&amp;EBITDA'!W143/'Quarterly Revenue&amp;EBITDA'!W28</f>
        <v>0.15488030830801156</v>
      </c>
      <c r="X28" s="28"/>
      <c r="Y28" s="28"/>
      <c r="Z28" s="28"/>
      <c r="AA28" s="28"/>
      <c r="AB28" s="28"/>
      <c r="AC28" s="28"/>
    </row>
    <row r="29" spans="1:29" ht="13">
      <c r="A29" s="27" t="s">
        <v>54</v>
      </c>
      <c r="B29" s="45"/>
      <c r="C29" s="46">
        <f>'Quarterly Revenue&amp;EBITDA'!C144/'Quarterly Revenue&amp;EBITDA'!C29</f>
        <v>3.010787797527039E-2</v>
      </c>
      <c r="D29" s="46">
        <f>'Quarterly Revenue&amp;EBITDA'!D144/'Quarterly Revenue&amp;EBITDA'!D29</f>
        <v>0.15643429624504179</v>
      </c>
      <c r="E29" s="46">
        <f>'Quarterly Revenue&amp;EBITDA'!E144/'Quarterly Revenue&amp;EBITDA'!E29</f>
        <v>0.35978639424193176</v>
      </c>
      <c r="F29" s="45"/>
      <c r="G29" s="45"/>
      <c r="H29" s="45"/>
      <c r="I29" s="45"/>
      <c r="J29" s="45"/>
      <c r="K29" s="45"/>
      <c r="L29" s="45"/>
      <c r="M29" s="45"/>
      <c r="N29" s="45"/>
      <c r="O29" s="48">
        <f>'Quarterly Revenue&amp;EBITDA'!O144/'Quarterly Revenue&amp;EBITDA'!O29</f>
        <v>-0.69424823410696268</v>
      </c>
      <c r="P29" s="45"/>
      <c r="Q29" s="45"/>
      <c r="R29" s="46">
        <f>'Quarterly Revenue&amp;EBITDA'!R144/'Quarterly Revenue&amp;EBITDA'!R29</f>
        <v>-0.25322625202257387</v>
      </c>
      <c r="S29" s="45"/>
      <c r="T29" s="45"/>
      <c r="U29" s="46">
        <f>'Quarterly Revenue&amp;EBITDA'!U144/'Quarterly Revenue&amp;EBITDA'!U29</f>
        <v>-6.6279358253390666E-2</v>
      </c>
      <c r="V29" s="46"/>
      <c r="W29" s="46">
        <f>'Quarterly Revenue&amp;EBITDA'!W144/'Quarterly Revenue&amp;EBITDA'!W29</f>
        <v>0.15627827344436349</v>
      </c>
      <c r="X29" s="28"/>
      <c r="Y29" s="28"/>
      <c r="Z29" s="28"/>
      <c r="AA29" s="28"/>
      <c r="AB29" s="28"/>
      <c r="AC29" s="28"/>
    </row>
    <row r="30" spans="1:29" ht="13">
      <c r="A30" s="27" t="s">
        <v>55</v>
      </c>
      <c r="B30" s="45"/>
      <c r="C30" s="46">
        <f>'Quarterly Revenue&amp;EBITDA'!C145/'Quarterly Revenue&amp;EBITDA'!C30</f>
        <v>3.010787797527039E-2</v>
      </c>
      <c r="D30" s="46">
        <f>'Quarterly Revenue&amp;EBITDA'!D145/'Quarterly Revenue&amp;EBITDA'!D30</f>
        <v>0.15643429624504179</v>
      </c>
      <c r="E30" s="46">
        <f>'Quarterly Revenue&amp;EBITDA'!E145/'Quarterly Revenue&amp;EBITDA'!E30</f>
        <v>0.35978639424193176</v>
      </c>
      <c r="F30" s="45"/>
      <c r="G30" s="45"/>
      <c r="H30" s="45"/>
      <c r="I30" s="45"/>
      <c r="J30" s="45"/>
      <c r="K30" s="45"/>
      <c r="L30" s="45"/>
      <c r="M30" s="45"/>
      <c r="N30" s="45"/>
      <c r="O30" s="48">
        <f>'Quarterly Revenue&amp;EBITDA'!O145/'Quarterly Revenue&amp;EBITDA'!O30</f>
        <v>-0.69424823410696268</v>
      </c>
      <c r="P30" s="45"/>
      <c r="Q30" s="45"/>
      <c r="R30" s="46">
        <f>'Quarterly Revenue&amp;EBITDA'!R145/'Quarterly Revenue&amp;EBITDA'!R30</f>
        <v>-0.25322625202257387</v>
      </c>
      <c r="S30" s="45"/>
      <c r="T30" s="45"/>
      <c r="U30" s="46">
        <f>'Quarterly Revenue&amp;EBITDA'!U145/'Quarterly Revenue&amp;EBITDA'!U30</f>
        <v>-6.6279358253390666E-2</v>
      </c>
      <c r="V30" s="46"/>
      <c r="W30" s="46">
        <f>'Quarterly Revenue&amp;EBITDA'!W145/'Quarterly Revenue&amp;EBITDA'!W30</f>
        <v>0.15627827344436349</v>
      </c>
      <c r="X30" s="28"/>
      <c r="Y30" s="28"/>
      <c r="Z30" s="28"/>
      <c r="AA30" s="28"/>
      <c r="AB30" s="28"/>
      <c r="AC30" s="28"/>
    </row>
    <row r="31" spans="1:29" ht="13">
      <c r="A31" s="27" t="s">
        <v>56</v>
      </c>
      <c r="B31" s="45"/>
      <c r="C31" s="46">
        <f>'Quarterly Revenue&amp;EBITDA'!C146/'Quarterly Revenue&amp;EBITDA'!C31</f>
        <v>4.8994282414597121E-2</v>
      </c>
      <c r="D31" s="46">
        <f>'Quarterly Revenue&amp;EBITDA'!D146/'Quarterly Revenue&amp;EBITDA'!D31</f>
        <v>0.222261047534662</v>
      </c>
      <c r="E31" s="46">
        <f>'Quarterly Revenue&amp;EBITDA'!E146/'Quarterly Revenue&amp;EBITDA'!E31</f>
        <v>0.4157267633890343</v>
      </c>
      <c r="F31" s="45"/>
      <c r="G31" s="45"/>
      <c r="H31" s="45"/>
      <c r="I31" s="45"/>
      <c r="J31" s="45"/>
      <c r="K31" s="45"/>
      <c r="L31" s="45"/>
      <c r="M31" s="45"/>
      <c r="N31" s="45"/>
      <c r="O31" s="48">
        <f>'Quarterly Revenue&amp;EBITDA'!O146/'Quarterly Revenue&amp;EBITDA'!O31</f>
        <v>-0.69424823410696268</v>
      </c>
      <c r="P31" s="45"/>
      <c r="Q31" s="45"/>
      <c r="R31" s="46"/>
      <c r="S31" s="45"/>
      <c r="T31" s="45"/>
      <c r="U31" s="46">
        <f>'Quarterly Revenue&amp;EBITDA'!U146/'Quarterly Revenue&amp;EBITDA'!U31</f>
        <v>-0.24590163934426229</v>
      </c>
      <c r="V31" s="46"/>
      <c r="W31" s="46">
        <f>'Quarterly Revenue&amp;EBITDA'!W146/'Quarterly Revenue&amp;EBITDA'!W31</f>
        <v>0.15627827344436349</v>
      </c>
      <c r="X31" s="28"/>
      <c r="Y31" s="28"/>
      <c r="Z31" s="28"/>
      <c r="AA31" s="28"/>
      <c r="AB31" s="28"/>
      <c r="AC31" s="28"/>
    </row>
    <row r="32" spans="1:29" ht="13">
      <c r="A32" s="27" t="s">
        <v>57</v>
      </c>
      <c r="B32" s="45"/>
      <c r="C32" s="46">
        <f>'Quarterly Revenue&amp;EBITDA'!C147/'Quarterly Revenue&amp;EBITDA'!C32</f>
        <v>4.8994282414597121E-2</v>
      </c>
      <c r="D32" s="46">
        <f>'Quarterly Revenue&amp;EBITDA'!D147/'Quarterly Revenue&amp;EBITDA'!D32</f>
        <v>0.222261047534662</v>
      </c>
      <c r="E32" s="46">
        <f>'Quarterly Revenue&amp;EBITDA'!E147/'Quarterly Revenue&amp;EBITDA'!E32</f>
        <v>0.4157267633890343</v>
      </c>
      <c r="F32" s="45"/>
      <c r="G32" s="45"/>
      <c r="H32" s="45"/>
      <c r="I32" s="45"/>
      <c r="J32" s="45"/>
      <c r="K32" s="45"/>
      <c r="L32" s="45"/>
      <c r="M32" s="45"/>
      <c r="N32" s="45"/>
      <c r="O32" s="48">
        <f>'Quarterly Revenue&amp;EBITDA'!O147/'Quarterly Revenue&amp;EBITDA'!O32</f>
        <v>-0.69424823410696268</v>
      </c>
      <c r="P32" s="45"/>
      <c r="Q32" s="45"/>
      <c r="R32" s="46"/>
      <c r="S32" s="45"/>
      <c r="T32" s="45"/>
      <c r="U32" s="46">
        <f>'Quarterly Revenue&amp;EBITDA'!U147/'Quarterly Revenue&amp;EBITDA'!U32</f>
        <v>-0.24590163934426229</v>
      </c>
      <c r="V32" s="46"/>
      <c r="W32" s="46">
        <f>'Quarterly Revenue&amp;EBITDA'!W147/'Quarterly Revenue&amp;EBITDA'!W32</f>
        <v>0.15627827344436349</v>
      </c>
      <c r="X32" s="28"/>
      <c r="Y32" s="28"/>
      <c r="Z32" s="28"/>
      <c r="AA32" s="28"/>
      <c r="AB32" s="28"/>
      <c r="AC32" s="28"/>
    </row>
    <row r="33" spans="1:29" ht="13">
      <c r="A33" s="27" t="s">
        <v>58</v>
      </c>
      <c r="B33" s="45"/>
      <c r="C33" s="46">
        <f>'Quarterly Revenue&amp;EBITDA'!C148/'Quarterly Revenue&amp;EBITDA'!C33</f>
        <v>4.8994282414597121E-2</v>
      </c>
      <c r="D33" s="46">
        <f>'Quarterly Revenue&amp;EBITDA'!D148/'Quarterly Revenue&amp;EBITDA'!D33</f>
        <v>0.222261047534662</v>
      </c>
      <c r="E33" s="46">
        <f>'Quarterly Revenue&amp;EBITDA'!E148/'Quarterly Revenue&amp;EBITDA'!E33</f>
        <v>0.4157267633890343</v>
      </c>
      <c r="F33" s="45"/>
      <c r="G33" s="45"/>
      <c r="H33" s="45"/>
      <c r="I33" s="45"/>
      <c r="J33" s="45"/>
      <c r="K33" s="45"/>
      <c r="L33" s="45"/>
      <c r="M33" s="45"/>
      <c r="N33" s="45"/>
      <c r="O33" s="48">
        <f>'Quarterly Revenue&amp;EBITDA'!O148/'Quarterly Revenue&amp;EBITDA'!O33</f>
        <v>0.32531328320802005</v>
      </c>
      <c r="P33" s="45"/>
      <c r="Q33" s="45"/>
      <c r="R33" s="46"/>
      <c r="S33" s="45"/>
      <c r="T33" s="45"/>
      <c r="U33" s="46">
        <f>'Quarterly Revenue&amp;EBITDA'!U148/'Quarterly Revenue&amp;EBITDA'!U33</f>
        <v>-0.24590163934426229</v>
      </c>
      <c r="V33" s="46"/>
      <c r="W33" s="46">
        <f>'Quarterly Revenue&amp;EBITDA'!W148/'Quarterly Revenue&amp;EBITDA'!W33</f>
        <v>0.16183102148307149</v>
      </c>
      <c r="X33" s="28"/>
      <c r="Y33" s="28"/>
      <c r="Z33" s="28"/>
      <c r="AA33" s="28"/>
      <c r="AB33" s="28"/>
      <c r="AC33" s="28"/>
    </row>
    <row r="34" spans="1:29" ht="13">
      <c r="A34" s="27" t="s">
        <v>59</v>
      </c>
      <c r="B34" s="45"/>
      <c r="C34" s="46">
        <f>'Quarterly Revenue&amp;EBITDA'!C149/'Quarterly Revenue&amp;EBITDA'!C34</f>
        <v>4.8994282414597121E-2</v>
      </c>
      <c r="D34" s="46">
        <f>'Quarterly Revenue&amp;EBITDA'!D149/'Quarterly Revenue&amp;EBITDA'!D34</f>
        <v>0.222261047534662</v>
      </c>
      <c r="E34" s="46">
        <f>'Quarterly Revenue&amp;EBITDA'!E149/'Quarterly Revenue&amp;EBITDA'!E34</f>
        <v>0.4157267633890343</v>
      </c>
      <c r="F34" s="45"/>
      <c r="G34" s="45"/>
      <c r="H34" s="45"/>
      <c r="I34" s="45"/>
      <c r="J34" s="45"/>
      <c r="K34" s="45"/>
      <c r="L34" s="45"/>
      <c r="M34" s="45"/>
      <c r="N34" s="45"/>
      <c r="O34" s="48">
        <f>'Quarterly Revenue&amp;EBITDA'!O149/'Quarterly Revenue&amp;EBITDA'!O34</f>
        <v>0.32531328320802005</v>
      </c>
      <c r="P34" s="45"/>
      <c r="Q34" s="45"/>
      <c r="R34" s="46"/>
      <c r="S34" s="45"/>
      <c r="T34" s="45"/>
      <c r="U34" s="46"/>
      <c r="V34" s="46"/>
      <c r="W34" s="46">
        <f>'Quarterly Revenue&amp;EBITDA'!W149/'Quarterly Revenue&amp;EBITDA'!W34</f>
        <v>0.16183102148307149</v>
      </c>
      <c r="X34" s="28"/>
      <c r="Y34" s="28"/>
      <c r="Z34" s="28"/>
      <c r="AA34" s="28"/>
      <c r="AB34" s="28"/>
      <c r="AC34" s="28"/>
    </row>
    <row r="35" spans="1:29" ht="13">
      <c r="A35" s="27" t="s">
        <v>60</v>
      </c>
      <c r="B35" s="45"/>
      <c r="C35" s="46">
        <f>'Quarterly Revenue&amp;EBITDA'!C150/'Quarterly Revenue&amp;EBITDA'!C35</f>
        <v>6.7363347391602435E-2</v>
      </c>
      <c r="D35" s="46">
        <f>'Quarterly Revenue&amp;EBITDA'!D150/'Quarterly Revenue&amp;EBITDA'!D35</f>
        <v>0.2706186260147066</v>
      </c>
      <c r="E35" s="46">
        <f>'Quarterly Revenue&amp;EBITDA'!E150/'Quarterly Revenue&amp;EBITDA'!E35</f>
        <v>0.46175179450673309</v>
      </c>
      <c r="F35" s="45"/>
      <c r="G35" s="45"/>
      <c r="H35" s="45"/>
      <c r="I35" s="45"/>
      <c r="J35" s="45"/>
      <c r="K35" s="45"/>
      <c r="L35" s="45"/>
      <c r="M35" s="45"/>
      <c r="N35" s="45"/>
      <c r="O35" s="48">
        <f>'Quarterly Revenue&amp;EBITDA'!O150/'Quarterly Revenue&amp;EBITDA'!O35</f>
        <v>0.32531328320802005</v>
      </c>
      <c r="P35" s="45"/>
      <c r="Q35" s="45"/>
      <c r="R35" s="46"/>
      <c r="S35" s="45"/>
      <c r="T35" s="45"/>
      <c r="U35" s="46"/>
      <c r="V35" s="46"/>
      <c r="W35" s="46">
        <f>'Quarterly Revenue&amp;EBITDA'!W150/'Quarterly Revenue&amp;EBITDA'!W35</f>
        <v>0.16183102148307149</v>
      </c>
      <c r="X35" s="28"/>
      <c r="Y35" s="28"/>
      <c r="Z35" s="28"/>
      <c r="AA35" s="28"/>
      <c r="AB35" s="28"/>
      <c r="AC35" s="28"/>
    </row>
    <row r="36" spans="1:29" ht="13">
      <c r="A36" s="27" t="s">
        <v>61</v>
      </c>
      <c r="B36" s="45"/>
      <c r="C36" s="46">
        <f>'Quarterly Revenue&amp;EBITDA'!C151/'Quarterly Revenue&amp;EBITDA'!C36</f>
        <v>6.7363347391602435E-2</v>
      </c>
      <c r="D36" s="46">
        <f>'Quarterly Revenue&amp;EBITDA'!D151/'Quarterly Revenue&amp;EBITDA'!D36</f>
        <v>0.2706186260147066</v>
      </c>
      <c r="E36" s="46">
        <f>'Quarterly Revenue&amp;EBITDA'!E151/'Quarterly Revenue&amp;EBITDA'!E36</f>
        <v>0.46175179450673309</v>
      </c>
      <c r="F36" s="45"/>
      <c r="G36" s="45"/>
      <c r="H36" s="45"/>
      <c r="I36" s="45"/>
      <c r="J36" s="45"/>
      <c r="K36" s="45"/>
      <c r="L36" s="45"/>
      <c r="M36" s="45"/>
      <c r="N36" s="45"/>
      <c r="O36" s="48">
        <f>'Quarterly Revenue&amp;EBITDA'!O151/'Quarterly Revenue&amp;EBITDA'!O36</f>
        <v>0.32531328320802005</v>
      </c>
      <c r="P36" s="45"/>
      <c r="Q36" s="45"/>
      <c r="R36" s="46"/>
      <c r="S36" s="45"/>
      <c r="T36" s="45"/>
      <c r="U36" s="46"/>
      <c r="V36" s="46"/>
      <c r="W36" s="46">
        <f>'Quarterly Revenue&amp;EBITDA'!W151/'Quarterly Revenue&amp;EBITDA'!W36</f>
        <v>0.16183102148307149</v>
      </c>
      <c r="X36" s="28"/>
      <c r="Y36" s="28"/>
      <c r="Z36" s="28"/>
      <c r="AA36" s="28"/>
      <c r="AB36" s="28"/>
      <c r="AC36" s="28"/>
    </row>
    <row r="37" spans="1:29" ht="13">
      <c r="A37" s="27" t="s">
        <v>62</v>
      </c>
      <c r="B37" s="45"/>
      <c r="C37" s="46">
        <f>'Quarterly Revenue&amp;EBITDA'!C152/'Quarterly Revenue&amp;EBITDA'!C37</f>
        <v>6.7363347391602435E-2</v>
      </c>
      <c r="D37" s="46">
        <f>'Quarterly Revenue&amp;EBITDA'!D152/'Quarterly Revenue&amp;EBITDA'!D37</f>
        <v>0.2706186260147066</v>
      </c>
      <c r="E37" s="46">
        <f>'Quarterly Revenue&amp;EBITDA'!E152/'Quarterly Revenue&amp;EBITDA'!E37</f>
        <v>0.46175179450673309</v>
      </c>
      <c r="F37" s="45"/>
      <c r="G37" s="45"/>
      <c r="H37" s="45"/>
      <c r="I37" s="45"/>
      <c r="J37" s="45"/>
      <c r="K37" s="45"/>
      <c r="L37" s="45"/>
      <c r="M37" s="45"/>
      <c r="N37" s="45"/>
      <c r="O37" s="48">
        <f>'Quarterly Revenue&amp;EBITDA'!O152/'Quarterly Revenue&amp;EBITDA'!O37</f>
        <v>0.33399416909620994</v>
      </c>
      <c r="P37" s="45"/>
      <c r="Q37" s="45"/>
      <c r="R37" s="46"/>
      <c r="S37" s="45"/>
      <c r="T37" s="45"/>
      <c r="U37" s="46"/>
      <c r="V37" s="46"/>
      <c r="W37" s="46">
        <f>'Quarterly Revenue&amp;EBITDA'!W152/'Quarterly Revenue&amp;EBITDA'!W37</f>
        <v>0.15137384248078276</v>
      </c>
      <c r="X37" s="28"/>
      <c r="Y37" s="28"/>
      <c r="Z37" s="28"/>
      <c r="AA37" s="28"/>
      <c r="AB37" s="28"/>
      <c r="AC37" s="28"/>
    </row>
    <row r="38" spans="1:29" ht="13">
      <c r="A38" s="27" t="s">
        <v>63</v>
      </c>
      <c r="B38" s="45"/>
      <c r="C38" s="46">
        <f>'Quarterly Revenue&amp;EBITDA'!C153/'Quarterly Revenue&amp;EBITDA'!C38</f>
        <v>6.7363347391602435E-2</v>
      </c>
      <c r="D38" s="46">
        <f>'Quarterly Revenue&amp;EBITDA'!D153/'Quarterly Revenue&amp;EBITDA'!D38</f>
        <v>0.2706186260147066</v>
      </c>
      <c r="E38" s="46">
        <f>'Quarterly Revenue&amp;EBITDA'!E153/'Quarterly Revenue&amp;EBITDA'!E38</f>
        <v>0.46175179450673309</v>
      </c>
      <c r="F38" s="45"/>
      <c r="G38" s="45"/>
      <c r="H38" s="45"/>
      <c r="I38" s="45"/>
      <c r="J38" s="45"/>
      <c r="K38" s="45"/>
      <c r="L38" s="45"/>
      <c r="M38" s="45"/>
      <c r="N38" s="45"/>
      <c r="O38" s="48">
        <f>'Quarterly Revenue&amp;EBITDA'!O153/'Quarterly Revenue&amp;EBITDA'!O38</f>
        <v>0.33399416909620994</v>
      </c>
      <c r="P38" s="45"/>
      <c r="Q38" s="45"/>
      <c r="R38" s="46"/>
      <c r="S38" s="45"/>
      <c r="T38" s="45"/>
      <c r="U38" s="46"/>
      <c r="V38" s="46"/>
      <c r="W38" s="46">
        <f>'Quarterly Revenue&amp;EBITDA'!W153/'Quarterly Revenue&amp;EBITDA'!W38</f>
        <v>0.15137384248078276</v>
      </c>
      <c r="X38" s="28"/>
      <c r="Y38" s="28"/>
      <c r="Z38" s="28"/>
      <c r="AA38" s="28"/>
      <c r="AB38" s="28"/>
      <c r="AC38" s="28"/>
    </row>
    <row r="39" spans="1:29" ht="13">
      <c r="A39" s="27" t="s">
        <v>64</v>
      </c>
      <c r="B39" s="45"/>
      <c r="C39" s="46">
        <f>'Quarterly Revenue&amp;EBITDA'!C154/'Quarterly Revenue&amp;EBITDA'!C39</f>
        <v>8.6386555819012154E-2</v>
      </c>
      <c r="D39" s="46">
        <f>'Quarterly Revenue&amp;EBITDA'!D154/'Quarterly Revenue&amp;EBITDA'!D39</f>
        <v>0.24931957922511136</v>
      </c>
      <c r="E39" s="46">
        <f>'Quarterly Revenue&amp;EBITDA'!E154/'Quarterly Revenue&amp;EBITDA'!E39</f>
        <v>0.35472536149632333</v>
      </c>
      <c r="F39" s="45"/>
      <c r="G39" s="45"/>
      <c r="H39" s="45"/>
      <c r="I39" s="45"/>
      <c r="J39" s="45"/>
      <c r="K39" s="45"/>
      <c r="L39" s="45"/>
      <c r="M39" s="45"/>
      <c r="N39" s="45"/>
      <c r="O39" s="48">
        <f>'Quarterly Revenue&amp;EBITDA'!O154/'Quarterly Revenue&amp;EBITDA'!O39</f>
        <v>0.33399416909620994</v>
      </c>
      <c r="P39" s="45"/>
      <c r="Q39" s="45"/>
      <c r="R39" s="46"/>
      <c r="S39" s="45"/>
      <c r="U39" s="46"/>
      <c r="V39" s="46"/>
      <c r="W39" s="46">
        <f>'Quarterly Revenue&amp;EBITDA'!W154/'Quarterly Revenue&amp;EBITDA'!W39</f>
        <v>0.15137384248078276</v>
      </c>
      <c r="X39" s="28"/>
      <c r="Y39" s="28"/>
      <c r="Z39" s="28"/>
      <c r="AA39" s="28"/>
      <c r="AB39" s="28"/>
      <c r="AC39" s="28"/>
    </row>
    <row r="40" spans="1:29" ht="13">
      <c r="A40" s="27" t="s">
        <v>65</v>
      </c>
      <c r="B40" s="45"/>
      <c r="C40" s="46">
        <f>'Quarterly Revenue&amp;EBITDA'!C155/'Quarterly Revenue&amp;EBITDA'!C40</f>
        <v>8.6386555819012154E-2</v>
      </c>
      <c r="D40" s="46">
        <f>'Quarterly Revenue&amp;EBITDA'!D155/'Quarterly Revenue&amp;EBITDA'!D40</f>
        <v>0.24931957922511136</v>
      </c>
      <c r="E40" s="46">
        <f>'Quarterly Revenue&amp;EBITDA'!E155/'Quarterly Revenue&amp;EBITDA'!E40</f>
        <v>0.35472536149632333</v>
      </c>
      <c r="F40" s="45"/>
      <c r="G40" s="45"/>
      <c r="H40" s="45"/>
      <c r="I40" s="45"/>
      <c r="J40" s="45"/>
      <c r="K40" s="45"/>
      <c r="L40" s="45"/>
      <c r="M40" s="45"/>
      <c r="N40" s="45"/>
      <c r="O40" s="48">
        <f>'Quarterly Revenue&amp;EBITDA'!O155/'Quarterly Revenue&amp;EBITDA'!O40</f>
        <v>0.33399416909620994</v>
      </c>
      <c r="P40" s="45"/>
      <c r="Q40" s="45"/>
      <c r="R40" s="46"/>
      <c r="S40" s="45"/>
      <c r="T40" s="45"/>
      <c r="U40" s="46"/>
      <c r="V40" s="46"/>
      <c r="W40" s="46">
        <f>'Quarterly Revenue&amp;EBITDA'!W155/'Quarterly Revenue&amp;EBITDA'!W40</f>
        <v>0.15137384248078276</v>
      </c>
      <c r="X40" s="28"/>
      <c r="Y40" s="28"/>
      <c r="Z40" s="28"/>
      <c r="AA40" s="28"/>
      <c r="AB40" s="28"/>
      <c r="AC40" s="28"/>
    </row>
    <row r="41" spans="1:29" ht="13">
      <c r="A41" s="27" t="s">
        <v>66</v>
      </c>
      <c r="B41" s="45"/>
      <c r="C41" s="46">
        <f>'Quarterly Revenue&amp;EBITDA'!C156/'Quarterly Revenue&amp;EBITDA'!C41</f>
        <v>8.6386555819012154E-2</v>
      </c>
      <c r="D41" s="46">
        <f>'Quarterly Revenue&amp;EBITDA'!D156/'Quarterly Revenue&amp;EBITDA'!D41</f>
        <v>0.24931957922511136</v>
      </c>
      <c r="E41" s="46">
        <f>'Quarterly Revenue&amp;EBITDA'!E156/'Quarterly Revenue&amp;EBITDA'!E41</f>
        <v>0.35472536149632333</v>
      </c>
      <c r="F41" s="45"/>
      <c r="G41" s="45"/>
      <c r="H41" s="45"/>
      <c r="I41" s="45"/>
      <c r="J41" s="45"/>
      <c r="K41" s="45"/>
      <c r="L41" s="45"/>
      <c r="M41" s="45"/>
      <c r="N41" s="45"/>
      <c r="O41" s="48">
        <f>'Quarterly Revenue&amp;EBITDA'!O156/'Quarterly Revenue&amp;EBITDA'!O41</f>
        <v>0.26797190255567177</v>
      </c>
      <c r="P41" s="45"/>
      <c r="Q41" s="45"/>
      <c r="R41" s="45"/>
      <c r="S41" s="45"/>
      <c r="T41" s="45"/>
      <c r="U41" s="46"/>
      <c r="V41" s="46"/>
      <c r="W41" s="46">
        <f>'Quarterly Revenue&amp;EBITDA'!W156/'Quarterly Revenue&amp;EBITDA'!W41</f>
        <v>0.1141228663299285</v>
      </c>
      <c r="X41" s="28"/>
      <c r="Y41" s="28"/>
      <c r="Z41" s="28"/>
      <c r="AA41" s="28"/>
      <c r="AB41" s="28"/>
      <c r="AC41" s="28"/>
    </row>
    <row r="42" spans="1:29" ht="13">
      <c r="A42" s="27" t="s">
        <v>67</v>
      </c>
      <c r="B42" s="45"/>
      <c r="C42" s="46">
        <f>'Quarterly Revenue&amp;EBITDA'!C157/'Quarterly Revenue&amp;EBITDA'!C42</f>
        <v>8.6386555819012154E-2</v>
      </c>
      <c r="D42" s="46">
        <f>'Quarterly Revenue&amp;EBITDA'!D157/'Quarterly Revenue&amp;EBITDA'!D42</f>
        <v>0.24931957922511136</v>
      </c>
      <c r="E42" s="46">
        <f>'Quarterly Revenue&amp;EBITDA'!E157/'Quarterly Revenue&amp;EBITDA'!E42</f>
        <v>0.35472536149632333</v>
      </c>
      <c r="F42" s="45"/>
      <c r="G42" s="45"/>
      <c r="H42" s="45"/>
      <c r="I42" s="45"/>
      <c r="J42" s="45"/>
      <c r="K42" s="45"/>
      <c r="L42" s="45"/>
      <c r="M42" s="45"/>
      <c r="N42" s="45"/>
      <c r="O42" s="48">
        <f>'Quarterly Revenue&amp;EBITDA'!O157/'Quarterly Revenue&amp;EBITDA'!O42</f>
        <v>0.26797190255567177</v>
      </c>
      <c r="P42" s="45"/>
      <c r="Q42" s="45"/>
      <c r="R42" s="45"/>
      <c r="S42" s="45"/>
      <c r="T42" s="45"/>
      <c r="U42" s="46"/>
      <c r="V42" s="46"/>
      <c r="W42" s="46">
        <f>'Quarterly Revenue&amp;EBITDA'!W157/'Quarterly Revenue&amp;EBITDA'!W42</f>
        <v>0.1141228663299285</v>
      </c>
      <c r="X42" s="28"/>
      <c r="Y42" s="28"/>
      <c r="Z42" s="28"/>
      <c r="AA42" s="28"/>
      <c r="AB42" s="28"/>
      <c r="AC42" s="28"/>
    </row>
    <row r="43" spans="1:29" ht="13">
      <c r="A43" s="27" t="s">
        <v>68</v>
      </c>
      <c r="B43" s="45"/>
      <c r="C43" s="46">
        <f>'Quarterly Revenue&amp;EBITDA'!C158/'Quarterly Revenue&amp;EBITDA'!C43</f>
        <v>0.16374593890063141</v>
      </c>
      <c r="D43" s="46">
        <f>'Quarterly Revenue&amp;EBITDA'!D158/'Quarterly Revenue&amp;EBITDA'!D43</f>
        <v>0.24993659326492909</v>
      </c>
      <c r="E43" s="46">
        <f>'Quarterly Revenue&amp;EBITDA'!E158/'Quarterly Revenue&amp;EBITDA'!E43</f>
        <v>0.37742838376008192</v>
      </c>
      <c r="F43" s="45"/>
      <c r="G43" s="45"/>
      <c r="H43" s="45"/>
      <c r="I43" s="45"/>
      <c r="J43" s="45"/>
      <c r="K43" s="45"/>
      <c r="L43" s="45"/>
      <c r="M43" s="45"/>
      <c r="N43" s="45"/>
      <c r="O43" s="48">
        <f>'Quarterly Revenue&amp;EBITDA'!O158/'Quarterly Revenue&amp;EBITDA'!O43</f>
        <v>0.26797190255567177</v>
      </c>
      <c r="P43" s="45"/>
      <c r="Q43" s="45"/>
      <c r="R43" s="45"/>
      <c r="S43" s="45"/>
      <c r="T43" s="45"/>
      <c r="U43" s="46"/>
      <c r="V43" s="46"/>
      <c r="W43" s="46">
        <f>'Quarterly Revenue&amp;EBITDA'!W158/'Quarterly Revenue&amp;EBITDA'!W43</f>
        <v>0.1141228663299285</v>
      </c>
      <c r="X43" s="28"/>
      <c r="Y43" s="28"/>
      <c r="Z43" s="28"/>
      <c r="AA43" s="28"/>
      <c r="AB43" s="28"/>
      <c r="AC43" s="28"/>
    </row>
    <row r="44" spans="1:29" ht="13">
      <c r="A44" s="27" t="s">
        <v>69</v>
      </c>
      <c r="B44" s="45"/>
      <c r="C44" s="46">
        <f>'Quarterly Revenue&amp;EBITDA'!C159/'Quarterly Revenue&amp;EBITDA'!C44</f>
        <v>0.16374593890063141</v>
      </c>
      <c r="D44" s="46">
        <f>'Quarterly Revenue&amp;EBITDA'!D159/'Quarterly Revenue&amp;EBITDA'!D44</f>
        <v>0.24993659326492909</v>
      </c>
      <c r="E44" s="46">
        <f>'Quarterly Revenue&amp;EBITDA'!E159/'Quarterly Revenue&amp;EBITDA'!E44</f>
        <v>0.37742838376008192</v>
      </c>
      <c r="F44" s="45"/>
      <c r="G44" s="45"/>
      <c r="H44" s="45"/>
      <c r="I44" s="45"/>
      <c r="J44" s="45"/>
      <c r="K44" s="45"/>
      <c r="L44" s="45"/>
      <c r="M44" s="45"/>
      <c r="N44" s="45"/>
      <c r="O44" s="48">
        <f>'Quarterly Revenue&amp;EBITDA'!O159/'Quarterly Revenue&amp;EBITDA'!O44</f>
        <v>0.26797190255567177</v>
      </c>
      <c r="P44" s="45"/>
      <c r="Q44" s="45"/>
      <c r="R44" s="45"/>
      <c r="S44" s="45"/>
      <c r="T44" s="45"/>
      <c r="U44" s="46">
        <f>'Quarterly Revenue&amp;EBITDA'!U159/'Quarterly Revenue&amp;EBITDA'!U44</f>
        <v>-4.7729918509895226E-2</v>
      </c>
      <c r="V44" s="46"/>
      <c r="W44" s="46">
        <f>'Quarterly Revenue&amp;EBITDA'!W159/'Quarterly Revenue&amp;EBITDA'!W44</f>
        <v>0.1141228663299285</v>
      </c>
      <c r="X44" s="28"/>
      <c r="Y44" s="28"/>
      <c r="Z44" s="28"/>
      <c r="AA44" s="28"/>
      <c r="AB44" s="28"/>
      <c r="AC44" s="28"/>
    </row>
    <row r="45" spans="1:29" ht="13">
      <c r="A45" s="27" t="s">
        <v>70</v>
      </c>
      <c r="B45" s="45"/>
      <c r="C45" s="46">
        <f>'Quarterly Revenue&amp;EBITDA'!C160/'Quarterly Revenue&amp;EBITDA'!C45</f>
        <v>0.16374593890063141</v>
      </c>
      <c r="D45" s="46">
        <f>'Quarterly Revenue&amp;EBITDA'!D160/'Quarterly Revenue&amp;EBITDA'!D45</f>
        <v>0.24993659326492909</v>
      </c>
      <c r="E45" s="46">
        <f>'Quarterly Revenue&amp;EBITDA'!E160/'Quarterly Revenue&amp;EBITDA'!E45</f>
        <v>0.37742838376008192</v>
      </c>
      <c r="F45" s="45"/>
      <c r="G45" s="45"/>
      <c r="H45" s="45"/>
      <c r="I45" s="45"/>
      <c r="J45" s="45"/>
      <c r="K45" s="45"/>
      <c r="L45" s="45"/>
      <c r="M45" s="45"/>
      <c r="N45" s="45"/>
      <c r="O45" s="48">
        <f>'Quarterly Revenue&amp;EBITDA'!O160/'Quarterly Revenue&amp;EBITDA'!O45</f>
        <v>0.35188129305776367</v>
      </c>
      <c r="P45" s="45"/>
      <c r="Q45" s="45"/>
      <c r="R45" s="45"/>
      <c r="S45" s="45"/>
      <c r="T45" s="45"/>
      <c r="U45" s="46">
        <f>'Quarterly Revenue&amp;EBITDA'!U160/'Quarterly Revenue&amp;EBITDA'!U45</f>
        <v>-4.7729918509895226E-2</v>
      </c>
      <c r="V45" s="46"/>
      <c r="W45" s="46">
        <f>'Quarterly Revenue&amp;EBITDA'!W160/'Quarterly Revenue&amp;EBITDA'!W45</f>
        <v>0.11610855964343049</v>
      </c>
      <c r="X45" s="28"/>
      <c r="Y45" s="28"/>
      <c r="Z45" s="28"/>
      <c r="AA45" s="28"/>
      <c r="AB45" s="28"/>
      <c r="AC45" s="28"/>
    </row>
    <row r="46" spans="1:29" ht="13">
      <c r="A46" s="27" t="s">
        <v>71</v>
      </c>
      <c r="B46" s="45"/>
      <c r="C46" s="46">
        <f>'Quarterly Revenue&amp;EBITDA'!C161/'Quarterly Revenue&amp;EBITDA'!C46</f>
        <v>0.16374593890063141</v>
      </c>
      <c r="D46" s="46">
        <f>'Quarterly Revenue&amp;EBITDA'!D161/'Quarterly Revenue&amp;EBITDA'!D46</f>
        <v>0.24993659326492909</v>
      </c>
      <c r="E46" s="46">
        <f>'Quarterly Revenue&amp;EBITDA'!E161/'Quarterly Revenue&amp;EBITDA'!E46</f>
        <v>0.37742838376008192</v>
      </c>
      <c r="F46" s="45"/>
      <c r="G46" s="45"/>
      <c r="H46" s="45"/>
      <c r="I46" s="45"/>
      <c r="J46" s="45"/>
      <c r="K46" s="45"/>
      <c r="L46" s="45"/>
      <c r="M46" s="45"/>
      <c r="N46" s="45"/>
      <c r="O46" s="48">
        <f>'Quarterly Revenue&amp;EBITDA'!O161/'Quarterly Revenue&amp;EBITDA'!O46</f>
        <v>0.35188129305776367</v>
      </c>
      <c r="P46" s="45"/>
      <c r="Q46" s="45"/>
      <c r="R46" s="45"/>
      <c r="S46" s="45"/>
      <c r="T46" s="45"/>
      <c r="U46" s="46">
        <f>'Quarterly Revenue&amp;EBITDA'!U161/'Quarterly Revenue&amp;EBITDA'!U46</f>
        <v>-4.7729918509895226E-2</v>
      </c>
      <c r="V46" s="46"/>
      <c r="W46" s="46">
        <f>'Quarterly Revenue&amp;EBITDA'!W161/'Quarterly Revenue&amp;EBITDA'!W46</f>
        <v>0.11610855964343049</v>
      </c>
      <c r="X46" s="28"/>
      <c r="Y46" s="28"/>
      <c r="Z46" s="28"/>
      <c r="AA46" s="28"/>
      <c r="AB46" s="28"/>
      <c r="AC46" s="28"/>
    </row>
    <row r="47" spans="1:29" ht="13">
      <c r="A47" s="27" t="s">
        <v>72</v>
      </c>
      <c r="B47" s="45"/>
      <c r="C47" s="46">
        <f>'Quarterly Revenue&amp;EBITDA'!C162/'Quarterly Revenue&amp;EBITDA'!C47</f>
        <v>0.17643301220390853</v>
      </c>
      <c r="D47" s="46">
        <f>'Quarterly Revenue&amp;EBITDA'!D162/'Quarterly Revenue&amp;EBITDA'!D47</f>
        <v>0.24286000776979877</v>
      </c>
      <c r="E47" s="46">
        <f>'Quarterly Revenue&amp;EBITDA'!E162/'Quarterly Revenue&amp;EBITDA'!E47</f>
        <v>0.36068446001832105</v>
      </c>
      <c r="F47" s="45"/>
      <c r="G47" s="45"/>
      <c r="H47" s="45"/>
      <c r="I47" s="45"/>
      <c r="J47" s="45"/>
      <c r="K47" s="45"/>
      <c r="L47" s="45"/>
      <c r="M47" s="45"/>
      <c r="N47" s="45"/>
      <c r="O47" s="48">
        <f>'Quarterly Revenue&amp;EBITDA'!O162/'Quarterly Revenue&amp;EBITDA'!O47</f>
        <v>0.35188129305776367</v>
      </c>
      <c r="P47" s="45"/>
      <c r="Q47" s="45"/>
      <c r="R47" s="45"/>
      <c r="S47" s="45"/>
      <c r="T47" s="45"/>
      <c r="U47" s="46">
        <f>'Quarterly Revenue&amp;EBITDA'!U162/'Quarterly Revenue&amp;EBITDA'!U47</f>
        <v>-0.34597701149425286</v>
      </c>
      <c r="V47" s="46"/>
      <c r="W47" s="46">
        <f>'Quarterly Revenue&amp;EBITDA'!W162/'Quarterly Revenue&amp;EBITDA'!W47</f>
        <v>0.11610855964343049</v>
      </c>
      <c r="X47" s="28"/>
      <c r="Y47" s="28"/>
      <c r="Z47" s="28"/>
      <c r="AA47" s="28"/>
      <c r="AB47" s="28"/>
      <c r="AC47" s="28"/>
    </row>
    <row r="48" spans="1:29" ht="13">
      <c r="A48" s="27" t="s">
        <v>73</v>
      </c>
      <c r="B48" s="45"/>
      <c r="C48" s="46">
        <f>'Quarterly Revenue&amp;EBITDA'!C163/'Quarterly Revenue&amp;EBITDA'!C48</f>
        <v>0.17643301220390853</v>
      </c>
      <c r="D48" s="46">
        <f>'Quarterly Revenue&amp;EBITDA'!D163/'Quarterly Revenue&amp;EBITDA'!D48</f>
        <v>0.24286000776979877</v>
      </c>
      <c r="E48" s="46">
        <f>'Quarterly Revenue&amp;EBITDA'!E163/'Quarterly Revenue&amp;EBITDA'!E48</f>
        <v>0.36068446001832105</v>
      </c>
      <c r="F48" s="46"/>
      <c r="G48" s="46"/>
      <c r="H48" s="46"/>
      <c r="I48" s="46"/>
      <c r="J48" s="46">
        <f>'Quarterly Revenue&amp;EBITDA'!J163/'Quarterly Revenue&amp;EBITDA'!J48</f>
        <v>-0.12867604154510445</v>
      </c>
      <c r="K48" s="45"/>
      <c r="L48" s="45"/>
      <c r="M48" s="45"/>
      <c r="N48" s="45"/>
      <c r="O48" s="48">
        <f>'Quarterly Revenue&amp;EBITDA'!O163/'Quarterly Revenue&amp;EBITDA'!O48</f>
        <v>0.35188129305776367</v>
      </c>
      <c r="P48" s="45"/>
      <c r="Q48" s="45"/>
      <c r="R48" s="45"/>
      <c r="S48" s="45"/>
      <c r="T48" s="45"/>
      <c r="U48" s="46">
        <f>'Quarterly Revenue&amp;EBITDA'!U163/'Quarterly Revenue&amp;EBITDA'!U48</f>
        <v>-0.34597701149425286</v>
      </c>
      <c r="V48" s="46"/>
      <c r="W48" s="46">
        <f>'Quarterly Revenue&amp;EBITDA'!W163/'Quarterly Revenue&amp;EBITDA'!W48</f>
        <v>0.11610855964343049</v>
      </c>
      <c r="X48" s="28"/>
      <c r="Y48" s="28"/>
      <c r="Z48" s="28"/>
      <c r="AA48" s="28"/>
      <c r="AB48" s="28"/>
      <c r="AC48" s="28"/>
    </row>
    <row r="49" spans="1:29" ht="13">
      <c r="A49" s="27" t="s">
        <v>74</v>
      </c>
      <c r="B49" s="45"/>
      <c r="C49" s="46">
        <f>'Quarterly Revenue&amp;EBITDA'!C164/'Quarterly Revenue&amp;EBITDA'!C49</f>
        <v>0.17643301220390853</v>
      </c>
      <c r="D49" s="46">
        <f>'Quarterly Revenue&amp;EBITDA'!D164/'Quarterly Revenue&amp;EBITDA'!D49</f>
        <v>0.24286000776979877</v>
      </c>
      <c r="E49" s="46">
        <f>'Quarterly Revenue&amp;EBITDA'!E164/'Quarterly Revenue&amp;EBITDA'!E49</f>
        <v>0.36068446001832105</v>
      </c>
      <c r="F49" s="45"/>
      <c r="G49" s="45"/>
      <c r="H49" s="45"/>
      <c r="I49" s="45"/>
      <c r="J49" s="46">
        <f>'Quarterly Revenue&amp;EBITDA'!J164/'Quarterly Revenue&amp;EBITDA'!J49</f>
        <v>-0.12867604154510445</v>
      </c>
      <c r="K49" s="45"/>
      <c r="L49" s="45"/>
      <c r="M49" s="45"/>
      <c r="N49" s="45"/>
      <c r="O49" s="48">
        <f>'Quarterly Revenue&amp;EBITDA'!O164/'Quarterly Revenue&amp;EBITDA'!O49</f>
        <v>0.34134887159194677</v>
      </c>
      <c r="P49" s="45"/>
      <c r="Q49" s="45"/>
      <c r="R49" s="45"/>
      <c r="S49" s="45"/>
      <c r="T49" s="45"/>
      <c r="U49" s="46">
        <f>'Quarterly Revenue&amp;EBITDA'!U164/'Quarterly Revenue&amp;EBITDA'!U49</f>
        <v>-0.34597701149425286</v>
      </c>
      <c r="V49" s="46"/>
      <c r="W49" s="46">
        <f>'Quarterly Revenue&amp;EBITDA'!W164/'Quarterly Revenue&amp;EBITDA'!W49</f>
        <v>0.1644471612375811</v>
      </c>
      <c r="X49" s="28"/>
      <c r="Y49" s="28"/>
      <c r="Z49" s="28"/>
      <c r="AA49" s="28"/>
      <c r="AB49" s="28"/>
      <c r="AC49" s="28"/>
    </row>
    <row r="50" spans="1:29" ht="13">
      <c r="A50" s="27" t="s">
        <v>75</v>
      </c>
      <c r="B50" s="45"/>
      <c r="C50" s="46">
        <f>'Quarterly Revenue&amp;EBITDA'!C165/'Quarterly Revenue&amp;EBITDA'!C50</f>
        <v>0.17643301220390853</v>
      </c>
      <c r="D50" s="46">
        <f>'Quarterly Revenue&amp;EBITDA'!D165/'Quarterly Revenue&amp;EBITDA'!D50</f>
        <v>0.24286000776979877</v>
      </c>
      <c r="E50" s="46">
        <f>'Quarterly Revenue&amp;EBITDA'!E165/'Quarterly Revenue&amp;EBITDA'!E50</f>
        <v>0.36068446001832105</v>
      </c>
      <c r="F50" s="45"/>
      <c r="G50" s="45"/>
      <c r="H50" s="45"/>
      <c r="I50" s="45"/>
      <c r="J50" s="46">
        <f>'Quarterly Revenue&amp;EBITDA'!J165/'Quarterly Revenue&amp;EBITDA'!J50</f>
        <v>-0.12867604154510445</v>
      </c>
      <c r="K50" s="45"/>
      <c r="L50" s="45"/>
      <c r="M50" s="45"/>
      <c r="N50" s="45"/>
      <c r="O50" s="48">
        <f>'Quarterly Revenue&amp;EBITDA'!O165/'Quarterly Revenue&amp;EBITDA'!O50</f>
        <v>0.34134887159194677</v>
      </c>
      <c r="P50" s="45"/>
      <c r="Q50" s="45"/>
      <c r="R50" s="45"/>
      <c r="S50" s="45"/>
      <c r="T50" s="45"/>
      <c r="U50" s="46">
        <f>'Quarterly Revenue&amp;EBITDA'!U165/'Quarterly Revenue&amp;EBITDA'!U50</f>
        <v>-0.34597701149425286</v>
      </c>
      <c r="V50" s="46"/>
      <c r="W50" s="46">
        <f>'Quarterly Revenue&amp;EBITDA'!W165/'Quarterly Revenue&amp;EBITDA'!W50</f>
        <v>0.1644471612375811</v>
      </c>
      <c r="X50" s="28"/>
      <c r="Y50" s="28"/>
      <c r="Z50" s="28"/>
      <c r="AA50" s="28"/>
      <c r="AB50" s="28"/>
      <c r="AC50" s="28"/>
    </row>
    <row r="51" spans="1:29" ht="13">
      <c r="A51" s="27" t="s">
        <v>76</v>
      </c>
      <c r="B51" s="45"/>
      <c r="C51" s="46">
        <f>'Quarterly Revenue&amp;EBITDA'!C166/'Quarterly Revenue&amp;EBITDA'!C51</f>
        <v>0.21812735543227046</v>
      </c>
      <c r="D51" s="46">
        <f>'Quarterly Revenue&amp;EBITDA'!D166/'Quarterly Revenue&amp;EBITDA'!D51</f>
        <v>0.22501841927109631</v>
      </c>
      <c r="E51" s="46">
        <f>'Quarterly Revenue&amp;EBITDA'!E166/'Quarterly Revenue&amp;EBITDA'!E51</f>
        <v>0.39120349540578103</v>
      </c>
      <c r="F51" s="46">
        <f>'Quarterly Revenue&amp;EBITDA'!F166/'Quarterly Revenue&amp;EBITDA'!F51</f>
        <v>0.54336829608422865</v>
      </c>
      <c r="G51" s="45"/>
      <c r="H51" s="45"/>
      <c r="I51" s="45"/>
      <c r="J51" s="46">
        <f>'Quarterly Revenue&amp;EBITDA'!J166/'Quarterly Revenue&amp;EBITDA'!J51</f>
        <v>-0.12867604154510445</v>
      </c>
      <c r="K51" s="45"/>
      <c r="L51" s="45"/>
      <c r="M51" s="45"/>
      <c r="N51" s="45"/>
      <c r="O51" s="48">
        <f>'Quarterly Revenue&amp;EBITDA'!O166/'Quarterly Revenue&amp;EBITDA'!O51</f>
        <v>0.34134887159194677</v>
      </c>
      <c r="P51" s="45"/>
      <c r="Q51" s="45"/>
      <c r="R51" s="45"/>
      <c r="S51" s="45"/>
      <c r="T51" s="45"/>
      <c r="U51" s="46">
        <f>'Quarterly Revenue&amp;EBITDA'!U166/'Quarterly Revenue&amp;EBITDA'!U51</f>
        <v>-0.44444444444444442</v>
      </c>
      <c r="V51" s="46"/>
      <c r="W51" s="46">
        <f>'Quarterly Revenue&amp;EBITDA'!W166/'Quarterly Revenue&amp;EBITDA'!W51</f>
        <v>0.1644471612375811</v>
      </c>
      <c r="X51" s="28"/>
      <c r="Y51" s="28"/>
      <c r="Z51" s="28"/>
      <c r="AA51" s="28"/>
      <c r="AB51" s="28"/>
      <c r="AC51" s="28"/>
    </row>
    <row r="52" spans="1:29" ht="13">
      <c r="A52" s="27" t="s">
        <v>77</v>
      </c>
      <c r="B52" s="45"/>
      <c r="C52" s="46">
        <f>'Quarterly Revenue&amp;EBITDA'!C167/'Quarterly Revenue&amp;EBITDA'!C52</f>
        <v>0.21812735543227046</v>
      </c>
      <c r="D52" s="46">
        <f>'Quarterly Revenue&amp;EBITDA'!D167/'Quarterly Revenue&amp;EBITDA'!D52</f>
        <v>0.22501841927109631</v>
      </c>
      <c r="E52" s="46">
        <f>'Quarterly Revenue&amp;EBITDA'!E167/'Quarterly Revenue&amp;EBITDA'!E52</f>
        <v>0.39120349540578103</v>
      </c>
      <c r="F52" s="46">
        <f>'Quarterly Revenue&amp;EBITDA'!F167/'Quarterly Revenue&amp;EBITDA'!F52</f>
        <v>0.54336829608422865</v>
      </c>
      <c r="G52" s="45"/>
      <c r="H52" s="45"/>
      <c r="I52" s="45"/>
      <c r="J52" s="46">
        <f>'Quarterly Revenue&amp;EBITDA'!J167/'Quarterly Revenue&amp;EBITDA'!J52</f>
        <v>-5.282431785543322E-2</v>
      </c>
      <c r="K52" s="45"/>
      <c r="L52" s="45"/>
      <c r="M52" s="45"/>
      <c r="N52" s="45"/>
      <c r="O52" s="48">
        <f>'Quarterly Revenue&amp;EBITDA'!O167/'Quarterly Revenue&amp;EBITDA'!O52</f>
        <v>0.34134887159194677</v>
      </c>
      <c r="P52" s="45"/>
      <c r="Q52" s="45"/>
      <c r="R52" s="45"/>
      <c r="S52" s="45"/>
      <c r="T52" s="45"/>
      <c r="U52" s="46">
        <f>'Quarterly Revenue&amp;EBITDA'!U167/'Quarterly Revenue&amp;EBITDA'!U52</f>
        <v>-0.44444444444444442</v>
      </c>
      <c r="V52" s="46"/>
      <c r="W52" s="46">
        <f>'Quarterly Revenue&amp;EBITDA'!W167/'Quarterly Revenue&amp;EBITDA'!W52</f>
        <v>0.1644471612375811</v>
      </c>
      <c r="X52" s="28"/>
      <c r="Y52" s="28"/>
      <c r="Z52" s="28"/>
      <c r="AA52" s="28"/>
      <c r="AB52" s="28"/>
      <c r="AC52" s="28"/>
    </row>
    <row r="53" spans="1:29" ht="13">
      <c r="A53" s="27" t="s">
        <v>78</v>
      </c>
      <c r="B53" s="45"/>
      <c r="C53" s="46">
        <f>'Quarterly Revenue&amp;EBITDA'!C168/'Quarterly Revenue&amp;EBITDA'!C53</f>
        <v>0.21812735543227046</v>
      </c>
      <c r="D53" s="46">
        <f>'Quarterly Revenue&amp;EBITDA'!D168/'Quarterly Revenue&amp;EBITDA'!D53</f>
        <v>0.22501841927109631</v>
      </c>
      <c r="E53" s="46">
        <f>'Quarterly Revenue&amp;EBITDA'!E168/'Quarterly Revenue&amp;EBITDA'!E53</f>
        <v>0.39120349540578103</v>
      </c>
      <c r="F53" s="46">
        <f>'Quarterly Revenue&amp;EBITDA'!F168/'Quarterly Revenue&amp;EBITDA'!F53</f>
        <v>0.54336829608422865</v>
      </c>
      <c r="G53" s="45"/>
      <c r="H53" s="45"/>
      <c r="I53" s="45"/>
      <c r="J53" s="46">
        <f>'Quarterly Revenue&amp;EBITDA'!J168/'Quarterly Revenue&amp;EBITDA'!J53</f>
        <v>-5.282431785543322E-2</v>
      </c>
      <c r="K53" s="45"/>
      <c r="L53" s="45"/>
      <c r="M53" s="45"/>
      <c r="N53" s="45"/>
      <c r="O53" s="48">
        <f>'Quarterly Revenue&amp;EBITDA'!O168/'Quarterly Revenue&amp;EBITDA'!O53</f>
        <v>0.3522888825703725</v>
      </c>
      <c r="P53" s="45"/>
      <c r="Q53" s="45"/>
      <c r="R53" s="45"/>
      <c r="S53" s="45"/>
      <c r="T53" s="45"/>
      <c r="U53" s="46">
        <f>'Quarterly Revenue&amp;EBITDA'!U168/'Quarterly Revenue&amp;EBITDA'!U53</f>
        <v>-0.44444444444444442</v>
      </c>
      <c r="V53" s="46"/>
      <c r="W53" s="46">
        <f>'Quarterly Revenue&amp;EBITDA'!W168/'Quarterly Revenue&amp;EBITDA'!W53</f>
        <v>6.1505967190431207E-2</v>
      </c>
      <c r="X53" s="28"/>
      <c r="Y53" s="28"/>
      <c r="Z53" s="28"/>
      <c r="AA53" s="28"/>
      <c r="AB53" s="28"/>
      <c r="AC53" s="28"/>
    </row>
    <row r="54" spans="1:29" ht="13">
      <c r="A54" s="27" t="s">
        <v>79</v>
      </c>
      <c r="B54" s="45"/>
      <c r="C54" s="46">
        <f>'Quarterly Revenue&amp;EBITDA'!C169/'Quarterly Revenue&amp;EBITDA'!C54</f>
        <v>0.21812735543227046</v>
      </c>
      <c r="D54" s="46">
        <f>'Quarterly Revenue&amp;EBITDA'!D169/'Quarterly Revenue&amp;EBITDA'!D54</f>
        <v>0.22501841927109631</v>
      </c>
      <c r="E54" s="46">
        <f>'Quarterly Revenue&amp;EBITDA'!E169/'Quarterly Revenue&amp;EBITDA'!E54</f>
        <v>0.39120349540578103</v>
      </c>
      <c r="F54" s="46">
        <f>'Quarterly Revenue&amp;EBITDA'!F169/'Quarterly Revenue&amp;EBITDA'!F54</f>
        <v>0.54336829608422865</v>
      </c>
      <c r="G54" s="45"/>
      <c r="H54" s="45"/>
      <c r="I54" s="45"/>
      <c r="J54" s="46">
        <f>'Quarterly Revenue&amp;EBITDA'!J169/'Quarterly Revenue&amp;EBITDA'!J54</f>
        <v>-5.282431785543322E-2</v>
      </c>
      <c r="K54" s="45"/>
      <c r="L54" s="45"/>
      <c r="M54" s="45"/>
      <c r="N54" s="45"/>
      <c r="O54" s="48">
        <f>'Quarterly Revenue&amp;EBITDA'!O169/'Quarterly Revenue&amp;EBITDA'!O54</f>
        <v>0.3522888825703725</v>
      </c>
      <c r="P54" s="45"/>
      <c r="Q54" s="45"/>
      <c r="R54" s="45"/>
      <c r="S54" s="45"/>
      <c r="T54" s="45"/>
      <c r="U54" s="46">
        <f>'Quarterly Revenue&amp;EBITDA'!U169/'Quarterly Revenue&amp;EBITDA'!U54</f>
        <v>-0.44444444444444442</v>
      </c>
      <c r="V54" s="46"/>
      <c r="W54" s="46">
        <f>'Quarterly Revenue&amp;EBITDA'!W169/'Quarterly Revenue&amp;EBITDA'!W54</f>
        <v>6.1505967190431207E-2</v>
      </c>
      <c r="X54" s="28"/>
      <c r="Y54" s="28"/>
      <c r="Z54" s="28"/>
      <c r="AA54" s="28"/>
      <c r="AB54" s="28"/>
      <c r="AC54" s="28"/>
    </row>
    <row r="55" spans="1:29" ht="13">
      <c r="A55" s="27" t="s">
        <v>80</v>
      </c>
      <c r="B55" s="45"/>
      <c r="C55" s="46">
        <f>'Quarterly Revenue&amp;EBITDA'!C170/'Quarterly Revenue&amp;EBITDA'!C55</f>
        <v>0.27140576452111165</v>
      </c>
      <c r="D55" s="46">
        <f>'Quarterly Revenue&amp;EBITDA'!D170/'Quarterly Revenue&amp;EBITDA'!D55</f>
        <v>0.21476606524494463</v>
      </c>
      <c r="E55" s="46">
        <f>'Quarterly Revenue&amp;EBITDA'!E170/'Quarterly Revenue&amp;EBITDA'!E55</f>
        <v>0.41133464147857451</v>
      </c>
      <c r="F55" s="46">
        <f>'Quarterly Revenue&amp;EBITDA'!F170/'Quarterly Revenue&amp;EBITDA'!F55</f>
        <v>0.5236518204421885</v>
      </c>
      <c r="G55" s="45"/>
      <c r="H55" s="45"/>
      <c r="I55" s="45"/>
      <c r="J55" s="46">
        <f>'Quarterly Revenue&amp;EBITDA'!J170/'Quarterly Revenue&amp;EBITDA'!J55</f>
        <v>-5.282431785543322E-2</v>
      </c>
      <c r="K55" s="45"/>
      <c r="L55" s="45"/>
      <c r="M55" s="45"/>
      <c r="N55" s="45"/>
      <c r="O55" s="48">
        <f>'Quarterly Revenue&amp;EBITDA'!O170/'Quarterly Revenue&amp;EBITDA'!O55</f>
        <v>0.3522888825703725</v>
      </c>
      <c r="P55" s="45"/>
      <c r="Q55" s="45"/>
      <c r="R55" s="45"/>
      <c r="S55" s="45"/>
      <c r="T55" s="45"/>
      <c r="U55" s="46">
        <f>'Quarterly Revenue&amp;EBITDA'!U170/'Quarterly Revenue&amp;EBITDA'!U55</f>
        <v>-7.3738559209597002E-2</v>
      </c>
      <c r="V55" s="46"/>
      <c r="W55" s="46">
        <f>'Quarterly Revenue&amp;EBITDA'!W170/'Quarterly Revenue&amp;EBITDA'!W55</f>
        <v>6.1505967190431207E-2</v>
      </c>
      <c r="X55" s="28"/>
      <c r="Y55" s="28"/>
      <c r="Z55" s="28"/>
      <c r="AA55" s="28"/>
      <c r="AB55" s="28"/>
      <c r="AC55" s="28"/>
    </row>
    <row r="56" spans="1:29" ht="13">
      <c r="A56" s="27" t="s">
        <v>81</v>
      </c>
      <c r="B56" s="45"/>
      <c r="C56" s="46">
        <f>'Quarterly Revenue&amp;EBITDA'!C171/'Quarterly Revenue&amp;EBITDA'!C56</f>
        <v>0.27140576452111165</v>
      </c>
      <c r="D56" s="46">
        <f>'Quarterly Revenue&amp;EBITDA'!D171/'Quarterly Revenue&amp;EBITDA'!D56</f>
        <v>0.21476606524494463</v>
      </c>
      <c r="E56" s="46">
        <f>'Quarterly Revenue&amp;EBITDA'!E171/'Quarterly Revenue&amp;EBITDA'!E56</f>
        <v>0.41133464147857451</v>
      </c>
      <c r="F56" s="46">
        <f>'Quarterly Revenue&amp;EBITDA'!F171/'Quarterly Revenue&amp;EBITDA'!F56</f>
        <v>0.5236518204421885</v>
      </c>
      <c r="G56" s="45"/>
      <c r="H56" s="45"/>
      <c r="I56" s="45"/>
      <c r="J56" s="46">
        <f>'Quarterly Revenue&amp;EBITDA'!J171/'Quarterly Revenue&amp;EBITDA'!J56</f>
        <v>4.8564395731272199E-2</v>
      </c>
      <c r="K56" s="45"/>
      <c r="L56" s="45"/>
      <c r="M56" s="45"/>
      <c r="N56" s="45"/>
      <c r="O56" s="48">
        <f>'Quarterly Revenue&amp;EBITDA'!O171/'Quarterly Revenue&amp;EBITDA'!O56</f>
        <v>0.3522888825703725</v>
      </c>
      <c r="P56" s="45"/>
      <c r="Q56" s="45"/>
      <c r="R56" s="45"/>
      <c r="S56" s="45"/>
      <c r="T56" s="45"/>
      <c r="U56" s="46">
        <f>'Quarterly Revenue&amp;EBITDA'!U171/'Quarterly Revenue&amp;EBITDA'!U56</f>
        <v>-7.3738559209597002E-2</v>
      </c>
      <c r="V56" s="46"/>
      <c r="W56" s="46">
        <f>'Quarterly Revenue&amp;EBITDA'!W171/'Quarterly Revenue&amp;EBITDA'!W56</f>
        <v>6.1505967190431207E-2</v>
      </c>
      <c r="X56" s="28"/>
      <c r="Y56" s="28"/>
      <c r="Z56" s="28"/>
      <c r="AA56" s="28"/>
      <c r="AB56" s="28"/>
      <c r="AC56" s="28"/>
    </row>
    <row r="57" spans="1:29" ht="13">
      <c r="A57" s="27" t="s">
        <v>82</v>
      </c>
      <c r="B57" s="45"/>
      <c r="C57" s="46">
        <f>'Quarterly Revenue&amp;EBITDA'!C172/'Quarterly Revenue&amp;EBITDA'!C57</f>
        <v>0.27140576452111165</v>
      </c>
      <c r="D57" s="46">
        <f>'Quarterly Revenue&amp;EBITDA'!D172/'Quarterly Revenue&amp;EBITDA'!D57</f>
        <v>0.21476606524494463</v>
      </c>
      <c r="E57" s="46">
        <f>'Quarterly Revenue&amp;EBITDA'!E172/'Quarterly Revenue&amp;EBITDA'!E57</f>
        <v>0.41133464147857451</v>
      </c>
      <c r="F57" s="46">
        <f>'Quarterly Revenue&amp;EBITDA'!F172/'Quarterly Revenue&amp;EBITDA'!F57</f>
        <v>0.5236518204421885</v>
      </c>
      <c r="G57" s="45"/>
      <c r="H57" s="45"/>
      <c r="I57" s="45"/>
      <c r="J57" s="46">
        <f>'Quarterly Revenue&amp;EBITDA'!J172/'Quarterly Revenue&amp;EBITDA'!J57</f>
        <v>4.8564395731272199E-2</v>
      </c>
      <c r="K57" s="45"/>
      <c r="L57" s="45"/>
      <c r="M57" s="45"/>
      <c r="N57" s="45"/>
      <c r="O57" s="48">
        <f>'Quarterly Revenue&amp;EBITDA'!O172/'Quarterly Revenue&amp;EBITDA'!O57</f>
        <v>0.31353975110122739</v>
      </c>
      <c r="P57" s="45"/>
      <c r="Q57" s="45"/>
      <c r="R57" s="45"/>
      <c r="S57" s="45"/>
      <c r="T57" s="45"/>
      <c r="U57" s="46">
        <f>'Quarterly Revenue&amp;EBITDA'!U172/'Quarterly Revenue&amp;EBITDA'!U57</f>
        <v>-7.3738559209597002E-2</v>
      </c>
      <c r="V57" s="46"/>
      <c r="W57" s="46">
        <f>'Quarterly Revenue&amp;EBITDA'!W172/'Quarterly Revenue&amp;EBITDA'!W57</f>
        <v>0.11105076520038058</v>
      </c>
      <c r="X57" s="28"/>
      <c r="Y57" s="28"/>
      <c r="Z57" s="28"/>
      <c r="AA57" s="28"/>
      <c r="AB57" s="28"/>
      <c r="AC57" s="28"/>
    </row>
    <row r="58" spans="1:29" ht="13">
      <c r="A58" s="27" t="s">
        <v>83</v>
      </c>
      <c r="B58" s="45"/>
      <c r="C58" s="46">
        <f>'Quarterly Revenue&amp;EBITDA'!C173/'Quarterly Revenue&amp;EBITDA'!C58</f>
        <v>0.27140576452111165</v>
      </c>
      <c r="D58" s="46">
        <f>'Quarterly Revenue&amp;EBITDA'!D173/'Quarterly Revenue&amp;EBITDA'!D58</f>
        <v>0.21476606524494463</v>
      </c>
      <c r="E58" s="46">
        <f>'Quarterly Revenue&amp;EBITDA'!E173/'Quarterly Revenue&amp;EBITDA'!E58</f>
        <v>0.41133464147857451</v>
      </c>
      <c r="F58" s="46">
        <f>'Quarterly Revenue&amp;EBITDA'!F173/'Quarterly Revenue&amp;EBITDA'!F58</f>
        <v>0.5236518204421885</v>
      </c>
      <c r="G58" s="45"/>
      <c r="H58" s="45"/>
      <c r="I58" s="45"/>
      <c r="J58" s="46">
        <f>'Quarterly Revenue&amp;EBITDA'!J173/'Quarterly Revenue&amp;EBITDA'!J58</f>
        <v>4.8564395731272199E-2</v>
      </c>
      <c r="K58" s="45"/>
      <c r="L58" s="45"/>
      <c r="M58" s="45"/>
      <c r="N58" s="45"/>
      <c r="O58" s="48">
        <f>'Quarterly Revenue&amp;EBITDA'!O173/'Quarterly Revenue&amp;EBITDA'!O58</f>
        <v>0.31353975110122739</v>
      </c>
      <c r="P58" s="45"/>
      <c r="Q58" s="45"/>
      <c r="R58" s="45"/>
      <c r="S58" s="45"/>
      <c r="T58" s="45"/>
      <c r="U58" s="46">
        <f>'Quarterly Revenue&amp;EBITDA'!U173/'Quarterly Revenue&amp;EBITDA'!U58</f>
        <v>-7.3738559209597002E-2</v>
      </c>
      <c r="V58" s="46"/>
      <c r="W58" s="46">
        <f>'Quarterly Revenue&amp;EBITDA'!W173/'Quarterly Revenue&amp;EBITDA'!W58</f>
        <v>0.11105076520038058</v>
      </c>
      <c r="X58" s="28"/>
      <c r="Y58" s="28"/>
      <c r="Z58" s="28"/>
      <c r="AA58" s="28"/>
      <c r="AB58" s="28"/>
      <c r="AC58" s="28"/>
    </row>
    <row r="59" spans="1:29" ht="13">
      <c r="A59" s="27" t="s">
        <v>84</v>
      </c>
      <c r="B59" s="45"/>
      <c r="C59" s="46">
        <f>'Quarterly Revenue&amp;EBITDA'!C174/'Quarterly Revenue&amp;EBITDA'!C59</f>
        <v>0.33353445326831371</v>
      </c>
      <c r="D59" s="46">
        <f>'Quarterly Revenue&amp;EBITDA'!D174/'Quarterly Revenue&amp;EBITDA'!D59</f>
        <v>0.19002501878075703</v>
      </c>
      <c r="E59" s="46">
        <f>'Quarterly Revenue&amp;EBITDA'!E174/'Quarterly Revenue&amp;EBITDA'!E59</f>
        <v>0.35221141781681303</v>
      </c>
      <c r="F59" s="46">
        <f>'Quarterly Revenue&amp;EBITDA'!F174/'Quarterly Revenue&amp;EBITDA'!F59</f>
        <v>0.47966056732222717</v>
      </c>
      <c r="G59" s="45"/>
      <c r="H59" s="45"/>
      <c r="I59" s="45"/>
      <c r="J59" s="46">
        <f>'Quarterly Revenue&amp;EBITDA'!J174/'Quarterly Revenue&amp;EBITDA'!J59</f>
        <v>4.8564395731272199E-2</v>
      </c>
      <c r="K59" s="45"/>
      <c r="L59" s="45"/>
      <c r="M59" s="45"/>
      <c r="N59" s="45"/>
      <c r="O59" s="48">
        <f>'Quarterly Revenue&amp;EBITDA'!O174/'Quarterly Revenue&amp;EBITDA'!O59</f>
        <v>0.31353975110122739</v>
      </c>
      <c r="P59" s="45"/>
      <c r="Q59" s="45"/>
      <c r="R59" s="45"/>
      <c r="S59" s="45"/>
      <c r="T59" s="45"/>
      <c r="U59" s="46">
        <f>'Quarterly Revenue&amp;EBITDA'!U174/'Quarterly Revenue&amp;EBITDA'!U59</f>
        <v>-4.5877999893204E-2</v>
      </c>
      <c r="V59" s="46"/>
      <c r="W59" s="46">
        <f>'Quarterly Revenue&amp;EBITDA'!W174/'Quarterly Revenue&amp;EBITDA'!W59</f>
        <v>0.11105076520038058</v>
      </c>
      <c r="X59" s="28"/>
      <c r="Y59" s="28"/>
      <c r="Z59" s="28"/>
      <c r="AA59" s="28"/>
      <c r="AB59" s="28"/>
      <c r="AC59" s="28"/>
    </row>
    <row r="60" spans="1:29" ht="13">
      <c r="A60" s="27" t="s">
        <v>85</v>
      </c>
      <c r="B60" s="45"/>
      <c r="C60" s="46">
        <f>'Quarterly Revenue&amp;EBITDA'!C175/'Quarterly Revenue&amp;EBITDA'!C60</f>
        <v>0.33353445326831371</v>
      </c>
      <c r="D60" s="46">
        <f>'Quarterly Revenue&amp;EBITDA'!D175/'Quarterly Revenue&amp;EBITDA'!D60</f>
        <v>0.19002501878075703</v>
      </c>
      <c r="E60" s="46">
        <f>'Quarterly Revenue&amp;EBITDA'!E175/'Quarterly Revenue&amp;EBITDA'!E60</f>
        <v>0.35221141781681303</v>
      </c>
      <c r="F60" s="46">
        <f>'Quarterly Revenue&amp;EBITDA'!F175/'Quarterly Revenue&amp;EBITDA'!F60</f>
        <v>0.47966056732222717</v>
      </c>
      <c r="G60" s="46"/>
      <c r="H60" s="46">
        <f>'Quarterly Revenue&amp;EBITDA'!H175/'Quarterly Revenue&amp;EBITDA'!H60</f>
        <v>0.21235707568182943</v>
      </c>
      <c r="I60" s="45"/>
      <c r="J60" s="46">
        <f>'Quarterly Revenue&amp;EBITDA'!J175/'Quarterly Revenue&amp;EBITDA'!J60</f>
        <v>3.492388058942314E-2</v>
      </c>
      <c r="K60" s="45"/>
      <c r="L60" s="45"/>
      <c r="M60" s="45"/>
      <c r="N60" s="45"/>
      <c r="O60" s="48">
        <f>'Quarterly Revenue&amp;EBITDA'!O175/'Quarterly Revenue&amp;EBITDA'!O60</f>
        <v>0.31353975110122739</v>
      </c>
      <c r="P60" s="45"/>
      <c r="Q60" s="45"/>
      <c r="R60" s="45"/>
      <c r="S60" s="45"/>
      <c r="T60" s="45"/>
      <c r="U60" s="46">
        <f>'Quarterly Revenue&amp;EBITDA'!U175/'Quarterly Revenue&amp;EBITDA'!U60</f>
        <v>-4.5877999893204E-2</v>
      </c>
      <c r="V60" s="46"/>
      <c r="W60" s="46">
        <f>'Quarterly Revenue&amp;EBITDA'!W175/'Quarterly Revenue&amp;EBITDA'!W60</f>
        <v>0.11105076520038058</v>
      </c>
      <c r="X60" s="28"/>
      <c r="Y60" s="28"/>
      <c r="Z60" s="28"/>
      <c r="AA60" s="28"/>
      <c r="AB60" s="28"/>
      <c r="AC60" s="28"/>
    </row>
    <row r="61" spans="1:29" ht="13">
      <c r="A61" s="27" t="s">
        <v>86</v>
      </c>
      <c r="B61" s="45"/>
      <c r="C61" s="46">
        <f>'Quarterly Revenue&amp;EBITDA'!C176/'Quarterly Revenue&amp;EBITDA'!C61</f>
        <v>0.33353445326831371</v>
      </c>
      <c r="D61" s="46">
        <f>'Quarterly Revenue&amp;EBITDA'!D176/'Quarterly Revenue&amp;EBITDA'!D61</f>
        <v>0.19002501878075703</v>
      </c>
      <c r="E61" s="46">
        <f>'Quarterly Revenue&amp;EBITDA'!E176/'Quarterly Revenue&amp;EBITDA'!E61</f>
        <v>0.35221141781681303</v>
      </c>
      <c r="F61" s="46">
        <f>'Quarterly Revenue&amp;EBITDA'!F176/'Quarterly Revenue&amp;EBITDA'!F61</f>
        <v>0.47966056732222717</v>
      </c>
      <c r="G61" s="45"/>
      <c r="H61" s="46">
        <f>'Quarterly Revenue&amp;EBITDA'!H176/'Quarterly Revenue&amp;EBITDA'!H61</f>
        <v>0.21235707568182943</v>
      </c>
      <c r="I61" s="45"/>
      <c r="J61" s="46">
        <f>'Quarterly Revenue&amp;EBITDA'!J176/'Quarterly Revenue&amp;EBITDA'!J61</f>
        <v>3.492388058942314E-2</v>
      </c>
      <c r="K61" s="45"/>
      <c r="L61" s="45"/>
      <c r="M61" s="45"/>
      <c r="N61" s="45"/>
      <c r="O61" s="48">
        <f>'Quarterly Revenue&amp;EBITDA'!O176/'Quarterly Revenue&amp;EBITDA'!O61</f>
        <v>0.31599455504509105</v>
      </c>
      <c r="P61" s="45"/>
      <c r="Q61" s="45"/>
      <c r="R61" s="45"/>
      <c r="S61" s="45"/>
      <c r="T61" s="45"/>
      <c r="U61" s="46">
        <f>'Quarterly Revenue&amp;EBITDA'!U176/'Quarterly Revenue&amp;EBITDA'!U61</f>
        <v>-4.5877999893204E-2</v>
      </c>
      <c r="V61" s="46"/>
      <c r="W61" s="46">
        <f>'Quarterly Revenue&amp;EBITDA'!W176/'Quarterly Revenue&amp;EBITDA'!W61</f>
        <v>0.17003716894629278</v>
      </c>
      <c r="X61" s="28"/>
      <c r="Y61" s="28"/>
      <c r="Z61" s="28"/>
      <c r="AA61" s="28"/>
      <c r="AB61" s="28"/>
      <c r="AC61" s="28"/>
    </row>
    <row r="62" spans="1:29" ht="13">
      <c r="A62" s="27" t="s">
        <v>87</v>
      </c>
      <c r="B62" s="45"/>
      <c r="C62" s="46">
        <f>'Quarterly Revenue&amp;EBITDA'!C177/'Quarterly Revenue&amp;EBITDA'!C62</f>
        <v>0.33353445326831371</v>
      </c>
      <c r="D62" s="46">
        <f>'Quarterly Revenue&amp;EBITDA'!D177/'Quarterly Revenue&amp;EBITDA'!D62</f>
        <v>0.19002501878075703</v>
      </c>
      <c r="E62" s="46">
        <f>'Quarterly Revenue&amp;EBITDA'!E177/'Quarterly Revenue&amp;EBITDA'!E62</f>
        <v>0.35221141781681303</v>
      </c>
      <c r="F62" s="46">
        <f>'Quarterly Revenue&amp;EBITDA'!F177/'Quarterly Revenue&amp;EBITDA'!F62</f>
        <v>0.47966056732222717</v>
      </c>
      <c r="G62" s="45"/>
      <c r="H62" s="46">
        <f>'Quarterly Revenue&amp;EBITDA'!H177/'Quarterly Revenue&amp;EBITDA'!H62</f>
        <v>0.21235707568182943</v>
      </c>
      <c r="I62" s="45"/>
      <c r="J62" s="46">
        <f>'Quarterly Revenue&amp;EBITDA'!J177/'Quarterly Revenue&amp;EBITDA'!J62</f>
        <v>3.492388058942314E-2</v>
      </c>
      <c r="K62" s="45"/>
      <c r="L62" s="45"/>
      <c r="M62" s="45"/>
      <c r="N62" s="45"/>
      <c r="O62" s="48">
        <f>'Quarterly Revenue&amp;EBITDA'!O177/'Quarterly Revenue&amp;EBITDA'!O62</f>
        <v>0.31599455504509105</v>
      </c>
      <c r="P62" s="45"/>
      <c r="Q62" s="45"/>
      <c r="R62" s="45"/>
      <c r="S62" s="45"/>
      <c r="T62" s="45"/>
      <c r="U62" s="46">
        <f>'Quarterly Revenue&amp;EBITDA'!U177/'Quarterly Revenue&amp;EBITDA'!U62</f>
        <v>-4.5877999893204E-2</v>
      </c>
      <c r="V62" s="46"/>
      <c r="W62" s="46">
        <f>'Quarterly Revenue&amp;EBITDA'!W177/'Quarterly Revenue&amp;EBITDA'!W62</f>
        <v>0.17003716894629278</v>
      </c>
      <c r="X62" s="28"/>
      <c r="Y62" s="28"/>
      <c r="Z62" s="28"/>
      <c r="AA62" s="28"/>
      <c r="AB62" s="28"/>
      <c r="AC62" s="28"/>
    </row>
    <row r="63" spans="1:29" ht="13">
      <c r="A63" s="27" t="s">
        <v>88</v>
      </c>
      <c r="B63" s="45"/>
      <c r="C63" s="46">
        <f>'Quarterly Revenue&amp;EBITDA'!C178/'Quarterly Revenue&amp;EBITDA'!C63</f>
        <v>0.36018814831372853</v>
      </c>
      <c r="D63" s="46">
        <f>'Quarterly Revenue&amp;EBITDA'!D178/'Quarterly Revenue&amp;EBITDA'!D63</f>
        <v>0.18477342025388882</v>
      </c>
      <c r="E63" s="46">
        <f>'Quarterly Revenue&amp;EBITDA'!E178/'Quarterly Revenue&amp;EBITDA'!E63</f>
        <v>0.20608066493433363</v>
      </c>
      <c r="F63" s="46">
        <f>'Quarterly Revenue&amp;EBITDA'!F178/'Quarterly Revenue&amp;EBITDA'!F63</f>
        <v>0.42201834862385323</v>
      </c>
      <c r="G63" s="45"/>
      <c r="H63" s="46">
        <f>'Quarterly Revenue&amp;EBITDA'!H178/'Quarterly Revenue&amp;EBITDA'!H63</f>
        <v>0.21235707568182943</v>
      </c>
      <c r="I63" s="45"/>
      <c r="J63" s="46">
        <f>'Quarterly Revenue&amp;EBITDA'!J178/'Quarterly Revenue&amp;EBITDA'!J63</f>
        <v>3.492388058942314E-2</v>
      </c>
      <c r="K63" s="45"/>
      <c r="L63" s="45"/>
      <c r="M63" s="45"/>
      <c r="N63" s="45"/>
      <c r="O63" s="48">
        <f>'Quarterly Revenue&amp;EBITDA'!O178/'Quarterly Revenue&amp;EBITDA'!O63</f>
        <v>0.31599455504509105</v>
      </c>
      <c r="P63" s="46"/>
      <c r="Q63" s="46"/>
      <c r="R63" s="46">
        <f>'Quarterly Revenue&amp;EBITDA'!R178/'Quarterly Revenue&amp;EBITDA'!R63</f>
        <v>0.15083702932886109</v>
      </c>
      <c r="S63" s="45"/>
      <c r="T63" s="45"/>
      <c r="U63" s="46">
        <f>'Quarterly Revenue&amp;EBITDA'!U178/'Quarterly Revenue&amp;EBITDA'!U63</f>
        <v>-0.38336740301696465</v>
      </c>
      <c r="V63" s="46"/>
      <c r="W63" s="46">
        <f>'Quarterly Revenue&amp;EBITDA'!W178/'Quarterly Revenue&amp;EBITDA'!W63</f>
        <v>0.17003716894629278</v>
      </c>
      <c r="X63" s="46"/>
      <c r="Y63" s="46"/>
      <c r="Z63" s="46"/>
      <c r="AA63" s="46"/>
      <c r="AB63" s="46"/>
      <c r="AC63" s="28"/>
    </row>
    <row r="64" spans="1:29" ht="13">
      <c r="A64" s="27" t="s">
        <v>89</v>
      </c>
      <c r="B64" s="45"/>
      <c r="C64" s="46">
        <f>'Quarterly Revenue&amp;EBITDA'!C179/'Quarterly Revenue&amp;EBITDA'!C64</f>
        <v>0.36018814831372853</v>
      </c>
      <c r="D64" s="46">
        <f>'Quarterly Revenue&amp;EBITDA'!D179/'Quarterly Revenue&amp;EBITDA'!D64</f>
        <v>0.18477342025388882</v>
      </c>
      <c r="E64" s="46">
        <f>'Quarterly Revenue&amp;EBITDA'!E179/'Quarterly Revenue&amp;EBITDA'!E64</f>
        <v>0.20608066493433363</v>
      </c>
      <c r="F64" s="46">
        <f>'Quarterly Revenue&amp;EBITDA'!F179/'Quarterly Revenue&amp;EBITDA'!F64</f>
        <v>0.42201834862385323</v>
      </c>
      <c r="G64" s="45"/>
      <c r="H64" s="46">
        <f>'Quarterly Revenue&amp;EBITDA'!H179/'Quarterly Revenue&amp;EBITDA'!H64</f>
        <v>0.20936776845372543</v>
      </c>
      <c r="I64" s="45"/>
      <c r="J64" s="46">
        <f>'Quarterly Revenue&amp;EBITDA'!J179/'Quarterly Revenue&amp;EBITDA'!J64</f>
        <v>-6.2227408203756635E-2</v>
      </c>
      <c r="K64" s="45"/>
      <c r="L64" s="45"/>
      <c r="M64" s="45"/>
      <c r="N64" s="45"/>
      <c r="O64" s="48">
        <f>'Quarterly Revenue&amp;EBITDA'!O179/'Quarterly Revenue&amp;EBITDA'!O64</f>
        <v>0.31599455504509105</v>
      </c>
      <c r="P64" s="45"/>
      <c r="Q64" s="45"/>
      <c r="R64" s="46">
        <f>'Quarterly Revenue&amp;EBITDA'!R179/'Quarterly Revenue&amp;EBITDA'!R64</f>
        <v>0.15083702932886109</v>
      </c>
      <c r="S64" s="45"/>
      <c r="T64" s="45"/>
      <c r="U64" s="46">
        <f>'Quarterly Revenue&amp;EBITDA'!U179/'Quarterly Revenue&amp;EBITDA'!U64</f>
        <v>-0.38336740301696465</v>
      </c>
      <c r="V64" s="46"/>
      <c r="W64" s="46">
        <f>'Quarterly Revenue&amp;EBITDA'!W179/'Quarterly Revenue&amp;EBITDA'!W64</f>
        <v>0.17003716894629278</v>
      </c>
      <c r="X64" s="46"/>
      <c r="Y64" s="46"/>
      <c r="Z64" s="46"/>
      <c r="AA64" s="46"/>
      <c r="AB64" s="46"/>
      <c r="AC64" s="28"/>
    </row>
    <row r="65" spans="1:29" ht="13">
      <c r="A65" s="27" t="s">
        <v>90</v>
      </c>
      <c r="B65" s="45"/>
      <c r="C65" s="46">
        <f>'Quarterly Revenue&amp;EBITDA'!C180/'Quarterly Revenue&amp;EBITDA'!C65</f>
        <v>0.36018814831372853</v>
      </c>
      <c r="D65" s="46">
        <f>'Quarterly Revenue&amp;EBITDA'!D180/'Quarterly Revenue&amp;EBITDA'!D65</f>
        <v>0.18477342025388882</v>
      </c>
      <c r="E65" s="46">
        <f>'Quarterly Revenue&amp;EBITDA'!E180/'Quarterly Revenue&amp;EBITDA'!E65</f>
        <v>0.20608066493433363</v>
      </c>
      <c r="F65" s="46">
        <f>'Quarterly Revenue&amp;EBITDA'!F180/'Quarterly Revenue&amp;EBITDA'!F65</f>
        <v>0.42201834862385323</v>
      </c>
      <c r="G65" s="45"/>
      <c r="H65" s="46">
        <f>'Quarterly Revenue&amp;EBITDA'!H180/'Quarterly Revenue&amp;EBITDA'!H65</f>
        <v>0.20936776845372543</v>
      </c>
      <c r="I65" s="45"/>
      <c r="J65" s="46">
        <f>'Quarterly Revenue&amp;EBITDA'!J180/'Quarterly Revenue&amp;EBITDA'!J65</f>
        <v>-6.2227408203756635E-2</v>
      </c>
      <c r="K65" s="45"/>
      <c r="L65" s="45"/>
      <c r="M65" s="45"/>
      <c r="N65" s="45"/>
      <c r="O65" s="48">
        <f>'Quarterly Revenue&amp;EBITDA'!O180/'Quarterly Revenue&amp;EBITDA'!O65</f>
        <v>0.16106955276141971</v>
      </c>
      <c r="P65" s="45"/>
      <c r="Q65" s="45"/>
      <c r="R65" s="46">
        <f>'Quarterly Revenue&amp;EBITDA'!R180/'Quarterly Revenue&amp;EBITDA'!R65</f>
        <v>0.15083702932886109</v>
      </c>
      <c r="S65" s="45"/>
      <c r="T65" s="45"/>
      <c r="U65" s="46">
        <f>'Quarterly Revenue&amp;EBITDA'!U180/'Quarterly Revenue&amp;EBITDA'!U65</f>
        <v>-0.38336740301696465</v>
      </c>
      <c r="V65" s="46"/>
      <c r="W65" s="46">
        <f>'Quarterly Revenue&amp;EBITDA'!W180/'Quarterly Revenue&amp;EBITDA'!W65</f>
        <v>0.18729587308631018</v>
      </c>
      <c r="X65" s="46"/>
      <c r="Y65" s="46"/>
      <c r="Z65" s="46"/>
      <c r="AA65" s="46"/>
      <c r="AB65" s="46"/>
      <c r="AC65" s="28"/>
    </row>
    <row r="66" spans="1:29" ht="13">
      <c r="A66" s="27" t="s">
        <v>91</v>
      </c>
      <c r="B66" s="45"/>
      <c r="C66" s="46">
        <f>'Quarterly Revenue&amp;EBITDA'!C181/'Quarterly Revenue&amp;EBITDA'!C66</f>
        <v>0.36018814831372853</v>
      </c>
      <c r="D66" s="46">
        <f>'Quarterly Revenue&amp;EBITDA'!D181/'Quarterly Revenue&amp;EBITDA'!D66</f>
        <v>0.18477342025388882</v>
      </c>
      <c r="E66" s="46">
        <f>'Quarterly Revenue&amp;EBITDA'!E181/'Quarterly Revenue&amp;EBITDA'!E66</f>
        <v>0.20608066493433363</v>
      </c>
      <c r="F66" s="46">
        <f>'Quarterly Revenue&amp;EBITDA'!F181/'Quarterly Revenue&amp;EBITDA'!F66</f>
        <v>0.42201834862385323</v>
      </c>
      <c r="G66" s="45"/>
      <c r="H66" s="46">
        <f>'Quarterly Revenue&amp;EBITDA'!H181/'Quarterly Revenue&amp;EBITDA'!H66</f>
        <v>0.20936776845372543</v>
      </c>
      <c r="I66" s="45"/>
      <c r="J66" s="46">
        <f>'Quarterly Revenue&amp;EBITDA'!J181/'Quarterly Revenue&amp;EBITDA'!J66</f>
        <v>-6.2227408203756635E-2</v>
      </c>
      <c r="K66" s="45"/>
      <c r="L66" s="45"/>
      <c r="M66" s="45"/>
      <c r="N66" s="45"/>
      <c r="O66" s="48">
        <f>'Quarterly Revenue&amp;EBITDA'!O181/'Quarterly Revenue&amp;EBITDA'!O66</f>
        <v>0.16106955276141971</v>
      </c>
      <c r="P66" s="45"/>
      <c r="Q66" s="45"/>
      <c r="R66" s="46">
        <f>'Quarterly Revenue&amp;EBITDA'!R181/'Quarterly Revenue&amp;EBITDA'!R66</f>
        <v>0.15083702932886109</v>
      </c>
      <c r="S66" s="45"/>
      <c r="T66" s="45"/>
      <c r="U66" s="46">
        <f>'Quarterly Revenue&amp;EBITDA'!U181/'Quarterly Revenue&amp;EBITDA'!U66</f>
        <v>-0.38336740301696465</v>
      </c>
      <c r="V66" s="46"/>
      <c r="W66" s="46">
        <f>'Quarterly Revenue&amp;EBITDA'!W181/'Quarterly Revenue&amp;EBITDA'!W66</f>
        <v>0.18729587308631018</v>
      </c>
      <c r="X66" s="46"/>
      <c r="Y66" s="46"/>
      <c r="Z66" s="46"/>
      <c r="AA66" s="46"/>
      <c r="AB66" s="46"/>
      <c r="AC66" s="28"/>
    </row>
    <row r="67" spans="1:29" ht="13">
      <c r="A67" s="27" t="s">
        <v>92</v>
      </c>
      <c r="B67" s="45"/>
      <c r="C67" s="46">
        <f>'Quarterly Revenue&amp;EBITDA'!C182/'Quarterly Revenue&amp;EBITDA'!C67</f>
        <v>0.37248270576947368</v>
      </c>
      <c r="D67" s="46">
        <f>'Quarterly Revenue&amp;EBITDA'!D182/'Quarterly Revenue&amp;EBITDA'!D67</f>
        <v>0.16639759023771294</v>
      </c>
      <c r="E67" s="46">
        <f>'Quarterly Revenue&amp;EBITDA'!E182/'Quarterly Revenue&amp;EBITDA'!E67</f>
        <v>0.20227586601220951</v>
      </c>
      <c r="F67" s="46">
        <f>'Quarterly Revenue&amp;EBITDA'!F182/'Quarterly Revenue&amp;EBITDA'!F67</f>
        <v>0.34920634920634919</v>
      </c>
      <c r="G67" s="45"/>
      <c r="H67" s="46">
        <f>'Quarterly Revenue&amp;EBITDA'!H182/'Quarterly Revenue&amp;EBITDA'!H67</f>
        <v>0.20936776845372543</v>
      </c>
      <c r="I67" s="45"/>
      <c r="J67" s="46">
        <f>'Quarterly Revenue&amp;EBITDA'!J182/'Quarterly Revenue&amp;EBITDA'!J67</f>
        <v>-6.2227408203756635E-2</v>
      </c>
      <c r="K67" s="45"/>
      <c r="L67" s="45"/>
      <c r="M67" s="45"/>
      <c r="N67" s="45"/>
      <c r="O67" s="48">
        <f>'Quarterly Revenue&amp;EBITDA'!O182/'Quarterly Revenue&amp;EBITDA'!O67</f>
        <v>0.16106955276141971</v>
      </c>
      <c r="P67" s="45"/>
      <c r="Q67" s="45"/>
      <c r="R67" s="46">
        <f>'Quarterly Revenue&amp;EBITDA'!R182/'Quarterly Revenue&amp;EBITDA'!R67</f>
        <v>0.17049381044601283</v>
      </c>
      <c r="S67" s="45"/>
      <c r="T67" s="45"/>
      <c r="U67" s="46">
        <f>'Quarterly Revenue&amp;EBITDA'!U182/'Quarterly Revenue&amp;EBITDA'!U67</f>
        <v>9.4450669005894904E-5</v>
      </c>
      <c r="V67" s="46"/>
      <c r="W67" s="46">
        <f>'Quarterly Revenue&amp;EBITDA'!W182/'Quarterly Revenue&amp;EBITDA'!W67</f>
        <v>0.18729587308631018</v>
      </c>
      <c r="X67" s="46"/>
      <c r="Y67" s="46"/>
      <c r="Z67" s="46"/>
      <c r="AA67" s="46"/>
      <c r="AB67" s="46"/>
      <c r="AC67" s="28"/>
    </row>
    <row r="68" spans="1:29" ht="13">
      <c r="A68" s="27" t="s">
        <v>93</v>
      </c>
      <c r="B68" s="45"/>
      <c r="C68" s="46">
        <f>'Quarterly Revenue&amp;EBITDA'!C183/'Quarterly Revenue&amp;EBITDA'!C68</f>
        <v>0.37248270576947368</v>
      </c>
      <c r="D68" s="46">
        <f>'Quarterly Revenue&amp;EBITDA'!D183/'Quarterly Revenue&amp;EBITDA'!D68</f>
        <v>0.16639759023771294</v>
      </c>
      <c r="E68" s="46">
        <f>'Quarterly Revenue&amp;EBITDA'!E183/'Quarterly Revenue&amp;EBITDA'!E68</f>
        <v>0.20227586601220951</v>
      </c>
      <c r="F68" s="46">
        <f>'Quarterly Revenue&amp;EBITDA'!F183/'Quarterly Revenue&amp;EBITDA'!F68</f>
        <v>0.34920634920634919</v>
      </c>
      <c r="G68" s="45"/>
      <c r="H68" s="46">
        <f>'Quarterly Revenue&amp;EBITDA'!H183/'Quarterly Revenue&amp;EBITDA'!H68</f>
        <v>0.17390672275779354</v>
      </c>
      <c r="I68" s="45"/>
      <c r="J68" s="46">
        <f>'Quarterly Revenue&amp;EBITDA'!J183/'Quarterly Revenue&amp;EBITDA'!J68</f>
        <v>-3.7849405362843654E-2</v>
      </c>
      <c r="K68" s="45"/>
      <c r="L68" s="45"/>
      <c r="M68" s="45"/>
      <c r="N68" s="45"/>
      <c r="O68" s="48">
        <f>'Quarterly Revenue&amp;EBITDA'!O183/'Quarterly Revenue&amp;EBITDA'!O68</f>
        <v>0.16106955276141971</v>
      </c>
      <c r="P68" s="45"/>
      <c r="Q68" s="45"/>
      <c r="R68" s="46">
        <f>'Quarterly Revenue&amp;EBITDA'!R183/'Quarterly Revenue&amp;EBITDA'!R68</f>
        <v>0.17049381044601283</v>
      </c>
      <c r="S68" s="45"/>
      <c r="T68" s="45"/>
      <c r="U68" s="46">
        <f>'Quarterly Revenue&amp;EBITDA'!U183/'Quarterly Revenue&amp;EBITDA'!U68</f>
        <v>9.4450669005894904E-5</v>
      </c>
      <c r="V68" s="46"/>
      <c r="W68" s="46">
        <f>'Quarterly Revenue&amp;EBITDA'!W183/'Quarterly Revenue&amp;EBITDA'!W68</f>
        <v>0.18729587308631018</v>
      </c>
      <c r="X68" s="46"/>
      <c r="Y68" s="46"/>
      <c r="Z68" s="46"/>
      <c r="AA68" s="46"/>
      <c r="AB68" s="46"/>
      <c r="AC68" s="28"/>
    </row>
    <row r="69" spans="1:29" ht="13">
      <c r="A69" s="27" t="s">
        <v>94</v>
      </c>
      <c r="B69" s="45"/>
      <c r="C69" s="46">
        <f>'Quarterly Revenue&amp;EBITDA'!C184/'Quarterly Revenue&amp;EBITDA'!C69</f>
        <v>0.37248270576947368</v>
      </c>
      <c r="D69" s="46">
        <f>'Quarterly Revenue&amp;EBITDA'!D184/'Quarterly Revenue&amp;EBITDA'!D69</f>
        <v>0.16639759023771294</v>
      </c>
      <c r="E69" s="46">
        <f>'Quarterly Revenue&amp;EBITDA'!E184/'Quarterly Revenue&amp;EBITDA'!E69</f>
        <v>0.20227586601220951</v>
      </c>
      <c r="F69" s="46">
        <f>'Quarterly Revenue&amp;EBITDA'!F184/'Quarterly Revenue&amp;EBITDA'!F69</f>
        <v>0.34920634920634919</v>
      </c>
      <c r="G69" s="45"/>
      <c r="H69" s="46">
        <f>'Quarterly Revenue&amp;EBITDA'!H184/'Quarterly Revenue&amp;EBITDA'!H69</f>
        <v>0.17390672275779354</v>
      </c>
      <c r="I69" s="45"/>
      <c r="J69" s="46">
        <f>'Quarterly Revenue&amp;EBITDA'!J184/'Quarterly Revenue&amp;EBITDA'!J69</f>
        <v>-3.7849405362843654E-2</v>
      </c>
      <c r="K69" s="45"/>
      <c r="L69" s="45"/>
      <c r="M69" s="45"/>
      <c r="N69" s="45"/>
      <c r="O69" s="48">
        <f>'Quarterly Revenue&amp;EBITDA'!O184/'Quarterly Revenue&amp;EBITDA'!O69</f>
        <v>0.24230814760608246</v>
      </c>
      <c r="P69" s="45"/>
      <c r="Q69" s="45"/>
      <c r="R69" s="46">
        <f>'Quarterly Revenue&amp;EBITDA'!R184/'Quarterly Revenue&amp;EBITDA'!R69</f>
        <v>0.17049381044601283</v>
      </c>
      <c r="S69" s="45"/>
      <c r="T69" s="45"/>
      <c r="U69" s="46">
        <f>'Quarterly Revenue&amp;EBITDA'!U184/'Quarterly Revenue&amp;EBITDA'!U69</f>
        <v>9.4450669005894904E-5</v>
      </c>
      <c r="V69" s="46"/>
      <c r="W69" s="46">
        <f>'Quarterly Revenue&amp;EBITDA'!W184/'Quarterly Revenue&amp;EBITDA'!W69</f>
        <v>0.16777648072433277</v>
      </c>
      <c r="X69" s="46"/>
      <c r="Y69" s="46"/>
      <c r="Z69" s="46"/>
      <c r="AA69" s="46"/>
      <c r="AB69" s="46"/>
      <c r="AC69" s="28"/>
    </row>
    <row r="70" spans="1:29" ht="13">
      <c r="A70" s="27" t="s">
        <v>95</v>
      </c>
      <c r="B70" s="45"/>
      <c r="C70" s="46">
        <f>'Quarterly Revenue&amp;EBITDA'!C185/'Quarterly Revenue&amp;EBITDA'!C70</f>
        <v>0.37248270576947368</v>
      </c>
      <c r="D70" s="46">
        <f>'Quarterly Revenue&amp;EBITDA'!D185/'Quarterly Revenue&amp;EBITDA'!D70</f>
        <v>0.16639759023771294</v>
      </c>
      <c r="E70" s="46">
        <f>'Quarterly Revenue&amp;EBITDA'!E185/'Quarterly Revenue&amp;EBITDA'!E70</f>
        <v>0.20227586601220951</v>
      </c>
      <c r="F70" s="46">
        <f>'Quarterly Revenue&amp;EBITDA'!F185/'Quarterly Revenue&amp;EBITDA'!F70</f>
        <v>0.34920634920634919</v>
      </c>
      <c r="G70" s="45"/>
      <c r="H70" s="46">
        <f>'Quarterly Revenue&amp;EBITDA'!H185/'Quarterly Revenue&amp;EBITDA'!H70</f>
        <v>0.17390672275779354</v>
      </c>
      <c r="I70" s="45"/>
      <c r="J70" s="46">
        <f>'Quarterly Revenue&amp;EBITDA'!J185/'Quarterly Revenue&amp;EBITDA'!J70</f>
        <v>-3.7849405362843654E-2</v>
      </c>
      <c r="K70" s="45"/>
      <c r="L70" s="45"/>
      <c r="M70" s="45"/>
      <c r="N70" s="45"/>
      <c r="O70" s="48">
        <f>'Quarterly Revenue&amp;EBITDA'!O185/'Quarterly Revenue&amp;EBITDA'!O70</f>
        <v>0.24230814760608246</v>
      </c>
      <c r="P70" s="45"/>
      <c r="Q70" s="45"/>
      <c r="R70" s="46">
        <f>'Quarterly Revenue&amp;EBITDA'!R185/'Quarterly Revenue&amp;EBITDA'!R70</f>
        <v>0.17049381044601283</v>
      </c>
      <c r="S70" s="45"/>
      <c r="T70" s="45"/>
      <c r="U70" s="46">
        <f>'Quarterly Revenue&amp;EBITDA'!U185/'Quarterly Revenue&amp;EBITDA'!U70</f>
        <v>9.4450669005894904E-5</v>
      </c>
      <c r="V70" s="46"/>
      <c r="W70" s="46">
        <f>'Quarterly Revenue&amp;EBITDA'!W185/'Quarterly Revenue&amp;EBITDA'!W70</f>
        <v>0.16777648072433277</v>
      </c>
      <c r="X70" s="46"/>
      <c r="Y70" s="46"/>
      <c r="Z70" s="46"/>
      <c r="AA70" s="46"/>
      <c r="AB70" s="46"/>
      <c r="AC70" s="28"/>
    </row>
    <row r="71" spans="1:29" ht="13">
      <c r="A71" s="27" t="s">
        <v>96</v>
      </c>
      <c r="B71" s="45"/>
      <c r="C71" s="46">
        <f>'Quarterly Revenue&amp;EBITDA'!C186/'Quarterly Revenue&amp;EBITDA'!C71</f>
        <v>0.38866894946689584</v>
      </c>
      <c r="D71" s="46">
        <f>'Quarterly Revenue&amp;EBITDA'!D186/'Quarterly Revenue&amp;EBITDA'!D71</f>
        <v>0.16142403424317059</v>
      </c>
      <c r="E71" s="46">
        <f>'Quarterly Revenue&amp;EBITDA'!E186/'Quarterly Revenue&amp;EBITDA'!E71</f>
        <v>4.2634422528032194E-3</v>
      </c>
      <c r="F71" s="46">
        <f>'Quarterly Revenue&amp;EBITDA'!F186/'Quarterly Revenue&amp;EBITDA'!F71</f>
        <v>0.32825040128410915</v>
      </c>
      <c r="G71" s="46">
        <f>'Quarterly Revenue&amp;EBITDA'!G186/'Quarterly Revenue&amp;EBITDA'!G71</f>
        <v>-8.7069975503248484E-4</v>
      </c>
      <c r="H71" s="46">
        <f>'Quarterly Revenue&amp;EBITDA'!H186/'Quarterly Revenue&amp;EBITDA'!H71</f>
        <v>0.17390672275779354</v>
      </c>
      <c r="I71" s="45"/>
      <c r="J71" s="46">
        <f>'Quarterly Revenue&amp;EBITDA'!J186/'Quarterly Revenue&amp;EBITDA'!J71</f>
        <v>-3.7849405362843654E-2</v>
      </c>
      <c r="K71" s="45"/>
      <c r="L71" s="45"/>
      <c r="M71" s="45"/>
      <c r="N71" s="46"/>
      <c r="O71" s="48">
        <f>'Quarterly Revenue&amp;EBITDA'!O186/'Quarterly Revenue&amp;EBITDA'!O71</f>
        <v>0.24230814760608246</v>
      </c>
      <c r="P71" s="45"/>
      <c r="Q71" s="45"/>
      <c r="R71" s="46">
        <f>'Quarterly Revenue&amp;EBITDA'!R186/'Quarterly Revenue&amp;EBITDA'!R71</f>
        <v>0.16228559260774303</v>
      </c>
      <c r="S71" s="45"/>
      <c r="T71" s="45"/>
      <c r="U71" s="46">
        <f>'Quarterly Revenue&amp;EBITDA'!U186/'Quarterly Revenue&amp;EBITDA'!U71</f>
        <v>4.7811872657608792E-2</v>
      </c>
      <c r="V71" s="46"/>
      <c r="W71" s="46">
        <f>'Quarterly Revenue&amp;EBITDA'!W186/'Quarterly Revenue&amp;EBITDA'!W71</f>
        <v>0.16777648072433277</v>
      </c>
      <c r="X71" s="46">
        <f>'Quarterly Revenue&amp;EBITDA'!X186/'Quarterly Revenue&amp;EBITDA'!X71</f>
        <v>0.14231511907584946</v>
      </c>
      <c r="Y71" s="46"/>
      <c r="Z71" s="46">
        <f>'Quarterly Revenue&amp;EBITDA'!Z186/'Quarterly Revenue&amp;EBITDA'!Z71</f>
        <v>5.7683139996821862E-2</v>
      </c>
      <c r="AA71" s="46"/>
      <c r="AB71" s="46"/>
      <c r="AC71" s="28"/>
    </row>
    <row r="72" spans="1:29" ht="13">
      <c r="A72" s="27" t="s">
        <v>97</v>
      </c>
      <c r="B72" s="45"/>
      <c r="C72" s="46">
        <f>'Quarterly Revenue&amp;EBITDA'!C187/'Quarterly Revenue&amp;EBITDA'!C72</f>
        <v>0.38866894946689584</v>
      </c>
      <c r="D72" s="46">
        <f>'Quarterly Revenue&amp;EBITDA'!D187/'Quarterly Revenue&amp;EBITDA'!D72</f>
        <v>0.16142403424317059</v>
      </c>
      <c r="E72" s="46">
        <f>'Quarterly Revenue&amp;EBITDA'!E187/'Quarterly Revenue&amp;EBITDA'!E72</f>
        <v>4.2634422528032194E-3</v>
      </c>
      <c r="F72" s="46">
        <f>'Quarterly Revenue&amp;EBITDA'!F187/'Quarterly Revenue&amp;EBITDA'!F72</f>
        <v>0.32825040128410915</v>
      </c>
      <c r="G72" s="46">
        <f>'Quarterly Revenue&amp;EBITDA'!G187/'Quarterly Revenue&amp;EBITDA'!G72</f>
        <v>-8.7069975503248484E-4</v>
      </c>
      <c r="H72" s="46">
        <f>'Quarterly Revenue&amp;EBITDA'!H187/'Quarterly Revenue&amp;EBITDA'!H72</f>
        <v>0.74097493305803785</v>
      </c>
      <c r="I72" s="45"/>
      <c r="J72" s="46">
        <f>'Quarterly Revenue&amp;EBITDA'!J187/'Quarterly Revenue&amp;EBITDA'!J72</f>
        <v>-2.1576294028584263E-2</v>
      </c>
      <c r="K72" s="45"/>
      <c r="L72" s="45"/>
      <c r="M72" s="45"/>
      <c r="N72" s="46"/>
      <c r="O72" s="48">
        <f>'Quarterly Revenue&amp;EBITDA'!O187/'Quarterly Revenue&amp;EBITDA'!O72</f>
        <v>0.24230814760608246</v>
      </c>
      <c r="P72" s="45"/>
      <c r="Q72" s="45"/>
      <c r="R72" s="46">
        <f>'Quarterly Revenue&amp;EBITDA'!R187/'Quarterly Revenue&amp;EBITDA'!R72</f>
        <v>0.16228559260774303</v>
      </c>
      <c r="S72" s="45"/>
      <c r="T72" s="45"/>
      <c r="U72" s="46">
        <f>'Quarterly Revenue&amp;EBITDA'!U187/'Quarterly Revenue&amp;EBITDA'!U72</f>
        <v>4.7811872657608792E-2</v>
      </c>
      <c r="V72" s="46"/>
      <c r="W72" s="46">
        <f>'Quarterly Revenue&amp;EBITDA'!W187/'Quarterly Revenue&amp;EBITDA'!W72</f>
        <v>0.16777648072433277</v>
      </c>
      <c r="X72" s="46">
        <f>'Quarterly Revenue&amp;EBITDA'!X187/'Quarterly Revenue&amp;EBITDA'!X72</f>
        <v>0.14231511907584946</v>
      </c>
      <c r="Y72" s="46"/>
      <c r="Z72" s="46">
        <f>'Quarterly Revenue&amp;EBITDA'!Z187/'Quarterly Revenue&amp;EBITDA'!Z72</f>
        <v>5.7683139996821862E-2</v>
      </c>
      <c r="AA72" s="46"/>
      <c r="AB72" s="46"/>
      <c r="AC72" s="28"/>
    </row>
    <row r="73" spans="1:29" ht="13">
      <c r="A73" s="27" t="s">
        <v>98</v>
      </c>
      <c r="B73" s="45"/>
      <c r="C73" s="46">
        <f>'Quarterly Revenue&amp;EBITDA'!C188/'Quarterly Revenue&amp;EBITDA'!C73</f>
        <v>0.38866894946689584</v>
      </c>
      <c r="D73" s="46">
        <f>'Quarterly Revenue&amp;EBITDA'!D188/'Quarterly Revenue&amp;EBITDA'!D73</f>
        <v>0.16142403424317059</v>
      </c>
      <c r="E73" s="46">
        <f>'Quarterly Revenue&amp;EBITDA'!E188/'Quarterly Revenue&amp;EBITDA'!E73</f>
        <v>4.2634422528032194E-3</v>
      </c>
      <c r="F73" s="46">
        <f>'Quarterly Revenue&amp;EBITDA'!F188/'Quarterly Revenue&amp;EBITDA'!F73</f>
        <v>0.32825040128410915</v>
      </c>
      <c r="G73" s="46">
        <f>'Quarterly Revenue&amp;EBITDA'!G188/'Quarterly Revenue&amp;EBITDA'!G73</f>
        <v>-8.7069975503248484E-4</v>
      </c>
      <c r="H73" s="46">
        <f>'Quarterly Revenue&amp;EBITDA'!H188/'Quarterly Revenue&amp;EBITDA'!H73</f>
        <v>0.74097493305803785</v>
      </c>
      <c r="I73" s="45"/>
      <c r="J73" s="46">
        <f>'Quarterly Revenue&amp;EBITDA'!J188/'Quarterly Revenue&amp;EBITDA'!J73</f>
        <v>-2.1576294028584263E-2</v>
      </c>
      <c r="K73" s="45"/>
      <c r="L73" s="45"/>
      <c r="M73" s="45"/>
      <c r="N73" s="46"/>
      <c r="O73" s="48">
        <f>'Quarterly Revenue&amp;EBITDA'!O188/'Quarterly Revenue&amp;EBITDA'!O73</f>
        <v>0.247240497475465</v>
      </c>
      <c r="P73" s="45"/>
      <c r="Q73" s="45"/>
      <c r="R73" s="46">
        <f>'Quarterly Revenue&amp;EBITDA'!R188/'Quarterly Revenue&amp;EBITDA'!R73</f>
        <v>0.16228559260774303</v>
      </c>
      <c r="S73" s="45"/>
      <c r="T73" s="45"/>
      <c r="U73" s="46">
        <f>'Quarterly Revenue&amp;EBITDA'!U188/'Quarterly Revenue&amp;EBITDA'!U73</f>
        <v>4.7811872657608792E-2</v>
      </c>
      <c r="V73" s="46"/>
      <c r="W73" s="46">
        <f>'Quarterly Revenue&amp;EBITDA'!W188/'Quarterly Revenue&amp;EBITDA'!W73</f>
        <v>0.23327945651623025</v>
      </c>
      <c r="X73" s="46">
        <f>'Quarterly Revenue&amp;EBITDA'!X188/'Quarterly Revenue&amp;EBITDA'!X73</f>
        <v>0.14231511907584946</v>
      </c>
      <c r="Y73" s="46"/>
      <c r="Z73" s="46">
        <f>'Quarterly Revenue&amp;EBITDA'!Z188/'Quarterly Revenue&amp;EBITDA'!Z73</f>
        <v>5.7683139996821862E-2</v>
      </c>
      <c r="AA73" s="46"/>
      <c r="AB73" s="46"/>
      <c r="AC73" s="28"/>
    </row>
    <row r="74" spans="1:29" ht="13">
      <c r="A74" s="27" t="s">
        <v>99</v>
      </c>
      <c r="B74" s="45"/>
      <c r="C74" s="46">
        <f>'Quarterly Revenue&amp;EBITDA'!C189/'Quarterly Revenue&amp;EBITDA'!C74</f>
        <v>0.38866894946689584</v>
      </c>
      <c r="D74" s="46">
        <f>'Quarterly Revenue&amp;EBITDA'!D189/'Quarterly Revenue&amp;EBITDA'!D74</f>
        <v>0.16142403424317059</v>
      </c>
      <c r="E74" s="46">
        <f>'Quarterly Revenue&amp;EBITDA'!E189/'Quarterly Revenue&amp;EBITDA'!E74</f>
        <v>4.2634422528032194E-3</v>
      </c>
      <c r="F74" s="46">
        <f>'Quarterly Revenue&amp;EBITDA'!F189/'Quarterly Revenue&amp;EBITDA'!F74</f>
        <v>0.32825040128410915</v>
      </c>
      <c r="G74" s="46">
        <f>'Quarterly Revenue&amp;EBITDA'!G189/'Quarterly Revenue&amp;EBITDA'!G74</f>
        <v>-8.7069975503248484E-4</v>
      </c>
      <c r="H74" s="46">
        <f>'Quarterly Revenue&amp;EBITDA'!H189/'Quarterly Revenue&amp;EBITDA'!H74</f>
        <v>0.63362260863954578</v>
      </c>
      <c r="I74" s="45"/>
      <c r="J74" s="46">
        <f>'Quarterly Revenue&amp;EBITDA'!J189/'Quarterly Revenue&amp;EBITDA'!J74</f>
        <v>-2.1576294028584263E-2</v>
      </c>
      <c r="K74" s="45"/>
      <c r="L74" s="45"/>
      <c r="M74" s="45"/>
      <c r="N74" s="46"/>
      <c r="O74" s="48">
        <f>'Quarterly Revenue&amp;EBITDA'!O189/'Quarterly Revenue&amp;EBITDA'!O74</f>
        <v>0.247240497475465</v>
      </c>
      <c r="P74" s="45"/>
      <c r="Q74" s="45"/>
      <c r="R74" s="46">
        <f>'Quarterly Revenue&amp;EBITDA'!R189/'Quarterly Revenue&amp;EBITDA'!R74</f>
        <v>0.16228559260774303</v>
      </c>
      <c r="S74" s="45"/>
      <c r="T74" s="45"/>
      <c r="U74" s="46">
        <f>'Quarterly Revenue&amp;EBITDA'!U189/'Quarterly Revenue&amp;EBITDA'!U74</f>
        <v>4.7811872657608792E-2</v>
      </c>
      <c r="V74" s="46"/>
      <c r="W74" s="46">
        <f>'Quarterly Revenue&amp;EBITDA'!W189/'Quarterly Revenue&amp;EBITDA'!W74</f>
        <v>0.23327945651623025</v>
      </c>
      <c r="X74" s="46">
        <f>'Quarterly Revenue&amp;EBITDA'!X189/'Quarterly Revenue&amp;EBITDA'!X74</f>
        <v>0.14231511907584946</v>
      </c>
      <c r="Y74" s="46"/>
      <c r="Z74" s="46">
        <f>'Quarterly Revenue&amp;EBITDA'!Z189/'Quarterly Revenue&amp;EBITDA'!Z74</f>
        <v>5.7683139996821862E-2</v>
      </c>
      <c r="AA74" s="46"/>
      <c r="AB74" s="46"/>
      <c r="AC74" s="28"/>
    </row>
    <row r="75" spans="1:29" ht="13">
      <c r="A75" s="27" t="s">
        <v>100</v>
      </c>
      <c r="B75" s="46">
        <f>'Quarterly Revenue&amp;EBITDA'!B190/'Quarterly Revenue&amp;EBITDA'!B75</f>
        <v>-0.13459356002615769</v>
      </c>
      <c r="C75" s="46">
        <f>'Quarterly Revenue&amp;EBITDA'!C190/'Quarterly Revenue&amp;EBITDA'!C75</f>
        <v>0.38284973732074862</v>
      </c>
      <c r="D75" s="46">
        <f>'Quarterly Revenue&amp;EBITDA'!D190/'Quarterly Revenue&amp;EBITDA'!D75</f>
        <v>0.13701312452630773</v>
      </c>
      <c r="E75" s="46">
        <f>'Quarterly Revenue&amp;EBITDA'!E190/'Quarterly Revenue&amp;EBITDA'!E75</f>
        <v>6.3982953922694583E-2</v>
      </c>
      <c r="F75" s="46">
        <f>'Quarterly Revenue&amp;EBITDA'!F190/'Quarterly Revenue&amp;EBITDA'!F75</f>
        <v>0.21782841823056301</v>
      </c>
      <c r="G75" s="46">
        <f>'Quarterly Revenue&amp;EBITDA'!G190/'Quarterly Revenue&amp;EBITDA'!G75</f>
        <v>-3.0485135585737465E-2</v>
      </c>
      <c r="H75" s="46">
        <f>'Quarterly Revenue&amp;EBITDA'!H190/'Quarterly Revenue&amp;EBITDA'!H75</f>
        <v>0.63362260863954578</v>
      </c>
      <c r="I75" s="46">
        <f>'Quarterly Revenue&amp;EBITDA'!I190/'Quarterly Revenue&amp;EBITDA'!I75</f>
        <v>-9.468095449253161E-2</v>
      </c>
      <c r="J75" s="46">
        <f>'Quarterly Revenue&amp;EBITDA'!J190/'Quarterly Revenue&amp;EBITDA'!J75</f>
        <v>-2.1576294028584263E-2</v>
      </c>
      <c r="K75" s="45"/>
      <c r="L75" s="45"/>
      <c r="M75" s="45"/>
      <c r="N75" s="46"/>
      <c r="O75" s="48">
        <f>'Quarterly Revenue&amp;EBITDA'!O190/'Quarterly Revenue&amp;EBITDA'!O75</f>
        <v>0.247240497475465</v>
      </c>
      <c r="P75" s="45"/>
      <c r="Q75" s="45"/>
      <c r="R75" s="46">
        <f>'Quarterly Revenue&amp;EBITDA'!R190/'Quarterly Revenue&amp;EBITDA'!R75</f>
        <v>-4.3765197526458868E-2</v>
      </c>
      <c r="S75" s="45"/>
      <c r="T75" s="45"/>
      <c r="U75" s="46"/>
      <c r="V75" s="46"/>
      <c r="W75" s="46">
        <f>'Quarterly Revenue&amp;EBITDA'!W190/'Quarterly Revenue&amp;EBITDA'!W75</f>
        <v>0.23327945651623025</v>
      </c>
      <c r="X75" s="46">
        <f>'Quarterly Revenue&amp;EBITDA'!X190/'Quarterly Revenue&amp;EBITDA'!X75</f>
        <v>0.10000181904172882</v>
      </c>
      <c r="Y75" s="46">
        <f>'Quarterly Revenue&amp;EBITDA'!Y190/'Quarterly Revenue&amp;EBITDA'!Y75</f>
        <v>0.32803180914512925</v>
      </c>
      <c r="Z75" s="46">
        <f>'Quarterly Revenue&amp;EBITDA'!Z190/'Quarterly Revenue&amp;EBITDA'!Z75</f>
        <v>2.3289279793700497E-2</v>
      </c>
      <c r="AA75" s="46"/>
      <c r="AB75" s="46"/>
      <c r="AC75" s="28"/>
    </row>
    <row r="76" spans="1:29" ht="13">
      <c r="A76" s="27" t="s">
        <v>101</v>
      </c>
      <c r="B76" s="46">
        <f>'Quarterly Revenue&amp;EBITDA'!B191/'Quarterly Revenue&amp;EBITDA'!B76</f>
        <v>-0.13459356002615769</v>
      </c>
      <c r="C76" s="46">
        <f>'Quarterly Revenue&amp;EBITDA'!C191/'Quarterly Revenue&amp;EBITDA'!C76</f>
        <v>0.38284973732074862</v>
      </c>
      <c r="D76" s="46">
        <f>'Quarterly Revenue&amp;EBITDA'!D191/'Quarterly Revenue&amp;EBITDA'!D76</f>
        <v>0.13701312452630773</v>
      </c>
      <c r="E76" s="46">
        <f>'Quarterly Revenue&amp;EBITDA'!E191/'Quarterly Revenue&amp;EBITDA'!E76</f>
        <v>6.3982953922694583E-2</v>
      </c>
      <c r="F76" s="46">
        <f>'Quarterly Revenue&amp;EBITDA'!F191/'Quarterly Revenue&amp;EBITDA'!F76</f>
        <v>0.21782841823056301</v>
      </c>
      <c r="G76" s="46">
        <f>'Quarterly Revenue&amp;EBITDA'!G191/'Quarterly Revenue&amp;EBITDA'!G76</f>
        <v>-3.0485135585737465E-2</v>
      </c>
      <c r="H76" s="46">
        <f>'Quarterly Revenue&amp;EBITDA'!H191/'Quarterly Revenue&amp;EBITDA'!H76</f>
        <v>0.18619457885236701</v>
      </c>
      <c r="I76" s="46">
        <f>'Quarterly Revenue&amp;EBITDA'!I191/'Quarterly Revenue&amp;EBITDA'!I76</f>
        <v>-9.468095449253161E-2</v>
      </c>
      <c r="J76" s="46">
        <f>'Quarterly Revenue&amp;EBITDA'!J191/'Quarterly Revenue&amp;EBITDA'!J76</f>
        <v>-0.16472640535440919</v>
      </c>
      <c r="K76" s="45"/>
      <c r="L76" s="45"/>
      <c r="M76" s="45"/>
      <c r="N76" s="46"/>
      <c r="O76" s="48">
        <f>'Quarterly Revenue&amp;EBITDA'!O191/'Quarterly Revenue&amp;EBITDA'!O76</f>
        <v>0.247240497475465</v>
      </c>
      <c r="P76" s="45"/>
      <c r="Q76" s="45"/>
      <c r="R76" s="46">
        <f>'Quarterly Revenue&amp;EBITDA'!R191/'Quarterly Revenue&amp;EBITDA'!R76</f>
        <v>-4.3765197526458868E-2</v>
      </c>
      <c r="S76" s="45"/>
      <c r="T76" s="45"/>
      <c r="U76" s="46"/>
      <c r="V76" s="46"/>
      <c r="W76" s="46">
        <f>'Quarterly Revenue&amp;EBITDA'!W191/'Quarterly Revenue&amp;EBITDA'!W76</f>
        <v>0.23327945651623025</v>
      </c>
      <c r="X76" s="46">
        <f>'Quarterly Revenue&amp;EBITDA'!X191/'Quarterly Revenue&amp;EBITDA'!X76</f>
        <v>0.10000181904172882</v>
      </c>
      <c r="Y76" s="46">
        <f>'Quarterly Revenue&amp;EBITDA'!Y191/'Quarterly Revenue&amp;EBITDA'!Y76</f>
        <v>0.32803180914512925</v>
      </c>
      <c r="Z76" s="46">
        <f>'Quarterly Revenue&amp;EBITDA'!Z191/'Quarterly Revenue&amp;EBITDA'!Z76</f>
        <v>2.3289279793700497E-2</v>
      </c>
      <c r="AA76" s="46"/>
      <c r="AB76" s="46"/>
      <c r="AC76" s="28"/>
    </row>
    <row r="77" spans="1:29" ht="13">
      <c r="A77" s="27" t="s">
        <v>102</v>
      </c>
      <c r="B77" s="46">
        <f>'Quarterly Revenue&amp;EBITDA'!B192/'Quarterly Revenue&amp;EBITDA'!B77</f>
        <v>-0.13459356002615769</v>
      </c>
      <c r="C77" s="46">
        <f>'Quarterly Revenue&amp;EBITDA'!C192/'Quarterly Revenue&amp;EBITDA'!C77</f>
        <v>0.38284973732074862</v>
      </c>
      <c r="D77" s="46">
        <f>'Quarterly Revenue&amp;EBITDA'!D192/'Quarterly Revenue&amp;EBITDA'!D77</f>
        <v>0.13701312452630773</v>
      </c>
      <c r="E77" s="46">
        <f>'Quarterly Revenue&amp;EBITDA'!E192/'Quarterly Revenue&amp;EBITDA'!E77</f>
        <v>6.3982953922694583E-2</v>
      </c>
      <c r="F77" s="46">
        <f>'Quarterly Revenue&amp;EBITDA'!F192/'Quarterly Revenue&amp;EBITDA'!F77</f>
        <v>0.21782841823056301</v>
      </c>
      <c r="G77" s="46">
        <f>'Quarterly Revenue&amp;EBITDA'!G192/'Quarterly Revenue&amp;EBITDA'!G77</f>
        <v>-3.0485135585737465E-2</v>
      </c>
      <c r="H77" s="46">
        <f>'Quarterly Revenue&amp;EBITDA'!H192/'Quarterly Revenue&amp;EBITDA'!H77</f>
        <v>0.18619457885236701</v>
      </c>
      <c r="I77" s="46">
        <f>'Quarterly Revenue&amp;EBITDA'!I192/'Quarterly Revenue&amp;EBITDA'!I77</f>
        <v>-9.468095449253161E-2</v>
      </c>
      <c r="J77" s="46">
        <f>'Quarterly Revenue&amp;EBITDA'!J192/'Quarterly Revenue&amp;EBITDA'!J77</f>
        <v>-0.16472640535440919</v>
      </c>
      <c r="K77" s="45"/>
      <c r="L77" s="45"/>
      <c r="M77" s="45"/>
      <c r="N77" s="46"/>
      <c r="O77" s="48">
        <f>'Quarterly Revenue&amp;EBITDA'!O192/'Quarterly Revenue&amp;EBITDA'!O77</f>
        <v>0.23793539387070056</v>
      </c>
      <c r="P77" s="45"/>
      <c r="Q77" s="45"/>
      <c r="R77" s="46">
        <f>'Quarterly Revenue&amp;EBITDA'!R192/'Quarterly Revenue&amp;EBITDA'!R77</f>
        <v>-4.3765197526458868E-2</v>
      </c>
      <c r="S77" s="45"/>
      <c r="T77" s="45"/>
      <c r="U77" s="46"/>
      <c r="V77" s="46"/>
      <c r="W77" s="46">
        <f>'Quarterly Revenue&amp;EBITDA'!W192/'Quarterly Revenue&amp;EBITDA'!W77</f>
        <v>0.16107943635041388</v>
      </c>
      <c r="X77" s="46">
        <f>'Quarterly Revenue&amp;EBITDA'!X192/'Quarterly Revenue&amp;EBITDA'!X77</f>
        <v>0.10000181904172882</v>
      </c>
      <c r="Y77" s="46">
        <f>'Quarterly Revenue&amp;EBITDA'!Y192/'Quarterly Revenue&amp;EBITDA'!Y77</f>
        <v>0.32803180914512925</v>
      </c>
      <c r="Z77" s="46">
        <f>'Quarterly Revenue&amp;EBITDA'!Z192/'Quarterly Revenue&amp;EBITDA'!Z77</f>
        <v>2.3289279793700497E-2</v>
      </c>
      <c r="AA77" s="46"/>
      <c r="AB77" s="46"/>
      <c r="AC77" s="28"/>
    </row>
    <row r="78" spans="1:29" ht="13">
      <c r="A78" s="27" t="s">
        <v>103</v>
      </c>
      <c r="B78" s="46">
        <f>'Quarterly Revenue&amp;EBITDA'!B193/'Quarterly Revenue&amp;EBITDA'!B78</f>
        <v>-0.13459356002615769</v>
      </c>
      <c r="C78" s="46">
        <f>'Quarterly Revenue&amp;EBITDA'!C193/'Quarterly Revenue&amp;EBITDA'!C78</f>
        <v>0.38284973732074862</v>
      </c>
      <c r="D78" s="46">
        <f>'Quarterly Revenue&amp;EBITDA'!D193/'Quarterly Revenue&amp;EBITDA'!D78</f>
        <v>0.13701312452630773</v>
      </c>
      <c r="E78" s="46">
        <f>'Quarterly Revenue&amp;EBITDA'!E193/'Quarterly Revenue&amp;EBITDA'!E78</f>
        <v>6.3982953922694583E-2</v>
      </c>
      <c r="F78" s="46">
        <f>'Quarterly Revenue&amp;EBITDA'!F193/'Quarterly Revenue&amp;EBITDA'!F78</f>
        <v>0.21782841823056301</v>
      </c>
      <c r="G78" s="46">
        <f>'Quarterly Revenue&amp;EBITDA'!G193/'Quarterly Revenue&amp;EBITDA'!G78</f>
        <v>-3.0485135585737465E-2</v>
      </c>
      <c r="H78" s="46">
        <f>'Quarterly Revenue&amp;EBITDA'!H193/'Quarterly Revenue&amp;EBITDA'!H78</f>
        <v>0.18619457885236701</v>
      </c>
      <c r="I78" s="46">
        <f>'Quarterly Revenue&amp;EBITDA'!I193/'Quarterly Revenue&amp;EBITDA'!I78</f>
        <v>-9.468095449253161E-2</v>
      </c>
      <c r="J78" s="46">
        <f>'Quarterly Revenue&amp;EBITDA'!J193/'Quarterly Revenue&amp;EBITDA'!J78</f>
        <v>-0.16472640535440919</v>
      </c>
      <c r="K78" s="45"/>
      <c r="L78" s="45"/>
      <c r="M78" s="45"/>
      <c r="N78" s="46"/>
      <c r="O78" s="48">
        <f>'Quarterly Revenue&amp;EBITDA'!O193/'Quarterly Revenue&amp;EBITDA'!O78</f>
        <v>0.23793539387070056</v>
      </c>
      <c r="P78" s="45"/>
      <c r="Q78" s="45"/>
      <c r="R78" s="46">
        <f>'Quarterly Revenue&amp;EBITDA'!R193/'Quarterly Revenue&amp;EBITDA'!R78</f>
        <v>-4.3765197526458868E-2</v>
      </c>
      <c r="S78" s="45"/>
      <c r="T78" s="45"/>
      <c r="U78" s="46"/>
      <c r="V78" s="46"/>
      <c r="W78" s="46">
        <f>'Quarterly Revenue&amp;EBITDA'!W193/'Quarterly Revenue&amp;EBITDA'!W78</f>
        <v>0.16107943635041388</v>
      </c>
      <c r="X78" s="46">
        <f>'Quarterly Revenue&amp;EBITDA'!X193/'Quarterly Revenue&amp;EBITDA'!X78</f>
        <v>0.10000181904172882</v>
      </c>
      <c r="Y78" s="46">
        <f>'Quarterly Revenue&amp;EBITDA'!Y193/'Quarterly Revenue&amp;EBITDA'!Y78</f>
        <v>0.32803180914512925</v>
      </c>
      <c r="Z78" s="46">
        <f>'Quarterly Revenue&amp;EBITDA'!Z193/'Quarterly Revenue&amp;EBITDA'!Z78</f>
        <v>2.3289279793700497E-2</v>
      </c>
      <c r="AA78" s="46"/>
      <c r="AB78" s="46"/>
      <c r="AC78" s="28"/>
    </row>
    <row r="79" spans="1:29" ht="13">
      <c r="A79" s="27" t="s">
        <v>104</v>
      </c>
      <c r="B79" s="46">
        <f>'Quarterly Revenue&amp;EBITDA'!B194/'Quarterly Revenue&amp;EBITDA'!B79</f>
        <v>-8.033035028292268E-2</v>
      </c>
      <c r="C79" s="46">
        <f ca="1">'Quarterly Revenue&amp;EBITDA'!C194/'Quarterly Revenue&amp;EBITDA'!C79</f>
        <v>0.21438221601489757</v>
      </c>
      <c r="D79" s="46">
        <f ca="1">'Quarterly Revenue&amp;EBITDA'!D194/'Quarterly Revenue&amp;EBITDA'!D79</f>
        <v>-8.9810924369747899E-2</v>
      </c>
      <c r="E79" s="46">
        <f ca="1">'Quarterly Revenue&amp;EBITDA'!E194/'Quarterly Revenue&amp;EBITDA'!E79</f>
        <v>-0.33577712609970672</v>
      </c>
      <c r="F79" s="46">
        <f ca="1">'Quarterly Revenue&amp;EBITDA'!F194/'Quarterly Revenue&amp;EBITDA'!F79</f>
        <v>0.10795454545454546</v>
      </c>
      <c r="G79" s="46">
        <f ca="1">'Quarterly Revenue&amp;EBITDA'!G194/'Quarterly Revenue&amp;EBITDA'!G79</f>
        <v>1.737766624843162E-3</v>
      </c>
      <c r="H79" s="46">
        <f>'Quarterly Revenue&amp;EBITDA'!H194/'Quarterly Revenue&amp;EBITDA'!H79</f>
        <v>0.18619457885236701</v>
      </c>
      <c r="I79" s="46">
        <f ca="1">'Quarterly Revenue&amp;EBITDA'!I194/'Quarterly Revenue&amp;EBITDA'!I79</f>
        <v>2.0115789473684212E-2</v>
      </c>
      <c r="J79" s="46">
        <f ca="1">'Quarterly Revenue&amp;EBITDA'!J194/'Quarterly Revenue&amp;EBITDA'!J79</f>
        <v>-0.5663636363636364</v>
      </c>
      <c r="K79" s="46"/>
      <c r="L79" s="46">
        <f ca="1">'Quarterly Revenue&amp;EBITDA'!L194/'Quarterly Revenue&amp;EBITDA'!L79</f>
        <v>0.37474075489502207</v>
      </c>
      <c r="M79" s="45"/>
      <c r="N79" s="46">
        <f ca="1">'Quarterly Revenue&amp;EBITDA'!N194/'Quarterly Revenue&amp;EBITDA'!N79</f>
        <v>-1.0603415559772296</v>
      </c>
      <c r="O79" s="48">
        <f>'Quarterly Revenue&amp;EBITDA'!O194/'Quarterly Revenue&amp;EBITDA'!O79</f>
        <v>0.23793539387070056</v>
      </c>
      <c r="P79" s="45"/>
      <c r="Q79" s="45"/>
      <c r="R79" s="46">
        <f>'Quarterly Revenue&amp;EBITDA'!R194/'Quarterly Revenue&amp;EBITDA'!R79</f>
        <v>8.9965975290370787E-2</v>
      </c>
      <c r="S79" s="45"/>
      <c r="T79" s="45"/>
      <c r="U79" s="46"/>
      <c r="V79" s="46"/>
      <c r="W79" s="46">
        <f>'Quarterly Revenue&amp;EBITDA'!W194/'Quarterly Revenue&amp;EBITDA'!W79</f>
        <v>0.16107943635041388</v>
      </c>
      <c r="X79" s="46">
        <f>'Quarterly Revenue&amp;EBITDA'!X194/'Quarterly Revenue&amp;EBITDA'!X79</f>
        <v>0.10717240421111132</v>
      </c>
      <c r="Y79" s="46">
        <f>'Quarterly Revenue&amp;EBITDA'!Y194/'Quarterly Revenue&amp;EBITDA'!Y79</f>
        <v>0.34304600026979631</v>
      </c>
      <c r="Z79" s="46">
        <f>'Quarterly Revenue&amp;EBITDA'!Z194/'Quarterly Revenue&amp;EBITDA'!Z79</f>
        <v>1.9011545546847926E-2</v>
      </c>
      <c r="AA79" s="46"/>
      <c r="AB79" s="46">
        <f>'Quarterly Revenue&amp;EBITDA'!AB194/'Quarterly Revenue&amp;EBITDA'!AB79</f>
        <v>-0.71414929472493627</v>
      </c>
      <c r="AC79" s="28"/>
    </row>
    <row r="80" spans="1:29" ht="13">
      <c r="A80" s="27" t="s">
        <v>105</v>
      </c>
      <c r="B80" s="46">
        <f>'Quarterly Revenue&amp;EBITDA'!B195/'Quarterly Revenue&amp;EBITDA'!B80</f>
        <v>-8.033035028292268E-2</v>
      </c>
      <c r="C80" s="46">
        <f ca="1">'Quarterly Revenue&amp;EBITDA'!C195/'Quarterly Revenue&amp;EBITDA'!C80</f>
        <v>0.27094992175273863</v>
      </c>
      <c r="D80" s="46">
        <f ca="1">'Quarterly Revenue&amp;EBITDA'!D195/'Quarterly Revenue&amp;EBITDA'!D80</f>
        <v>-5.5532786885245907E-3</v>
      </c>
      <c r="E80" s="46">
        <f ca="1">'Quarterly Revenue&amp;EBITDA'!E195/'Quarterly Revenue&amp;EBITDA'!E80</f>
        <v>-9.6491228070175433E-2</v>
      </c>
      <c r="F80" s="46">
        <f ca="1">'Quarterly Revenue&amp;EBITDA'!F195/'Quarterly Revenue&amp;EBITDA'!F80</f>
        <v>0.11508951406649616</v>
      </c>
      <c r="G80" s="46">
        <f ca="1">'Quarterly Revenue&amp;EBITDA'!G195/'Quarterly Revenue&amp;EBITDA'!G80</f>
        <v>-0.27932960893854747</v>
      </c>
      <c r="H80" s="46">
        <f>'Quarterly Revenue&amp;EBITDA'!H195/'Quarterly Revenue&amp;EBITDA'!H80</f>
        <v>0.20563068908176899</v>
      </c>
      <c r="I80" s="46">
        <f ca="1">'Quarterly Revenue&amp;EBITDA'!I195/'Quarterly Revenue&amp;EBITDA'!I80</f>
        <v>2.3808080808080809E-2</v>
      </c>
      <c r="J80" s="46">
        <f ca="1">'Quarterly Revenue&amp;EBITDA'!J195/'Quarterly Revenue&amp;EBITDA'!J80</f>
        <v>-0.11818181818181819</v>
      </c>
      <c r="K80" s="45"/>
      <c r="L80" s="46">
        <f ca="1">'Quarterly Revenue&amp;EBITDA'!L195/'Quarterly Revenue&amp;EBITDA'!L80</f>
        <v>0.49884747218501341</v>
      </c>
      <c r="M80" s="45"/>
      <c r="N80" s="46">
        <f ca="1">'Quarterly Revenue&amp;EBITDA'!N195/'Quarterly Revenue&amp;EBITDA'!N80</f>
        <v>-0.55168236877523547</v>
      </c>
      <c r="O80" s="48">
        <f>'Quarterly Revenue&amp;EBITDA'!O195/'Quarterly Revenue&amp;EBITDA'!O80</f>
        <v>0.23793539387070056</v>
      </c>
      <c r="P80" s="45"/>
      <c r="Q80" s="45"/>
      <c r="R80" s="46">
        <f>'Quarterly Revenue&amp;EBITDA'!R195/'Quarterly Revenue&amp;EBITDA'!R80</f>
        <v>8.9965975290370787E-2</v>
      </c>
      <c r="S80" s="46">
        <f>'Quarterly Revenue&amp;EBITDA'!S195/'Quarterly Revenue&amp;EBITDA'!S80</f>
        <v>0.17935058346017249</v>
      </c>
      <c r="T80" s="45"/>
      <c r="U80" s="46"/>
      <c r="V80" s="46"/>
      <c r="W80" s="46">
        <f>'Quarterly Revenue&amp;EBITDA'!W195/'Quarterly Revenue&amp;EBITDA'!W80</f>
        <v>0.16107943635041388</v>
      </c>
      <c r="X80" s="46">
        <f>'Quarterly Revenue&amp;EBITDA'!X195/'Quarterly Revenue&amp;EBITDA'!X80</f>
        <v>0.10717240421111132</v>
      </c>
      <c r="Y80" s="46">
        <f>'Quarterly Revenue&amp;EBITDA'!Y195/'Quarterly Revenue&amp;EBITDA'!Y80</f>
        <v>0.34304600026979631</v>
      </c>
      <c r="Z80" s="46">
        <f>'Quarterly Revenue&amp;EBITDA'!Z195/'Quarterly Revenue&amp;EBITDA'!Z80</f>
        <v>1.9011545546847926E-2</v>
      </c>
      <c r="AA80" s="46"/>
      <c r="AB80" s="46">
        <f>'Quarterly Revenue&amp;EBITDA'!AB195/'Quarterly Revenue&amp;EBITDA'!AB80</f>
        <v>-0.71414929472493627</v>
      </c>
      <c r="AC80" s="28"/>
    </row>
    <row r="81" spans="1:29" ht="13">
      <c r="A81" s="27" t="s">
        <v>106</v>
      </c>
      <c r="B81" s="46">
        <f>'Quarterly Revenue&amp;EBITDA'!B196/'Quarterly Revenue&amp;EBITDA'!B81</f>
        <v>-8.033035028292268E-2</v>
      </c>
      <c r="C81" s="46">
        <f ca="1">'Quarterly Revenue&amp;EBITDA'!C196/'Quarterly Revenue&amp;EBITDA'!C81</f>
        <v>0.21607531834191276</v>
      </c>
      <c r="D81" s="46">
        <f ca="1">'Quarterly Revenue&amp;EBITDA'!D196/'Quarterly Revenue&amp;EBITDA'!D81</f>
        <v>0.13155947307245255</v>
      </c>
      <c r="E81" s="46">
        <f ca="1">'Quarterly Revenue&amp;EBITDA'!E196/'Quarterly Revenue&amp;EBITDA'!E81</f>
        <v>5.7647058823529412E-2</v>
      </c>
      <c r="F81" s="46">
        <f ca="1">'Quarterly Revenue&amp;EBITDA'!F196/'Quarterly Revenue&amp;EBITDA'!F81</f>
        <v>0.1496437054631829</v>
      </c>
      <c r="G81" s="46">
        <f ca="1">'Quarterly Revenue&amp;EBITDA'!G196/'Quarterly Revenue&amp;EBITDA'!G81</f>
        <v>-1.1983805668016193E-3</v>
      </c>
      <c r="H81" s="46">
        <f>'Quarterly Revenue&amp;EBITDA'!H196/'Quarterly Revenue&amp;EBITDA'!H81</f>
        <v>0.20563068908176899</v>
      </c>
      <c r="I81" s="46">
        <f ca="1">'Quarterly Revenue&amp;EBITDA'!I196/'Quarterly Revenue&amp;EBITDA'!I81</f>
        <v>0.17377358490566039</v>
      </c>
      <c r="J81" s="46">
        <f ca="1">'Quarterly Revenue&amp;EBITDA'!J196/'Quarterly Revenue&amp;EBITDA'!J81</f>
        <v>-0.47469879518072289</v>
      </c>
      <c r="K81" s="45"/>
      <c r="L81" s="46">
        <f ca="1">'Quarterly Revenue&amp;EBITDA'!L196/'Quarterly Revenue&amp;EBITDA'!L81</f>
        <v>0.37513977728575082</v>
      </c>
      <c r="M81" s="45"/>
      <c r="N81" s="46">
        <f ca="1">'Quarterly Revenue&amp;EBITDA'!N196/'Quarterly Revenue&amp;EBITDA'!N81</f>
        <v>-0.40170940170940173</v>
      </c>
      <c r="O81" s="48">
        <f>'Quarterly Revenue&amp;EBITDA'!O196/'Quarterly Revenue&amp;EBITDA'!O81</f>
        <v>0.20700542798020014</v>
      </c>
      <c r="P81" s="45"/>
      <c r="Q81" s="45"/>
      <c r="R81" s="46">
        <f>'Quarterly Revenue&amp;EBITDA'!R196/'Quarterly Revenue&amp;EBITDA'!R81</f>
        <v>8.9965975290370787E-2</v>
      </c>
      <c r="S81" s="46">
        <f>'Quarterly Revenue&amp;EBITDA'!S196/'Quarterly Revenue&amp;EBITDA'!S81</f>
        <v>0.17935058346017249</v>
      </c>
      <c r="T81" s="45"/>
      <c r="U81" s="46"/>
      <c r="V81" s="46"/>
      <c r="W81" s="46">
        <f>'Quarterly Revenue&amp;EBITDA'!W196/'Quarterly Revenue&amp;EBITDA'!W81</f>
        <v>0.15527151341794698</v>
      </c>
      <c r="X81" s="46">
        <f>'Quarterly Revenue&amp;EBITDA'!X196/'Quarterly Revenue&amp;EBITDA'!X81</f>
        <v>0.10717240421111132</v>
      </c>
      <c r="Y81" s="46">
        <f>'Quarterly Revenue&amp;EBITDA'!Y196/'Quarterly Revenue&amp;EBITDA'!Y81</f>
        <v>0.34304600026979631</v>
      </c>
      <c r="Z81" s="46">
        <f>'Quarterly Revenue&amp;EBITDA'!Z196/'Quarterly Revenue&amp;EBITDA'!Z81</f>
        <v>1.9011545546847926E-2</v>
      </c>
      <c r="AA81" s="46"/>
      <c r="AB81" s="46">
        <f>'Quarterly Revenue&amp;EBITDA'!AB196/'Quarterly Revenue&amp;EBITDA'!AB81</f>
        <v>-0.71414929472493627</v>
      </c>
      <c r="AC81" s="28"/>
    </row>
    <row r="82" spans="1:29" ht="13">
      <c r="A82" s="27" t="s">
        <v>107</v>
      </c>
      <c r="B82" s="46">
        <f>'Quarterly Revenue&amp;EBITDA'!B197/'Quarterly Revenue&amp;EBITDA'!B82</f>
        <v>-8.033035028292268E-2</v>
      </c>
      <c r="C82" s="46">
        <f ca="1">'Quarterly Revenue&amp;EBITDA'!C197/'Quarterly Revenue&amp;EBITDA'!C82</f>
        <v>0.32495741056218058</v>
      </c>
      <c r="D82" s="46">
        <f ca="1">'Quarterly Revenue&amp;EBITDA'!D197/'Quarterly Revenue&amp;EBITDA'!D82</f>
        <v>5.4945054945054944E-2</v>
      </c>
      <c r="E82" s="46">
        <f ca="1">'Quarterly Revenue&amp;EBITDA'!E197/'Quarterly Revenue&amp;EBITDA'!E82</f>
        <v>-3.351206434316354E-2</v>
      </c>
      <c r="F82" s="46">
        <f ca="1">'Quarterly Revenue&amp;EBITDA'!F197/'Quarterly Revenue&amp;EBITDA'!F82</f>
        <v>1.2658227848101266E-2</v>
      </c>
      <c r="G82" s="46">
        <f ca="1">'Quarterly Revenue&amp;EBITDA'!G197/'Quarterly Revenue&amp;EBITDA'!G82</f>
        <v>3.0769230769230771E-2</v>
      </c>
      <c r="H82" s="46">
        <f>'Quarterly Revenue&amp;EBITDA'!H197/'Quarterly Revenue&amp;EBITDA'!H82</f>
        <v>0.20563068908176899</v>
      </c>
      <c r="I82" s="46">
        <f ca="1">'Quarterly Revenue&amp;EBITDA'!I197/'Quarterly Revenue&amp;EBITDA'!I82</f>
        <v>5.0450450450450449E-2</v>
      </c>
      <c r="J82" s="46">
        <f ca="1">'Quarterly Revenue&amp;EBITDA'!J197/'Quarterly Revenue&amp;EBITDA'!J82</f>
        <v>0.13502439024390245</v>
      </c>
      <c r="K82" s="45"/>
      <c r="L82" s="46">
        <f ca="1">'Quarterly Revenue&amp;EBITDA'!L197/'Quarterly Revenue&amp;EBITDA'!L82</f>
        <v>0.30034376711092731</v>
      </c>
      <c r="M82" s="45"/>
      <c r="N82" s="46">
        <f ca="1">'Quarterly Revenue&amp;EBITDA'!N197/'Quarterly Revenue&amp;EBITDA'!N82</f>
        <v>-0.50209245742092456</v>
      </c>
      <c r="O82" s="48">
        <f>'Quarterly Revenue&amp;EBITDA'!O197/'Quarterly Revenue&amp;EBITDA'!O82</f>
        <v>0.20700542798020014</v>
      </c>
      <c r="P82" s="45"/>
      <c r="Q82" s="45"/>
      <c r="R82" s="46">
        <f>'Quarterly Revenue&amp;EBITDA'!R197/'Quarterly Revenue&amp;EBITDA'!R82</f>
        <v>8.9965975290370787E-2</v>
      </c>
      <c r="S82" s="46">
        <f>'Quarterly Revenue&amp;EBITDA'!S197/'Quarterly Revenue&amp;EBITDA'!S82</f>
        <v>0.17935058346017249</v>
      </c>
      <c r="T82" s="45"/>
      <c r="U82" s="46"/>
      <c r="V82" s="46"/>
      <c r="W82" s="46">
        <f>'Quarterly Revenue&amp;EBITDA'!W197/'Quarterly Revenue&amp;EBITDA'!W82</f>
        <v>0.15527151341794698</v>
      </c>
      <c r="X82" s="46">
        <f>'Quarterly Revenue&amp;EBITDA'!X197/'Quarterly Revenue&amp;EBITDA'!X82</f>
        <v>0.10717240421111132</v>
      </c>
      <c r="Y82" s="46">
        <f>'Quarterly Revenue&amp;EBITDA'!Y197/'Quarterly Revenue&amp;EBITDA'!Y82</f>
        <v>0.34304600026979631</v>
      </c>
      <c r="Z82" s="46">
        <f>'Quarterly Revenue&amp;EBITDA'!Z197/'Quarterly Revenue&amp;EBITDA'!Z82</f>
        <v>1.9011545546847926E-2</v>
      </c>
      <c r="AA82" s="46"/>
      <c r="AB82" s="46">
        <f>'Quarterly Revenue&amp;EBITDA'!AB197/'Quarterly Revenue&amp;EBITDA'!AB82</f>
        <v>-0.71414929472493627</v>
      </c>
      <c r="AC82" s="28"/>
    </row>
    <row r="83" spans="1:29" ht="13">
      <c r="A83" s="27" t="s">
        <v>108</v>
      </c>
      <c r="B83" s="46">
        <f>'Quarterly Revenue&amp;EBITDA'!B198/'Quarterly Revenue&amp;EBITDA'!B83</f>
        <v>-7.8853239677544897E-4</v>
      </c>
      <c r="C83" s="46">
        <f ca="1">'Quarterly Revenue&amp;EBITDA'!C198/'Quarterly Revenue&amp;EBITDA'!C83</f>
        <v>0.21807436872882743</v>
      </c>
      <c r="D83" s="46">
        <f ca="1">'Quarterly Revenue&amp;EBITDA'!D198/'Quarterly Revenue&amp;EBITDA'!D83</f>
        <v>-5.9844677935130194E-2</v>
      </c>
      <c r="E83" s="46">
        <f ca="1">'Quarterly Revenue&amp;EBITDA'!E198/'Quarterly Revenue&amp;EBITDA'!E83</f>
        <v>3.1425364758698095E-2</v>
      </c>
      <c r="F83" s="46">
        <f ca="1">'Quarterly Revenue&amp;EBITDA'!F198/'Quarterly Revenue&amp;EBITDA'!F83</f>
        <v>6.7204301075268813E-2</v>
      </c>
      <c r="G83" s="46">
        <f ca="1">'Quarterly Revenue&amp;EBITDA'!G198/'Quarterly Revenue&amp;EBITDA'!G83</f>
        <v>4.6180747560191894E-2</v>
      </c>
      <c r="H83" s="46">
        <f>'Quarterly Revenue&amp;EBITDA'!H198/'Quarterly Revenue&amp;EBITDA'!H83</f>
        <v>0.20563068908176899</v>
      </c>
      <c r="I83" s="46">
        <f ca="1">'Quarterly Revenue&amp;EBITDA'!I198/'Quarterly Revenue&amp;EBITDA'!I83</f>
        <v>0.14304114432915463</v>
      </c>
      <c r="J83" s="46">
        <f ca="1">'Quarterly Revenue&amp;EBITDA'!J198/'Quarterly Revenue&amp;EBITDA'!J83</f>
        <v>-0.60886589521215007</v>
      </c>
      <c r="K83" s="45"/>
      <c r="L83" s="46">
        <f ca="1">'Quarterly Revenue&amp;EBITDA'!L198/'Quarterly Revenue&amp;EBITDA'!L83</f>
        <v>0.30432110014694852</v>
      </c>
      <c r="M83" s="45"/>
      <c r="N83" s="46">
        <f ca="1">'Quarterly Revenue&amp;EBITDA'!N198/'Quarterly Revenue&amp;EBITDA'!N83</f>
        <v>-9.8719879518072276E-2</v>
      </c>
      <c r="O83" s="48">
        <f>'Quarterly Revenue&amp;EBITDA'!O198/'Quarterly Revenue&amp;EBITDA'!O83</f>
        <v>0.20700542798020014</v>
      </c>
      <c r="P83" s="45"/>
      <c r="Q83" s="45"/>
      <c r="R83" s="46">
        <f>'Quarterly Revenue&amp;EBITDA'!R198/'Quarterly Revenue&amp;EBITDA'!R83</f>
        <v>3.2823800396243739E-2</v>
      </c>
      <c r="S83" s="46">
        <f>'Quarterly Revenue&amp;EBITDA'!S198/'Quarterly Revenue&amp;EBITDA'!S83</f>
        <v>0.17935058346017249</v>
      </c>
      <c r="T83" s="45"/>
      <c r="U83" s="46"/>
      <c r="V83" s="46"/>
      <c r="W83" s="46">
        <f>'Quarterly Revenue&amp;EBITDA'!W198/'Quarterly Revenue&amp;EBITDA'!W83</f>
        <v>0.15527151341794698</v>
      </c>
      <c r="X83" s="46">
        <f>'Quarterly Revenue&amp;EBITDA'!X198/'Quarterly Revenue&amp;EBITDA'!X83</f>
        <v>0.11236537303399111</v>
      </c>
      <c r="Y83" s="46">
        <f>'Quarterly Revenue&amp;EBITDA'!Y198/'Quarterly Revenue&amp;EBITDA'!Y83</f>
        <v>0.3303657945736434</v>
      </c>
      <c r="Z83" s="46">
        <f>'Quarterly Revenue&amp;EBITDA'!Z198/'Quarterly Revenue&amp;EBITDA'!Z83</f>
        <v>1.2979864836619523E-2</v>
      </c>
      <c r="AA83" s="46">
        <f>'Quarterly Revenue&amp;EBITDA'!AA198/'Quarterly Revenue&amp;EBITDA'!AA83</f>
        <v>-0.11607919479766392</v>
      </c>
      <c r="AB83" s="46">
        <f>'Quarterly Revenue&amp;EBITDA'!AB198/'Quarterly Revenue&amp;EBITDA'!AB83</f>
        <v>-1.7087602677935521</v>
      </c>
      <c r="AC83" s="28"/>
    </row>
    <row r="84" spans="1:29" ht="13">
      <c r="A84" s="27" t="s">
        <v>109</v>
      </c>
      <c r="B84" s="46">
        <f>'Quarterly Revenue&amp;EBITDA'!B199/'Quarterly Revenue&amp;EBITDA'!B84</f>
        <v>-7.8853239677544897E-4</v>
      </c>
      <c r="C84" s="46">
        <f ca="1">'Quarterly Revenue&amp;EBITDA'!C199/'Quarterly Revenue&amp;EBITDA'!C84</f>
        <v>0.28536981957021129</v>
      </c>
      <c r="D84" s="46">
        <f ca="1">'Quarterly Revenue&amp;EBITDA'!D199/'Quarterly Revenue&amp;EBITDA'!D84</f>
        <v>2.2041763341067284E-2</v>
      </c>
      <c r="E84" s="46">
        <f ca="1">'Quarterly Revenue&amp;EBITDA'!E199/'Quarterly Revenue&amp;EBITDA'!E84</f>
        <v>0.14060860440713535</v>
      </c>
      <c r="F84" s="46">
        <f ca="1">'Quarterly Revenue&amp;EBITDA'!F199/'Quarterly Revenue&amp;EBITDA'!F84</f>
        <v>0.10377358490566038</v>
      </c>
      <c r="G84" s="46">
        <f ca="1">'Quarterly Revenue&amp;EBITDA'!G199/'Quarterly Revenue&amp;EBITDA'!G84</f>
        <v>-1.027700311058672E-2</v>
      </c>
      <c r="H84" s="46">
        <f ca="1">'Quarterly Revenue&amp;EBITDA'!H199/'Quarterly Revenue&amp;EBITDA'!H84</f>
        <v>0.19093610698365526</v>
      </c>
      <c r="I84" s="46">
        <f ca="1">'Quarterly Revenue&amp;EBITDA'!I199/'Quarterly Revenue&amp;EBITDA'!I84</f>
        <v>5.8450766999181544E-2</v>
      </c>
      <c r="J84" s="46">
        <f ca="1">'Quarterly Revenue&amp;EBITDA'!J199/'Quarterly Revenue&amp;EBITDA'!J84</f>
        <v>-0.35622422626733868</v>
      </c>
      <c r="K84" s="45"/>
      <c r="L84" s="46">
        <f ca="1">'Quarterly Revenue&amp;EBITDA'!L199/'Quarterly Revenue&amp;EBITDA'!L84</f>
        <v>0.36548124982572122</v>
      </c>
      <c r="M84" s="45"/>
      <c r="N84" s="46">
        <f ca="1">'Quarterly Revenue&amp;EBITDA'!N199/'Quarterly Revenue&amp;EBITDA'!N84</f>
        <v>-0.67402856193955496</v>
      </c>
      <c r="O84" s="48">
        <f>'Quarterly Revenue&amp;EBITDA'!O199/'Quarterly Revenue&amp;EBITDA'!O84</f>
        <v>0.20700542798020014</v>
      </c>
      <c r="P84" s="45"/>
      <c r="Q84" s="45"/>
      <c r="R84" s="46">
        <f>'Quarterly Revenue&amp;EBITDA'!R199/'Quarterly Revenue&amp;EBITDA'!R84</f>
        <v>3.2823800396243739E-2</v>
      </c>
      <c r="S84" s="46">
        <f>'Quarterly Revenue&amp;EBITDA'!S199/'Quarterly Revenue&amp;EBITDA'!S84</f>
        <v>6.1839692093095346E-2</v>
      </c>
      <c r="T84" s="45"/>
      <c r="U84" s="46"/>
      <c r="V84" s="46"/>
      <c r="W84" s="46">
        <f>'Quarterly Revenue&amp;EBITDA'!W199/'Quarterly Revenue&amp;EBITDA'!W84</f>
        <v>0.15527151341794698</v>
      </c>
      <c r="X84" s="46">
        <f>'Quarterly Revenue&amp;EBITDA'!X199/'Quarterly Revenue&amp;EBITDA'!X84</f>
        <v>0.11236537303399111</v>
      </c>
      <c r="Y84" s="46">
        <f>'Quarterly Revenue&amp;EBITDA'!Y199/'Quarterly Revenue&amp;EBITDA'!Y84</f>
        <v>0.3303657945736434</v>
      </c>
      <c r="Z84" s="46">
        <f>'Quarterly Revenue&amp;EBITDA'!Z199/'Quarterly Revenue&amp;EBITDA'!Z84</f>
        <v>1.2979864836619523E-2</v>
      </c>
      <c r="AA84" s="46">
        <f>'Quarterly Revenue&amp;EBITDA'!AA199/'Quarterly Revenue&amp;EBITDA'!AA84</f>
        <v>-0.11607919479766392</v>
      </c>
      <c r="AB84" s="46">
        <f>'Quarterly Revenue&amp;EBITDA'!AB199/'Quarterly Revenue&amp;EBITDA'!AB84</f>
        <v>-1.7087602677935521</v>
      </c>
      <c r="AC84" s="28"/>
    </row>
    <row r="85" spans="1:29" ht="13">
      <c r="A85" s="27" t="s">
        <v>110</v>
      </c>
      <c r="B85" s="46">
        <f>'Quarterly Revenue&amp;EBITDA'!B200/'Quarterly Revenue&amp;EBITDA'!B85</f>
        <v>-7.8853239677544897E-4</v>
      </c>
      <c r="C85" s="46">
        <f ca="1">'Quarterly Revenue&amp;EBITDA'!C200/'Quarterly Revenue&amp;EBITDA'!C85</f>
        <v>0.46613249484836466</v>
      </c>
      <c r="D85" s="46">
        <f ca="1">'Quarterly Revenue&amp;EBITDA'!D200/'Quarterly Revenue&amp;EBITDA'!D85</f>
        <v>0.13991908293998651</v>
      </c>
      <c r="E85" s="46">
        <f ca="1">'Quarterly Revenue&amp;EBITDA'!E200/'Quarterly Revenue&amp;EBITDA'!E85</f>
        <v>0.1939799331103679</v>
      </c>
      <c r="F85" s="46">
        <f ca="1">'Quarterly Revenue&amp;EBITDA'!F200/'Quarterly Revenue&amp;EBITDA'!F85</f>
        <v>8.656036446469248E-2</v>
      </c>
      <c r="G85" s="46">
        <f ca="1">'Quarterly Revenue&amp;EBITDA'!G200/'Quarterly Revenue&amp;EBITDA'!G85</f>
        <v>-4.8662544292364336E-2</v>
      </c>
      <c r="H85" s="46">
        <f ca="1">'Quarterly Revenue&amp;EBITDA'!H200/'Quarterly Revenue&amp;EBITDA'!H85</f>
        <v>0.22987616099071209</v>
      </c>
      <c r="I85" s="46">
        <f ca="1">'Quarterly Revenue&amp;EBITDA'!I200/'Quarterly Revenue&amp;EBITDA'!I85</f>
        <v>0.11711595217087049</v>
      </c>
      <c r="J85" s="46">
        <f ca="1">'Quarterly Revenue&amp;EBITDA'!J200/'Quarterly Revenue&amp;EBITDA'!J85</f>
        <v>-0.40722091069011296</v>
      </c>
      <c r="K85" s="45"/>
      <c r="L85" s="46">
        <f ca="1">'Quarterly Revenue&amp;EBITDA'!L200/'Quarterly Revenue&amp;EBITDA'!L85</f>
        <v>0.28423894742724964</v>
      </c>
      <c r="M85" s="45"/>
      <c r="N85" s="46">
        <f ca="1">'Quarterly Revenue&amp;EBITDA'!N200/'Quarterly Revenue&amp;EBITDA'!N85</f>
        <v>-0.15715604801477379</v>
      </c>
      <c r="O85" s="48">
        <f>'Quarterly Revenue&amp;EBITDA'!O200/'Quarterly Revenue&amp;EBITDA'!O85</f>
        <v>0.11592031844190923</v>
      </c>
      <c r="P85" s="45"/>
      <c r="Q85" s="45"/>
      <c r="R85" s="46">
        <f>'Quarterly Revenue&amp;EBITDA'!R200/'Quarterly Revenue&amp;EBITDA'!R85</f>
        <v>3.2823800396243739E-2</v>
      </c>
      <c r="S85" s="46">
        <f>'Quarterly Revenue&amp;EBITDA'!S200/'Quarterly Revenue&amp;EBITDA'!S85</f>
        <v>6.1839692093095346E-2</v>
      </c>
      <c r="T85" s="45"/>
      <c r="U85" s="46"/>
      <c r="V85" s="46"/>
      <c r="W85" s="46">
        <f>'Quarterly Revenue&amp;EBITDA'!W200/'Quarterly Revenue&amp;EBITDA'!W85</f>
        <v>0.14463687822564236</v>
      </c>
      <c r="X85" s="46">
        <f>'Quarterly Revenue&amp;EBITDA'!X200/'Quarterly Revenue&amp;EBITDA'!X85</f>
        <v>0.11236537303399111</v>
      </c>
      <c r="Y85" s="46">
        <f>'Quarterly Revenue&amp;EBITDA'!Y200/'Quarterly Revenue&amp;EBITDA'!Y85</f>
        <v>0.3303657945736434</v>
      </c>
      <c r="Z85" s="46">
        <f>'Quarterly Revenue&amp;EBITDA'!Z200/'Quarterly Revenue&amp;EBITDA'!Z85</f>
        <v>1.2979864836619523E-2</v>
      </c>
      <c r="AA85" s="46">
        <f>'Quarterly Revenue&amp;EBITDA'!AA200/'Quarterly Revenue&amp;EBITDA'!AA85</f>
        <v>-0.11607919479766392</v>
      </c>
      <c r="AB85" s="46">
        <f>'Quarterly Revenue&amp;EBITDA'!AB200/'Quarterly Revenue&amp;EBITDA'!AB85</f>
        <v>-1.7087602677935521</v>
      </c>
      <c r="AC85" s="28"/>
    </row>
    <row r="86" spans="1:29" ht="13">
      <c r="A86" s="27" t="s">
        <v>111</v>
      </c>
      <c r="B86" s="46">
        <f>'Quarterly Revenue&amp;EBITDA'!B201/'Quarterly Revenue&amp;EBITDA'!B86</f>
        <v>-7.8853239677544897E-4</v>
      </c>
      <c r="C86" s="46">
        <f ca="1">'Quarterly Revenue&amp;EBITDA'!C201/'Quarterly Revenue&amp;EBITDA'!C86</f>
        <v>0.33606849803781663</v>
      </c>
      <c r="D86" s="46">
        <f ca="1">'Quarterly Revenue&amp;EBITDA'!D201/'Quarterly Revenue&amp;EBITDA'!D86</f>
        <v>3.2772746873652434E-2</v>
      </c>
      <c r="E86" s="46">
        <f ca="1">'Quarterly Revenue&amp;EBITDA'!E201/'Quarterly Revenue&amp;EBITDA'!E86</f>
        <v>0.13360323886639677</v>
      </c>
      <c r="F86" s="46">
        <f ca="1">'Quarterly Revenue&amp;EBITDA'!F201/'Quarterly Revenue&amp;EBITDA'!F86</f>
        <v>9.3457943925233638E-3</v>
      </c>
      <c r="G86" s="46">
        <f ca="1">'Quarterly Revenue&amp;EBITDA'!G201/'Quarterly Revenue&amp;EBITDA'!G86</f>
        <v>-7.2153704631960469E-2</v>
      </c>
      <c r="H86" s="46">
        <f ca="1">'Quarterly Revenue&amp;EBITDA'!H201/'Quarterly Revenue&amp;EBITDA'!H86</f>
        <v>0.24407374890254607</v>
      </c>
      <c r="I86" s="46">
        <f ca="1">'Quarterly Revenue&amp;EBITDA'!I201/'Quarterly Revenue&amp;EBITDA'!I86</f>
        <v>9.6312087271111235E-2</v>
      </c>
      <c r="J86" s="46">
        <f ca="1">'Quarterly Revenue&amp;EBITDA'!J201/'Quarterly Revenue&amp;EBITDA'!J86</f>
        <v>-0.26340903424804468</v>
      </c>
      <c r="K86" s="45"/>
      <c r="L86" s="46">
        <f ca="1">'Quarterly Revenue&amp;EBITDA'!L201/'Quarterly Revenue&amp;EBITDA'!L86</f>
        <v>5.1176932206995977E-2</v>
      </c>
      <c r="M86" s="45"/>
      <c r="N86" s="46">
        <f ca="1">'Quarterly Revenue&amp;EBITDA'!N201/'Quarterly Revenue&amp;EBITDA'!N86</f>
        <v>-0.81388983920629487</v>
      </c>
      <c r="O86" s="48">
        <f>'Quarterly Revenue&amp;EBITDA'!O201/'Quarterly Revenue&amp;EBITDA'!O86</f>
        <v>0.11592031844190923</v>
      </c>
      <c r="P86" s="45"/>
      <c r="Q86" s="45"/>
      <c r="R86" s="46">
        <f>'Quarterly Revenue&amp;EBITDA'!R201/'Quarterly Revenue&amp;EBITDA'!R86</f>
        <v>3.2823800396243739E-2</v>
      </c>
      <c r="S86" s="46">
        <f>'Quarterly Revenue&amp;EBITDA'!S201/'Quarterly Revenue&amp;EBITDA'!S86</f>
        <v>6.1839692093095346E-2</v>
      </c>
      <c r="T86" s="45"/>
      <c r="U86" s="46"/>
      <c r="V86" s="46"/>
      <c r="W86" s="46">
        <f>'Quarterly Revenue&amp;EBITDA'!W201/'Quarterly Revenue&amp;EBITDA'!W86</f>
        <v>0.14463687822564236</v>
      </c>
      <c r="X86" s="46">
        <f>'Quarterly Revenue&amp;EBITDA'!X201/'Quarterly Revenue&amp;EBITDA'!X86</f>
        <v>0.11236537303399111</v>
      </c>
      <c r="Y86" s="46">
        <f>'Quarterly Revenue&amp;EBITDA'!Y201/'Quarterly Revenue&amp;EBITDA'!Y86</f>
        <v>0.3303657945736434</v>
      </c>
      <c r="Z86" s="46">
        <f>'Quarterly Revenue&amp;EBITDA'!Z201/'Quarterly Revenue&amp;EBITDA'!Z86</f>
        <v>1.2979864836619523E-2</v>
      </c>
      <c r="AA86" s="46">
        <f>'Quarterly Revenue&amp;EBITDA'!AA201/'Quarterly Revenue&amp;EBITDA'!AA86</f>
        <v>-0.11607919479766392</v>
      </c>
      <c r="AB86" s="46">
        <f>'Quarterly Revenue&amp;EBITDA'!AB201/'Quarterly Revenue&amp;EBITDA'!AB86</f>
        <v>-1.7087602677935521</v>
      </c>
      <c r="AC86" s="28"/>
    </row>
    <row r="87" spans="1:29" ht="13">
      <c r="A87" s="27" t="s">
        <v>112</v>
      </c>
      <c r="B87" s="46">
        <f>'Quarterly Revenue&amp;EBITDA'!B202/'Quarterly Revenue&amp;EBITDA'!B87</f>
        <v>2.7695896888952173E-2</v>
      </c>
      <c r="C87" s="46">
        <f ca="1">'Quarterly Revenue&amp;EBITDA'!C202/'Quarterly Revenue&amp;EBITDA'!C87</f>
        <v>0.25726956585289057</v>
      </c>
      <c r="D87" s="46">
        <f ca="1">'Quarterly Revenue&amp;EBITDA'!D202/'Quarterly Revenue&amp;EBITDA'!D87</f>
        <v>-6.7384370015948963E-2</v>
      </c>
      <c r="E87" s="46">
        <f ca="1">'Quarterly Revenue&amp;EBITDA'!E202/'Quarterly Revenue&amp;EBITDA'!E87</f>
        <v>0.1705282669138091</v>
      </c>
      <c r="F87" s="46">
        <f ca="1">'Quarterly Revenue&amp;EBITDA'!F202/'Quarterly Revenue&amp;EBITDA'!F87</f>
        <v>5.5555555555555552E-2</v>
      </c>
      <c r="G87" s="46">
        <f ca="1">'Quarterly Revenue&amp;EBITDA'!G202/'Quarterly Revenue&amp;EBITDA'!G87</f>
        <v>-0.11232090806742649</v>
      </c>
      <c r="H87" s="46">
        <f ca="1">'Quarterly Revenue&amp;EBITDA'!H202/'Quarterly Revenue&amp;EBITDA'!H87</f>
        <v>0.18972895863052783</v>
      </c>
      <c r="I87" s="46">
        <f ca="1">'Quarterly Revenue&amp;EBITDA'!I202/'Quarterly Revenue&amp;EBITDA'!I87</f>
        <v>0.13858660905964615</v>
      </c>
      <c r="J87" s="46">
        <f ca="1">'Quarterly Revenue&amp;EBITDA'!J202/'Quarterly Revenue&amp;EBITDA'!J87</f>
        <v>-0.27901980913273255</v>
      </c>
      <c r="K87" s="45"/>
      <c r="L87" s="46">
        <f ca="1">'Quarterly Revenue&amp;EBITDA'!L202/'Quarterly Revenue&amp;EBITDA'!L87</f>
        <v>0.19047062246755256</v>
      </c>
      <c r="M87" s="45"/>
      <c r="N87" s="46">
        <f ca="1">'Quarterly Revenue&amp;EBITDA'!N202/'Quarterly Revenue&amp;EBITDA'!N87</f>
        <v>5.9945300845350567E-2</v>
      </c>
      <c r="O87" s="48">
        <f>'Quarterly Revenue&amp;EBITDA'!O202/'Quarterly Revenue&amp;EBITDA'!O87</f>
        <v>0.11592031844190923</v>
      </c>
      <c r="P87" s="45"/>
      <c r="Q87" s="45"/>
      <c r="R87" s="46">
        <f>'Quarterly Revenue&amp;EBITDA'!R202/'Quarterly Revenue&amp;EBITDA'!R87</f>
        <v>9.5049671409142902E-2</v>
      </c>
      <c r="S87" s="46">
        <f>'Quarterly Revenue&amp;EBITDA'!S202/'Quarterly Revenue&amp;EBITDA'!S87</f>
        <v>6.1839692093095346E-2</v>
      </c>
      <c r="T87" s="45"/>
      <c r="U87" s="46"/>
      <c r="V87" s="46"/>
      <c r="W87" s="46">
        <f>'Quarterly Revenue&amp;EBITDA'!W202/'Quarterly Revenue&amp;EBITDA'!W87</f>
        <v>0.14463687822564236</v>
      </c>
      <c r="X87" s="46">
        <f>'Quarterly Revenue&amp;EBITDA'!X202/'Quarterly Revenue&amp;EBITDA'!X87</f>
        <v>0.16442877302748576</v>
      </c>
      <c r="Y87" s="46">
        <f>'Quarterly Revenue&amp;EBITDA'!Y202/'Quarterly Revenue&amp;EBITDA'!Y87</f>
        <v>0.19300107652419146</v>
      </c>
      <c r="Z87" s="46">
        <f>'Quarterly Revenue&amp;EBITDA'!Z202/'Quarterly Revenue&amp;EBITDA'!Z87</f>
        <v>7.6141392729714638E-3</v>
      </c>
      <c r="AA87" s="46">
        <f>'Quarterly Revenue&amp;EBITDA'!AA202/'Quarterly Revenue&amp;EBITDA'!AA87</f>
        <v>-3.1361200428724548E-2</v>
      </c>
      <c r="AB87" s="46">
        <f>'Quarterly Revenue&amp;EBITDA'!AB202/'Quarterly Revenue&amp;EBITDA'!AB87</f>
        <v>-1.0339237240304244</v>
      </c>
      <c r="AC87" s="28"/>
    </row>
    <row r="88" spans="1:29" ht="13">
      <c r="A88" s="27" t="s">
        <v>113</v>
      </c>
      <c r="B88" s="46">
        <f>'Quarterly Revenue&amp;EBITDA'!B203/'Quarterly Revenue&amp;EBITDA'!B88</f>
        <v>2.7695896888952173E-2</v>
      </c>
      <c r="C88" s="46">
        <f ca="1">'Quarterly Revenue&amp;EBITDA'!C203/'Quarterly Revenue&amp;EBITDA'!C88</f>
        <v>0.34178085173874373</v>
      </c>
      <c r="D88" s="46">
        <f ca="1">'Quarterly Revenue&amp;EBITDA'!D203/'Quarterly Revenue&amp;EBITDA'!D88</f>
        <v>-4.8611111111111112E-3</v>
      </c>
      <c r="E88" s="46">
        <f ca="1">'Quarterly Revenue&amp;EBITDA'!E203/'Quarterly Revenue&amp;EBITDA'!E88</f>
        <v>0.39928057553956836</v>
      </c>
      <c r="F88" s="46">
        <f ca="1">'Quarterly Revenue&amp;EBITDA'!F203/'Quarterly Revenue&amp;EBITDA'!F88</f>
        <v>9.6997690531177835E-2</v>
      </c>
      <c r="G88" s="46">
        <f ca="1">'Quarterly Revenue&amp;EBITDA'!G203/'Quarterly Revenue&amp;EBITDA'!G88</f>
        <v>-0.11609411103877038</v>
      </c>
      <c r="H88" s="46">
        <f ca="1">'Quarterly Revenue&amp;EBITDA'!H203/'Quarterly Revenue&amp;EBITDA'!H88</f>
        <v>0.19093610698365526</v>
      </c>
      <c r="I88" s="46">
        <f ca="1">'Quarterly Revenue&amp;EBITDA'!I203/'Quarterly Revenue&amp;EBITDA'!I88</f>
        <v>1.3340194450291989E-2</v>
      </c>
      <c r="J88" s="46">
        <f ca="1">'Quarterly Revenue&amp;EBITDA'!J203/'Quarterly Revenue&amp;EBITDA'!J88</f>
        <v>-0.37257841496252092</v>
      </c>
      <c r="K88" s="46"/>
      <c r="L88" s="46">
        <f ca="1">'Quarterly Revenue&amp;EBITDA'!L203/'Quarterly Revenue&amp;EBITDA'!L88</f>
        <v>0.35041334974809063</v>
      </c>
      <c r="M88" s="45"/>
      <c r="N88" s="46">
        <f ca="1">'Quarterly Revenue&amp;EBITDA'!N203/'Quarterly Revenue&amp;EBITDA'!N88</f>
        <v>-9.3739930955120829E-2</v>
      </c>
      <c r="O88" s="48">
        <f>'Quarterly Revenue&amp;EBITDA'!O203/'Quarterly Revenue&amp;EBITDA'!O88</f>
        <v>0.11592031844190923</v>
      </c>
      <c r="P88" s="45"/>
      <c r="Q88" s="45"/>
      <c r="R88" s="46">
        <f>'Quarterly Revenue&amp;EBITDA'!R203/'Quarterly Revenue&amp;EBITDA'!R88</f>
        <v>9.5049671409142902E-2</v>
      </c>
      <c r="S88" s="46">
        <f>'Quarterly Revenue&amp;EBITDA'!S203/'Quarterly Revenue&amp;EBITDA'!S88</f>
        <v>0.16991368680641183</v>
      </c>
      <c r="T88" s="45"/>
      <c r="U88" s="46"/>
      <c r="V88" s="46"/>
      <c r="W88" s="46">
        <f>'Quarterly Revenue&amp;EBITDA'!W203/'Quarterly Revenue&amp;EBITDA'!W88</f>
        <v>0.14463687822564236</v>
      </c>
      <c r="X88" s="46">
        <f>'Quarterly Revenue&amp;EBITDA'!X203/'Quarterly Revenue&amp;EBITDA'!X88</f>
        <v>0.16442877302748576</v>
      </c>
      <c r="Y88" s="46">
        <f>'Quarterly Revenue&amp;EBITDA'!Y203/'Quarterly Revenue&amp;EBITDA'!Y88</f>
        <v>0.19300107652419146</v>
      </c>
      <c r="Z88" s="46">
        <f>'Quarterly Revenue&amp;EBITDA'!Z203/'Quarterly Revenue&amp;EBITDA'!Z88</f>
        <v>7.6141392729714638E-3</v>
      </c>
      <c r="AA88" s="46">
        <f>'Quarterly Revenue&amp;EBITDA'!AA203/'Quarterly Revenue&amp;EBITDA'!AA88</f>
        <v>-3.1361200428724548E-2</v>
      </c>
      <c r="AB88" s="46">
        <f>'Quarterly Revenue&amp;EBITDA'!AB203/'Quarterly Revenue&amp;EBITDA'!AB88</f>
        <v>-1.0339237240304244</v>
      </c>
      <c r="AC88" s="28"/>
    </row>
    <row r="89" spans="1:29" ht="13">
      <c r="A89" s="27" t="s">
        <v>114</v>
      </c>
      <c r="B89" s="46">
        <f>'Quarterly Revenue&amp;EBITDA'!B204/'Quarterly Revenue&amp;EBITDA'!B89</f>
        <v>2.7695896888952173E-2</v>
      </c>
      <c r="C89" s="46">
        <f ca="1">'Quarterly Revenue&amp;EBITDA'!C204/'Quarterly Revenue&amp;EBITDA'!C89</f>
        <v>0.46211680954570855</v>
      </c>
      <c r="D89" s="46">
        <f ca="1">'Quarterly Revenue&amp;EBITDA'!D204/'Quarterly Revenue&amp;EBITDA'!D89</f>
        <v>0.18681318681318682</v>
      </c>
      <c r="E89" s="46">
        <f ca="1">'Quarterly Revenue&amp;EBITDA'!E204/'Quarterly Revenue&amp;EBITDA'!E89</f>
        <v>-0.10818713450292397</v>
      </c>
      <c r="F89" s="46">
        <f ca="1">'Quarterly Revenue&amp;EBITDA'!F204/'Quarterly Revenue&amp;EBITDA'!F89</f>
        <v>0.18995633187772926</v>
      </c>
      <c r="G89" s="46">
        <f ca="1">'Quarterly Revenue&amp;EBITDA'!G204/'Quarterly Revenue&amp;EBITDA'!G89</f>
        <v>6.7278998718833152E-2</v>
      </c>
      <c r="H89" s="46">
        <f ca="1">'Quarterly Revenue&amp;EBITDA'!H204/'Quarterly Revenue&amp;EBITDA'!H89</f>
        <v>0.19413092550790068</v>
      </c>
      <c r="I89" s="46">
        <f ca="1">'Quarterly Revenue&amp;EBITDA'!I204/'Quarterly Revenue&amp;EBITDA'!I89</f>
        <v>-1.628906282217292E-2</v>
      </c>
      <c r="J89" s="46">
        <f ca="1">'Quarterly Revenue&amp;EBITDA'!J204/'Quarterly Revenue&amp;EBITDA'!J89</f>
        <v>-0.45358028742676793</v>
      </c>
      <c r="K89" s="46"/>
      <c r="L89" s="46">
        <f ca="1">'Quarterly Revenue&amp;EBITDA'!L204/'Quarterly Revenue&amp;EBITDA'!L89</f>
        <v>-0.67494506871582616</v>
      </c>
      <c r="M89" s="45"/>
      <c r="N89" s="46">
        <f ca="1">'Quarterly Revenue&amp;EBITDA'!N204/'Quarterly Revenue&amp;EBITDA'!N89</f>
        <v>-7.4319294809010769E-2</v>
      </c>
      <c r="O89" s="48">
        <f ca="1">'Quarterly Revenue&amp;EBITDA'!O204/'Quarterly Revenue&amp;EBITDA'!O89</f>
        <v>0.1882821387940842</v>
      </c>
      <c r="P89" s="45"/>
      <c r="Q89" s="45"/>
      <c r="R89" s="46">
        <f>'Quarterly Revenue&amp;EBITDA'!R204/'Quarterly Revenue&amp;EBITDA'!R89</f>
        <v>9.5049671409142902E-2</v>
      </c>
      <c r="S89" s="46">
        <f>'Quarterly Revenue&amp;EBITDA'!S204/'Quarterly Revenue&amp;EBITDA'!S89</f>
        <v>0.16991368680641183</v>
      </c>
      <c r="T89" s="45"/>
      <c r="U89" s="46"/>
      <c r="V89" s="46"/>
      <c r="W89" s="46">
        <f>'Quarterly Revenue&amp;EBITDA'!W204/'Quarterly Revenue&amp;EBITDA'!W89</f>
        <v>0.15812269215021169</v>
      </c>
      <c r="X89" s="46">
        <f>'Quarterly Revenue&amp;EBITDA'!X204/'Quarterly Revenue&amp;EBITDA'!X89</f>
        <v>0.16442877302748576</v>
      </c>
      <c r="Y89" s="46">
        <f>'Quarterly Revenue&amp;EBITDA'!Y204/'Quarterly Revenue&amp;EBITDA'!Y89</f>
        <v>0.19300107652419146</v>
      </c>
      <c r="Z89" s="46">
        <f>'Quarterly Revenue&amp;EBITDA'!Z204/'Quarterly Revenue&amp;EBITDA'!Z89</f>
        <v>7.6141392729714638E-3</v>
      </c>
      <c r="AA89" s="46">
        <f>'Quarterly Revenue&amp;EBITDA'!AA204/'Quarterly Revenue&amp;EBITDA'!AA89</f>
        <v>-3.1361200428724548E-2</v>
      </c>
      <c r="AB89" s="46">
        <f>'Quarterly Revenue&amp;EBITDA'!AB204/'Quarterly Revenue&amp;EBITDA'!AB89</f>
        <v>-1.0339237240304244</v>
      </c>
      <c r="AC89" s="28"/>
    </row>
    <row r="90" spans="1:29" ht="13">
      <c r="A90" s="27" t="s">
        <v>115</v>
      </c>
      <c r="B90" s="46">
        <f>'Quarterly Revenue&amp;EBITDA'!B205/'Quarterly Revenue&amp;EBITDA'!B90</f>
        <v>2.7695896888952173E-2</v>
      </c>
      <c r="C90" s="46">
        <f ca="1">'Quarterly Revenue&amp;EBITDA'!C205/'Quarterly Revenue&amp;EBITDA'!C90</f>
        <v>0.19670090258325554</v>
      </c>
      <c r="D90" s="46">
        <f ca="1">'Quarterly Revenue&amp;EBITDA'!D205/'Quarterly Revenue&amp;EBITDA'!D90</f>
        <v>2.1883548261039467E-2</v>
      </c>
      <c r="E90" s="46">
        <f ca="1">'Quarterly Revenue&amp;EBITDA'!E205/'Quarterly Revenue&amp;EBITDA'!E90</f>
        <v>-0.15231187669990934</v>
      </c>
      <c r="F90" s="46">
        <f ca="1">'Quarterly Revenue&amp;EBITDA'!F205/'Quarterly Revenue&amp;EBITDA'!F90</f>
        <v>6.358381502890173E-2</v>
      </c>
      <c r="G90" s="46">
        <f ca="1">'Quarterly Revenue&amp;EBITDA'!G205/'Quarterly Revenue&amp;EBITDA'!G90</f>
        <v>0.11908645025123218</v>
      </c>
      <c r="H90" s="46">
        <f ca="1">'Quarterly Revenue&amp;EBITDA'!H205/'Quarterly Revenue&amp;EBITDA'!H90</f>
        <v>0.2157894736842105</v>
      </c>
      <c r="I90" s="46">
        <f ca="1">'Quarterly Revenue&amp;EBITDA'!I205/'Quarterly Revenue&amp;EBITDA'!I90</f>
        <v>4.4477983624495343E-2</v>
      </c>
      <c r="J90" s="46">
        <f ca="1">'Quarterly Revenue&amp;EBITDA'!J205/'Quarterly Revenue&amp;EBITDA'!J90</f>
        <v>-0.23629371469775268</v>
      </c>
      <c r="K90" s="46"/>
      <c r="L90" s="46">
        <f ca="1">'Quarterly Revenue&amp;EBITDA'!L205/'Quarterly Revenue&amp;EBITDA'!L90</f>
        <v>-9.2045518498357261E-3</v>
      </c>
      <c r="M90" s="45"/>
      <c r="N90" s="46">
        <f ca="1">'Quarterly Revenue&amp;EBITDA'!N205/'Quarterly Revenue&amp;EBITDA'!N90</f>
        <v>1.7101449275362321E-2</v>
      </c>
      <c r="O90" s="48">
        <f ca="1">'Quarterly Revenue&amp;EBITDA'!O205/'Quarterly Revenue&amp;EBITDA'!O90</f>
        <v>0.1882821387940842</v>
      </c>
      <c r="P90" s="45"/>
      <c r="Q90" s="45"/>
      <c r="R90" s="46">
        <f>'Quarterly Revenue&amp;EBITDA'!R205/'Quarterly Revenue&amp;EBITDA'!R90</f>
        <v>9.5049671409142902E-2</v>
      </c>
      <c r="S90" s="46">
        <f>'Quarterly Revenue&amp;EBITDA'!S205/'Quarterly Revenue&amp;EBITDA'!S90</f>
        <v>0.16991368680641183</v>
      </c>
      <c r="T90" s="45"/>
      <c r="U90" s="45"/>
      <c r="V90" s="45"/>
      <c r="W90" s="46">
        <f>'Quarterly Revenue&amp;EBITDA'!W205/'Quarterly Revenue&amp;EBITDA'!W90</f>
        <v>0.15812269215021169</v>
      </c>
      <c r="X90" s="46">
        <f>'Quarterly Revenue&amp;EBITDA'!X205/'Quarterly Revenue&amp;EBITDA'!X90</f>
        <v>0.16442877302748576</v>
      </c>
      <c r="Y90" s="46">
        <f>'Quarterly Revenue&amp;EBITDA'!Y205/'Quarterly Revenue&amp;EBITDA'!Y90</f>
        <v>0.19300107652419146</v>
      </c>
      <c r="Z90" s="46">
        <f>'Quarterly Revenue&amp;EBITDA'!Z205/'Quarterly Revenue&amp;EBITDA'!Z90</f>
        <v>7.6141392729714638E-3</v>
      </c>
      <c r="AA90" s="46">
        <f>'Quarterly Revenue&amp;EBITDA'!AA205/'Quarterly Revenue&amp;EBITDA'!AA90</f>
        <v>-3.1361200428724548E-2</v>
      </c>
      <c r="AB90" s="46">
        <f>'Quarterly Revenue&amp;EBITDA'!AB205/'Quarterly Revenue&amp;EBITDA'!AB90</f>
        <v>-1.0339237240304244</v>
      </c>
      <c r="AC90" s="28"/>
    </row>
    <row r="91" spans="1:29" ht="13">
      <c r="A91" s="27" t="s">
        <v>116</v>
      </c>
      <c r="B91" s="46">
        <f ca="1">'Quarterly Revenue&amp;EBITDA'!B206/'Quarterly Revenue&amp;EBITDA'!B91</f>
        <v>-114.26728247914184</v>
      </c>
      <c r="C91" s="46">
        <f ca="1">'Quarterly Revenue&amp;EBITDA'!C206/'Quarterly Revenue&amp;EBITDA'!C91</f>
        <v>0.34120549876630241</v>
      </c>
      <c r="D91" s="46">
        <f ca="1">'Quarterly Revenue&amp;EBITDA'!D206/'Quarterly Revenue&amp;EBITDA'!D91</f>
        <v>-5.4043694902261401E-2</v>
      </c>
      <c r="E91" s="46">
        <f ca="1">'Quarterly Revenue&amp;EBITDA'!E206/'Quarterly Revenue&amp;EBITDA'!E91</f>
        <v>0.67898193760262726</v>
      </c>
      <c r="F91" s="46">
        <f ca="1">'Quarterly Revenue&amp;EBITDA'!F206/'Quarterly Revenue&amp;EBITDA'!F91</f>
        <v>8.7765957446808512E-2</v>
      </c>
      <c r="G91" s="46">
        <f ca="1">'Quarterly Revenue&amp;EBITDA'!G206/'Quarterly Revenue&amp;EBITDA'!G91</f>
        <v>6.3648545176110266E-2</v>
      </c>
      <c r="H91" s="46">
        <f ca="1">'Quarterly Revenue&amp;EBITDA'!H206/'Quarterly Revenue&amp;EBITDA'!H91</f>
        <v>0.26684280052840159</v>
      </c>
      <c r="I91" s="46">
        <f ca="1">'Quarterly Revenue&amp;EBITDA'!I206/'Quarterly Revenue&amp;EBITDA'!I91</f>
        <v>1.8031555221637866E-2</v>
      </c>
      <c r="J91" s="46">
        <f ca="1">'Quarterly Revenue&amp;EBITDA'!J206/'Quarterly Revenue&amp;EBITDA'!J91</f>
        <v>-0.34065586593108499</v>
      </c>
      <c r="K91" s="46"/>
      <c r="L91" s="46">
        <f ca="1">'Quarterly Revenue&amp;EBITDA'!L206/'Quarterly Revenue&amp;EBITDA'!L91</f>
        <v>0.19511129933034999</v>
      </c>
      <c r="M91" s="46"/>
      <c r="N91" s="46">
        <f ca="1">'Quarterly Revenue&amp;EBITDA'!N206/'Quarterly Revenue&amp;EBITDA'!N91</f>
        <v>-2.5045222825193222E-2</v>
      </c>
      <c r="O91" s="48">
        <f ca="1">'Quarterly Revenue&amp;EBITDA'!O206/'Quarterly Revenue&amp;EBITDA'!O91</f>
        <v>0.21711899791231767</v>
      </c>
      <c r="P91" s="45"/>
      <c r="Q91" s="45"/>
      <c r="R91" s="46">
        <f>'Quarterly Revenue&amp;EBITDA'!R206/'Quarterly Revenue&amp;EBITDA'!R91</f>
        <v>0.15863417968152282</v>
      </c>
      <c r="S91" s="46">
        <f>'Quarterly Revenue&amp;EBITDA'!S206/'Quarterly Revenue&amp;EBITDA'!S91</f>
        <v>0.16991368680641183</v>
      </c>
      <c r="T91" s="46" t="str">
        <f ca="1">IFERROR('Quarterly Revenue&amp;EBITDA'!T206/'Quarterly Revenue&amp;EBITDA'!T91,"")</f>
        <v/>
      </c>
      <c r="U91" s="45"/>
      <c r="V91" s="45"/>
      <c r="W91" s="46">
        <f>'Quarterly Revenue&amp;EBITDA'!W206/'Quarterly Revenue&amp;EBITDA'!W91</f>
        <v>0.15812269215021169</v>
      </c>
      <c r="X91" s="46">
        <f>'Quarterly Revenue&amp;EBITDA'!X206/'Quarterly Revenue&amp;EBITDA'!X91</f>
        <v>0.15614743832651462</v>
      </c>
      <c r="Y91" s="46">
        <f>'Quarterly Revenue&amp;EBITDA'!Y206/'Quarterly Revenue&amp;EBITDA'!Y91</f>
        <v>0.29291785291244987</v>
      </c>
      <c r="Z91" s="46">
        <f>'Quarterly Revenue&amp;EBITDA'!Z206/'Quarterly Revenue&amp;EBITDA'!Z91</f>
        <v>-8.7903005512323935E-4</v>
      </c>
      <c r="AA91" s="46">
        <f>'Quarterly Revenue&amp;EBITDA'!AA206/'Quarterly Revenue&amp;EBITDA'!AA91</f>
        <v>-8.0454445717629273E-4</v>
      </c>
      <c r="AB91" s="46">
        <f>'Quarterly Revenue&amp;EBITDA'!AB206/'Quarterly Revenue&amp;EBITDA'!AB91</f>
        <v>-1.0924213004074661</v>
      </c>
      <c r="AC91" s="28"/>
    </row>
    <row r="92" spans="1:29" ht="13">
      <c r="A92" s="27" t="s">
        <v>117</v>
      </c>
      <c r="B92" s="46">
        <f ca="1">'Quarterly Revenue&amp;EBITDA'!B207/'Quarterly Revenue&amp;EBITDA'!B92</f>
        <v>-78.970551894563428</v>
      </c>
      <c r="C92" s="46">
        <f ca="1">'Quarterly Revenue&amp;EBITDA'!C207/'Quarterly Revenue&amp;EBITDA'!C92</f>
        <v>0.31350649350649351</v>
      </c>
      <c r="D92" s="46">
        <f ca="1">'Quarterly Revenue&amp;EBITDA'!D207/'Quarterly Revenue&amp;EBITDA'!D92</f>
        <v>7.4532191563590228E-2</v>
      </c>
      <c r="E92" s="46">
        <f ca="1">'Quarterly Revenue&amp;EBITDA'!E207/'Quarterly Revenue&amp;EBITDA'!E92</f>
        <v>6.314127861089187E-3</v>
      </c>
      <c r="F92" s="46">
        <f ca="1">'Quarterly Revenue&amp;EBITDA'!F207/'Quarterly Revenue&amp;EBITDA'!F92</f>
        <v>0.16113744075829384</v>
      </c>
      <c r="G92" s="46">
        <f ca="1">'Quarterly Revenue&amp;EBITDA'!G207/'Quarterly Revenue&amp;EBITDA'!G92</f>
        <v>4.827894501564596E-2</v>
      </c>
      <c r="H92" s="46">
        <f ca="1">'Quarterly Revenue&amp;EBITDA'!H207/'Quarterly Revenue&amp;EBITDA'!H92</f>
        <v>0.13710247349823321</v>
      </c>
      <c r="I92" s="46">
        <f ca="1">'Quarterly Revenue&amp;EBITDA'!I207/'Quarterly Revenue&amp;EBITDA'!I92</f>
        <v>-0.1577563540753725</v>
      </c>
      <c r="J92" s="46">
        <f ca="1">'Quarterly Revenue&amp;EBITDA'!J207/'Quarterly Revenue&amp;EBITDA'!J92</f>
        <v>-0.30072599250724935</v>
      </c>
      <c r="K92" s="46"/>
      <c r="L92" s="46">
        <f ca="1">'Quarterly Revenue&amp;EBITDA'!L207/'Quarterly Revenue&amp;EBITDA'!L92</f>
        <v>0.21745838925897387</v>
      </c>
      <c r="M92" s="46"/>
      <c r="N92" s="46">
        <f ca="1">'Quarterly Revenue&amp;EBITDA'!N207/'Quarterly Revenue&amp;EBITDA'!N92</f>
        <v>-1.2555570524046883E-2</v>
      </c>
      <c r="O92" s="48">
        <f ca="1">'Quarterly Revenue&amp;EBITDA'!O207/'Quarterly Revenue&amp;EBITDA'!O92</f>
        <v>0.21711899791231767</v>
      </c>
      <c r="P92" s="45"/>
      <c r="Q92" s="45"/>
      <c r="R92" s="46">
        <f>'Quarterly Revenue&amp;EBITDA'!R207/'Quarterly Revenue&amp;EBITDA'!R92</f>
        <v>0.15863417968152282</v>
      </c>
      <c r="S92" s="46">
        <f>'Quarterly Revenue&amp;EBITDA'!S207/'Quarterly Revenue&amp;EBITDA'!S92</f>
        <v>0.26280150475768976</v>
      </c>
      <c r="T92" s="46" t="str">
        <f ca="1">IFERROR('Quarterly Revenue&amp;EBITDA'!T207/'Quarterly Revenue&amp;EBITDA'!T92,"")</f>
        <v/>
      </c>
      <c r="U92" s="45"/>
      <c r="V92" s="45"/>
      <c r="W92" s="46">
        <f>'Quarterly Revenue&amp;EBITDA'!W207/'Quarterly Revenue&amp;EBITDA'!W92</f>
        <v>0.15812269215021169</v>
      </c>
      <c r="X92" s="46">
        <f>'Quarterly Revenue&amp;EBITDA'!X207/'Quarterly Revenue&amp;EBITDA'!X92</f>
        <v>0.15614743832651462</v>
      </c>
      <c r="Y92" s="46">
        <f>'Quarterly Revenue&amp;EBITDA'!Y207/'Quarterly Revenue&amp;EBITDA'!Y92</f>
        <v>0.29291785291244987</v>
      </c>
      <c r="Z92" s="46">
        <f>'Quarterly Revenue&amp;EBITDA'!Z207/'Quarterly Revenue&amp;EBITDA'!Z92</f>
        <v>-8.7903005512323935E-4</v>
      </c>
      <c r="AA92" s="46">
        <f>'Quarterly Revenue&amp;EBITDA'!AA207/'Quarterly Revenue&amp;EBITDA'!AA92</f>
        <v>-8.0454445717629273E-4</v>
      </c>
      <c r="AB92" s="46">
        <f>'Quarterly Revenue&amp;EBITDA'!AB207/'Quarterly Revenue&amp;EBITDA'!AB92</f>
        <v>-1.0924213004074661</v>
      </c>
      <c r="AC92" s="28"/>
    </row>
    <row r="93" spans="1:29" ht="13">
      <c r="A93" s="27" t="s">
        <v>118</v>
      </c>
      <c r="B93" s="46">
        <f ca="1">'Quarterly Revenue&amp;EBITDA'!B208/'Quarterly Revenue&amp;EBITDA'!B93</f>
        <v>-58.244380315917375</v>
      </c>
      <c r="C93" s="46">
        <f ca="1">'Quarterly Revenue&amp;EBITDA'!C208/'Quarterly Revenue&amp;EBITDA'!C93</f>
        <v>0.46884920634920635</v>
      </c>
      <c r="D93" s="46">
        <f ca="1">'Quarterly Revenue&amp;EBITDA'!D208/'Quarterly Revenue&amp;EBITDA'!D93</f>
        <v>0.15767284991568298</v>
      </c>
      <c r="E93" s="46">
        <f ca="1">'Quarterly Revenue&amp;EBITDA'!E208/'Quarterly Revenue&amp;EBITDA'!E93</f>
        <v>9.326072157930565E-2</v>
      </c>
      <c r="F93" s="46">
        <f ca="1">'Quarterly Revenue&amp;EBITDA'!F208/'Quarterly Revenue&amp;EBITDA'!F93</f>
        <v>0.17056074766355139</v>
      </c>
      <c r="G93" s="46">
        <f ca="1">'Quarterly Revenue&amp;EBITDA'!G208/'Quarterly Revenue&amp;EBITDA'!G93</f>
        <v>1.0379241516966068E-2</v>
      </c>
      <c r="H93" s="46">
        <f ca="1">'Quarterly Revenue&amp;EBITDA'!H208/'Quarterly Revenue&amp;EBITDA'!H93</f>
        <v>0.19756621331424482</v>
      </c>
      <c r="I93" s="46">
        <f ca="1">'Quarterly Revenue&amp;EBITDA'!I208/'Quarterly Revenue&amp;EBITDA'!I93</f>
        <v>-2.8787878787878786E-2</v>
      </c>
      <c r="J93" s="46">
        <f ca="1">'Quarterly Revenue&amp;EBITDA'!J208/'Quarterly Revenue&amp;EBITDA'!J93</f>
        <v>-0.31025712759734481</v>
      </c>
      <c r="K93" s="46"/>
      <c r="L93" s="46">
        <f ca="1">'Quarterly Revenue&amp;EBITDA'!L208/'Quarterly Revenue&amp;EBITDA'!L93</f>
        <v>0.20786851448860275</v>
      </c>
      <c r="M93" s="46"/>
      <c r="N93" s="46">
        <f ca="1">'Quarterly Revenue&amp;EBITDA'!N208/'Quarterly Revenue&amp;EBITDA'!N93</f>
        <v>3.1505657093124459E-2</v>
      </c>
      <c r="O93" s="48">
        <f ca="1">'Quarterly Revenue&amp;EBITDA'!O208/'Quarterly Revenue&amp;EBITDA'!O93</f>
        <v>5.5453712190650851E-2</v>
      </c>
      <c r="P93" s="45"/>
      <c r="Q93" s="45"/>
      <c r="R93" s="46">
        <f>'Quarterly Revenue&amp;EBITDA'!R208/'Quarterly Revenue&amp;EBITDA'!R93</f>
        <v>0.15863417968152282</v>
      </c>
      <c r="S93" s="46">
        <f>'Quarterly Revenue&amp;EBITDA'!S208/'Quarterly Revenue&amp;EBITDA'!S93</f>
        <v>0.26280150475768976</v>
      </c>
      <c r="T93" s="46" t="str">
        <f ca="1">IFERROR('Quarterly Revenue&amp;EBITDA'!T208/'Quarterly Revenue&amp;EBITDA'!T93,"")</f>
        <v/>
      </c>
      <c r="U93" s="45"/>
      <c r="V93" s="45"/>
      <c r="W93" s="46">
        <f>'Quarterly Revenue&amp;EBITDA'!W208/'Quarterly Revenue&amp;EBITDA'!W93</f>
        <v>0.22310581462570364</v>
      </c>
      <c r="X93" s="46">
        <f>'Quarterly Revenue&amp;EBITDA'!X208/'Quarterly Revenue&amp;EBITDA'!X93</f>
        <v>0.15614743832651462</v>
      </c>
      <c r="Y93" s="46">
        <f>'Quarterly Revenue&amp;EBITDA'!Y208/'Quarterly Revenue&amp;EBITDA'!Y93</f>
        <v>0.29291785291244987</v>
      </c>
      <c r="Z93" s="46">
        <f>'Quarterly Revenue&amp;EBITDA'!Z208/'Quarterly Revenue&amp;EBITDA'!Z93</f>
        <v>-8.7903005512323935E-4</v>
      </c>
      <c r="AA93" s="46">
        <f>'Quarterly Revenue&amp;EBITDA'!AA208/'Quarterly Revenue&amp;EBITDA'!AA93</f>
        <v>-8.0454445717629273E-4</v>
      </c>
      <c r="AB93" s="46">
        <f>'Quarterly Revenue&amp;EBITDA'!AB208/'Quarterly Revenue&amp;EBITDA'!AB93</f>
        <v>-1.0924213004074661</v>
      </c>
      <c r="AC93" s="28"/>
    </row>
    <row r="94" spans="1:29" ht="13">
      <c r="A94" s="27" t="s">
        <v>119</v>
      </c>
      <c r="B94" s="46">
        <f ca="1">'Quarterly Revenue&amp;EBITDA'!B209/'Quarterly Revenue&amp;EBITDA'!B94</f>
        <v>-0.30894308943089432</v>
      </c>
      <c r="C94" s="46">
        <f ca="1">'Quarterly Revenue&amp;EBITDA'!C209/'Quarterly Revenue&amp;EBITDA'!C94</f>
        <v>0.42527702905061393</v>
      </c>
      <c r="D94" s="46">
        <f ca="1">'Quarterly Revenue&amp;EBITDA'!D209/'Quarterly Revenue&amp;EBITDA'!D94</f>
        <v>4.3684018929741539E-2</v>
      </c>
      <c r="E94" s="46">
        <f ca="1">'Quarterly Revenue&amp;EBITDA'!E209/'Quarterly Revenue&amp;EBITDA'!E94</f>
        <v>0.28869565217391302</v>
      </c>
      <c r="F94" s="46">
        <f ca="1">'Quarterly Revenue&amp;EBITDA'!F209/'Quarterly Revenue&amp;EBITDA'!F94</f>
        <v>5.9701492537313432E-2</v>
      </c>
      <c r="G94" s="46">
        <f ca="1">'Quarterly Revenue&amp;EBITDA'!G209/'Quarterly Revenue&amp;EBITDA'!G94</f>
        <v>7.05209003215434E-2</v>
      </c>
      <c r="H94" s="46">
        <f ca="1">'Quarterly Revenue&amp;EBITDA'!H209/'Quarterly Revenue&amp;EBITDA'!H94</f>
        <v>0.1958997722095672</v>
      </c>
      <c r="I94" s="46">
        <f ca="1">'Quarterly Revenue&amp;EBITDA'!I209/'Quarterly Revenue&amp;EBITDA'!I94</f>
        <v>-4.601648351648352E-2</v>
      </c>
      <c r="J94" s="46">
        <f ca="1">'Quarterly Revenue&amp;EBITDA'!J209/'Quarterly Revenue&amp;EBITDA'!J94</f>
        <v>-0.20150589901217925</v>
      </c>
      <c r="K94" s="46"/>
      <c r="L94" s="46">
        <f ca="1">'Quarterly Revenue&amp;EBITDA'!L209/'Quarterly Revenue&amp;EBITDA'!L94</f>
        <v>3.6679766517015717E-2</v>
      </c>
      <c r="M94" s="46"/>
      <c r="N94" s="46">
        <f ca="1">'Quarterly Revenue&amp;EBITDA'!N209/'Quarterly Revenue&amp;EBITDA'!N94</f>
        <v>-2.0100502512562814E-2</v>
      </c>
      <c r="O94" s="48">
        <f ca="1">'Quarterly Revenue&amp;EBITDA'!O209/'Quarterly Revenue&amp;EBITDA'!O94</f>
        <v>5.5453712190650851E-2</v>
      </c>
      <c r="P94" s="45"/>
      <c r="Q94" s="45"/>
      <c r="R94" s="46">
        <f>'Quarterly Revenue&amp;EBITDA'!R209/'Quarterly Revenue&amp;EBITDA'!R94</f>
        <v>0.15863417968152282</v>
      </c>
      <c r="S94" s="46">
        <f>'Quarterly Revenue&amp;EBITDA'!S209/'Quarterly Revenue&amp;EBITDA'!S94</f>
        <v>0.26280150475768976</v>
      </c>
      <c r="T94" s="46" t="str">
        <f ca="1">IFERROR('Quarterly Revenue&amp;EBITDA'!T209/'Quarterly Revenue&amp;EBITDA'!T94,"")</f>
        <v/>
      </c>
      <c r="U94" s="45"/>
      <c r="V94" s="45"/>
      <c r="W94" s="46">
        <f>'Quarterly Revenue&amp;EBITDA'!W209/'Quarterly Revenue&amp;EBITDA'!W94</f>
        <v>0.22310581462570364</v>
      </c>
      <c r="X94" s="46">
        <f>'Quarterly Revenue&amp;EBITDA'!X209/'Quarterly Revenue&amp;EBITDA'!X94</f>
        <v>0.15614743832651462</v>
      </c>
      <c r="Y94" s="46">
        <f>'Quarterly Revenue&amp;EBITDA'!Y209/'Quarterly Revenue&amp;EBITDA'!Y94</f>
        <v>0.29291785291244987</v>
      </c>
      <c r="Z94" s="46">
        <f>'Quarterly Revenue&amp;EBITDA'!Z209/'Quarterly Revenue&amp;EBITDA'!Z94</f>
        <v>-8.7903005512323935E-4</v>
      </c>
      <c r="AA94" s="46">
        <f>'Quarterly Revenue&amp;EBITDA'!AA209/'Quarterly Revenue&amp;EBITDA'!AA94</f>
        <v>-8.0454445717629273E-4</v>
      </c>
      <c r="AB94" s="46">
        <f>'Quarterly Revenue&amp;EBITDA'!AB209/'Quarterly Revenue&amp;EBITDA'!AB94</f>
        <v>-1.0924213004074661</v>
      </c>
      <c r="AC94" s="28"/>
    </row>
    <row r="95" spans="1:29" ht="13">
      <c r="A95" s="27" t="s">
        <v>120</v>
      </c>
      <c r="B95" s="46">
        <f ca="1">'Quarterly Revenue&amp;EBITDA'!B210/'Quarterly Revenue&amp;EBITDA'!B95</f>
        <v>-0.42418302982787492</v>
      </c>
      <c r="C95" s="46">
        <f ca="1">'Quarterly Revenue&amp;EBITDA'!C210/'Quarterly Revenue&amp;EBITDA'!C95</f>
        <v>-0.31555944055944057</v>
      </c>
      <c r="D95" s="46">
        <f ca="1">'Quarterly Revenue&amp;EBITDA'!D210/'Quarterly Revenue&amp;EBITDA'!D95</f>
        <v>-0.66953372566772296</v>
      </c>
      <c r="E95" s="46">
        <f ca="1">'Quarterly Revenue&amp;EBITDA'!E210/'Quarterly Revenue&amp;EBITDA'!E95</f>
        <v>-1.1106128550074739</v>
      </c>
      <c r="F95" s="46">
        <f ca="1">'Quarterly Revenue&amp;EBITDA'!F210/'Quarterly Revenue&amp;EBITDA'!F95</f>
        <v>-9.7122302158273388E-2</v>
      </c>
      <c r="G95" s="46">
        <f ca="1">'Quarterly Revenue&amp;EBITDA'!G210/'Quarterly Revenue&amp;EBITDA'!G95</f>
        <v>-1.5422031473533617</v>
      </c>
      <c r="H95" s="46">
        <f ca="1">'Quarterly Revenue&amp;EBITDA'!H210/'Quarterly Revenue&amp;EBITDA'!H95</f>
        <v>0.24114088159031982</v>
      </c>
      <c r="I95" s="46">
        <f ca="1">'Quarterly Revenue&amp;EBITDA'!I210/'Quarterly Revenue&amp;EBITDA'!I95</f>
        <v>-0.19053876478318005</v>
      </c>
      <c r="J95" s="46">
        <f ca="1">'Quarterly Revenue&amp;EBITDA'!J210/'Quarterly Revenue&amp;EBITDA'!J95</f>
        <v>-3.2276218245573913</v>
      </c>
      <c r="K95" s="46"/>
      <c r="L95" s="46">
        <f ca="1">'Quarterly Revenue&amp;EBITDA'!L210/'Quarterly Revenue&amp;EBITDA'!L95</f>
        <v>6.0401130894480035</v>
      </c>
      <c r="M95" s="46"/>
      <c r="N95" s="46">
        <f ca="1">'Quarterly Revenue&amp;EBITDA'!N210/'Quarterly Revenue&amp;EBITDA'!N95</f>
        <v>-0.38013120899718839</v>
      </c>
      <c r="O95" s="48">
        <f ca="1">'Quarterly Revenue&amp;EBITDA'!O210/'Quarterly Revenue&amp;EBITDA'!O95</f>
        <v>-3.509240246406593</v>
      </c>
      <c r="P95" s="45"/>
      <c r="Q95" s="45"/>
      <c r="R95" s="46">
        <f>'Quarterly Revenue&amp;EBITDA'!R210/'Quarterly Revenue&amp;EBITDA'!R95</f>
        <v>-0.42756309821137706</v>
      </c>
      <c r="S95" s="46">
        <f>'Quarterly Revenue&amp;EBITDA'!S210/'Quarterly Revenue&amp;EBITDA'!S95</f>
        <v>0.26280150475768976</v>
      </c>
      <c r="T95" s="46" t="str">
        <f ca="1">IFERROR('Quarterly Revenue&amp;EBITDA'!T210/'Quarterly Revenue&amp;EBITDA'!T95,"")</f>
        <v/>
      </c>
      <c r="U95" s="45"/>
      <c r="V95" s="45"/>
      <c r="W95" s="46">
        <f>'Quarterly Revenue&amp;EBITDA'!W210/'Quarterly Revenue&amp;EBITDA'!W95</f>
        <v>0.22310581462570364</v>
      </c>
      <c r="X95" s="46">
        <f>'Quarterly Revenue&amp;EBITDA'!X210/'Quarterly Revenue&amp;EBITDA'!X95</f>
        <v>-1.0222986400654641</v>
      </c>
      <c r="Y95" s="46">
        <f>'Quarterly Revenue&amp;EBITDA'!Y210/'Quarterly Revenue&amp;EBITDA'!Y95</f>
        <v>-0.43879230531838287</v>
      </c>
      <c r="Z95" s="46">
        <f>'Quarterly Revenue&amp;EBITDA'!Z210/'Quarterly Revenue&amp;EBITDA'!Z95</f>
        <v>-7.7504227023465669E-2</v>
      </c>
      <c r="AA95" s="46">
        <f>'Quarterly Revenue&amp;EBITDA'!AA210/'Quarterly Revenue&amp;EBITDA'!AA95</f>
        <v>-4.9812094294499489E-2</v>
      </c>
      <c r="AB95" s="46">
        <f>'Quarterly Revenue&amp;EBITDA'!AB210/'Quarterly Revenue&amp;EBITDA'!AB95</f>
        <v>-1.0025471079852173</v>
      </c>
      <c r="AC95" s="28"/>
    </row>
    <row r="96" spans="1:29" ht="13">
      <c r="A96" s="27" t="s">
        <v>121</v>
      </c>
      <c r="B96" s="46">
        <f ca="1">'Quarterly Revenue&amp;EBITDA'!B211/'Quarterly Revenue&amp;EBITDA'!B96</f>
        <v>-1.9099392425935109</v>
      </c>
      <c r="C96" s="46">
        <f ca="1">'Quarterly Revenue&amp;EBITDA'!C211/'Quarterly Revenue&amp;EBITDA'!C96</f>
        <v>0.33174603174603173</v>
      </c>
      <c r="D96" s="46">
        <f ca="1">'Quarterly Revenue&amp;EBITDA'!D211/'Quarterly Revenue&amp;EBITDA'!D96</f>
        <v>-1.6837455830388692</v>
      </c>
      <c r="E96" s="46">
        <f ca="1">'Quarterly Revenue&amp;EBITDA'!E211/'Quarterly Revenue&amp;EBITDA'!E96</f>
        <v>0.3861607142857143</v>
      </c>
      <c r="F96" s="46">
        <f ca="1">'Quarterly Revenue&amp;EBITDA'!F211/'Quarterly Revenue&amp;EBITDA'!F96</f>
        <v>-3.0338983050847457</v>
      </c>
      <c r="G96" s="46">
        <f ca="1">'Quarterly Revenue&amp;EBITDA'!G211/'Quarterly Revenue&amp;EBITDA'!G96</f>
        <v>-1.6770186335403725</v>
      </c>
      <c r="H96" s="46">
        <f ca="1">'Quarterly Revenue&amp;EBITDA'!H211/'Quarterly Revenue&amp;EBITDA'!H96</f>
        <v>-0.93975903614457823</v>
      </c>
      <c r="I96" s="46">
        <f ca="1">'Quarterly Revenue&amp;EBITDA'!I211/'Quarterly Revenue&amp;EBITDA'!I96</f>
        <v>6.7113402061855671</v>
      </c>
      <c r="J96" s="46">
        <f ca="1">'Quarterly Revenue&amp;EBITDA'!J211/'Quarterly Revenue&amp;EBITDA'!J96</f>
        <v>-5.4557459518943565</v>
      </c>
      <c r="K96" s="46"/>
      <c r="L96" s="46">
        <f ca="1">'Quarterly Revenue&amp;EBITDA'!L211/'Quarterly Revenue&amp;EBITDA'!L96</f>
        <v>-6.272268205634453</v>
      </c>
      <c r="M96" s="46"/>
      <c r="N96" s="46">
        <f ca="1">'Quarterly Revenue&amp;EBITDA'!N211/'Quarterly Revenue&amp;EBITDA'!N96</f>
        <v>-18.616296296296294</v>
      </c>
      <c r="O96" s="48">
        <f ca="1">'Quarterly Revenue&amp;EBITDA'!O211/'Quarterly Revenue&amp;EBITDA'!O96</f>
        <v>-3.509240246406593</v>
      </c>
      <c r="P96" s="48"/>
      <c r="Q96" s="45"/>
      <c r="R96" s="46">
        <f>'Quarterly Revenue&amp;EBITDA'!R211/'Quarterly Revenue&amp;EBITDA'!R96</f>
        <v>-0.42756309821137706</v>
      </c>
      <c r="S96" s="46">
        <f>'Quarterly Revenue&amp;EBITDA'!S211/'Quarterly Revenue&amp;EBITDA'!S96</f>
        <v>0.56201040954734238</v>
      </c>
      <c r="T96" s="46">
        <f ca="1">IFERROR('Quarterly Revenue&amp;EBITDA'!T211/'Quarterly Revenue&amp;EBITDA'!T96,"")</f>
        <v>0.29499999999999976</v>
      </c>
      <c r="U96" s="45"/>
      <c r="V96" s="45"/>
      <c r="W96" s="46">
        <f>'Quarterly Revenue&amp;EBITDA'!W211/'Quarterly Revenue&amp;EBITDA'!W96</f>
        <v>0.22310581462570364</v>
      </c>
      <c r="X96" s="46">
        <f>'Quarterly Revenue&amp;EBITDA'!X211/'Quarterly Revenue&amp;EBITDA'!X96</f>
        <v>-1.0222986400654641</v>
      </c>
      <c r="Y96" s="46">
        <f>'Quarterly Revenue&amp;EBITDA'!Y211/'Quarterly Revenue&amp;EBITDA'!Y96</f>
        <v>-0.43879230531838287</v>
      </c>
      <c r="Z96" s="46">
        <f>'Quarterly Revenue&amp;EBITDA'!Z211/'Quarterly Revenue&amp;EBITDA'!Z96</f>
        <v>-7.7504227023465669E-2</v>
      </c>
      <c r="AA96" s="46">
        <f>'Quarterly Revenue&amp;EBITDA'!AA211/'Quarterly Revenue&amp;EBITDA'!AA96</f>
        <v>-4.9812094294499489E-2</v>
      </c>
      <c r="AB96" s="46">
        <f>'Quarterly Revenue&amp;EBITDA'!AB211/'Quarterly Revenue&amp;EBITDA'!AB96</f>
        <v>-1.0025471079852173</v>
      </c>
      <c r="AC96" s="28"/>
    </row>
    <row r="97" spans="1:29" ht="13">
      <c r="A97" s="27" t="s">
        <v>122</v>
      </c>
      <c r="B97" s="46">
        <f ca="1">'Quarterly Revenue&amp;EBITDA'!B212/'Quarterly Revenue&amp;EBITDA'!B97</f>
        <v>0.2288017883755589</v>
      </c>
      <c r="C97" s="46">
        <f ca="1">'Quarterly Revenue&amp;EBITDA'!C212/'Quarterly Revenue&amp;EBITDA'!C97</f>
        <v>0.31628787878787878</v>
      </c>
      <c r="D97" s="46">
        <f ca="1">'Quarterly Revenue&amp;EBITDA'!D212/'Quarterly Revenue&amp;EBITDA'!D97</f>
        <v>-0.14893617021276595</v>
      </c>
      <c r="E97" s="46">
        <f ca="1">'Quarterly Revenue&amp;EBITDA'!E212/'Quarterly Revenue&amp;EBITDA'!E97</f>
        <v>0.37142857142857144</v>
      </c>
      <c r="F97" s="46">
        <f ca="1">'Quarterly Revenue&amp;EBITDA'!F212/'Quarterly Revenue&amp;EBITDA'!F97</f>
        <v>-0.38410596026490068</v>
      </c>
      <c r="G97" s="46">
        <f ca="1">'Quarterly Revenue&amp;EBITDA'!G212/'Quarterly Revenue&amp;EBITDA'!G97</f>
        <v>-2.9702970297029702E-2</v>
      </c>
      <c r="H97" s="46">
        <f ca="1">'Quarterly Revenue&amp;EBITDA'!H212/'Quarterly Revenue&amp;EBITDA'!H97</f>
        <v>-0.10465116279069767</v>
      </c>
      <c r="I97" s="46">
        <f ca="1">'Quarterly Revenue&amp;EBITDA'!I212/'Quarterly Revenue&amp;EBITDA'!I97</f>
        <v>-4.068376068376069</v>
      </c>
      <c r="J97" s="46">
        <f ca="1">'Quarterly Revenue&amp;EBITDA'!J212/'Quarterly Revenue&amp;EBITDA'!J97</f>
        <v>-0.92490993532705823</v>
      </c>
      <c r="K97" s="46"/>
      <c r="L97" s="46">
        <f ca="1">'Quarterly Revenue&amp;EBITDA'!L212/'Quarterly Revenue&amp;EBITDA'!L97</f>
        <v>-5.8802480599588653</v>
      </c>
      <c r="M97" s="46"/>
      <c r="N97" s="46">
        <f ca="1">'Quarterly Revenue&amp;EBITDA'!N212/'Quarterly Revenue&amp;EBITDA'!N97</f>
        <v>-2.7858849077090118</v>
      </c>
      <c r="O97" s="48">
        <f ca="1">'Quarterly Revenue&amp;EBITDA'!O212/'Quarterly Revenue&amp;EBITDA'!O97</f>
        <v>-6.3362445414847164</v>
      </c>
      <c r="P97" s="48"/>
      <c r="Q97" s="45"/>
      <c r="R97" s="46">
        <f>'Quarterly Revenue&amp;EBITDA'!R212/'Quarterly Revenue&amp;EBITDA'!R97</f>
        <v>-0.42756309821137706</v>
      </c>
      <c r="S97" s="46">
        <f>'Quarterly Revenue&amp;EBITDA'!S212/'Quarterly Revenue&amp;EBITDA'!S97</f>
        <v>0.56201040954734238</v>
      </c>
      <c r="T97" s="46" t="str">
        <f ca="1">IFERROR('Quarterly Revenue&amp;EBITDA'!T212/'Quarterly Revenue&amp;EBITDA'!T97,"")</f>
        <v/>
      </c>
      <c r="U97" s="45"/>
      <c r="V97" s="45"/>
      <c r="W97" s="46">
        <f>'Quarterly Revenue&amp;EBITDA'!W212/'Quarterly Revenue&amp;EBITDA'!W97</f>
        <v>-0.5238290913841861</v>
      </c>
      <c r="X97" s="46">
        <f>'Quarterly Revenue&amp;EBITDA'!X212/'Quarterly Revenue&amp;EBITDA'!X97</f>
        <v>-1.0222986400654641</v>
      </c>
      <c r="Y97" s="46">
        <f>'Quarterly Revenue&amp;EBITDA'!Y212/'Quarterly Revenue&amp;EBITDA'!Y97</f>
        <v>-0.43879230531838287</v>
      </c>
      <c r="Z97" s="46">
        <f>'Quarterly Revenue&amp;EBITDA'!Z212/'Quarterly Revenue&amp;EBITDA'!Z97</f>
        <v>-7.7504227023465669E-2</v>
      </c>
      <c r="AA97" s="46">
        <f>'Quarterly Revenue&amp;EBITDA'!AA212/'Quarterly Revenue&amp;EBITDA'!AA97</f>
        <v>-4.9812094294499489E-2</v>
      </c>
      <c r="AB97" s="46">
        <f>'Quarterly Revenue&amp;EBITDA'!AB212/'Quarterly Revenue&amp;EBITDA'!AB97</f>
        <v>-1.0025471079852173</v>
      </c>
      <c r="AC97" s="28"/>
    </row>
    <row r="98" spans="1:29" ht="13">
      <c r="A98" s="27" t="s">
        <v>123</v>
      </c>
      <c r="B98" s="46">
        <f ca="1">'Quarterly Revenue&amp;EBITDA'!B213/'Quarterly Revenue&amp;EBITDA'!B98</f>
        <v>-4.6484284051222353</v>
      </c>
      <c r="C98" s="46">
        <f ca="1">'Quarterly Revenue&amp;EBITDA'!C213/'Quarterly Revenue&amp;EBITDA'!C98</f>
        <v>0.19789983844911146</v>
      </c>
      <c r="D98" s="46">
        <f ca="1">'Quarterly Revenue&amp;EBITDA'!D213/'Quarterly Revenue&amp;EBITDA'!D98</f>
        <v>-0.53804347826086951</v>
      </c>
      <c r="E98" s="46">
        <f ca="1">'Quarterly Revenue&amp;EBITDA'!E213/'Quarterly Revenue&amp;EBITDA'!E98</f>
        <v>0.16294349540078842</v>
      </c>
      <c r="F98" s="46">
        <f ca="1">'Quarterly Revenue&amp;EBITDA'!F213/'Quarterly Revenue&amp;EBITDA'!F98</f>
        <v>-0.89655172413793105</v>
      </c>
      <c r="G98" s="46">
        <f ca="1">'Quarterly Revenue&amp;EBITDA'!G213/'Quarterly Revenue&amp;EBITDA'!G98</f>
        <v>-0.26792569659442728</v>
      </c>
      <c r="H98" s="46">
        <f ca="1">'Quarterly Revenue&amp;EBITDA'!H213/'Quarterly Revenue&amp;EBITDA'!H98</f>
        <v>-0.39999999999999997</v>
      </c>
      <c r="I98" s="46">
        <f ca="1">'Quarterly Revenue&amp;EBITDA'!I213/'Quarterly Revenue&amp;EBITDA'!I98</f>
        <v>-0.69742328062201853</v>
      </c>
      <c r="J98" s="46">
        <f ca="1">'Quarterly Revenue&amp;EBITDA'!J213/'Quarterly Revenue&amp;EBITDA'!J98</f>
        <v>-6.282787029539133E-2</v>
      </c>
      <c r="K98" s="46"/>
      <c r="L98" s="46">
        <f ca="1">'Quarterly Revenue&amp;EBITDA'!L213/'Quarterly Revenue&amp;EBITDA'!L98</f>
        <v>-11.3345465055177</v>
      </c>
      <c r="M98" s="46"/>
      <c r="N98" s="46">
        <f ca="1">'Quarterly Revenue&amp;EBITDA'!N213/'Quarterly Revenue&amp;EBITDA'!N98</f>
        <v>0.11520047875523638</v>
      </c>
      <c r="O98" s="48">
        <f ca="1">'Quarterly Revenue&amp;EBITDA'!O213/'Quarterly Revenue&amp;EBITDA'!O98</f>
        <v>-6.3362445414847164</v>
      </c>
      <c r="P98" s="48"/>
      <c r="Q98" s="45"/>
      <c r="R98" s="46">
        <f>'Quarterly Revenue&amp;EBITDA'!R213/'Quarterly Revenue&amp;EBITDA'!R98</f>
        <v>-0.42756309821137706</v>
      </c>
      <c r="S98" s="46">
        <f>'Quarterly Revenue&amp;EBITDA'!S213/'Quarterly Revenue&amp;EBITDA'!S98</f>
        <v>0.56201040954734238</v>
      </c>
      <c r="T98" s="46" t="str">
        <f ca="1">IFERROR('Quarterly Revenue&amp;EBITDA'!T213/'Quarterly Revenue&amp;EBITDA'!T98,"")</f>
        <v/>
      </c>
      <c r="U98" s="45"/>
      <c r="V98" s="45"/>
      <c r="W98" s="46">
        <f>'Quarterly Revenue&amp;EBITDA'!W213/'Quarterly Revenue&amp;EBITDA'!W98</f>
        <v>-0.5238290913841861</v>
      </c>
      <c r="X98" s="46">
        <f>'Quarterly Revenue&amp;EBITDA'!X213/'Quarterly Revenue&amp;EBITDA'!X98</f>
        <v>-1.0222986400654641</v>
      </c>
      <c r="Y98" s="46">
        <f>'Quarterly Revenue&amp;EBITDA'!Y213/'Quarterly Revenue&amp;EBITDA'!Y98</f>
        <v>-0.43879230531838287</v>
      </c>
      <c r="Z98" s="46">
        <f>'Quarterly Revenue&amp;EBITDA'!Z213/'Quarterly Revenue&amp;EBITDA'!Z98</f>
        <v>-7.7504227023465669E-2</v>
      </c>
      <c r="AA98" s="46">
        <f>'Quarterly Revenue&amp;EBITDA'!AA213/'Quarterly Revenue&amp;EBITDA'!AA98</f>
        <v>-4.9812094294499489E-2</v>
      </c>
      <c r="AB98" s="46">
        <f>'Quarterly Revenue&amp;EBITDA'!AB213/'Quarterly Revenue&amp;EBITDA'!AB98</f>
        <v>-1.0025471079852173</v>
      </c>
      <c r="AC98" s="28"/>
    </row>
    <row r="99" spans="1:29" ht="13">
      <c r="A99" s="27" t="s">
        <v>124</v>
      </c>
      <c r="B99" s="46">
        <f ca="1">'Quarterly Revenue&amp;EBITDA'!B214/'Quarterly Revenue&amp;EBITDA'!B99</f>
        <v>-1.3145277675052089</v>
      </c>
      <c r="C99" s="46">
        <f ca="1">'Quarterly Revenue&amp;EBITDA'!C214/'Quarterly Revenue&amp;EBITDA'!C99</f>
        <v>-0.24364592462751972</v>
      </c>
      <c r="D99" s="46">
        <f ca="1">'Quarterly Revenue&amp;EBITDA'!D214/'Quarterly Revenue&amp;EBITDA'!D99</f>
        <v>-0.6019261637239165</v>
      </c>
      <c r="E99" s="46">
        <f ca="1">'Quarterly Revenue&amp;EBITDA'!E214/'Quarterly Revenue&amp;EBITDA'!E99</f>
        <v>0.42356687898089174</v>
      </c>
      <c r="F99" s="46">
        <f ca="1">'Quarterly Revenue&amp;EBITDA'!F214/'Quarterly Revenue&amp;EBITDA'!F99</f>
        <v>-0.78048780487804881</v>
      </c>
      <c r="G99" s="46">
        <f ca="1">'Quarterly Revenue&amp;EBITDA'!G214/'Quarterly Revenue&amp;EBITDA'!G99</f>
        <v>-0.20942408376963348</v>
      </c>
      <c r="H99" s="46">
        <f ca="1">'Quarterly Revenue&amp;EBITDA'!H214/'Quarterly Revenue&amp;EBITDA'!H99</f>
        <v>-0.4584717607973422</v>
      </c>
      <c r="I99" s="46">
        <f ca="1">'Quarterly Revenue&amp;EBITDA'!I214/'Quarterly Revenue&amp;EBITDA'!I99</f>
        <v>-0.71882352941176475</v>
      </c>
      <c r="J99" s="46">
        <f ca="1">'Quarterly Revenue&amp;EBITDA'!J214/'Quarterly Revenue&amp;EBITDA'!J99</f>
        <v>-1.2206359424899962E-2</v>
      </c>
      <c r="K99" s="46"/>
      <c r="L99" s="46">
        <f ca="1">'Quarterly Revenue&amp;EBITDA'!L214/'Quarterly Revenue&amp;EBITDA'!L99</f>
        <v>-2.1102003176392237</v>
      </c>
      <c r="M99" s="46"/>
      <c r="N99" s="46">
        <f ca="1">'Quarterly Revenue&amp;EBITDA'!N214/'Quarterly Revenue&amp;EBITDA'!N99</f>
        <v>-0.63069486404833841</v>
      </c>
      <c r="O99" s="48">
        <f ca="1">'Quarterly Revenue&amp;EBITDA'!O214/'Quarterly Revenue&amp;EBITDA'!O99</f>
        <v>-2.056962025316456</v>
      </c>
      <c r="P99" s="48">
        <f ca="1">'Quarterly Revenue&amp;EBITDA'!P214/'Quarterly Revenue&amp;EBITDA'!P99</f>
        <v>8.771929824561403E-2</v>
      </c>
      <c r="Q99" s="45"/>
      <c r="R99" s="46">
        <f>'Quarterly Revenue&amp;EBITDA'!R214/'Quarterly Revenue&amp;EBITDA'!R99</f>
        <v>-9.9901836673389699E-2</v>
      </c>
      <c r="S99" s="46">
        <f>'Quarterly Revenue&amp;EBITDA'!S214/'Quarterly Revenue&amp;EBITDA'!S99</f>
        <v>0.56201040954734238</v>
      </c>
      <c r="T99" s="46" t="str">
        <f ca="1">IFERROR('Quarterly Revenue&amp;EBITDA'!T214/'Quarterly Revenue&amp;EBITDA'!T99,"")</f>
        <v/>
      </c>
      <c r="U99" s="45"/>
      <c r="V99" s="45"/>
      <c r="W99" s="46">
        <f>'Quarterly Revenue&amp;EBITDA'!W214/'Quarterly Revenue&amp;EBITDA'!W99</f>
        <v>-0.5238290913841861</v>
      </c>
      <c r="X99" s="46">
        <f>'Quarterly Revenue&amp;EBITDA'!X214/'Quarterly Revenue&amp;EBITDA'!X99</f>
        <v>-0.80358176492255884</v>
      </c>
      <c r="Y99" s="46">
        <f>'Quarterly Revenue&amp;EBITDA'!Y214/'Quarterly Revenue&amp;EBITDA'!Y99</f>
        <v>-0.20530223923889082</v>
      </c>
      <c r="Z99" s="46">
        <f>'Quarterly Revenue&amp;EBITDA'!Z214/'Quarterly Revenue&amp;EBITDA'!Z99</f>
        <v>-3.7984857579325109E-3</v>
      </c>
      <c r="AA99" s="46">
        <f>'Quarterly Revenue&amp;EBITDA'!AA214/'Quarterly Revenue&amp;EBITDA'!AA99</f>
        <v>-2.4804286741161863</v>
      </c>
      <c r="AB99" s="46">
        <f>'Quarterly Revenue&amp;EBITDA'!AB214/'Quarterly Revenue&amp;EBITDA'!AB99</f>
        <v>-1.1062530384054448</v>
      </c>
      <c r="AC99" s="28"/>
    </row>
    <row r="100" spans="1:29" ht="13">
      <c r="A100" s="27" t="s">
        <v>125</v>
      </c>
      <c r="B100" s="46">
        <f ca="1">'Quarterly Revenue&amp;EBITDA'!B215/'Quarterly Revenue&amp;EBITDA'!B100</f>
        <v>-4.2678378305507213E-2</v>
      </c>
      <c r="C100" s="46">
        <f ca="1">'Quarterly Revenue&amp;EBITDA'!C215/'Quarterly Revenue&amp;EBITDA'!C100</f>
        <v>-1.8981481481481481E-2</v>
      </c>
      <c r="D100" s="46">
        <f ca="1">'Quarterly Revenue&amp;EBITDA'!D215/'Quarterly Revenue&amp;EBITDA'!D100</f>
        <v>-0.10611084793936523</v>
      </c>
      <c r="E100" s="46">
        <f ca="1">'Quarterly Revenue&amp;EBITDA'!E215/'Quarterly Revenue&amp;EBITDA'!E100</f>
        <v>-7.8947368421052627E-2</v>
      </c>
      <c r="F100" s="46">
        <f ca="1">'Quarterly Revenue&amp;EBITDA'!F215/'Quarterly Revenue&amp;EBITDA'!F100</f>
        <v>-0.19574468085106383</v>
      </c>
      <c r="G100" s="46">
        <f ca="1">'Quarterly Revenue&amp;EBITDA'!G215/'Quarterly Revenue&amp;EBITDA'!G100</f>
        <v>-3.4386325072794682E-2</v>
      </c>
      <c r="H100" s="46">
        <f ca="1">'Quarterly Revenue&amp;EBITDA'!H215/'Quarterly Revenue&amp;EBITDA'!H100</f>
        <v>-6.1403508771929828E-2</v>
      </c>
      <c r="I100" s="46">
        <f ca="1">'Quarterly Revenue&amp;EBITDA'!I215/'Quarterly Revenue&amp;EBITDA'!I100</f>
        <v>-0.59888376222867012</v>
      </c>
      <c r="J100" s="46">
        <f ca="1">'Quarterly Revenue&amp;EBITDA'!J215/'Quarterly Revenue&amp;EBITDA'!J100</f>
        <v>-0.76130722139311058</v>
      </c>
      <c r="K100" s="46">
        <f>'Quarterly Revenue&amp;EBITDA'!K215/'Quarterly Revenue&amp;EBITDA'!K100</f>
        <v>-2.8916814370780475E-2</v>
      </c>
      <c r="L100" s="46">
        <f ca="1">'Quarterly Revenue&amp;EBITDA'!L215/'Quarterly Revenue&amp;EBITDA'!L100</f>
        <v>-0.52092941286627426</v>
      </c>
      <c r="M100" s="46"/>
      <c r="N100" s="46">
        <f ca="1">'Quarterly Revenue&amp;EBITDA'!N215/'Quarterly Revenue&amp;EBITDA'!N100</f>
        <v>-0.41885553470919323</v>
      </c>
      <c r="O100" s="48">
        <f ca="1">'Quarterly Revenue&amp;EBITDA'!O215/'Quarterly Revenue&amp;EBITDA'!O100</f>
        <v>-1.3159784560143628</v>
      </c>
      <c r="P100" s="48">
        <f ca="1">'Quarterly Revenue&amp;EBITDA'!P215/'Quarterly Revenue&amp;EBITDA'!P100</f>
        <v>8.771929824561403E-2</v>
      </c>
      <c r="Q100" s="45"/>
      <c r="R100" s="46">
        <f>'Quarterly Revenue&amp;EBITDA'!R215/'Quarterly Revenue&amp;EBITDA'!R100</f>
        <v>-9.9901836673389699E-2</v>
      </c>
      <c r="S100" s="46">
        <f>'Quarterly Revenue&amp;EBITDA'!S215/'Quarterly Revenue&amp;EBITDA'!S100</f>
        <v>0.57576143749203512</v>
      </c>
      <c r="T100" s="46">
        <f ca="1">IFERROR('Quarterly Revenue&amp;EBITDA'!T215/'Quarterly Revenue&amp;EBITDA'!T100,"")</f>
        <v>0.60460431654676039</v>
      </c>
      <c r="U100" s="45"/>
      <c r="V100" s="45"/>
      <c r="W100" s="46">
        <f>'Quarterly Revenue&amp;EBITDA'!W215/'Quarterly Revenue&amp;EBITDA'!W100</f>
        <v>-0.5238290913841861</v>
      </c>
      <c r="X100" s="46">
        <f>'Quarterly Revenue&amp;EBITDA'!X215/'Quarterly Revenue&amp;EBITDA'!X100</f>
        <v>-0.80358176492255884</v>
      </c>
      <c r="Y100" s="46">
        <f>'Quarterly Revenue&amp;EBITDA'!Y215/'Quarterly Revenue&amp;EBITDA'!Y100</f>
        <v>-0.20530223923889082</v>
      </c>
      <c r="Z100" s="46">
        <f>'Quarterly Revenue&amp;EBITDA'!Z215/'Quarterly Revenue&amp;EBITDA'!Z100</f>
        <v>-3.7984857579325109E-3</v>
      </c>
      <c r="AA100" s="46">
        <f>'Quarterly Revenue&amp;EBITDA'!AA215/'Quarterly Revenue&amp;EBITDA'!AA100</f>
        <v>-2.4804286741161863</v>
      </c>
      <c r="AB100" s="46">
        <f>'Quarterly Revenue&amp;EBITDA'!AB215/'Quarterly Revenue&amp;EBITDA'!AB100</f>
        <v>-1.1062530384054448</v>
      </c>
      <c r="AC100" s="28"/>
    </row>
    <row r="101" spans="1:29" ht="13">
      <c r="A101" s="27" t="s">
        <v>126</v>
      </c>
      <c r="B101" s="46">
        <f ca="1">'Quarterly Revenue&amp;EBITDA'!B216/'Quarterly Revenue&amp;EBITDA'!B101</f>
        <v>0.3801045126734578</v>
      </c>
      <c r="C101" s="46">
        <f ca="1">'Quarterly Revenue&amp;EBITDA'!C216/'Quarterly Revenue&amp;EBITDA'!C101</f>
        <v>0.20701454234388367</v>
      </c>
      <c r="D101" s="46">
        <f ca="1">'Quarterly Revenue&amp;EBITDA'!D216/'Quarterly Revenue&amp;EBITDA'!D101</f>
        <v>0.15698852126941257</v>
      </c>
      <c r="E101" s="46">
        <f ca="1">'Quarterly Revenue&amp;EBITDA'!E216/'Quarterly Revenue&amp;EBITDA'!E101</f>
        <v>-0.18531889290012032</v>
      </c>
      <c r="F101" s="46">
        <f ca="1">'Quarterly Revenue&amp;EBITDA'!F216/'Quarterly Revenue&amp;EBITDA'!F101</f>
        <v>9.9009900990099011E-3</v>
      </c>
      <c r="G101" s="46">
        <f ca="1">'Quarterly Revenue&amp;EBITDA'!G216/'Quarterly Revenue&amp;EBITDA'!G101</f>
        <v>6.3492063492063502E-2</v>
      </c>
      <c r="H101" s="46">
        <f ca="1">'Quarterly Revenue&amp;EBITDA'!H216/'Quarterly Revenue&amp;EBITDA'!H101</f>
        <v>7.0070070070070069E-3</v>
      </c>
      <c r="I101" s="46">
        <f ca="1">'Quarterly Revenue&amp;EBITDA'!I216/'Quarterly Revenue&amp;EBITDA'!I101</f>
        <v>-0.30706026293062089</v>
      </c>
      <c r="J101" s="46">
        <f ca="1">'Quarterly Revenue&amp;EBITDA'!J216/'Quarterly Revenue&amp;EBITDA'!J101</f>
        <v>-0.12729886335007928</v>
      </c>
      <c r="K101" s="46">
        <f>'Quarterly Revenue&amp;EBITDA'!K216/'Quarterly Revenue&amp;EBITDA'!K101</f>
        <v>-2.8916814370780475E-2</v>
      </c>
      <c r="L101" s="46">
        <f ca="1">'Quarterly Revenue&amp;EBITDA'!L216/'Quarterly Revenue&amp;EBITDA'!L101</f>
        <v>-0.36277482587767435</v>
      </c>
      <c r="M101" s="46"/>
      <c r="N101" s="46">
        <f ca="1">'Quarterly Revenue&amp;EBITDA'!N216/'Quarterly Revenue&amp;EBITDA'!N101</f>
        <v>-1.0683477106834772E-2</v>
      </c>
      <c r="O101" s="48">
        <f ca="1">'Quarterly Revenue&amp;EBITDA'!O216/'Quarterly Revenue&amp;EBITDA'!O101</f>
        <v>-1.3159784560143628</v>
      </c>
      <c r="P101" s="48">
        <f ca="1">'Quarterly Revenue&amp;EBITDA'!P216/'Quarterly Revenue&amp;EBITDA'!P101</f>
        <v>8.771929824561403E-2</v>
      </c>
      <c r="Q101" s="45"/>
      <c r="R101" s="46">
        <f>'Quarterly Revenue&amp;EBITDA'!R216/'Quarterly Revenue&amp;EBITDA'!R101</f>
        <v>-9.9901836673389699E-2</v>
      </c>
      <c r="S101" s="46">
        <f>'Quarterly Revenue&amp;EBITDA'!S216/'Quarterly Revenue&amp;EBITDA'!S101</f>
        <v>0.57576143749203512</v>
      </c>
      <c r="T101" s="46" t="str">
        <f ca="1">IFERROR('Quarterly Revenue&amp;EBITDA'!T216/'Quarterly Revenue&amp;EBITDA'!T101,"")</f>
        <v/>
      </c>
      <c r="U101" s="45"/>
      <c r="V101" s="45"/>
      <c r="W101" s="46">
        <f>'Quarterly Revenue&amp;EBITDA'!W216/'Quarterly Revenue&amp;EBITDA'!W101</f>
        <v>-0.44614143221014563</v>
      </c>
      <c r="X101" s="46">
        <f>'Quarterly Revenue&amp;EBITDA'!X216/'Quarterly Revenue&amp;EBITDA'!X101</f>
        <v>-0.80358176492255884</v>
      </c>
      <c r="Y101" s="46">
        <f>'Quarterly Revenue&amp;EBITDA'!Y216/'Quarterly Revenue&amp;EBITDA'!Y101</f>
        <v>-0.20530223923889082</v>
      </c>
      <c r="Z101" s="46">
        <f>'Quarterly Revenue&amp;EBITDA'!Z216/'Quarterly Revenue&amp;EBITDA'!Z101</f>
        <v>-3.7984857579325109E-3</v>
      </c>
      <c r="AA101" s="46">
        <f>'Quarterly Revenue&amp;EBITDA'!AA216/'Quarterly Revenue&amp;EBITDA'!AA101</f>
        <v>-2.4804286741161863</v>
      </c>
      <c r="AB101" s="46">
        <f>'Quarterly Revenue&amp;EBITDA'!AB216/'Quarterly Revenue&amp;EBITDA'!AB101</f>
        <v>-1.1062530384054448</v>
      </c>
      <c r="AC101" s="28"/>
    </row>
    <row r="102" spans="1:29" ht="13">
      <c r="A102" s="27" t="s">
        <v>127</v>
      </c>
      <c r="B102" s="46">
        <f ca="1">'Quarterly Revenue&amp;EBITDA'!B217/'Quarterly Revenue&amp;EBITDA'!B102</f>
        <v>4.7135614503627479E-2</v>
      </c>
      <c r="C102" s="46">
        <f ca="1">'Quarterly Revenue&amp;EBITDA'!C217/'Quarterly Revenue&amp;EBITDA'!C102</f>
        <v>0.27373364642737336</v>
      </c>
      <c r="D102" s="46">
        <f ca="1">'Quarterly Revenue&amp;EBITDA'!D217/'Quarterly Revenue&amp;EBITDA'!D102</f>
        <v>0.20666959192628345</v>
      </c>
      <c r="E102" s="46">
        <f ca="1">'Quarterly Revenue&amp;EBITDA'!E217/'Quarterly Revenue&amp;EBITDA'!E102</f>
        <v>-0.15782312925170067</v>
      </c>
      <c r="F102" s="46">
        <f ca="1">'Quarterly Revenue&amp;EBITDA'!F217/'Quarterly Revenue&amp;EBITDA'!F102</f>
        <v>-0.19502074688796681</v>
      </c>
      <c r="G102" s="46">
        <f ca="1">'Quarterly Revenue&amp;EBITDA'!G217/'Quarterly Revenue&amp;EBITDA'!G102</f>
        <v>0.28884949397482212</v>
      </c>
      <c r="H102" s="46">
        <f ca="1">'Quarterly Revenue&amp;EBITDA'!H217/'Quarterly Revenue&amp;EBITDA'!H102</f>
        <v>-4.4025157232704407E-2</v>
      </c>
      <c r="I102" s="46">
        <f ca="1">'Quarterly Revenue&amp;EBITDA'!I217/'Quarterly Revenue&amp;EBITDA'!I102</f>
        <v>-4.3803590352933623E-2</v>
      </c>
      <c r="J102" s="46">
        <f ca="1">'Quarterly Revenue&amp;EBITDA'!J217/'Quarterly Revenue&amp;EBITDA'!J102</f>
        <v>-8.3357241595159226E-2</v>
      </c>
      <c r="K102" s="46">
        <f>'Quarterly Revenue&amp;EBITDA'!K217/'Quarterly Revenue&amp;EBITDA'!K102</f>
        <v>-2.8916814370780475E-2</v>
      </c>
      <c r="L102" s="46">
        <f ca="1">'Quarterly Revenue&amp;EBITDA'!L217/'Quarterly Revenue&amp;EBITDA'!L102</f>
        <v>-0.21563589741538811</v>
      </c>
      <c r="M102" s="46"/>
      <c r="N102" s="46">
        <f ca="1">'Quarterly Revenue&amp;EBITDA'!N217/'Quarterly Revenue&amp;EBITDA'!N102</f>
        <v>0.18751628876726609</v>
      </c>
      <c r="O102" s="48">
        <f ca="1">'Quarterly Revenue&amp;EBITDA'!O217/'Quarterly Revenue&amp;EBITDA'!O102</f>
        <v>-0.38072289156626649</v>
      </c>
      <c r="P102" s="48">
        <f ca="1">'Quarterly Revenue&amp;EBITDA'!P217/'Quarterly Revenue&amp;EBITDA'!P102</f>
        <v>0.38743455497382201</v>
      </c>
      <c r="Q102" s="45"/>
      <c r="R102" s="46">
        <f>'Quarterly Revenue&amp;EBITDA'!R217/'Quarterly Revenue&amp;EBITDA'!R102</f>
        <v>-9.9901836673389699E-2</v>
      </c>
      <c r="S102" s="46">
        <f>'Quarterly Revenue&amp;EBITDA'!S217/'Quarterly Revenue&amp;EBITDA'!S102</f>
        <v>0.57576143749203512</v>
      </c>
      <c r="T102" s="46" t="str">
        <f ca="1">IFERROR('Quarterly Revenue&amp;EBITDA'!T217/'Quarterly Revenue&amp;EBITDA'!T102,"")</f>
        <v/>
      </c>
      <c r="U102" s="45"/>
      <c r="V102" s="45"/>
      <c r="W102" s="46">
        <f>'Quarterly Revenue&amp;EBITDA'!W217/'Quarterly Revenue&amp;EBITDA'!W102</f>
        <v>-0.44614143221014563</v>
      </c>
      <c r="X102" s="46">
        <f>'Quarterly Revenue&amp;EBITDA'!X217/'Quarterly Revenue&amp;EBITDA'!X102</f>
        <v>-0.80358176492255884</v>
      </c>
      <c r="Y102" s="46">
        <f>'Quarterly Revenue&amp;EBITDA'!Y217/'Quarterly Revenue&amp;EBITDA'!Y102</f>
        <v>-0.20530223923889082</v>
      </c>
      <c r="Z102" s="46">
        <f>'Quarterly Revenue&amp;EBITDA'!Z217/'Quarterly Revenue&amp;EBITDA'!Z102</f>
        <v>-3.7984857579325109E-3</v>
      </c>
      <c r="AA102" s="46">
        <f>'Quarterly Revenue&amp;EBITDA'!AA217/'Quarterly Revenue&amp;EBITDA'!AA102</f>
        <v>-2.4804286741161863</v>
      </c>
      <c r="AB102" s="46">
        <f>'Quarterly Revenue&amp;EBITDA'!AB217/'Quarterly Revenue&amp;EBITDA'!AB102</f>
        <v>-1.1062530384054448</v>
      </c>
      <c r="AC102" s="28"/>
    </row>
    <row r="103" spans="1:29" ht="13">
      <c r="A103" s="27" t="s">
        <v>128</v>
      </c>
      <c r="B103" s="46">
        <f ca="1">'Quarterly Revenue&amp;EBITDA'!B218/'Quarterly Revenue&amp;EBITDA'!B103</f>
        <v>-5.3587392979296024E-3</v>
      </c>
      <c r="C103" s="46">
        <f ca="1">'Quarterly Revenue&amp;EBITDA'!C218/'Quarterly Revenue&amp;EBITDA'!C103</f>
        <v>-0.31502782931354362</v>
      </c>
      <c r="D103" s="46">
        <f ca="1">'Quarterly Revenue&amp;EBITDA'!D218/'Quarterly Revenue&amp;EBITDA'!D103</f>
        <v>-9.2485549132947972E-2</v>
      </c>
      <c r="E103" s="46">
        <f ca="1">'Quarterly Revenue&amp;EBITDA'!E218/'Quarterly Revenue&amp;EBITDA'!E103</f>
        <v>-0.19722650231124808</v>
      </c>
      <c r="F103" s="46">
        <f ca="1">'Quarterly Revenue&amp;EBITDA'!F218/'Quarterly Revenue&amp;EBITDA'!F103</f>
        <v>-0.12595419847328243</v>
      </c>
      <c r="G103" s="46">
        <f ca="1">'Quarterly Revenue&amp;EBITDA'!G218/'Quarterly Revenue&amp;EBITDA'!G103</f>
        <v>-4.5514472933351702E-2</v>
      </c>
      <c r="H103" s="46">
        <f ca="1">'Quarterly Revenue&amp;EBITDA'!H218/'Quarterly Revenue&amp;EBITDA'!H103</f>
        <v>-1.6820857863751053E-3</v>
      </c>
      <c r="I103" s="46">
        <f ca="1">'Quarterly Revenue&amp;EBITDA'!I218/'Quarterly Revenue&amp;EBITDA'!I103</f>
        <v>-0.10519152418737879</v>
      </c>
      <c r="J103" s="46">
        <f ca="1">'Quarterly Revenue&amp;EBITDA'!J218/'Quarterly Revenue&amp;EBITDA'!J103</f>
        <v>-3.9509183062977633E-2</v>
      </c>
      <c r="K103" s="46">
        <f>'Quarterly Revenue&amp;EBITDA'!K218/'Quarterly Revenue&amp;EBITDA'!K103</f>
        <v>-2.8916814370780475E-2</v>
      </c>
      <c r="L103" s="46">
        <f ca="1">'Quarterly Revenue&amp;EBITDA'!L218/'Quarterly Revenue&amp;EBITDA'!L103</f>
        <v>-0.36106437552155063</v>
      </c>
      <c r="M103" s="46">
        <f ca="1">'Quarterly Revenue&amp;EBITDA'!M218/'Quarterly Revenue&amp;EBITDA'!M103</f>
        <v>-0.24060150375939848</v>
      </c>
      <c r="N103" s="46">
        <f ca="1">'Quarterly Revenue&amp;EBITDA'!N218/'Quarterly Revenue&amp;EBITDA'!N103</f>
        <v>0.15515210991167813</v>
      </c>
      <c r="O103" s="48">
        <f ca="1">'Quarterly Revenue&amp;EBITDA'!O218/'Quarterly Revenue&amp;EBITDA'!O103</f>
        <v>-0.38072289156626649</v>
      </c>
      <c r="P103" s="48">
        <f ca="1">'Quarterly Revenue&amp;EBITDA'!P218/'Quarterly Revenue&amp;EBITDA'!P103</f>
        <v>0.38743455497382201</v>
      </c>
      <c r="Q103" s="45"/>
      <c r="R103" s="46">
        <f>'Quarterly Revenue&amp;EBITDA'!R218/'Quarterly Revenue&amp;EBITDA'!R103</f>
        <v>-4.6300721082049752E-2</v>
      </c>
      <c r="S103" s="46">
        <f>'Quarterly Revenue&amp;EBITDA'!S218/'Quarterly Revenue&amp;EBITDA'!S103</f>
        <v>0.57576143749203512</v>
      </c>
      <c r="T103" s="46" t="str">
        <f ca="1">IFERROR('Quarterly Revenue&amp;EBITDA'!T218/'Quarterly Revenue&amp;EBITDA'!T103,"")</f>
        <v/>
      </c>
      <c r="U103" s="45"/>
      <c r="V103" s="45"/>
      <c r="W103" s="46">
        <f>'Quarterly Revenue&amp;EBITDA'!W218/'Quarterly Revenue&amp;EBITDA'!W103</f>
        <v>-0.44614143221014563</v>
      </c>
      <c r="X103" s="46">
        <f>'Quarterly Revenue&amp;EBITDA'!X218/'Quarterly Revenue&amp;EBITDA'!X103</f>
        <v>0.11120308564786276</v>
      </c>
      <c r="Y103" s="46">
        <f>'Quarterly Revenue&amp;EBITDA'!Y218/'Quarterly Revenue&amp;EBITDA'!Y103</f>
        <v>0.35049068522391036</v>
      </c>
      <c r="Z103" s="46">
        <f>'Quarterly Revenue&amp;EBITDA'!Z218/'Quarterly Revenue&amp;EBITDA'!Z103</f>
        <v>4.0775368163555877E-2</v>
      </c>
      <c r="AA103" s="46">
        <f>'Quarterly Revenue&amp;EBITDA'!AA218/'Quarterly Revenue&amp;EBITDA'!AA103</f>
        <v>-6.6418384879725085</v>
      </c>
      <c r="AB103" s="46">
        <f>'Quarterly Revenue&amp;EBITDA'!AB218/'Quarterly Revenue&amp;EBITDA'!AB103</f>
        <v>-0.42430114820018411</v>
      </c>
      <c r="AC103" s="28"/>
    </row>
    <row r="104" spans="1:29" ht="13">
      <c r="A104" s="27" t="s">
        <v>129</v>
      </c>
      <c r="B104" s="46">
        <f ca="1">'Quarterly Revenue&amp;EBITDA'!B219/'Quarterly Revenue&amp;EBITDA'!B104</f>
        <v>0.18207771753052482</v>
      </c>
      <c r="C104" s="46">
        <f ca="1">'Quarterly Revenue&amp;EBITDA'!C219/'Quarterly Revenue&amp;EBITDA'!C104</f>
        <v>0.26641825803446667</v>
      </c>
      <c r="D104" s="46">
        <f ca="1">'Quarterly Revenue&amp;EBITDA'!D219/'Quarterly Revenue&amp;EBITDA'!D104</f>
        <v>-3.9924552027664255E-2</v>
      </c>
      <c r="E104" s="46">
        <f ca="1">'Quarterly Revenue&amp;EBITDA'!E219/'Quarterly Revenue&amp;EBITDA'!E104</f>
        <v>0.12353923205342238</v>
      </c>
      <c r="F104" s="46">
        <f ca="1">'Quarterly Revenue&amp;EBITDA'!F219/'Quarterly Revenue&amp;EBITDA'!F104</f>
        <v>0.12709832134292565</v>
      </c>
      <c r="G104" s="46">
        <f ca="1">'Quarterly Revenue&amp;EBITDA'!G219/'Quarterly Revenue&amp;EBITDA'!G104</f>
        <v>-0.41127589470121362</v>
      </c>
      <c r="H104" s="46">
        <f ca="1">'Quarterly Revenue&amp;EBITDA'!H219/'Quarterly Revenue&amp;EBITDA'!H104</f>
        <v>-1.2354152367879203E-2</v>
      </c>
      <c r="I104" s="46">
        <f ca="1">'Quarterly Revenue&amp;EBITDA'!I219/'Quarterly Revenue&amp;EBITDA'!I104</f>
        <v>-8.8520394878776387E-2</v>
      </c>
      <c r="J104" s="46">
        <f ca="1">'Quarterly Revenue&amp;EBITDA'!J219/'Quarterly Revenue&amp;EBITDA'!J104</f>
        <v>-7.0922631767005515E-2</v>
      </c>
      <c r="K104" s="46">
        <f>'Quarterly Revenue&amp;EBITDA'!K219/'Quarterly Revenue&amp;EBITDA'!K104</f>
        <v>7.8089399577097707E-2</v>
      </c>
      <c r="L104" s="46">
        <f ca="1">'Quarterly Revenue&amp;EBITDA'!L219/'Quarterly Revenue&amp;EBITDA'!L104</f>
        <v>-0.28204571137044954</v>
      </c>
      <c r="M104" s="46">
        <f ca="1">'Quarterly Revenue&amp;EBITDA'!M219/'Quarterly Revenue&amp;EBITDA'!M104</f>
        <v>-0.43250000000000005</v>
      </c>
      <c r="N104" s="46">
        <f ca="1">'Quarterly Revenue&amp;EBITDA'!N219/'Quarterly Revenue&amp;EBITDA'!N104</f>
        <v>0.30381569474442044</v>
      </c>
      <c r="O104" s="48">
        <f ca="1">'Quarterly Revenue&amp;EBITDA'!O219/'Quarterly Revenue&amp;EBITDA'!O104</f>
        <v>2.3890784982935155E-2</v>
      </c>
      <c r="P104" s="48">
        <f ca="1">'Quarterly Revenue&amp;EBITDA'!P219/'Quarterly Revenue&amp;EBITDA'!P104</f>
        <v>0.41312741312741313</v>
      </c>
      <c r="Q104" s="45"/>
      <c r="R104" s="46">
        <f>'Quarterly Revenue&amp;EBITDA'!R219/'Quarterly Revenue&amp;EBITDA'!R104</f>
        <v>-4.6300721082049752E-2</v>
      </c>
      <c r="S104" s="46">
        <f ca="1">'Quarterly Revenue&amp;EBITDA'!S219/'Quarterly Revenue&amp;EBITDA'!S104</f>
        <v>0.51301314424469224</v>
      </c>
      <c r="T104" s="46">
        <f ca="1">IFERROR('Quarterly Revenue&amp;EBITDA'!T219/'Quarterly Revenue&amp;EBITDA'!T104,"")</f>
        <v>1.9337259382965629E-3</v>
      </c>
      <c r="U104" s="45"/>
      <c r="V104" s="45"/>
      <c r="W104" s="46">
        <f>'Quarterly Revenue&amp;EBITDA'!W219/'Quarterly Revenue&amp;EBITDA'!W104</f>
        <v>-0.44614143221014563</v>
      </c>
      <c r="X104" s="46">
        <f>'Quarterly Revenue&amp;EBITDA'!X219/'Quarterly Revenue&amp;EBITDA'!X104</f>
        <v>0.11120308564786276</v>
      </c>
      <c r="Y104" s="46">
        <f>'Quarterly Revenue&amp;EBITDA'!Y219/'Quarterly Revenue&amp;EBITDA'!Y104</f>
        <v>0.35049068522391036</v>
      </c>
      <c r="Z104" s="46">
        <f>'Quarterly Revenue&amp;EBITDA'!Z219/'Quarterly Revenue&amp;EBITDA'!Z104</f>
        <v>4.0775368163555877E-2</v>
      </c>
      <c r="AA104" s="46">
        <f>'Quarterly Revenue&amp;EBITDA'!AA219/'Quarterly Revenue&amp;EBITDA'!AA104</f>
        <v>-6.6418384879725085</v>
      </c>
      <c r="AB104" s="46">
        <f>'Quarterly Revenue&amp;EBITDA'!AB219/'Quarterly Revenue&amp;EBITDA'!AB104</f>
        <v>-0.42430114820018411</v>
      </c>
      <c r="AC104" s="28"/>
    </row>
    <row r="105" spans="1:29" ht="13">
      <c r="A105" s="27" t="s">
        <v>130</v>
      </c>
      <c r="B105" s="46">
        <f ca="1">'Quarterly Revenue&amp;EBITDA'!B220/'Quarterly Revenue&amp;EBITDA'!B105</f>
        <v>0.44026300005893754</v>
      </c>
      <c r="C105" s="46">
        <f ca="1">'Quarterly Revenue&amp;EBITDA'!C220/'Quarterly Revenue&amp;EBITDA'!C105</f>
        <v>0.3595505617977528</v>
      </c>
      <c r="D105" s="46">
        <f ca="1">'Quarterly Revenue&amp;EBITDA'!D220/'Quarterly Revenue&amp;EBITDA'!D105</f>
        <v>0.19066040342636087</v>
      </c>
      <c r="E105" s="46">
        <f ca="1">'Quarterly Revenue&amp;EBITDA'!E220/'Quarterly Revenue&amp;EBITDA'!E105</f>
        <v>6.0887512899896801E-2</v>
      </c>
      <c r="F105" s="46">
        <f ca="1">'Quarterly Revenue&amp;EBITDA'!F220/'Quarterly Revenue&amp;EBITDA'!F105</f>
        <v>0.13507625272331156</v>
      </c>
      <c r="G105" s="46">
        <f ca="1">'Quarterly Revenue&amp;EBITDA'!G220/'Quarterly Revenue&amp;EBITDA'!G105</f>
        <v>-0.39738704409363096</v>
      </c>
      <c r="H105" s="46">
        <f ca="1">'Quarterly Revenue&amp;EBITDA'!H220/'Quarterly Revenue&amp;EBITDA'!H105</f>
        <v>2.0237264480111653E-2</v>
      </c>
      <c r="I105" s="46">
        <f ca="1">'Quarterly Revenue&amp;EBITDA'!I220/'Quarterly Revenue&amp;EBITDA'!I105</f>
        <v>-9.6527377125745217E-2</v>
      </c>
      <c r="J105" s="46">
        <f ca="1">'Quarterly Revenue&amp;EBITDA'!J220/'Quarterly Revenue&amp;EBITDA'!J105</f>
        <v>-5.4626906608560503E-2</v>
      </c>
      <c r="K105" s="46">
        <f>'Quarterly Revenue&amp;EBITDA'!K220/'Quarterly Revenue&amp;EBITDA'!K105</f>
        <v>7.8089399577097707E-2</v>
      </c>
      <c r="L105" s="46">
        <f ca="1">'Quarterly Revenue&amp;EBITDA'!L220/'Quarterly Revenue&amp;EBITDA'!L105</f>
        <v>0.23532180683738699</v>
      </c>
      <c r="M105" s="46">
        <f ca="1">'Quarterly Revenue&amp;EBITDA'!M220/'Quarterly Revenue&amp;EBITDA'!M105</f>
        <v>-7.8787878787878796E-2</v>
      </c>
      <c r="N105" s="46">
        <f ca="1">'Quarterly Revenue&amp;EBITDA'!N220/'Quarterly Revenue&amp;EBITDA'!N105</f>
        <v>0.31043848167539267</v>
      </c>
      <c r="O105" s="48">
        <f ca="1">'Quarterly Revenue&amp;EBITDA'!O220/'Quarterly Revenue&amp;EBITDA'!O105</f>
        <v>2.3890784982935155E-2</v>
      </c>
      <c r="P105" s="48">
        <f ca="1">'Quarterly Revenue&amp;EBITDA'!P220/'Quarterly Revenue&amp;EBITDA'!P105</f>
        <v>0.41312741312741313</v>
      </c>
      <c r="Q105" s="45"/>
      <c r="R105" s="46">
        <f>'Quarterly Revenue&amp;EBITDA'!R220/'Quarterly Revenue&amp;EBITDA'!R105</f>
        <v>-4.6300721082049752E-2</v>
      </c>
      <c r="S105" s="46">
        <f ca="1">'Quarterly Revenue&amp;EBITDA'!S220/'Quarterly Revenue&amp;EBITDA'!S105</f>
        <v>0.3821035874273444</v>
      </c>
      <c r="T105" s="46">
        <f ca="1">IFERROR('Quarterly Revenue&amp;EBITDA'!T220/'Quarterly Revenue&amp;EBITDA'!T105,"")</f>
        <v>-7.5168836253303312E-2</v>
      </c>
      <c r="U105" s="45"/>
      <c r="V105" s="45"/>
      <c r="W105" s="46">
        <f>'Quarterly Revenue&amp;EBITDA'!W220/'Quarterly Revenue&amp;EBITDA'!W105</f>
        <v>-0.10071560548818177</v>
      </c>
      <c r="X105" s="46">
        <f>'Quarterly Revenue&amp;EBITDA'!X220/'Quarterly Revenue&amp;EBITDA'!X105</f>
        <v>0.11120308564786276</v>
      </c>
      <c r="Y105" s="46">
        <f>'Quarterly Revenue&amp;EBITDA'!Y220/'Quarterly Revenue&amp;EBITDA'!Y105</f>
        <v>0.35049068522391036</v>
      </c>
      <c r="Z105" s="46">
        <f>'Quarterly Revenue&amp;EBITDA'!Z220/'Quarterly Revenue&amp;EBITDA'!Z105</f>
        <v>4.0775368163555877E-2</v>
      </c>
      <c r="AA105" s="46">
        <f>'Quarterly Revenue&amp;EBITDA'!AA220/'Quarterly Revenue&amp;EBITDA'!AA105</f>
        <v>-6.6418384879725085</v>
      </c>
      <c r="AB105" s="46">
        <f>'Quarterly Revenue&amp;EBITDA'!AB220/'Quarterly Revenue&amp;EBITDA'!AB105</f>
        <v>-0.42430114820018411</v>
      </c>
      <c r="AC105" s="28"/>
    </row>
    <row r="106" spans="1:29" ht="13">
      <c r="A106" s="27" t="s">
        <v>131</v>
      </c>
      <c r="B106" s="46">
        <f ca="1">'Quarterly Revenue&amp;EBITDA'!B221/'Quarterly Revenue&amp;EBITDA'!B106</f>
        <v>0.18086225026288119</v>
      </c>
      <c r="C106" s="46">
        <f ca="1">'Quarterly Revenue&amp;EBITDA'!C221/'Quarterly Revenue&amp;EBITDA'!C106</f>
        <v>0.35860706347246235</v>
      </c>
      <c r="D106" s="46">
        <f ca="1">'Quarterly Revenue&amp;EBITDA'!D221/'Quarterly Revenue&amp;EBITDA'!D106</f>
        <v>6.9900687547746365E-2</v>
      </c>
      <c r="E106" s="46">
        <f ca="1">'Quarterly Revenue&amp;EBITDA'!E221/'Quarterly Revenue&amp;EBITDA'!E106</f>
        <v>0.50410958904109593</v>
      </c>
      <c r="F106" s="46">
        <f ca="1">'Quarterly Revenue&amp;EBITDA'!F221/'Quarterly Revenue&amp;EBITDA'!F106</f>
        <v>-4.519774011299435E-2</v>
      </c>
      <c r="G106" s="46">
        <f ca="1">'Quarterly Revenue&amp;EBITDA'!G221/'Quarterly Revenue&amp;EBITDA'!G106</f>
        <v>0.16112271067509462</v>
      </c>
      <c r="H106" s="46">
        <f ca="1">'Quarterly Revenue&amp;EBITDA'!H221/'Quarterly Revenue&amp;EBITDA'!H106</f>
        <v>4.827586206896551E-2</v>
      </c>
      <c r="I106" s="46">
        <f ca="1">'Quarterly Revenue&amp;EBITDA'!I221/'Quarterly Revenue&amp;EBITDA'!I106</f>
        <v>-6.487474406013384E-2</v>
      </c>
      <c r="J106" s="46">
        <f ca="1">'Quarterly Revenue&amp;EBITDA'!J221/'Quarterly Revenue&amp;EBITDA'!J106</f>
        <v>-1.2138911368354385E-3</v>
      </c>
      <c r="K106" s="46">
        <f>'Quarterly Revenue&amp;EBITDA'!K221/'Quarterly Revenue&amp;EBITDA'!K106</f>
        <v>7.8089399577097707E-2</v>
      </c>
      <c r="L106" s="46">
        <f ca="1">'Quarterly Revenue&amp;EBITDA'!L221/'Quarterly Revenue&amp;EBITDA'!L106</f>
        <v>2.9061769389912673E-2</v>
      </c>
      <c r="M106" s="46">
        <f ca="1">'Quarterly Revenue&amp;EBITDA'!M221/'Quarterly Revenue&amp;EBITDA'!M106</f>
        <v>-2.3478260869565087E-2</v>
      </c>
      <c r="N106" s="46">
        <f ca="1">'Quarterly Revenue&amp;EBITDA'!N221/'Quarterly Revenue&amp;EBITDA'!N106</f>
        <v>2.7556041552761073E-2</v>
      </c>
      <c r="O106" s="48">
        <f ca="1">'Quarterly Revenue&amp;EBITDA'!O221/'Quarterly Revenue&amp;EBITDA'!O106</f>
        <v>7.7412513255567458E-2</v>
      </c>
      <c r="P106" s="48">
        <f ca="1">'Quarterly Revenue&amp;EBITDA'!P221/'Quarterly Revenue&amp;EBITDA'!P106</f>
        <v>0.3928571428571429</v>
      </c>
      <c r="Q106" s="45"/>
      <c r="R106" s="46">
        <f>'Quarterly Revenue&amp;EBITDA'!R221/'Quarterly Revenue&amp;EBITDA'!R106</f>
        <v>-4.6300721082049752E-2</v>
      </c>
      <c r="S106" s="46">
        <f ca="1">'Quarterly Revenue&amp;EBITDA'!S221/'Quarterly Revenue&amp;EBITDA'!S106</f>
        <v>0.44989234173490089</v>
      </c>
      <c r="T106" s="46">
        <f ca="1">IFERROR('Quarterly Revenue&amp;EBITDA'!T221/'Quarterly Revenue&amp;EBITDA'!T106,"")</f>
        <v>-0.22610209879937679</v>
      </c>
      <c r="U106" s="45"/>
      <c r="V106" s="45"/>
      <c r="W106" s="46">
        <f>'Quarterly Revenue&amp;EBITDA'!W221/'Quarterly Revenue&amp;EBITDA'!W106</f>
        <v>-0.10071560548818177</v>
      </c>
      <c r="X106" s="46">
        <f>'Quarterly Revenue&amp;EBITDA'!X221/'Quarterly Revenue&amp;EBITDA'!X106</f>
        <v>0.11120308564786276</v>
      </c>
      <c r="Y106" s="46">
        <f>'Quarterly Revenue&amp;EBITDA'!Y221/'Quarterly Revenue&amp;EBITDA'!Y106</f>
        <v>0.35049068522391036</v>
      </c>
      <c r="Z106" s="46">
        <f>'Quarterly Revenue&amp;EBITDA'!Z221/'Quarterly Revenue&amp;EBITDA'!Z106</f>
        <v>4.0775368163555877E-2</v>
      </c>
      <c r="AA106" s="46">
        <f>'Quarterly Revenue&amp;EBITDA'!AA221/'Quarterly Revenue&amp;EBITDA'!AA106</f>
        <v>-6.6418384879725085</v>
      </c>
      <c r="AB106" s="46">
        <f>'Quarterly Revenue&amp;EBITDA'!AB221/'Quarterly Revenue&amp;EBITDA'!AB106</f>
        <v>-0.42430114820018411</v>
      </c>
      <c r="AC106" s="28"/>
    </row>
    <row r="107" spans="1:29" ht="13">
      <c r="A107" s="27" t="s">
        <v>132</v>
      </c>
      <c r="B107" s="46">
        <f ca="1">'Quarterly Revenue&amp;EBITDA'!B222/'Quarterly Revenue&amp;EBITDA'!B107</f>
        <v>7.1507150715071507E-2</v>
      </c>
      <c r="C107" s="46">
        <f ca="1">'Quarterly Revenue&amp;EBITDA'!C222/'Quarterly Revenue&amp;EBITDA'!C107</f>
        <v>8.020116463737427E-2</v>
      </c>
      <c r="D107" s="46">
        <f ca="1">'Quarterly Revenue&amp;EBITDA'!D222/'Quarterly Revenue&amp;EBITDA'!D107</f>
        <v>-2.2889305816135085E-2</v>
      </c>
      <c r="E107" s="46">
        <f ca="1">'Quarterly Revenue&amp;EBITDA'!E222/'Quarterly Revenue&amp;EBITDA'!E107</f>
        <v>0.41759880686055184</v>
      </c>
      <c r="F107" s="46">
        <f ca="1">'Quarterly Revenue&amp;EBITDA'!F222/'Quarterly Revenue&amp;EBITDA'!F107</f>
        <v>-4.0431266846361183E-2</v>
      </c>
      <c r="G107" s="46">
        <f ca="1">'Quarterly Revenue&amp;EBITDA'!G222/'Quarterly Revenue&amp;EBITDA'!G107</f>
        <v>0.14013473107820887</v>
      </c>
      <c r="H107" s="46">
        <f ca="1">'Quarterly Revenue&amp;EBITDA'!H222/'Quarterly Revenue&amp;EBITDA'!H107</f>
        <v>0.11192538307794803</v>
      </c>
      <c r="I107" s="46">
        <f ca="1">'Quarterly Revenue&amp;EBITDA'!I222/'Quarterly Revenue&amp;EBITDA'!I107</f>
        <v>-3.3628006326122978E-2</v>
      </c>
      <c r="J107" s="46">
        <f ca="1">'Quarterly Revenue&amp;EBITDA'!J222/'Quarterly Revenue&amp;EBITDA'!J107</f>
        <v>3.6061754745056324E-2</v>
      </c>
      <c r="K107" s="46">
        <f>'Quarterly Revenue&amp;EBITDA'!K222/'Quarterly Revenue&amp;EBITDA'!K107</f>
        <v>7.8089399577097707E-2</v>
      </c>
      <c r="L107" s="46">
        <f ca="1">'Quarterly Revenue&amp;EBITDA'!L222/'Quarterly Revenue&amp;EBITDA'!L107</f>
        <v>0.20475569872463281</v>
      </c>
      <c r="M107" s="46">
        <f ca="1">'Quarterly Revenue&amp;EBITDA'!M222/'Quarterly Revenue&amp;EBITDA'!M107</f>
        <v>1.8604082840236688E-3</v>
      </c>
      <c r="N107" s="46">
        <f ca="1">'Quarterly Revenue&amp;EBITDA'!N222/'Quarterly Revenue&amp;EBITDA'!N107</f>
        <v>0.13671753347866708</v>
      </c>
      <c r="O107" s="48">
        <f ca="1">'Quarterly Revenue&amp;EBITDA'!O222/'Quarterly Revenue&amp;EBITDA'!O107</f>
        <v>7.7412513255567458E-2</v>
      </c>
      <c r="P107" s="48">
        <f ca="1">'Quarterly Revenue&amp;EBITDA'!P222/'Quarterly Revenue&amp;EBITDA'!P107</f>
        <v>0.3928571428571429</v>
      </c>
      <c r="Q107" s="45"/>
      <c r="R107" s="46">
        <f ca="1">'Quarterly Revenue&amp;EBITDA'!R222/'Quarterly Revenue&amp;EBITDA'!R107</f>
        <v>0.10437710437710437</v>
      </c>
      <c r="S107" s="46">
        <f ca="1">'Quarterly Revenue&amp;EBITDA'!S222/'Quarterly Revenue&amp;EBITDA'!S107</f>
        <v>0.43692522904487879</v>
      </c>
      <c r="T107" s="46">
        <f ca="1">IFERROR('Quarterly Revenue&amp;EBITDA'!T222/'Quarterly Revenue&amp;EBITDA'!T107,"")</f>
        <v>1.9544422269630442E-2</v>
      </c>
      <c r="U107" s="45"/>
      <c r="V107" s="45"/>
      <c r="W107" s="46">
        <f>'Quarterly Revenue&amp;EBITDA'!W222/'Quarterly Revenue&amp;EBITDA'!W107</f>
        <v>-0.10071560548818177</v>
      </c>
      <c r="X107" s="46">
        <f>'Quarterly Revenue&amp;EBITDA'!X222/'Quarterly Revenue&amp;EBITDA'!X107</f>
        <v>0.2725795004464388</v>
      </c>
      <c r="Y107" s="46">
        <f>'Quarterly Revenue&amp;EBITDA'!Y222/'Quarterly Revenue&amp;EBITDA'!Y107</f>
        <v>0.35858076654043752</v>
      </c>
      <c r="Z107" s="46">
        <f>'Quarterly Revenue&amp;EBITDA'!Z222/'Quarterly Revenue&amp;EBITDA'!Z107</f>
        <v>9.7871351433956491E-2</v>
      </c>
      <c r="AA107" s="46"/>
      <c r="AB107" s="46">
        <f>'Quarterly Revenue&amp;EBITDA'!AB222/'Quarterly Revenue&amp;EBITDA'!AB107</f>
        <v>3.978805653615388E-2</v>
      </c>
      <c r="AC107" s="28"/>
    </row>
    <row r="108" spans="1:29" ht="13">
      <c r="A108" s="27" t="s">
        <v>133</v>
      </c>
      <c r="B108" s="46">
        <f ca="1">'Quarterly Revenue&amp;EBITDA'!B223/'Quarterly Revenue&amp;EBITDA'!B108</f>
        <v>0.27214170692431561</v>
      </c>
      <c r="C108" s="46">
        <f ca="1">'Quarterly Revenue&amp;EBITDA'!C223/'Quarterly Revenue&amp;EBITDA'!C108</f>
        <v>0.29622848773343097</v>
      </c>
      <c r="D108" s="46">
        <f ca="1">'Quarterly Revenue&amp;EBITDA'!D223/'Quarterly Revenue&amp;EBITDA'!D108</f>
        <v>0.13817748659916618</v>
      </c>
      <c r="E108" s="46">
        <f ca="1">'Quarterly Revenue&amp;EBITDA'!E223/'Quarterly Revenue&amp;EBITDA'!E108</f>
        <v>8.6872586872586879E-2</v>
      </c>
      <c r="F108" s="46">
        <f ca="1">'Quarterly Revenue&amp;EBITDA'!F223/'Quarterly Revenue&amp;EBITDA'!F108</f>
        <v>8.9068825910931168E-2</v>
      </c>
      <c r="G108" s="46">
        <f ca="1">'Quarterly Revenue&amp;EBITDA'!G223/'Quarterly Revenue&amp;EBITDA'!G108</f>
        <v>7.9060721977562753E-2</v>
      </c>
      <c r="H108" s="46">
        <f ca="1">'Quarterly Revenue&amp;EBITDA'!H223/'Quarterly Revenue&amp;EBITDA'!H108</f>
        <v>0.15873015873015872</v>
      </c>
      <c r="I108" s="46">
        <f ca="1">'Quarterly Revenue&amp;EBITDA'!I223/'Quarterly Revenue&amp;EBITDA'!I108</f>
        <v>8.9123027476378056E-2</v>
      </c>
      <c r="J108" s="46">
        <f ca="1">'Quarterly Revenue&amp;EBITDA'!J223/'Quarterly Revenue&amp;EBITDA'!J108</f>
        <v>9.4479263562936192E-2</v>
      </c>
      <c r="K108" s="46">
        <f>'Quarterly Revenue&amp;EBITDA'!K223/'Quarterly Revenue&amp;EBITDA'!K108</f>
        <v>7.9777365491651209E-2</v>
      </c>
      <c r="L108" s="46">
        <f ca="1">'Quarterly Revenue&amp;EBITDA'!L223/'Quarterly Revenue&amp;EBITDA'!L108</f>
        <v>0.21575256491429717</v>
      </c>
      <c r="M108" s="46">
        <f ca="1">'Quarterly Revenue&amp;EBITDA'!M223/'Quarterly Revenue&amp;EBITDA'!M108</f>
        <v>0.11075268817204301</v>
      </c>
      <c r="N108" s="46">
        <f ca="1">'Quarterly Revenue&amp;EBITDA'!N223/'Quarterly Revenue&amp;EBITDA'!N108</f>
        <v>9.8268120590121882E-2</v>
      </c>
      <c r="O108" s="48">
        <f ca="1">'Quarterly Revenue&amp;EBITDA'!O223/'Quarterly Revenue&amp;EBITDA'!O108</f>
        <v>0.21881390593047031</v>
      </c>
      <c r="P108" s="48">
        <f ca="1">'Quarterly Revenue&amp;EBITDA'!P223/'Quarterly Revenue&amp;EBITDA'!P108</f>
        <v>0.36612021857923494</v>
      </c>
      <c r="Q108" s="45"/>
      <c r="R108" s="46">
        <f ca="1">'Quarterly Revenue&amp;EBITDA'!R223/'Quarterly Revenue&amp;EBITDA'!R108</f>
        <v>0.17161716171617161</v>
      </c>
      <c r="S108" s="46">
        <f ca="1">'Quarterly Revenue&amp;EBITDA'!S223/'Quarterly Revenue&amp;EBITDA'!S108</f>
        <v>0.33430373144943382</v>
      </c>
      <c r="T108" s="46">
        <f ca="1">IFERROR('Quarterly Revenue&amp;EBITDA'!T223/'Quarterly Revenue&amp;EBITDA'!T108,"")</f>
        <v>-9.2757494805580289E-3</v>
      </c>
      <c r="U108" s="45"/>
      <c r="V108" s="45"/>
      <c r="W108" s="46">
        <f>'Quarterly Revenue&amp;EBITDA'!W223/'Quarterly Revenue&amp;EBITDA'!W108</f>
        <v>-0.10071560548818177</v>
      </c>
      <c r="X108" s="46">
        <f>'Quarterly Revenue&amp;EBITDA'!X223/'Quarterly Revenue&amp;EBITDA'!X108</f>
        <v>0.2725795004464388</v>
      </c>
      <c r="Y108" s="46">
        <f>'Quarterly Revenue&amp;EBITDA'!Y223/'Quarterly Revenue&amp;EBITDA'!Y108</f>
        <v>0.35858076654043752</v>
      </c>
      <c r="Z108" s="46">
        <f>'Quarterly Revenue&amp;EBITDA'!Z223/'Quarterly Revenue&amp;EBITDA'!Z108</f>
        <v>9.7871351433956491E-2</v>
      </c>
      <c r="AA108" s="46"/>
      <c r="AB108" s="46">
        <f>'Quarterly Revenue&amp;EBITDA'!AB223/'Quarterly Revenue&amp;EBITDA'!AB108</f>
        <v>3.978805653615388E-2</v>
      </c>
      <c r="AC108" s="28"/>
    </row>
    <row r="109" spans="1:29" ht="13">
      <c r="A109" s="27" t="s">
        <v>134</v>
      </c>
      <c r="B109" s="46">
        <f ca="1">'Quarterly Revenue&amp;EBITDA'!B224/'Quarterly Revenue&amp;EBITDA'!B109</f>
        <v>0.49425964085958196</v>
      </c>
      <c r="C109" s="46">
        <f ca="1">'Quarterly Revenue&amp;EBITDA'!C224/'Quarterly Revenue&amp;EBITDA'!C109</f>
        <v>0.42896063206647594</v>
      </c>
      <c r="D109" s="46">
        <f ca="1">'Quarterly Revenue&amp;EBITDA'!D224/'Quarterly Revenue&amp;EBITDA'!D109</f>
        <v>0.11300585390684653</v>
      </c>
      <c r="E109" s="46">
        <f ca="1">'Quarterly Revenue&amp;EBITDA'!E224/'Quarterly Revenue&amp;EBITDA'!E109</f>
        <v>0.32519893899204244</v>
      </c>
      <c r="F109" s="46">
        <f ca="1">'Quarterly Revenue&amp;EBITDA'!F224/'Quarterly Revenue&amp;EBITDA'!F109</f>
        <v>0.1200750469043152</v>
      </c>
      <c r="G109" s="46">
        <f ca="1">'Quarterly Revenue&amp;EBITDA'!G224/'Quarterly Revenue&amp;EBITDA'!G109</f>
        <v>-1.1567951755330605</v>
      </c>
      <c r="H109" s="46">
        <f ca="1">'Quarterly Revenue&amp;EBITDA'!H224/'Quarterly Revenue&amp;EBITDA'!H109</f>
        <v>7.0206489675516223E-2</v>
      </c>
      <c r="I109" s="46">
        <f ca="1">'Quarterly Revenue&amp;EBITDA'!I224/'Quarterly Revenue&amp;EBITDA'!I109</f>
        <v>6.758001122964627E-2</v>
      </c>
      <c r="J109" s="46">
        <f ca="1">'Quarterly Revenue&amp;EBITDA'!J224/'Quarterly Revenue&amp;EBITDA'!J109</f>
        <v>1.2946825537969057E-2</v>
      </c>
      <c r="K109" s="46">
        <f>'Quarterly Revenue&amp;EBITDA'!K224/'Quarterly Revenue&amp;EBITDA'!K109</f>
        <v>7.9777365491651209E-2</v>
      </c>
      <c r="L109" s="46">
        <f ca="1">'Quarterly Revenue&amp;EBITDA'!L224/'Quarterly Revenue&amp;EBITDA'!L109</f>
        <v>7.3452742559186546E-2</v>
      </c>
      <c r="M109" s="46">
        <f ca="1">'Quarterly Revenue&amp;EBITDA'!M224/'Quarterly Revenue&amp;EBITDA'!M109</f>
        <v>0.13540669856459331</v>
      </c>
      <c r="N109" s="46">
        <f ca="1">'Quarterly Revenue&amp;EBITDA'!N224/'Quarterly Revenue&amp;EBITDA'!N109</f>
        <v>0.14048672566371684</v>
      </c>
      <c r="O109" s="48">
        <f ca="1">'Quarterly Revenue&amp;EBITDA'!O224/'Quarterly Revenue&amp;EBITDA'!O109</f>
        <v>0.21881390593047031</v>
      </c>
      <c r="P109" s="48">
        <f ca="1">'Quarterly Revenue&amp;EBITDA'!P224/'Quarterly Revenue&amp;EBITDA'!P109</f>
        <v>0.36612021857923494</v>
      </c>
      <c r="Q109" s="45"/>
      <c r="R109" s="46">
        <f ca="1">'Quarterly Revenue&amp;EBITDA'!R224/'Quarterly Revenue&amp;EBITDA'!R109</f>
        <v>0.15337423312883436</v>
      </c>
      <c r="S109" s="46">
        <f ca="1">'Quarterly Revenue&amp;EBITDA'!S224/'Quarterly Revenue&amp;EBITDA'!S109</f>
        <v>0.56092030352848044</v>
      </c>
      <c r="T109" s="46">
        <f ca="1">IFERROR('Quarterly Revenue&amp;EBITDA'!T224/'Quarterly Revenue&amp;EBITDA'!T109,"")</f>
        <v>-0.27803594914511182</v>
      </c>
      <c r="U109" s="45"/>
      <c r="V109" s="45"/>
      <c r="W109" s="46">
        <f>'Quarterly Revenue&amp;EBITDA'!W224/'Quarterly Revenue&amp;EBITDA'!W109</f>
        <v>9.696454954352178E-2</v>
      </c>
      <c r="X109" s="46">
        <f>'Quarterly Revenue&amp;EBITDA'!X224/'Quarterly Revenue&amp;EBITDA'!X109</f>
        <v>0.2725795004464388</v>
      </c>
      <c r="Y109" s="46">
        <f>'Quarterly Revenue&amp;EBITDA'!Y224/'Quarterly Revenue&amp;EBITDA'!Y109</f>
        <v>0.35858076654043752</v>
      </c>
      <c r="Z109" s="46">
        <f>'Quarterly Revenue&amp;EBITDA'!Z224/'Quarterly Revenue&amp;EBITDA'!Z109</f>
        <v>9.7871351433956491E-2</v>
      </c>
      <c r="AA109" s="46"/>
      <c r="AB109" s="46">
        <f>'Quarterly Revenue&amp;EBITDA'!AB224/'Quarterly Revenue&amp;EBITDA'!AB109</f>
        <v>3.978805653615388E-2</v>
      </c>
      <c r="AC109" s="28"/>
    </row>
    <row r="110" spans="1:29" ht="13">
      <c r="A110" s="27" t="s">
        <v>135</v>
      </c>
      <c r="B110" s="46">
        <f ca="1">'Quarterly Revenue&amp;EBITDA'!B225/'Quarterly Revenue&amp;EBITDA'!B110</f>
        <v>-0.172678088367899</v>
      </c>
      <c r="C110" s="46">
        <f ca="1">'Quarterly Revenue&amp;EBITDA'!C225/'Quarterly Revenue&amp;EBITDA'!C110</f>
        <v>8.5911371237458192E-2</v>
      </c>
      <c r="D110" s="46">
        <f ca="1">'Quarterly Revenue&amp;EBITDA'!D225/'Quarterly Revenue&amp;EBITDA'!D110</f>
        <v>5.9231035677173534E-2</v>
      </c>
      <c r="E110" s="46">
        <f ca="1">'Quarterly Revenue&amp;EBITDA'!E225/'Quarterly Revenue&amp;EBITDA'!E110</f>
        <v>0.13461538461538461</v>
      </c>
      <c r="F110" s="46">
        <f ca="1">'Quarterly Revenue&amp;EBITDA'!F225/'Quarterly Revenue&amp;EBITDA'!F110</f>
        <v>8.2051282051282051E-2</v>
      </c>
      <c r="G110" s="46">
        <f ca="1">'Quarterly Revenue&amp;EBITDA'!G225/'Quarterly Revenue&amp;EBITDA'!G110</f>
        <v>5.8889603803832187E-2</v>
      </c>
      <c r="H110" s="46">
        <f ca="1">'Quarterly Revenue&amp;EBITDA'!H225/'Quarterly Revenue&amp;EBITDA'!H110</f>
        <v>0.10326086956521739</v>
      </c>
      <c r="I110" s="46">
        <f ca="1">'Quarterly Revenue&amp;EBITDA'!I225/'Quarterly Revenue&amp;EBITDA'!I110</f>
        <v>5.2543454777570463E-2</v>
      </c>
      <c r="J110" s="46">
        <f ca="1">'Quarterly Revenue&amp;EBITDA'!J225/'Quarterly Revenue&amp;EBITDA'!J110</f>
        <v>0.11282537252119355</v>
      </c>
      <c r="K110" s="46">
        <f>'Quarterly Revenue&amp;EBITDA'!K225/'Quarterly Revenue&amp;EBITDA'!K110</f>
        <v>7.9777365491651209E-2</v>
      </c>
      <c r="L110" s="46">
        <f ca="1">'Quarterly Revenue&amp;EBITDA'!L225/'Quarterly Revenue&amp;EBITDA'!L110</f>
        <v>0.32259487172298845</v>
      </c>
      <c r="M110" s="46">
        <f ca="1">'Quarterly Revenue&amp;EBITDA'!M225/'Quarterly Revenue&amp;EBITDA'!M110</f>
        <v>8.3360499802702086E-3</v>
      </c>
      <c r="N110" s="46">
        <f ca="1">'Quarterly Revenue&amp;EBITDA'!N225/'Quarterly Revenue&amp;EBITDA'!N110</f>
        <v>7.728649303452452E-2</v>
      </c>
      <c r="O110" s="48">
        <f ca="1">'Quarterly Revenue&amp;EBITDA'!O225/'Quarterly Revenue&amp;EBITDA'!O110</f>
        <v>0.24317180616740089</v>
      </c>
      <c r="P110" s="48">
        <f ca="1">'Quarterly Revenue&amp;EBITDA'!P225/'Quarterly Revenue&amp;EBITDA'!P110</f>
        <v>0.56833333333333336</v>
      </c>
      <c r="Q110" s="45"/>
      <c r="R110" s="46">
        <f ca="1">'Quarterly Revenue&amp;EBITDA'!R225/'Quarterly Revenue&amp;EBITDA'!R110</f>
        <v>3.8461538461538464E-2</v>
      </c>
      <c r="S110" s="46">
        <f ca="1">'Quarterly Revenue&amp;EBITDA'!S225/'Quarterly Revenue&amp;EBITDA'!S110</f>
        <v>0.51162563867860078</v>
      </c>
      <c r="T110" s="46">
        <f ca="1">IFERROR('Quarterly Revenue&amp;EBITDA'!T225/'Quarterly Revenue&amp;EBITDA'!T110,"")</f>
        <v>-2.4611011370436864E-2</v>
      </c>
      <c r="U110" s="45"/>
      <c r="V110" s="45"/>
      <c r="W110" s="46">
        <f>'Quarterly Revenue&amp;EBITDA'!W225/'Quarterly Revenue&amp;EBITDA'!W110</f>
        <v>9.696454954352178E-2</v>
      </c>
      <c r="X110" s="46">
        <f>'Quarterly Revenue&amp;EBITDA'!X225/'Quarterly Revenue&amp;EBITDA'!X110</f>
        <v>0.2725795004464388</v>
      </c>
      <c r="Y110" s="46">
        <f>'Quarterly Revenue&amp;EBITDA'!Y225/'Quarterly Revenue&amp;EBITDA'!Y110</f>
        <v>0.35858076654043752</v>
      </c>
      <c r="Z110" s="46">
        <f>'Quarterly Revenue&amp;EBITDA'!Z225/'Quarterly Revenue&amp;EBITDA'!Z110</f>
        <v>9.7871351433956491E-2</v>
      </c>
      <c r="AA110" s="46"/>
      <c r="AB110" s="46">
        <f>'Quarterly Revenue&amp;EBITDA'!AB225/'Quarterly Revenue&amp;EBITDA'!AB110</f>
        <v>3.978805653615388E-2</v>
      </c>
      <c r="AC110" s="28"/>
    </row>
    <row r="111" spans="1:29" ht="13">
      <c r="A111" s="27" t="s">
        <v>136</v>
      </c>
      <c r="B111" s="46">
        <f ca="1">'Quarterly Revenue&amp;EBITDA'!B226/'Quarterly Revenue&amp;EBITDA'!B111</f>
        <v>0.13678804855275445</v>
      </c>
      <c r="C111" s="46">
        <f ca="1">'Quarterly Revenue&amp;EBITDA'!C226/'Quarterly Revenue&amp;EBITDA'!C111</f>
        <v>0.21223103057757645</v>
      </c>
      <c r="D111" s="46">
        <f ca="1">'Quarterly Revenue&amp;EBITDA'!D226/'Quarterly Revenue&amp;EBITDA'!D111</f>
        <v>-5.3651782623745238E-2</v>
      </c>
      <c r="E111" s="46">
        <f ca="1">'Quarterly Revenue&amp;EBITDA'!E226/'Quarterly Revenue&amp;EBITDA'!E111</f>
        <v>0.34948516050878253</v>
      </c>
      <c r="F111" s="46">
        <f ca="1">'Quarterly Revenue&amp;EBITDA'!F226/'Quarterly Revenue&amp;EBITDA'!F111</f>
        <v>-4.0506329113924051E-2</v>
      </c>
      <c r="G111" s="46">
        <f ca="1">'Quarterly Revenue&amp;EBITDA'!G226/'Quarterly Revenue&amp;EBITDA'!G111</f>
        <v>-0.10566893424036281</v>
      </c>
      <c r="H111" s="46">
        <f ca="1">'Quarterly Revenue&amp;EBITDA'!H226/'Quarterly Revenue&amp;EBITDA'!H111</f>
        <v>0.15914489311163896</v>
      </c>
      <c r="I111" s="46">
        <f ca="1">'Quarterly Revenue&amp;EBITDA'!I226/'Quarterly Revenue&amp;EBITDA'!I111</f>
        <v>0.11558434081750146</v>
      </c>
      <c r="J111" s="46">
        <f ca="1">'Quarterly Revenue&amp;EBITDA'!J226/'Quarterly Revenue&amp;EBITDA'!J111</f>
        <v>0.23657503930759485</v>
      </c>
      <c r="K111" s="46">
        <f ca="1">'Quarterly Revenue&amp;EBITDA'!K226/'Quarterly Revenue&amp;EBITDA'!K111</f>
        <v>9.3075306709208411E-2</v>
      </c>
      <c r="L111" s="46">
        <f ca="1">'Quarterly Revenue&amp;EBITDA'!L226/'Quarterly Revenue&amp;EBITDA'!L111</f>
        <v>0.15162259091016042</v>
      </c>
      <c r="M111" s="46">
        <f ca="1">'Quarterly Revenue&amp;EBITDA'!M226/'Quarterly Revenue&amp;EBITDA'!M111</f>
        <v>2.4304690175900048E-2</v>
      </c>
      <c r="N111" s="46">
        <f ca="1">'Quarterly Revenue&amp;EBITDA'!N226/'Quarterly Revenue&amp;EBITDA'!N111</f>
        <v>6.8458022076039696E-2</v>
      </c>
      <c r="O111" s="48">
        <f ca="1">'Quarterly Revenue&amp;EBITDA'!O226/'Quarterly Revenue&amp;EBITDA'!O111</f>
        <v>0.24317180616740089</v>
      </c>
      <c r="P111" s="48">
        <f ca="1">'Quarterly Revenue&amp;EBITDA'!P226/'Quarterly Revenue&amp;EBITDA'!P111</f>
        <v>0.56833333333333336</v>
      </c>
      <c r="Q111" s="45"/>
      <c r="R111" s="46">
        <f ca="1">'Quarterly Revenue&amp;EBITDA'!R226/'Quarterly Revenue&amp;EBITDA'!R111</f>
        <v>0.11862244897959184</v>
      </c>
      <c r="S111" s="46">
        <f ca="1">'Quarterly Revenue&amp;EBITDA'!S226/'Quarterly Revenue&amp;EBITDA'!S111</f>
        <v>0.4363064283529271</v>
      </c>
      <c r="T111" s="46">
        <f ca="1">IFERROR('Quarterly Revenue&amp;EBITDA'!T226/'Quarterly Revenue&amp;EBITDA'!T111,"")</f>
        <v>7.4580484773151025E-3</v>
      </c>
      <c r="U111" s="45"/>
      <c r="V111" s="45"/>
      <c r="W111" s="46">
        <f>'Quarterly Revenue&amp;EBITDA'!W226/'Quarterly Revenue&amp;EBITDA'!W111</f>
        <v>9.696454954352178E-2</v>
      </c>
      <c r="X111" s="46"/>
      <c r="Y111" s="46"/>
      <c r="Z111" s="46"/>
      <c r="AA111" s="46"/>
      <c r="AB111" s="46"/>
      <c r="AC111" s="28"/>
    </row>
    <row r="112" spans="1:29" ht="13">
      <c r="A112" s="27" t="s">
        <v>137</v>
      </c>
      <c r="B112" s="46">
        <f ca="1">'Quarterly Revenue&amp;EBITDA'!B227/'Quarterly Revenue&amp;EBITDA'!B112</f>
        <v>0.24781659388646288</v>
      </c>
      <c r="C112" s="46">
        <f ca="1">'Quarterly Revenue&amp;EBITDA'!C227/'Quarterly Revenue&amp;EBITDA'!C112</f>
        <v>0.32804232804232802</v>
      </c>
      <c r="D112" s="46">
        <f ca="1">'Quarterly Revenue&amp;EBITDA'!D227/'Quarterly Revenue&amp;EBITDA'!D112</f>
        <v>0.13715570545250141</v>
      </c>
      <c r="E112" s="46">
        <f ca="1">'Quarterly Revenue&amp;EBITDA'!E227/'Quarterly Revenue&amp;EBITDA'!E112</f>
        <v>0.27288231949971575</v>
      </c>
      <c r="F112" s="46">
        <f ca="1">'Quarterly Revenue&amp;EBITDA'!F227/'Quarterly Revenue&amp;EBITDA'!F112</f>
        <v>7.6458752515090544E-2</v>
      </c>
      <c r="G112" s="46">
        <f ca="1">'Quarterly Revenue&amp;EBITDA'!G227/'Quarterly Revenue&amp;EBITDA'!G112</f>
        <v>-6.5900790337137402E-2</v>
      </c>
      <c r="H112" s="46">
        <f ca="1">'Quarterly Revenue&amp;EBITDA'!H227/'Quarterly Revenue&amp;EBITDA'!H112</f>
        <v>0.11749999999999999</v>
      </c>
      <c r="I112" s="46">
        <f ca="1">'Quarterly Revenue&amp;EBITDA'!I227/'Quarterly Revenue&amp;EBITDA'!I112</f>
        <v>6.3108291407047948E-2</v>
      </c>
      <c r="J112" s="46">
        <f ca="1">'Quarterly Revenue&amp;EBITDA'!J227/'Quarterly Revenue&amp;EBITDA'!J112</f>
        <v>0.11597562460955764</v>
      </c>
      <c r="K112" s="46">
        <f ca="1">'Quarterly Revenue&amp;EBITDA'!K227/'Quarterly Revenue&amp;EBITDA'!K112</f>
        <v>8.7784892554807939E-2</v>
      </c>
      <c r="L112" s="46">
        <f ca="1">'Quarterly Revenue&amp;EBITDA'!L227/'Quarterly Revenue&amp;EBITDA'!L112</f>
        <v>0.16560013946704821</v>
      </c>
      <c r="M112" s="46">
        <f ca="1">'Quarterly Revenue&amp;EBITDA'!M227/'Quarterly Revenue&amp;EBITDA'!M112</f>
        <v>9.2592592592592587E-2</v>
      </c>
      <c r="N112" s="46">
        <f ca="1">'Quarterly Revenue&amp;EBITDA'!N227/'Quarterly Revenue&amp;EBITDA'!N112</f>
        <v>0.1748422712933754</v>
      </c>
      <c r="O112" s="48"/>
      <c r="P112" s="48">
        <f ca="1">'Quarterly Revenue&amp;EBITDA'!P227/'Quarterly Revenue&amp;EBITDA'!P112</f>
        <v>0.44122383252818032</v>
      </c>
      <c r="Q112" s="45"/>
      <c r="R112" s="46">
        <f ca="1">'Quarterly Revenue&amp;EBITDA'!R227/'Quarterly Revenue&amp;EBITDA'!R112</f>
        <v>0.15893271461716937</v>
      </c>
      <c r="S112" s="46">
        <f ca="1">'Quarterly Revenue&amp;EBITDA'!S227/'Quarterly Revenue&amp;EBITDA'!S112</f>
        <v>0.42042376205113335</v>
      </c>
      <c r="T112" s="46">
        <f ca="1">IFERROR('Quarterly Revenue&amp;EBITDA'!T227/'Quarterly Revenue&amp;EBITDA'!T112,"")</f>
        <v>2.9344119279879448E-3</v>
      </c>
      <c r="U112" s="45"/>
      <c r="V112" s="45"/>
      <c r="W112" s="46">
        <f>'Quarterly Revenue&amp;EBITDA'!W227/'Quarterly Revenue&amp;EBITDA'!W112</f>
        <v>9.696454954352178E-2</v>
      </c>
      <c r="X112" s="46"/>
      <c r="Y112" s="46"/>
      <c r="Z112" s="46"/>
      <c r="AA112" s="46"/>
      <c r="AB112" s="46"/>
      <c r="AC112" s="28"/>
    </row>
    <row r="113" spans="1:29" ht="13">
      <c r="A113" s="27" t="s">
        <v>138</v>
      </c>
      <c r="B113" s="46">
        <f ca="1">'Quarterly Revenue&amp;EBITDA'!B228/'Quarterly Revenue&amp;EBITDA'!B113</f>
        <v>0.46489817792068594</v>
      </c>
      <c r="C113" s="46">
        <f ca="1">'Quarterly Revenue&amp;EBITDA'!C228/'Quarterly Revenue&amp;EBITDA'!C113</f>
        <v>0.35889417062797097</v>
      </c>
      <c r="D113" s="46">
        <f ca="1">'Quarterly Revenue&amp;EBITDA'!D228/'Quarterly Revenue&amp;EBITDA'!D113</f>
        <v>0.21527093596059113</v>
      </c>
      <c r="E113" s="46">
        <f ca="1">'Quarterly Revenue&amp;EBITDA'!E228/'Quarterly Revenue&amp;EBITDA'!E113</f>
        <v>0.43796909492273733</v>
      </c>
      <c r="F113" s="46">
        <f ca="1">'Quarterly Revenue&amp;EBITDA'!F228/'Quarterly Revenue&amp;EBITDA'!F113</f>
        <v>0.12406015037593984</v>
      </c>
      <c r="G113" s="46">
        <f ca="1">'Quarterly Revenue&amp;EBITDA'!G228/'Quarterly Revenue&amp;EBITDA'!G113</f>
        <v>-0.12575383162088344</v>
      </c>
      <c r="H113" s="46">
        <f ca="1">'Quarterly Revenue&amp;EBITDA'!H228/'Quarterly Revenue&amp;EBITDA'!H113</f>
        <v>0.11918951132300357</v>
      </c>
      <c r="I113" s="46">
        <f ca="1">'Quarterly Revenue&amp;EBITDA'!I228/'Quarterly Revenue&amp;EBITDA'!I113</f>
        <v>3.7591542031975241E-2</v>
      </c>
      <c r="J113" s="46">
        <f ca="1">'Quarterly Revenue&amp;EBITDA'!J228/'Quarterly Revenue&amp;EBITDA'!J113</f>
        <v>0.12109406473200533</v>
      </c>
      <c r="K113" s="46">
        <f ca="1">'Quarterly Revenue&amp;EBITDA'!K228/'Quarterly Revenue&amp;EBITDA'!K113</f>
        <v>9.1732068761114477E-2</v>
      </c>
      <c r="L113" s="46">
        <f ca="1">'Quarterly Revenue&amp;EBITDA'!L228/'Quarterly Revenue&amp;EBITDA'!L113</f>
        <v>0.12403796145257591</v>
      </c>
      <c r="M113" s="46">
        <f ca="1">'Quarterly Revenue&amp;EBITDA'!M228/'Quarterly Revenue&amp;EBITDA'!M113</f>
        <v>9.5639378384723389E-2</v>
      </c>
      <c r="N113" s="46">
        <f ca="1">'Quarterly Revenue&amp;EBITDA'!N228/'Quarterly Revenue&amp;EBITDA'!N113</f>
        <v>0.18297278436845776</v>
      </c>
      <c r="O113" s="48"/>
      <c r="P113" s="48">
        <f ca="1">'Quarterly Revenue&amp;EBITDA'!P228/'Quarterly Revenue&amp;EBITDA'!P113</f>
        <v>0.44122383252818032</v>
      </c>
      <c r="Q113" s="45"/>
      <c r="R113" s="46">
        <f ca="1">'Quarterly Revenue&amp;EBITDA'!R228/'Quarterly Revenue&amp;EBITDA'!R113</f>
        <v>0.14763552479815456</v>
      </c>
      <c r="S113" s="46">
        <f ca="1">'Quarterly Revenue&amp;EBITDA'!S228/'Quarterly Revenue&amp;EBITDA'!S113</f>
        <v>0.34593965817289241</v>
      </c>
      <c r="T113" s="46">
        <f ca="1">IFERROR('Quarterly Revenue&amp;EBITDA'!T228/'Quarterly Revenue&amp;EBITDA'!T113,"")</f>
        <v>-3.5440884604479728E-5</v>
      </c>
      <c r="U113" s="45"/>
      <c r="V113" s="45"/>
      <c r="W113" s="46"/>
      <c r="X113" s="46"/>
      <c r="Y113" s="46"/>
      <c r="Z113" s="46"/>
      <c r="AA113" s="46"/>
      <c r="AB113" s="46"/>
      <c r="AC113" s="28"/>
    </row>
    <row r="114" spans="1:29" ht="13">
      <c r="A114" s="27" t="s">
        <v>139</v>
      </c>
      <c r="B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0.21457564575645757</v>
      </c>
      <c r="C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0.26631094915842446</v>
      </c>
      <c r="D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0.10288188741227415</v>
      </c>
      <c r="E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0.31482260552517177</v>
      </c>
      <c r="F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6.6152149944873215E-2</v>
      </c>
      <c r="G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-6.8816067422357463E-2</v>
      </c>
      <c r="H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0.12558284115635684</v>
      </c>
      <c r="I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6.577355491883588E-2</v>
      </c>
      <c r="J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0.14415685208159842</v>
      </c>
      <c r="K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8.8351333446909236E-2</v>
      </c>
      <c r="L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0.18746589833846697</v>
      </c>
      <c r="M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5.7483436482454908E-2</v>
      </c>
      <c r="N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0.13769950716643306</v>
      </c>
      <c r="O114" s="47"/>
      <c r="P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0.50368550368550369</v>
      </c>
      <c r="Q114" s="45"/>
      <c r="R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0.12246865959498554</v>
      </c>
      <c r="S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0.43310121047168409</v>
      </c>
      <c r="T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-2.9374487437560577E-3</v>
      </c>
      <c r="U114" s="45"/>
      <c r="V114" s="45"/>
      <c r="W114" s="45">
        <f ca="1">IFERROR(SUM(INDIRECT("'Quarterly Revenue&amp;EBITDA'!"&amp;ADDRESS(225,COLUMN(),4)&amp;":"&amp;ADDRESS(228,COLUMN(),4)))/SUM(INDIRECT("'Quarterly Revenue&amp;EBITDA'!"&amp;ADDRESS(110,COLUMN(),4)&amp;":"&amp;ADDRESS(113,COLUMN(),4))), "")</f>
        <v>9.696454954352178E-2</v>
      </c>
      <c r="X114" s="46"/>
      <c r="Y114" s="46"/>
      <c r="Z114" s="46"/>
      <c r="AA114" s="46"/>
      <c r="AB114" s="46"/>
      <c r="AC114" s="28"/>
    </row>
    <row r="115" spans="1:29" ht="13">
      <c r="A115" s="28"/>
      <c r="B115" s="45"/>
      <c r="C115" s="45"/>
      <c r="D115" s="45"/>
      <c r="E115" s="45"/>
      <c r="F115" s="45"/>
      <c r="G115" s="45"/>
      <c r="H115" s="45"/>
      <c r="I115" s="45"/>
      <c r="J115" s="45"/>
      <c r="K115" s="45"/>
      <c r="L115" s="45"/>
      <c r="M115" s="45"/>
      <c r="N115" s="45"/>
      <c r="O115" s="47"/>
      <c r="P115" s="45"/>
      <c r="Q115" s="45"/>
      <c r="R115" s="45"/>
      <c r="S115" s="45"/>
      <c r="T115" s="45"/>
      <c r="U115" s="45"/>
      <c r="V115" s="45"/>
      <c r="W115" s="46"/>
      <c r="X115" s="28"/>
      <c r="Y115" s="28"/>
      <c r="Z115" s="28"/>
      <c r="AA115" s="28"/>
      <c r="AB115" s="28"/>
      <c r="AC115" s="28"/>
    </row>
    <row r="116" spans="1:29" ht="13">
      <c r="A116" s="28"/>
      <c r="B116" s="45"/>
      <c r="C116" s="45"/>
      <c r="D116" s="45"/>
      <c r="E116" s="45"/>
      <c r="F116" s="45"/>
      <c r="G116" s="45"/>
      <c r="H116" s="45"/>
      <c r="I116" s="45"/>
      <c r="J116" s="45"/>
      <c r="K116" s="45"/>
      <c r="L116" s="45"/>
      <c r="M116" s="45"/>
      <c r="N116" s="45"/>
      <c r="O116" s="47"/>
      <c r="P116" s="45"/>
      <c r="Q116" s="45"/>
      <c r="R116" s="45"/>
      <c r="S116" s="45"/>
      <c r="T116" s="45"/>
      <c r="U116" s="45"/>
      <c r="V116" s="45"/>
      <c r="W116" s="45"/>
      <c r="X116" s="28"/>
      <c r="Y116" s="28"/>
      <c r="Z116" s="28"/>
      <c r="AA116" s="28"/>
      <c r="AB116" s="28"/>
      <c r="AC116" s="28"/>
    </row>
    <row r="117" spans="1:29" ht="13">
      <c r="A117" s="28"/>
      <c r="B117" s="45"/>
      <c r="C117" s="45"/>
      <c r="D117" s="45"/>
      <c r="E117" s="45"/>
      <c r="F117" s="45"/>
      <c r="G117" s="45"/>
      <c r="H117" s="45"/>
      <c r="I117" s="45"/>
      <c r="J117" s="45"/>
      <c r="K117" s="45"/>
      <c r="L117" s="45"/>
      <c r="M117" s="45"/>
      <c r="N117" s="45"/>
      <c r="O117" s="47"/>
      <c r="P117" s="45"/>
      <c r="Q117" s="45"/>
      <c r="R117" s="45"/>
      <c r="S117" s="45"/>
      <c r="T117" s="45"/>
      <c r="U117" s="45"/>
      <c r="V117" s="45"/>
      <c r="W117" s="45"/>
      <c r="X117" s="28"/>
      <c r="Y117" s="28"/>
      <c r="Z117" s="28"/>
      <c r="AA117" s="28"/>
      <c r="AB117" s="28"/>
      <c r="AC117" s="28"/>
    </row>
    <row r="118" spans="1:29" ht="13">
      <c r="A118" s="28"/>
      <c r="B118" s="45"/>
      <c r="C118" s="45"/>
      <c r="D118" s="45"/>
      <c r="E118" s="45"/>
      <c r="F118" s="45"/>
      <c r="G118" s="45"/>
      <c r="H118" s="45"/>
      <c r="I118" s="45"/>
      <c r="J118" s="45"/>
      <c r="K118" s="45"/>
      <c r="L118" s="45"/>
      <c r="M118" s="45"/>
      <c r="N118" s="45"/>
      <c r="O118" s="47"/>
      <c r="P118" s="45"/>
      <c r="Q118" s="45"/>
      <c r="R118" s="45"/>
      <c r="S118" s="45"/>
      <c r="T118" s="45"/>
      <c r="U118" s="45"/>
      <c r="V118" s="45"/>
      <c r="W118" s="45"/>
      <c r="X118" s="28"/>
      <c r="Y118" s="28"/>
      <c r="Z118" s="28"/>
      <c r="AA118" s="28"/>
      <c r="AB118" s="28"/>
      <c r="AC118" s="28"/>
    </row>
    <row r="119" spans="1:29" ht="13">
      <c r="A119" s="28"/>
      <c r="B119" s="45"/>
      <c r="C119" s="45"/>
      <c r="D119" s="45"/>
      <c r="E119" s="45"/>
      <c r="F119" s="45"/>
      <c r="G119" s="45"/>
      <c r="H119" s="45"/>
      <c r="I119" s="45"/>
      <c r="J119" s="45"/>
      <c r="K119" s="45"/>
      <c r="L119" s="45"/>
      <c r="M119" s="45"/>
      <c r="N119" s="45"/>
      <c r="O119" s="47"/>
      <c r="P119" s="45"/>
      <c r="Q119" s="45"/>
      <c r="R119" s="45"/>
      <c r="S119" s="45"/>
      <c r="T119" s="45"/>
      <c r="U119" s="45"/>
      <c r="V119" s="45"/>
      <c r="W119" s="45"/>
      <c r="X119" s="28"/>
      <c r="Y119" s="28"/>
      <c r="Z119" s="28"/>
      <c r="AA119" s="28"/>
      <c r="AB119" s="28"/>
      <c r="AC119" s="28"/>
    </row>
    <row r="120" spans="1:29" ht="13">
      <c r="A120" s="28"/>
      <c r="B120" s="45"/>
      <c r="C120" s="45"/>
      <c r="D120" s="45"/>
      <c r="E120" s="45"/>
      <c r="F120" s="45"/>
      <c r="G120" s="45"/>
      <c r="H120" s="45"/>
      <c r="I120" s="45"/>
      <c r="J120" s="45"/>
      <c r="K120" s="45"/>
      <c r="L120" s="45"/>
      <c r="M120" s="45"/>
      <c r="N120" s="45"/>
      <c r="O120" s="47"/>
      <c r="P120" s="45"/>
      <c r="Q120" s="45"/>
      <c r="R120" s="45"/>
      <c r="S120" s="45"/>
      <c r="T120" s="45"/>
      <c r="U120" s="45"/>
      <c r="V120" s="45"/>
      <c r="W120" s="45"/>
      <c r="X120" s="28"/>
      <c r="Y120" s="28"/>
      <c r="Z120" s="28"/>
      <c r="AA120" s="28"/>
      <c r="AB120" s="28"/>
      <c r="AC120" s="28"/>
    </row>
    <row r="121" spans="1:29" ht="13">
      <c r="A121" s="28"/>
      <c r="B121" s="45"/>
      <c r="C121" s="45"/>
      <c r="D121" s="45"/>
      <c r="E121" s="45"/>
      <c r="F121" s="45"/>
      <c r="G121" s="45"/>
      <c r="H121" s="45"/>
      <c r="I121" s="45"/>
      <c r="J121" s="45"/>
      <c r="K121" s="45"/>
      <c r="L121" s="45"/>
      <c r="M121" s="45"/>
      <c r="N121" s="45"/>
      <c r="O121" s="47"/>
      <c r="P121" s="45"/>
      <c r="Q121" s="45"/>
      <c r="R121" s="45"/>
      <c r="S121" s="45"/>
      <c r="T121" s="45"/>
      <c r="U121" s="45"/>
      <c r="V121" s="45"/>
      <c r="W121" s="45"/>
      <c r="X121" s="28"/>
      <c r="Y121" s="28"/>
      <c r="Z121" s="28"/>
      <c r="AA121" s="28"/>
      <c r="AB121" s="28"/>
      <c r="AC121" s="28"/>
    </row>
    <row r="122" spans="1:29" ht="13">
      <c r="A122" s="28"/>
      <c r="B122" s="45"/>
      <c r="C122" s="45"/>
      <c r="D122" s="45"/>
      <c r="E122" s="45"/>
      <c r="F122" s="45"/>
      <c r="G122" s="45"/>
      <c r="H122" s="45"/>
      <c r="I122" s="45"/>
      <c r="J122" s="45"/>
      <c r="K122" s="45"/>
      <c r="L122" s="45"/>
      <c r="M122" s="45"/>
      <c r="N122" s="45"/>
      <c r="O122" s="47"/>
      <c r="P122" s="45"/>
      <c r="Q122" s="45"/>
      <c r="R122" s="45"/>
      <c r="S122" s="45"/>
      <c r="T122" s="45"/>
      <c r="U122" s="45"/>
      <c r="V122" s="45"/>
      <c r="W122" s="45"/>
      <c r="X122" s="28"/>
      <c r="Y122" s="28"/>
      <c r="Z122" s="28"/>
      <c r="AA122" s="28"/>
      <c r="AB122" s="28"/>
      <c r="AC122" s="28"/>
    </row>
    <row r="123" spans="1:29" ht="13">
      <c r="A123" s="28"/>
      <c r="B123" s="45"/>
      <c r="C123" s="45"/>
      <c r="D123" s="45"/>
      <c r="E123" s="45"/>
      <c r="F123" s="45"/>
      <c r="G123" s="45"/>
      <c r="H123" s="45"/>
      <c r="I123" s="45"/>
      <c r="J123" s="45"/>
      <c r="K123" s="45"/>
      <c r="L123" s="45"/>
      <c r="M123" s="45"/>
      <c r="N123" s="45"/>
      <c r="O123" s="47"/>
      <c r="P123" s="45"/>
      <c r="Q123" s="45"/>
      <c r="R123" s="45"/>
      <c r="S123" s="45"/>
      <c r="T123" s="45"/>
      <c r="U123" s="45"/>
      <c r="V123" s="45"/>
      <c r="W123" s="45"/>
      <c r="X123" s="28"/>
      <c r="Y123" s="28"/>
      <c r="Z123" s="28"/>
      <c r="AA123" s="28"/>
      <c r="AB123" s="28"/>
      <c r="AC123" s="28"/>
    </row>
    <row r="124" spans="1:29" ht="13">
      <c r="A124" s="28"/>
      <c r="B124" s="45"/>
      <c r="C124" s="45"/>
      <c r="D124" s="45"/>
      <c r="E124" s="45"/>
      <c r="F124" s="45"/>
      <c r="G124" s="45"/>
      <c r="H124" s="45"/>
      <c r="I124" s="45"/>
      <c r="J124" s="45"/>
      <c r="K124" s="45"/>
      <c r="L124" s="45"/>
      <c r="M124" s="45"/>
      <c r="N124" s="45"/>
      <c r="O124" s="47"/>
      <c r="P124" s="45"/>
      <c r="Q124" s="45"/>
      <c r="R124" s="45"/>
      <c r="S124" s="45"/>
      <c r="T124" s="45"/>
      <c r="U124" s="45"/>
      <c r="V124" s="45"/>
      <c r="W124" s="45"/>
      <c r="X124" s="28"/>
      <c r="Y124" s="28"/>
      <c r="Z124" s="28"/>
      <c r="AA124" s="28"/>
      <c r="AB124" s="28"/>
      <c r="AC124" s="28"/>
    </row>
    <row r="125" spans="1:29" ht="13">
      <c r="A125" s="28"/>
      <c r="B125" s="45"/>
      <c r="C125" s="45"/>
      <c r="D125" s="45"/>
      <c r="E125" s="45"/>
      <c r="F125" s="45"/>
      <c r="G125" s="45"/>
      <c r="H125" s="45"/>
      <c r="I125" s="45"/>
      <c r="J125" s="45"/>
      <c r="K125" s="45"/>
      <c r="L125" s="45"/>
      <c r="M125" s="45"/>
      <c r="N125" s="45"/>
      <c r="O125" s="47"/>
      <c r="P125" s="45"/>
      <c r="Q125" s="45"/>
      <c r="R125" s="45"/>
      <c r="S125" s="45"/>
      <c r="T125" s="45"/>
      <c r="U125" s="45"/>
      <c r="V125" s="45"/>
      <c r="W125" s="45"/>
      <c r="X125" s="28"/>
      <c r="Y125" s="28"/>
      <c r="Z125" s="28"/>
      <c r="AA125" s="28"/>
      <c r="AB125" s="28"/>
      <c r="AC125" s="28"/>
    </row>
    <row r="126" spans="1:29" ht="13">
      <c r="A126" s="28"/>
      <c r="B126" s="45"/>
      <c r="C126" s="45"/>
      <c r="D126" s="45"/>
      <c r="E126" s="45"/>
      <c r="F126" s="45"/>
      <c r="G126" s="45"/>
      <c r="H126" s="45"/>
      <c r="I126" s="45"/>
      <c r="J126" s="45"/>
      <c r="K126" s="45"/>
      <c r="L126" s="45"/>
      <c r="M126" s="45"/>
      <c r="N126" s="45"/>
      <c r="O126" s="47"/>
      <c r="P126" s="45"/>
      <c r="Q126" s="45"/>
      <c r="R126" s="45"/>
      <c r="S126" s="45"/>
      <c r="T126" s="45"/>
      <c r="U126" s="45"/>
      <c r="V126" s="45"/>
      <c r="W126" s="45"/>
      <c r="X126" s="28"/>
      <c r="Y126" s="28"/>
      <c r="Z126" s="28"/>
      <c r="AA126" s="28"/>
      <c r="AB126" s="28"/>
      <c r="AC126" s="28"/>
    </row>
    <row r="127" spans="1:29" ht="13">
      <c r="A127" s="28"/>
      <c r="B127" s="45"/>
      <c r="C127" s="45"/>
      <c r="D127" s="45"/>
      <c r="E127" s="45"/>
      <c r="F127" s="45"/>
      <c r="G127" s="45"/>
      <c r="H127" s="45"/>
      <c r="I127" s="45"/>
      <c r="J127" s="45"/>
      <c r="K127" s="45"/>
      <c r="L127" s="45"/>
      <c r="M127" s="45"/>
      <c r="N127" s="45"/>
      <c r="O127" s="47"/>
      <c r="P127" s="45"/>
      <c r="Q127" s="45"/>
      <c r="R127" s="45"/>
      <c r="S127" s="45"/>
      <c r="T127" s="45"/>
      <c r="U127" s="45"/>
      <c r="V127" s="45"/>
      <c r="W127" s="45"/>
      <c r="X127" s="28"/>
      <c r="Y127" s="28"/>
      <c r="Z127" s="28"/>
      <c r="AA127" s="28"/>
      <c r="AB127" s="28"/>
      <c r="AC127" s="28"/>
    </row>
    <row r="128" spans="1:29" ht="13">
      <c r="A128" s="28"/>
      <c r="B128" s="45"/>
      <c r="C128" s="45"/>
      <c r="D128" s="45"/>
      <c r="E128" s="45"/>
      <c r="F128" s="45"/>
      <c r="G128" s="45"/>
      <c r="H128" s="45"/>
      <c r="I128" s="45"/>
      <c r="J128" s="45"/>
      <c r="K128" s="45"/>
      <c r="L128" s="45"/>
      <c r="M128" s="45"/>
      <c r="N128" s="45"/>
      <c r="O128" s="47"/>
      <c r="P128" s="45"/>
      <c r="Q128" s="45"/>
      <c r="R128" s="45"/>
      <c r="S128" s="45"/>
      <c r="T128" s="45"/>
      <c r="U128" s="45"/>
      <c r="V128" s="45"/>
      <c r="W128" s="45"/>
      <c r="X128" s="28"/>
      <c r="Y128" s="28"/>
      <c r="Z128" s="28"/>
      <c r="AA128" s="28"/>
      <c r="AB128" s="28"/>
      <c r="AC128" s="28"/>
    </row>
    <row r="129" spans="1:29" ht="13">
      <c r="A129" s="28"/>
      <c r="B129" s="45"/>
      <c r="C129" s="45"/>
      <c r="D129" s="45"/>
      <c r="E129" s="45"/>
      <c r="F129" s="45"/>
      <c r="G129" s="45"/>
      <c r="H129" s="45"/>
      <c r="I129" s="45"/>
      <c r="J129" s="45"/>
      <c r="K129" s="45"/>
      <c r="L129" s="45"/>
      <c r="M129" s="45"/>
      <c r="N129" s="45"/>
      <c r="O129" s="47"/>
      <c r="P129" s="45"/>
      <c r="Q129" s="45"/>
      <c r="R129" s="45"/>
      <c r="S129" s="45"/>
      <c r="T129" s="45"/>
      <c r="U129" s="45"/>
      <c r="V129" s="45"/>
      <c r="W129" s="45"/>
      <c r="X129" s="28"/>
      <c r="Y129" s="28"/>
      <c r="Z129" s="28"/>
      <c r="AA129" s="28"/>
      <c r="AB129" s="28"/>
      <c r="AC129" s="28"/>
    </row>
    <row r="130" spans="1:29" ht="13">
      <c r="A130" s="28"/>
      <c r="B130" s="45"/>
      <c r="C130" s="45"/>
      <c r="D130" s="45"/>
      <c r="E130" s="45"/>
      <c r="F130" s="45"/>
      <c r="G130" s="45"/>
      <c r="H130" s="45"/>
      <c r="I130" s="45"/>
      <c r="J130" s="45"/>
      <c r="K130" s="45"/>
      <c r="L130" s="45"/>
      <c r="M130" s="45"/>
      <c r="N130" s="45"/>
      <c r="O130" s="47"/>
      <c r="P130" s="45"/>
      <c r="Q130" s="45"/>
      <c r="R130" s="45"/>
      <c r="S130" s="45"/>
      <c r="T130" s="45"/>
      <c r="U130" s="45"/>
      <c r="V130" s="45"/>
      <c r="W130" s="45"/>
      <c r="X130" s="28"/>
      <c r="Y130" s="28"/>
      <c r="Z130" s="28"/>
      <c r="AA130" s="28"/>
      <c r="AB130" s="28"/>
      <c r="AC130" s="28"/>
    </row>
    <row r="131" spans="1:29" ht="13">
      <c r="A131" s="28"/>
      <c r="B131" s="45"/>
      <c r="C131" s="45"/>
      <c r="D131" s="45"/>
      <c r="E131" s="45"/>
      <c r="F131" s="45"/>
      <c r="G131" s="45"/>
      <c r="H131" s="45"/>
      <c r="I131" s="45"/>
      <c r="J131" s="45"/>
      <c r="K131" s="45"/>
      <c r="L131" s="45"/>
      <c r="M131" s="45"/>
      <c r="N131" s="45"/>
      <c r="O131" s="47"/>
      <c r="P131" s="45"/>
      <c r="Q131" s="45"/>
      <c r="R131" s="45"/>
      <c r="S131" s="45"/>
      <c r="T131" s="45"/>
      <c r="U131" s="45"/>
      <c r="V131" s="45"/>
      <c r="W131" s="45"/>
      <c r="X131" s="28"/>
      <c r="Y131" s="28"/>
      <c r="Z131" s="28"/>
      <c r="AA131" s="28"/>
      <c r="AB131" s="28"/>
      <c r="AC131" s="28"/>
    </row>
    <row r="132" spans="1:29" ht="13">
      <c r="A132" s="28"/>
      <c r="B132" s="45"/>
      <c r="C132" s="45"/>
      <c r="D132" s="45"/>
      <c r="E132" s="45"/>
      <c r="F132" s="45"/>
      <c r="G132" s="45"/>
      <c r="H132" s="45"/>
      <c r="I132" s="45"/>
      <c r="J132" s="45"/>
      <c r="K132" s="45"/>
      <c r="L132" s="45"/>
      <c r="M132" s="45"/>
      <c r="N132" s="45"/>
      <c r="O132" s="47"/>
      <c r="P132" s="45"/>
      <c r="Q132" s="45"/>
      <c r="R132" s="45"/>
      <c r="S132" s="45"/>
      <c r="T132" s="45"/>
      <c r="U132" s="45"/>
      <c r="V132" s="45"/>
      <c r="W132" s="45"/>
      <c r="X132" s="28"/>
      <c r="Y132" s="28"/>
      <c r="Z132" s="28"/>
      <c r="AA132" s="28"/>
      <c r="AB132" s="28"/>
      <c r="AC132" s="28"/>
    </row>
    <row r="133" spans="1:29" ht="13">
      <c r="A133" s="28"/>
      <c r="B133" s="45"/>
      <c r="C133" s="45"/>
      <c r="D133" s="45"/>
      <c r="E133" s="45"/>
      <c r="F133" s="45"/>
      <c r="G133" s="45"/>
      <c r="H133" s="45"/>
      <c r="I133" s="45"/>
      <c r="J133" s="45"/>
      <c r="K133" s="45"/>
      <c r="L133" s="45"/>
      <c r="M133" s="45"/>
      <c r="N133" s="45"/>
      <c r="O133" s="47"/>
      <c r="P133" s="45"/>
      <c r="Q133" s="45"/>
      <c r="R133" s="45"/>
      <c r="S133" s="45"/>
      <c r="T133" s="45"/>
      <c r="U133" s="45"/>
      <c r="V133" s="45"/>
      <c r="W133" s="45"/>
      <c r="X133" s="28"/>
      <c r="Y133" s="28"/>
      <c r="Z133" s="28"/>
      <c r="AA133" s="28"/>
      <c r="AB133" s="28"/>
      <c r="AC133" s="28"/>
    </row>
    <row r="134" spans="1:29" ht="13">
      <c r="A134" s="28"/>
      <c r="B134" s="45"/>
      <c r="C134" s="45"/>
      <c r="D134" s="45"/>
      <c r="E134" s="45"/>
      <c r="F134" s="45"/>
      <c r="G134" s="45"/>
      <c r="H134" s="45"/>
      <c r="I134" s="45"/>
      <c r="J134" s="45"/>
      <c r="K134" s="45"/>
      <c r="L134" s="45"/>
      <c r="M134" s="45"/>
      <c r="N134" s="45"/>
      <c r="O134" s="47"/>
      <c r="P134" s="45"/>
      <c r="Q134" s="45"/>
      <c r="R134" s="45"/>
      <c r="S134" s="45"/>
      <c r="T134" s="45"/>
      <c r="U134" s="45"/>
      <c r="V134" s="45"/>
      <c r="W134" s="45"/>
      <c r="X134" s="28"/>
      <c r="Y134" s="28"/>
      <c r="Z134" s="28"/>
      <c r="AA134" s="28"/>
      <c r="AB134" s="28"/>
      <c r="AC134" s="28"/>
    </row>
    <row r="135" spans="1:29" ht="13">
      <c r="A135" s="28"/>
      <c r="B135" s="45"/>
      <c r="C135" s="45"/>
      <c r="D135" s="45"/>
      <c r="E135" s="45"/>
      <c r="F135" s="45"/>
      <c r="G135" s="45"/>
      <c r="H135" s="45"/>
      <c r="I135" s="45"/>
      <c r="J135" s="45"/>
      <c r="K135" s="45"/>
      <c r="L135" s="45"/>
      <c r="M135" s="45"/>
      <c r="N135" s="45"/>
      <c r="O135" s="47"/>
      <c r="P135" s="45"/>
      <c r="Q135" s="45"/>
      <c r="R135" s="45"/>
      <c r="S135" s="45"/>
      <c r="T135" s="45"/>
      <c r="U135" s="45"/>
      <c r="V135" s="45"/>
      <c r="W135" s="45"/>
      <c r="X135" s="28"/>
      <c r="Y135" s="28"/>
      <c r="Z135" s="28"/>
      <c r="AA135" s="28"/>
      <c r="AB135" s="28"/>
      <c r="AC135" s="28"/>
    </row>
    <row r="136" spans="1:29" ht="13">
      <c r="A136" s="28"/>
      <c r="B136" s="45"/>
      <c r="C136" s="45"/>
      <c r="D136" s="45"/>
      <c r="E136" s="45"/>
      <c r="F136" s="45"/>
      <c r="G136" s="45"/>
      <c r="H136" s="45"/>
      <c r="I136" s="45"/>
      <c r="J136" s="45"/>
      <c r="K136" s="45"/>
      <c r="L136" s="45"/>
      <c r="M136" s="45"/>
      <c r="N136" s="45"/>
      <c r="O136" s="47"/>
      <c r="P136" s="45"/>
      <c r="Q136" s="45"/>
      <c r="R136" s="45"/>
      <c r="S136" s="45"/>
      <c r="T136" s="45"/>
      <c r="U136" s="45"/>
      <c r="V136" s="45"/>
      <c r="W136" s="45"/>
      <c r="X136" s="28"/>
      <c r="Y136" s="28"/>
      <c r="Z136" s="28"/>
      <c r="AA136" s="28"/>
      <c r="AB136" s="28"/>
      <c r="AC136" s="28"/>
    </row>
    <row r="137" spans="1:29" ht="13">
      <c r="A137" s="28"/>
      <c r="B137" s="45"/>
      <c r="C137" s="45"/>
      <c r="D137" s="45"/>
      <c r="E137" s="45"/>
      <c r="F137" s="45"/>
      <c r="G137" s="45"/>
      <c r="H137" s="45"/>
      <c r="I137" s="45"/>
      <c r="J137" s="45"/>
      <c r="K137" s="45"/>
      <c r="L137" s="45"/>
      <c r="M137" s="45"/>
      <c r="N137" s="45"/>
      <c r="O137" s="47"/>
      <c r="P137" s="45"/>
      <c r="Q137" s="45"/>
      <c r="R137" s="45"/>
      <c r="S137" s="45"/>
      <c r="T137" s="45"/>
      <c r="U137" s="45"/>
      <c r="V137" s="45"/>
      <c r="W137" s="45"/>
      <c r="X137" s="28"/>
      <c r="Y137" s="28"/>
      <c r="Z137" s="28"/>
      <c r="AA137" s="28"/>
      <c r="AB137" s="28"/>
      <c r="AC137" s="28"/>
    </row>
    <row r="138" spans="1:29" ht="13">
      <c r="A138" s="28"/>
      <c r="B138" s="45"/>
      <c r="C138" s="45"/>
      <c r="D138" s="45"/>
      <c r="E138" s="45"/>
      <c r="F138" s="45"/>
      <c r="G138" s="45"/>
      <c r="H138" s="45"/>
      <c r="I138" s="45"/>
      <c r="J138" s="45"/>
      <c r="K138" s="45"/>
      <c r="L138" s="45"/>
      <c r="M138" s="45"/>
      <c r="N138" s="45"/>
      <c r="O138" s="47"/>
      <c r="P138" s="45"/>
      <c r="Q138" s="45"/>
      <c r="R138" s="45"/>
      <c r="S138" s="45"/>
      <c r="T138" s="45"/>
      <c r="U138" s="45"/>
      <c r="V138" s="45"/>
      <c r="W138" s="45"/>
      <c r="X138" s="28"/>
      <c r="Y138" s="28"/>
      <c r="Z138" s="28"/>
      <c r="AA138" s="28"/>
      <c r="AB138" s="28"/>
      <c r="AC138" s="28"/>
    </row>
    <row r="139" spans="1:29" ht="13">
      <c r="A139" s="28"/>
      <c r="B139" s="45"/>
      <c r="C139" s="45"/>
      <c r="D139" s="45"/>
      <c r="E139" s="45"/>
      <c r="F139" s="45"/>
      <c r="G139" s="45"/>
      <c r="H139" s="45"/>
      <c r="I139" s="45"/>
      <c r="J139" s="45"/>
      <c r="K139" s="45"/>
      <c r="L139" s="45"/>
      <c r="M139" s="45"/>
      <c r="N139" s="45"/>
      <c r="O139" s="47"/>
      <c r="P139" s="45"/>
      <c r="Q139" s="45"/>
      <c r="R139" s="45"/>
      <c r="S139" s="45"/>
      <c r="T139" s="45"/>
      <c r="U139" s="45"/>
      <c r="V139" s="45"/>
      <c r="W139" s="45"/>
      <c r="X139" s="28"/>
      <c r="Y139" s="28"/>
      <c r="Z139" s="28"/>
      <c r="AA139" s="28"/>
      <c r="AB139" s="28"/>
      <c r="AC139" s="28"/>
    </row>
    <row r="140" spans="1:29" ht="13">
      <c r="A140" s="28"/>
      <c r="B140" s="45"/>
      <c r="C140" s="45"/>
      <c r="D140" s="45"/>
      <c r="E140" s="45"/>
      <c r="F140" s="45"/>
      <c r="G140" s="45"/>
      <c r="H140" s="45"/>
      <c r="I140" s="45"/>
      <c r="J140" s="45"/>
      <c r="K140" s="45"/>
      <c r="L140" s="45"/>
      <c r="M140" s="45"/>
      <c r="N140" s="45"/>
      <c r="O140" s="47"/>
      <c r="P140" s="45"/>
      <c r="Q140" s="45"/>
      <c r="R140" s="45"/>
      <c r="S140" s="45"/>
      <c r="T140" s="45"/>
      <c r="U140" s="45"/>
      <c r="V140" s="45"/>
      <c r="W140" s="45"/>
      <c r="X140" s="28"/>
      <c r="Y140" s="28"/>
      <c r="Z140" s="28"/>
      <c r="AA140" s="28"/>
      <c r="AB140" s="28"/>
      <c r="AC140" s="28"/>
    </row>
    <row r="141" spans="1:29" ht="13">
      <c r="A141" s="28"/>
      <c r="B141" s="45"/>
      <c r="C141" s="45"/>
      <c r="D141" s="45"/>
      <c r="E141" s="45"/>
      <c r="F141" s="45"/>
      <c r="G141" s="45"/>
      <c r="H141" s="45"/>
      <c r="I141" s="45"/>
      <c r="J141" s="45"/>
      <c r="K141" s="45"/>
      <c r="L141" s="45"/>
      <c r="M141" s="45"/>
      <c r="N141" s="45"/>
      <c r="O141" s="47"/>
      <c r="P141" s="45"/>
      <c r="Q141" s="45"/>
      <c r="R141" s="45"/>
      <c r="S141" s="45"/>
      <c r="T141" s="45"/>
      <c r="U141" s="45"/>
      <c r="V141" s="45"/>
      <c r="W141" s="45"/>
      <c r="X141" s="28"/>
      <c r="Y141" s="28"/>
      <c r="Z141" s="28"/>
      <c r="AA141" s="28"/>
      <c r="AB141" s="28"/>
      <c r="AC141" s="28"/>
    </row>
    <row r="142" spans="1:29" ht="13">
      <c r="A142" s="28"/>
      <c r="B142" s="45"/>
      <c r="C142" s="45"/>
      <c r="D142" s="45"/>
      <c r="E142" s="45"/>
      <c r="F142" s="45"/>
      <c r="G142" s="45"/>
      <c r="H142" s="45"/>
      <c r="I142" s="45"/>
      <c r="J142" s="45"/>
      <c r="K142" s="45"/>
      <c r="L142" s="45"/>
      <c r="M142" s="45"/>
      <c r="N142" s="45"/>
      <c r="O142" s="47"/>
      <c r="P142" s="45"/>
      <c r="Q142" s="45"/>
      <c r="R142" s="45"/>
      <c r="S142" s="45"/>
      <c r="T142" s="45"/>
      <c r="U142" s="45"/>
      <c r="V142" s="45"/>
      <c r="W142" s="45"/>
      <c r="X142" s="28"/>
      <c r="Y142" s="28"/>
      <c r="Z142" s="28"/>
      <c r="AA142" s="28"/>
      <c r="AB142" s="28"/>
      <c r="AC142" s="28"/>
    </row>
    <row r="143" spans="1:29" ht="13">
      <c r="A143" s="28"/>
      <c r="B143" s="45"/>
      <c r="C143" s="45"/>
      <c r="D143" s="45"/>
      <c r="E143" s="45"/>
      <c r="F143" s="45"/>
      <c r="G143" s="45"/>
      <c r="H143" s="45"/>
      <c r="I143" s="45"/>
      <c r="J143" s="45"/>
      <c r="K143" s="45"/>
      <c r="L143" s="45"/>
      <c r="M143" s="45"/>
      <c r="N143" s="45"/>
      <c r="O143" s="47"/>
      <c r="P143" s="45"/>
      <c r="Q143" s="45"/>
      <c r="R143" s="45"/>
      <c r="S143" s="45"/>
      <c r="T143" s="45"/>
      <c r="U143" s="45"/>
      <c r="V143" s="45"/>
      <c r="W143" s="45"/>
      <c r="X143" s="28"/>
      <c r="Y143" s="28"/>
      <c r="Z143" s="28"/>
      <c r="AA143" s="28"/>
      <c r="AB143" s="28"/>
      <c r="AC143" s="28"/>
    </row>
    <row r="144" spans="1:29" ht="13">
      <c r="A144" s="28"/>
      <c r="B144" s="45"/>
      <c r="C144" s="45"/>
      <c r="D144" s="45"/>
      <c r="E144" s="45"/>
      <c r="F144" s="45"/>
      <c r="G144" s="45"/>
      <c r="H144" s="45"/>
      <c r="I144" s="45"/>
      <c r="J144" s="45"/>
      <c r="K144" s="45"/>
      <c r="L144" s="45"/>
      <c r="M144" s="45"/>
      <c r="N144" s="45"/>
      <c r="O144" s="47"/>
      <c r="P144" s="45"/>
      <c r="Q144" s="45"/>
      <c r="R144" s="45"/>
      <c r="S144" s="45"/>
      <c r="T144" s="45"/>
      <c r="U144" s="45"/>
      <c r="V144" s="45"/>
      <c r="W144" s="45"/>
      <c r="X144" s="28"/>
      <c r="Y144" s="28"/>
      <c r="Z144" s="28"/>
      <c r="AA144" s="28"/>
      <c r="AB144" s="28"/>
      <c r="AC144" s="28"/>
    </row>
    <row r="145" spans="1:29" ht="13">
      <c r="A145" s="28"/>
      <c r="B145" s="45"/>
      <c r="C145" s="45"/>
      <c r="D145" s="45"/>
      <c r="E145" s="45"/>
      <c r="F145" s="45"/>
      <c r="G145" s="45"/>
      <c r="H145" s="45"/>
      <c r="I145" s="45"/>
      <c r="J145" s="45"/>
      <c r="K145" s="45"/>
      <c r="L145" s="45"/>
      <c r="M145" s="45"/>
      <c r="N145" s="45"/>
      <c r="O145" s="47"/>
      <c r="P145" s="45"/>
      <c r="Q145" s="45"/>
      <c r="R145" s="45"/>
      <c r="S145" s="45"/>
      <c r="T145" s="45"/>
      <c r="U145" s="45"/>
      <c r="V145" s="45"/>
      <c r="W145" s="45"/>
      <c r="X145" s="28"/>
      <c r="Y145" s="28"/>
      <c r="Z145" s="28"/>
      <c r="AA145" s="28"/>
      <c r="AB145" s="28"/>
      <c r="AC145" s="28"/>
    </row>
    <row r="146" spans="1:29" ht="13">
      <c r="A146" s="28"/>
      <c r="B146" s="45"/>
      <c r="C146" s="45"/>
      <c r="D146" s="45"/>
      <c r="E146" s="45"/>
      <c r="F146" s="45"/>
      <c r="G146" s="45"/>
      <c r="H146" s="45"/>
      <c r="I146" s="45"/>
      <c r="J146" s="45"/>
      <c r="K146" s="45"/>
      <c r="L146" s="45"/>
      <c r="M146" s="45"/>
      <c r="N146" s="45"/>
      <c r="O146" s="47"/>
      <c r="P146" s="45"/>
      <c r="Q146" s="45"/>
      <c r="R146" s="45"/>
      <c r="S146" s="45"/>
      <c r="T146" s="45"/>
      <c r="U146" s="45"/>
      <c r="V146" s="45"/>
      <c r="W146" s="45"/>
      <c r="X146" s="28"/>
      <c r="Y146" s="28"/>
      <c r="Z146" s="28"/>
      <c r="AA146" s="28"/>
      <c r="AB146" s="28"/>
      <c r="AC146" s="28"/>
    </row>
    <row r="147" spans="1:29" ht="13">
      <c r="A147" s="28"/>
      <c r="B147" s="45"/>
      <c r="C147" s="45"/>
      <c r="D147" s="45"/>
      <c r="E147" s="45"/>
      <c r="F147" s="45"/>
      <c r="G147" s="45"/>
      <c r="H147" s="45"/>
      <c r="I147" s="45"/>
      <c r="J147" s="45"/>
      <c r="K147" s="45"/>
      <c r="L147" s="45"/>
      <c r="M147" s="45"/>
      <c r="N147" s="45"/>
      <c r="O147" s="47"/>
      <c r="P147" s="45"/>
      <c r="Q147" s="45"/>
      <c r="R147" s="45"/>
      <c r="S147" s="45"/>
      <c r="T147" s="45"/>
      <c r="U147" s="45"/>
      <c r="V147" s="45"/>
      <c r="W147" s="45"/>
      <c r="X147" s="28"/>
      <c r="Y147" s="28"/>
      <c r="Z147" s="28"/>
      <c r="AA147" s="28"/>
      <c r="AB147" s="28"/>
      <c r="AC147" s="28"/>
    </row>
    <row r="148" spans="1:29" ht="13">
      <c r="A148" s="28"/>
      <c r="B148" s="45"/>
      <c r="C148" s="45"/>
      <c r="D148" s="45"/>
      <c r="E148" s="45"/>
      <c r="F148" s="45"/>
      <c r="G148" s="45"/>
      <c r="H148" s="45"/>
      <c r="I148" s="45"/>
      <c r="J148" s="45"/>
      <c r="K148" s="45"/>
      <c r="L148" s="45"/>
      <c r="M148" s="45"/>
      <c r="N148" s="45"/>
      <c r="O148" s="47"/>
      <c r="P148" s="45"/>
      <c r="Q148" s="45"/>
      <c r="R148" s="45"/>
      <c r="S148" s="45"/>
      <c r="T148" s="45"/>
      <c r="U148" s="45"/>
      <c r="V148" s="45"/>
      <c r="W148" s="45"/>
      <c r="X148" s="28"/>
      <c r="Y148" s="28"/>
      <c r="Z148" s="28"/>
      <c r="AA148" s="28"/>
      <c r="AB148" s="28"/>
      <c r="AC148" s="28"/>
    </row>
    <row r="149" spans="1:29" ht="13">
      <c r="A149" s="28"/>
      <c r="B149" s="45"/>
      <c r="C149" s="45"/>
      <c r="D149" s="45"/>
      <c r="E149" s="45"/>
      <c r="F149" s="45"/>
      <c r="G149" s="45"/>
      <c r="H149" s="45"/>
      <c r="I149" s="45"/>
      <c r="J149" s="45"/>
      <c r="K149" s="45"/>
      <c r="L149" s="45"/>
      <c r="M149" s="45"/>
      <c r="N149" s="45"/>
      <c r="O149" s="47"/>
      <c r="P149" s="45"/>
      <c r="Q149" s="45"/>
      <c r="R149" s="45"/>
      <c r="S149" s="45"/>
      <c r="T149" s="45"/>
      <c r="U149" s="45"/>
      <c r="V149" s="45"/>
      <c r="W149" s="45"/>
      <c r="X149" s="28"/>
      <c r="Y149" s="28"/>
      <c r="Z149" s="28"/>
      <c r="AA149" s="28"/>
      <c r="AB149" s="28"/>
      <c r="AC149" s="28"/>
    </row>
    <row r="150" spans="1:29" ht="13">
      <c r="A150" s="28"/>
      <c r="B150" s="45"/>
      <c r="C150" s="45"/>
      <c r="D150" s="45"/>
      <c r="E150" s="45"/>
      <c r="F150" s="45"/>
      <c r="G150" s="45"/>
      <c r="H150" s="45"/>
      <c r="I150" s="45"/>
      <c r="J150" s="45"/>
      <c r="K150" s="45"/>
      <c r="L150" s="45"/>
      <c r="M150" s="45"/>
      <c r="N150" s="45"/>
      <c r="O150" s="47"/>
      <c r="P150" s="45"/>
      <c r="Q150" s="45"/>
      <c r="R150" s="45"/>
      <c r="S150" s="45"/>
      <c r="T150" s="45"/>
      <c r="U150" s="45"/>
      <c r="V150" s="45"/>
      <c r="W150" s="45"/>
      <c r="X150" s="28"/>
      <c r="Y150" s="28"/>
      <c r="Z150" s="28"/>
      <c r="AA150" s="28"/>
      <c r="AB150" s="28"/>
      <c r="AC150" s="28"/>
    </row>
    <row r="151" spans="1:29" ht="13">
      <c r="A151" s="28"/>
      <c r="B151" s="45"/>
      <c r="C151" s="45"/>
      <c r="D151" s="45"/>
      <c r="E151" s="45"/>
      <c r="F151" s="45"/>
      <c r="G151" s="45"/>
      <c r="H151" s="45"/>
      <c r="I151" s="45"/>
      <c r="J151" s="45"/>
      <c r="K151" s="45"/>
      <c r="L151" s="45"/>
      <c r="M151" s="45"/>
      <c r="N151" s="45"/>
      <c r="O151" s="47"/>
      <c r="P151" s="45"/>
      <c r="Q151" s="45"/>
      <c r="R151" s="45"/>
      <c r="S151" s="45"/>
      <c r="T151" s="45"/>
      <c r="U151" s="45"/>
      <c r="V151" s="45"/>
      <c r="W151" s="45"/>
      <c r="X151" s="28"/>
      <c r="Y151" s="28"/>
      <c r="Z151" s="28"/>
      <c r="AA151" s="28"/>
      <c r="AB151" s="28"/>
      <c r="AC151" s="28"/>
    </row>
    <row r="152" spans="1:29" ht="13">
      <c r="A152" s="28"/>
      <c r="B152" s="45"/>
      <c r="C152" s="45"/>
      <c r="D152" s="45"/>
      <c r="E152" s="45"/>
      <c r="F152" s="45"/>
      <c r="G152" s="45"/>
      <c r="H152" s="45"/>
      <c r="I152" s="45"/>
      <c r="J152" s="45"/>
      <c r="K152" s="45"/>
      <c r="L152" s="45"/>
      <c r="M152" s="45"/>
      <c r="N152" s="45"/>
      <c r="O152" s="47"/>
      <c r="P152" s="45"/>
      <c r="Q152" s="45"/>
      <c r="R152" s="45"/>
      <c r="S152" s="45"/>
      <c r="T152" s="45"/>
      <c r="U152" s="45"/>
      <c r="V152" s="45"/>
      <c r="W152" s="45"/>
      <c r="X152" s="28"/>
      <c r="Y152" s="28"/>
      <c r="Z152" s="28"/>
      <c r="AA152" s="28"/>
      <c r="AB152" s="28"/>
      <c r="AC152" s="28"/>
    </row>
    <row r="153" spans="1:29" ht="13">
      <c r="A153" s="28"/>
      <c r="B153" s="45"/>
      <c r="C153" s="45"/>
      <c r="D153" s="45"/>
      <c r="E153" s="45"/>
      <c r="F153" s="45"/>
      <c r="G153" s="45"/>
      <c r="H153" s="45"/>
      <c r="I153" s="45"/>
      <c r="J153" s="45"/>
      <c r="K153" s="45"/>
      <c r="L153" s="45"/>
      <c r="M153" s="45"/>
      <c r="N153" s="45"/>
      <c r="O153" s="47"/>
      <c r="P153" s="45"/>
      <c r="Q153" s="45"/>
      <c r="R153" s="45"/>
      <c r="S153" s="45"/>
      <c r="T153" s="45"/>
      <c r="U153" s="45"/>
      <c r="V153" s="45"/>
      <c r="W153" s="45"/>
      <c r="X153" s="28"/>
      <c r="Y153" s="28"/>
      <c r="Z153" s="28"/>
      <c r="AA153" s="28"/>
      <c r="AB153" s="28"/>
      <c r="AC153" s="28"/>
    </row>
    <row r="154" spans="1:29" ht="13">
      <c r="A154" s="28"/>
      <c r="B154" s="45"/>
      <c r="C154" s="45"/>
      <c r="D154" s="45"/>
      <c r="E154" s="45"/>
      <c r="F154" s="45"/>
      <c r="G154" s="45"/>
      <c r="H154" s="45"/>
      <c r="I154" s="45"/>
      <c r="J154" s="45"/>
      <c r="K154" s="45"/>
      <c r="L154" s="45"/>
      <c r="M154" s="45"/>
      <c r="N154" s="45"/>
      <c r="O154" s="47"/>
      <c r="P154" s="45"/>
      <c r="Q154" s="45"/>
      <c r="R154" s="45"/>
      <c r="S154" s="45"/>
      <c r="T154" s="45"/>
      <c r="U154" s="45"/>
      <c r="V154" s="45"/>
      <c r="W154" s="45"/>
      <c r="X154" s="28"/>
      <c r="Y154" s="28"/>
      <c r="Z154" s="28"/>
      <c r="AA154" s="28"/>
      <c r="AB154" s="28"/>
      <c r="AC154" s="28"/>
    </row>
    <row r="155" spans="1:29" ht="13">
      <c r="A155" s="28"/>
      <c r="B155" s="45"/>
      <c r="C155" s="45"/>
      <c r="D155" s="45"/>
      <c r="E155" s="45"/>
      <c r="F155" s="45"/>
      <c r="G155" s="45"/>
      <c r="H155" s="45"/>
      <c r="I155" s="45"/>
      <c r="J155" s="45"/>
      <c r="K155" s="45"/>
      <c r="L155" s="45"/>
      <c r="M155" s="45"/>
      <c r="N155" s="45"/>
      <c r="O155" s="47"/>
      <c r="P155" s="45"/>
      <c r="Q155" s="45"/>
      <c r="R155" s="45"/>
      <c r="S155" s="45"/>
      <c r="T155" s="45"/>
      <c r="U155" s="45"/>
      <c r="V155" s="45"/>
      <c r="W155" s="45"/>
      <c r="X155" s="28"/>
      <c r="Y155" s="28"/>
      <c r="Z155" s="28"/>
      <c r="AA155" s="28"/>
      <c r="AB155" s="28"/>
      <c r="AC155" s="28"/>
    </row>
    <row r="156" spans="1:29" ht="13">
      <c r="A156" s="28"/>
      <c r="B156" s="45"/>
      <c r="C156" s="45"/>
      <c r="D156" s="45"/>
      <c r="E156" s="45"/>
      <c r="F156" s="45"/>
      <c r="G156" s="45"/>
      <c r="H156" s="45"/>
      <c r="I156" s="45"/>
      <c r="J156" s="45"/>
      <c r="K156" s="45"/>
      <c r="L156" s="45"/>
      <c r="M156" s="45"/>
      <c r="N156" s="45"/>
      <c r="O156" s="47"/>
      <c r="P156" s="45"/>
      <c r="Q156" s="45"/>
      <c r="R156" s="45"/>
      <c r="S156" s="45"/>
      <c r="T156" s="45"/>
      <c r="U156" s="45"/>
      <c r="V156" s="45"/>
      <c r="W156" s="45"/>
      <c r="X156" s="28"/>
      <c r="Y156" s="28"/>
      <c r="Z156" s="28"/>
      <c r="AA156" s="28"/>
      <c r="AB156" s="28"/>
      <c r="AC156" s="28"/>
    </row>
    <row r="157" spans="1:29" ht="13">
      <c r="A157" s="28"/>
      <c r="B157" s="45"/>
      <c r="C157" s="45"/>
      <c r="D157" s="45"/>
      <c r="E157" s="45"/>
      <c r="F157" s="45"/>
      <c r="G157" s="45"/>
      <c r="H157" s="45"/>
      <c r="I157" s="45"/>
      <c r="J157" s="45"/>
      <c r="K157" s="45"/>
      <c r="L157" s="45"/>
      <c r="M157" s="45"/>
      <c r="N157" s="45"/>
      <c r="O157" s="47"/>
      <c r="P157" s="45"/>
      <c r="Q157" s="45"/>
      <c r="R157" s="45"/>
      <c r="S157" s="45"/>
      <c r="T157" s="45"/>
      <c r="U157" s="45"/>
      <c r="V157" s="45"/>
      <c r="W157" s="45"/>
      <c r="X157" s="28"/>
      <c r="Y157" s="28"/>
      <c r="Z157" s="28"/>
      <c r="AA157" s="28"/>
      <c r="AB157" s="28"/>
      <c r="AC157" s="28"/>
    </row>
    <row r="158" spans="1:29" ht="13">
      <c r="A158" s="28"/>
      <c r="B158" s="45"/>
      <c r="C158" s="45"/>
      <c r="D158" s="45"/>
      <c r="E158" s="45"/>
      <c r="F158" s="45"/>
      <c r="G158" s="45"/>
      <c r="H158" s="45"/>
      <c r="I158" s="45"/>
      <c r="J158" s="45"/>
      <c r="K158" s="45"/>
      <c r="L158" s="45"/>
      <c r="M158" s="45"/>
      <c r="N158" s="45"/>
      <c r="O158" s="47"/>
      <c r="P158" s="45"/>
      <c r="Q158" s="45"/>
      <c r="R158" s="45"/>
      <c r="S158" s="45"/>
      <c r="T158" s="45"/>
      <c r="U158" s="45"/>
      <c r="V158" s="45"/>
      <c r="W158" s="45"/>
      <c r="X158" s="28"/>
      <c r="Y158" s="28"/>
      <c r="Z158" s="28"/>
      <c r="AA158" s="28"/>
      <c r="AB158" s="28"/>
      <c r="AC158" s="28"/>
    </row>
    <row r="159" spans="1:29" ht="13">
      <c r="A159" s="28"/>
      <c r="B159" s="45"/>
      <c r="C159" s="45"/>
      <c r="D159" s="45"/>
      <c r="E159" s="45"/>
      <c r="F159" s="45"/>
      <c r="G159" s="45"/>
      <c r="H159" s="45"/>
      <c r="I159" s="45"/>
      <c r="J159" s="45"/>
      <c r="K159" s="45"/>
      <c r="L159" s="45"/>
      <c r="M159" s="45"/>
      <c r="N159" s="45"/>
      <c r="O159" s="47"/>
      <c r="P159" s="45"/>
      <c r="Q159" s="45"/>
      <c r="R159" s="45"/>
      <c r="S159" s="45"/>
      <c r="T159" s="45"/>
      <c r="U159" s="45"/>
      <c r="V159" s="45"/>
      <c r="W159" s="45"/>
      <c r="X159" s="28"/>
      <c r="Y159" s="28"/>
      <c r="Z159" s="28"/>
      <c r="AA159" s="28"/>
      <c r="AB159" s="28"/>
      <c r="AC159" s="28"/>
    </row>
    <row r="160" spans="1:29" ht="13">
      <c r="A160" s="28"/>
      <c r="B160" s="45"/>
      <c r="C160" s="45"/>
      <c r="D160" s="45"/>
      <c r="E160" s="45"/>
      <c r="F160" s="45"/>
      <c r="G160" s="45"/>
      <c r="H160" s="45"/>
      <c r="I160" s="45"/>
      <c r="J160" s="45"/>
      <c r="K160" s="45"/>
      <c r="L160" s="45"/>
      <c r="M160" s="45"/>
      <c r="N160" s="45"/>
      <c r="O160" s="47"/>
      <c r="P160" s="45"/>
      <c r="Q160" s="45"/>
      <c r="R160" s="45"/>
      <c r="S160" s="45"/>
      <c r="T160" s="45"/>
      <c r="U160" s="45"/>
      <c r="V160" s="45"/>
      <c r="W160" s="45"/>
      <c r="X160" s="28"/>
      <c r="Y160" s="28"/>
      <c r="Z160" s="28"/>
      <c r="AA160" s="28"/>
      <c r="AB160" s="28"/>
      <c r="AC160" s="28"/>
    </row>
    <row r="161" spans="1:29" ht="13">
      <c r="A161" s="28"/>
      <c r="B161" s="45"/>
      <c r="C161" s="45"/>
      <c r="D161" s="45"/>
      <c r="E161" s="45"/>
      <c r="F161" s="45"/>
      <c r="G161" s="45"/>
      <c r="H161" s="45"/>
      <c r="I161" s="45"/>
      <c r="J161" s="45"/>
      <c r="K161" s="45"/>
      <c r="L161" s="45"/>
      <c r="M161" s="45"/>
      <c r="N161" s="45"/>
      <c r="O161" s="47"/>
      <c r="P161" s="45"/>
      <c r="Q161" s="45"/>
      <c r="R161" s="45"/>
      <c r="S161" s="45"/>
      <c r="T161" s="45"/>
      <c r="U161" s="45"/>
      <c r="V161" s="45"/>
      <c r="W161" s="45"/>
      <c r="X161" s="28"/>
      <c r="Y161" s="28"/>
      <c r="Z161" s="28"/>
      <c r="AA161" s="28"/>
      <c r="AB161" s="28"/>
      <c r="AC161" s="28"/>
    </row>
    <row r="162" spans="1:29" ht="13">
      <c r="A162" s="28"/>
      <c r="B162" s="45"/>
      <c r="C162" s="45"/>
      <c r="D162" s="45"/>
      <c r="E162" s="45"/>
      <c r="F162" s="45"/>
      <c r="G162" s="45"/>
      <c r="H162" s="45"/>
      <c r="I162" s="45"/>
      <c r="J162" s="45"/>
      <c r="K162" s="45"/>
      <c r="L162" s="45"/>
      <c r="M162" s="45"/>
      <c r="N162" s="45"/>
      <c r="O162" s="47"/>
      <c r="P162" s="45"/>
      <c r="Q162" s="45"/>
      <c r="R162" s="45"/>
      <c r="S162" s="45"/>
      <c r="T162" s="45"/>
      <c r="U162" s="45"/>
      <c r="V162" s="45"/>
      <c r="W162" s="45"/>
      <c r="X162" s="28"/>
      <c r="Y162" s="28"/>
      <c r="Z162" s="28"/>
      <c r="AA162" s="28"/>
      <c r="AB162" s="28"/>
      <c r="AC162" s="28"/>
    </row>
    <row r="163" spans="1:29" ht="13">
      <c r="A163" s="28"/>
      <c r="B163" s="45"/>
      <c r="C163" s="45"/>
      <c r="D163" s="45"/>
      <c r="E163" s="45"/>
      <c r="F163" s="45"/>
      <c r="G163" s="45"/>
      <c r="H163" s="45"/>
      <c r="I163" s="45"/>
      <c r="J163" s="45"/>
      <c r="K163" s="45"/>
      <c r="L163" s="45"/>
      <c r="M163" s="45"/>
      <c r="N163" s="45"/>
      <c r="O163" s="47"/>
      <c r="P163" s="45"/>
      <c r="Q163" s="45"/>
      <c r="R163" s="45"/>
      <c r="S163" s="45"/>
      <c r="T163" s="45"/>
      <c r="U163" s="45"/>
      <c r="V163" s="45"/>
      <c r="W163" s="45"/>
      <c r="X163" s="28"/>
      <c r="Y163" s="28"/>
      <c r="Z163" s="28"/>
      <c r="AA163" s="28"/>
      <c r="AB163" s="28"/>
      <c r="AC163" s="28"/>
    </row>
    <row r="164" spans="1:29" ht="13">
      <c r="A164" s="28"/>
      <c r="B164" s="45"/>
      <c r="C164" s="45"/>
      <c r="D164" s="45"/>
      <c r="E164" s="45"/>
      <c r="F164" s="45"/>
      <c r="G164" s="45"/>
      <c r="H164" s="45"/>
      <c r="I164" s="45"/>
      <c r="J164" s="45"/>
      <c r="K164" s="45"/>
      <c r="L164" s="45"/>
      <c r="M164" s="45"/>
      <c r="N164" s="45"/>
      <c r="O164" s="47"/>
      <c r="P164" s="45"/>
      <c r="Q164" s="45"/>
      <c r="R164" s="45"/>
      <c r="S164" s="45"/>
      <c r="T164" s="45"/>
      <c r="U164" s="45"/>
      <c r="V164" s="45"/>
      <c r="W164" s="45"/>
      <c r="X164" s="28"/>
      <c r="Y164" s="28"/>
      <c r="Z164" s="28"/>
      <c r="AA164" s="28"/>
      <c r="AB164" s="28"/>
      <c r="AC164" s="28"/>
    </row>
    <row r="165" spans="1:29" ht="13">
      <c r="A165" s="28"/>
      <c r="B165" s="45"/>
      <c r="C165" s="45"/>
      <c r="D165" s="45"/>
      <c r="E165" s="45"/>
      <c r="F165" s="45"/>
      <c r="G165" s="45"/>
      <c r="H165" s="45"/>
      <c r="I165" s="45"/>
      <c r="J165" s="45"/>
      <c r="K165" s="45"/>
      <c r="L165" s="45"/>
      <c r="M165" s="45"/>
      <c r="N165" s="45"/>
      <c r="O165" s="47"/>
      <c r="P165" s="45"/>
      <c r="Q165" s="45"/>
      <c r="R165" s="45"/>
      <c r="S165" s="45"/>
      <c r="T165" s="45"/>
      <c r="U165" s="45"/>
      <c r="V165" s="45"/>
      <c r="W165" s="45"/>
      <c r="X165" s="28"/>
      <c r="Y165" s="28"/>
      <c r="Z165" s="28"/>
      <c r="AA165" s="28"/>
      <c r="AB165" s="28"/>
      <c r="AC165" s="28"/>
    </row>
    <row r="166" spans="1:29" ht="13">
      <c r="A166" s="28"/>
      <c r="B166" s="45"/>
      <c r="C166" s="45"/>
      <c r="D166" s="45"/>
      <c r="E166" s="45"/>
      <c r="F166" s="45"/>
      <c r="G166" s="45"/>
      <c r="H166" s="45"/>
      <c r="I166" s="45"/>
      <c r="J166" s="45"/>
      <c r="K166" s="45"/>
      <c r="L166" s="45"/>
      <c r="M166" s="45"/>
      <c r="N166" s="45"/>
      <c r="O166" s="47"/>
      <c r="P166" s="45"/>
      <c r="Q166" s="45"/>
      <c r="R166" s="45"/>
      <c r="S166" s="45"/>
      <c r="T166" s="45"/>
      <c r="U166" s="45"/>
      <c r="V166" s="45"/>
      <c r="W166" s="45"/>
      <c r="X166" s="28"/>
      <c r="Y166" s="28"/>
      <c r="Z166" s="28"/>
      <c r="AA166" s="28"/>
      <c r="AB166" s="28"/>
      <c r="AC166" s="28"/>
    </row>
    <row r="167" spans="1:29" ht="13">
      <c r="A167" s="28"/>
      <c r="B167" s="45"/>
      <c r="C167" s="45"/>
      <c r="D167" s="45"/>
      <c r="E167" s="45"/>
      <c r="F167" s="45"/>
      <c r="G167" s="45"/>
      <c r="H167" s="45"/>
      <c r="I167" s="45"/>
      <c r="J167" s="45"/>
      <c r="K167" s="45"/>
      <c r="L167" s="45"/>
      <c r="M167" s="45"/>
      <c r="N167" s="45"/>
      <c r="O167" s="47"/>
      <c r="P167" s="45"/>
      <c r="Q167" s="45"/>
      <c r="R167" s="45"/>
      <c r="S167" s="45"/>
      <c r="T167" s="45"/>
      <c r="U167" s="45"/>
      <c r="V167" s="45"/>
      <c r="W167" s="45"/>
      <c r="X167" s="28"/>
      <c r="Y167" s="28"/>
      <c r="Z167" s="28"/>
      <c r="AA167" s="28"/>
      <c r="AB167" s="28"/>
      <c r="AC167" s="28"/>
    </row>
    <row r="168" spans="1:29" ht="13">
      <c r="A168" s="28"/>
      <c r="B168" s="45"/>
      <c r="C168" s="45"/>
      <c r="D168" s="45"/>
      <c r="E168" s="45"/>
      <c r="F168" s="45"/>
      <c r="G168" s="45"/>
      <c r="H168" s="45"/>
      <c r="I168" s="45"/>
      <c r="J168" s="45"/>
      <c r="K168" s="45"/>
      <c r="L168" s="45"/>
      <c r="M168" s="45"/>
      <c r="N168" s="45"/>
      <c r="O168" s="47"/>
      <c r="P168" s="45"/>
      <c r="Q168" s="45"/>
      <c r="R168" s="45"/>
      <c r="S168" s="45"/>
      <c r="T168" s="45"/>
      <c r="U168" s="45"/>
      <c r="V168" s="45"/>
      <c r="W168" s="45"/>
      <c r="X168" s="28"/>
      <c r="Y168" s="28"/>
      <c r="Z168" s="28"/>
      <c r="AA168" s="28"/>
      <c r="AB168" s="28"/>
      <c r="AC168" s="28"/>
    </row>
    <row r="169" spans="1:29" ht="13">
      <c r="A169" s="28"/>
      <c r="B169" s="45"/>
      <c r="C169" s="45"/>
      <c r="D169" s="45"/>
      <c r="E169" s="45"/>
      <c r="F169" s="45"/>
      <c r="G169" s="45"/>
      <c r="H169" s="45"/>
      <c r="I169" s="45"/>
      <c r="J169" s="45"/>
      <c r="K169" s="45"/>
      <c r="L169" s="45"/>
      <c r="M169" s="45"/>
      <c r="N169" s="45"/>
      <c r="O169" s="47"/>
      <c r="P169" s="45"/>
      <c r="Q169" s="45"/>
      <c r="R169" s="45"/>
      <c r="S169" s="45"/>
      <c r="T169" s="45"/>
      <c r="U169" s="45"/>
      <c r="V169" s="45"/>
      <c r="W169" s="45"/>
      <c r="X169" s="28"/>
      <c r="Y169" s="28"/>
      <c r="Z169" s="28"/>
      <c r="AA169" s="28"/>
      <c r="AB169" s="28"/>
      <c r="AC169" s="28"/>
    </row>
    <row r="170" spans="1:29" ht="13">
      <c r="A170" s="28"/>
      <c r="B170" s="45"/>
      <c r="C170" s="45"/>
      <c r="D170" s="45"/>
      <c r="E170" s="45"/>
      <c r="F170" s="45"/>
      <c r="G170" s="45"/>
      <c r="H170" s="45"/>
      <c r="I170" s="45"/>
      <c r="J170" s="45"/>
      <c r="K170" s="45"/>
      <c r="L170" s="45"/>
      <c r="M170" s="45"/>
      <c r="N170" s="45"/>
      <c r="O170" s="47"/>
      <c r="P170" s="45"/>
      <c r="Q170" s="45"/>
      <c r="R170" s="45"/>
      <c r="S170" s="45"/>
      <c r="T170" s="45"/>
      <c r="U170" s="45"/>
      <c r="V170" s="45"/>
      <c r="W170" s="45"/>
      <c r="X170" s="28"/>
      <c r="Y170" s="28"/>
      <c r="Z170" s="28"/>
      <c r="AA170" s="28"/>
      <c r="AB170" s="28"/>
      <c r="AC170" s="28"/>
    </row>
    <row r="171" spans="1:29" ht="13">
      <c r="A171" s="28"/>
      <c r="B171" s="45"/>
      <c r="C171" s="45"/>
      <c r="D171" s="45"/>
      <c r="E171" s="45"/>
      <c r="F171" s="45"/>
      <c r="G171" s="45"/>
      <c r="H171" s="45"/>
      <c r="I171" s="45"/>
      <c r="J171" s="45"/>
      <c r="K171" s="45"/>
      <c r="L171" s="45"/>
      <c r="M171" s="45"/>
      <c r="N171" s="45"/>
      <c r="O171" s="47"/>
      <c r="P171" s="45"/>
      <c r="Q171" s="45"/>
      <c r="R171" s="45"/>
      <c r="S171" s="45"/>
      <c r="T171" s="45"/>
      <c r="U171" s="45"/>
      <c r="V171" s="45"/>
      <c r="W171" s="45"/>
      <c r="X171" s="28"/>
      <c r="Y171" s="28"/>
      <c r="Z171" s="28"/>
      <c r="AA171" s="28"/>
      <c r="AB171" s="28"/>
      <c r="AC171" s="28"/>
    </row>
    <row r="172" spans="1:29" ht="13">
      <c r="A172" s="28"/>
      <c r="B172" s="45"/>
      <c r="C172" s="45"/>
      <c r="D172" s="45"/>
      <c r="E172" s="45"/>
      <c r="F172" s="45"/>
      <c r="G172" s="45"/>
      <c r="H172" s="45"/>
      <c r="I172" s="45"/>
      <c r="J172" s="45"/>
      <c r="K172" s="45"/>
      <c r="L172" s="45"/>
      <c r="M172" s="45"/>
      <c r="N172" s="45"/>
      <c r="O172" s="47"/>
      <c r="P172" s="45"/>
      <c r="Q172" s="45"/>
      <c r="R172" s="45"/>
      <c r="S172" s="45"/>
      <c r="T172" s="45"/>
      <c r="U172" s="45"/>
      <c r="V172" s="45"/>
      <c r="W172" s="45"/>
      <c r="X172" s="28"/>
      <c r="Y172" s="28"/>
      <c r="Z172" s="28"/>
      <c r="AA172" s="28"/>
      <c r="AB172" s="28"/>
      <c r="AC172" s="28"/>
    </row>
    <row r="173" spans="1:29" ht="13">
      <c r="A173" s="28"/>
      <c r="B173" s="45"/>
      <c r="C173" s="45"/>
      <c r="D173" s="45"/>
      <c r="E173" s="45"/>
      <c r="F173" s="45"/>
      <c r="G173" s="45"/>
      <c r="H173" s="45"/>
      <c r="I173" s="45"/>
      <c r="J173" s="45"/>
      <c r="K173" s="45"/>
      <c r="L173" s="45"/>
      <c r="M173" s="45"/>
      <c r="N173" s="45"/>
      <c r="O173" s="47"/>
      <c r="P173" s="45"/>
      <c r="Q173" s="45"/>
      <c r="R173" s="45"/>
      <c r="S173" s="45"/>
      <c r="T173" s="45"/>
      <c r="U173" s="45"/>
      <c r="V173" s="45"/>
      <c r="W173" s="45"/>
      <c r="X173" s="28"/>
      <c r="Y173" s="28"/>
      <c r="Z173" s="28"/>
      <c r="AA173" s="28"/>
      <c r="AB173" s="28"/>
      <c r="AC173" s="28"/>
    </row>
    <row r="174" spans="1:29" ht="13">
      <c r="A174" s="28"/>
      <c r="B174" s="45"/>
      <c r="C174" s="45"/>
      <c r="D174" s="45"/>
      <c r="E174" s="45"/>
      <c r="F174" s="45"/>
      <c r="G174" s="45"/>
      <c r="H174" s="45"/>
      <c r="I174" s="45"/>
      <c r="J174" s="45"/>
      <c r="K174" s="45"/>
      <c r="L174" s="45"/>
      <c r="M174" s="45"/>
      <c r="N174" s="45"/>
      <c r="O174" s="47"/>
      <c r="P174" s="45"/>
      <c r="Q174" s="45"/>
      <c r="R174" s="45"/>
      <c r="S174" s="45"/>
      <c r="T174" s="45"/>
      <c r="U174" s="45"/>
      <c r="V174" s="45"/>
      <c r="W174" s="45"/>
      <c r="X174" s="28"/>
      <c r="Y174" s="28"/>
      <c r="Z174" s="28"/>
      <c r="AA174" s="28"/>
      <c r="AB174" s="28"/>
      <c r="AC174" s="28"/>
    </row>
    <row r="175" spans="1:29" ht="13">
      <c r="A175" s="28"/>
      <c r="B175" s="45"/>
      <c r="C175" s="45"/>
      <c r="D175" s="45"/>
      <c r="E175" s="45"/>
      <c r="F175" s="45"/>
      <c r="G175" s="45"/>
      <c r="H175" s="45"/>
      <c r="I175" s="45"/>
      <c r="J175" s="45"/>
      <c r="K175" s="45"/>
      <c r="L175" s="45"/>
      <c r="M175" s="45"/>
      <c r="N175" s="45"/>
      <c r="O175" s="47"/>
      <c r="P175" s="45"/>
      <c r="Q175" s="45"/>
      <c r="R175" s="45"/>
      <c r="S175" s="45"/>
      <c r="T175" s="45"/>
      <c r="U175" s="45"/>
      <c r="V175" s="45"/>
      <c r="W175" s="45"/>
      <c r="X175" s="28"/>
      <c r="Y175" s="28"/>
      <c r="Z175" s="28"/>
      <c r="AA175" s="28"/>
      <c r="AB175" s="28"/>
      <c r="AC175" s="28"/>
    </row>
    <row r="176" spans="1:29" ht="13">
      <c r="A176" s="28"/>
      <c r="B176" s="45"/>
      <c r="C176" s="45"/>
      <c r="D176" s="45"/>
      <c r="E176" s="45"/>
      <c r="F176" s="45"/>
      <c r="G176" s="45"/>
      <c r="H176" s="45"/>
      <c r="I176" s="45"/>
      <c r="J176" s="45"/>
      <c r="K176" s="45"/>
      <c r="L176" s="45"/>
      <c r="M176" s="45"/>
      <c r="N176" s="45"/>
      <c r="O176" s="47"/>
      <c r="P176" s="45"/>
      <c r="Q176" s="45"/>
      <c r="R176" s="45"/>
      <c r="S176" s="45"/>
      <c r="T176" s="45"/>
      <c r="U176" s="45"/>
      <c r="V176" s="45"/>
      <c r="W176" s="45"/>
      <c r="X176" s="28"/>
      <c r="Y176" s="28"/>
      <c r="Z176" s="28"/>
      <c r="AA176" s="28"/>
      <c r="AB176" s="28"/>
      <c r="AC176" s="28"/>
    </row>
    <row r="177" spans="1:29" ht="13">
      <c r="A177" s="28"/>
      <c r="B177" s="45"/>
      <c r="C177" s="45"/>
      <c r="D177" s="45"/>
      <c r="E177" s="45"/>
      <c r="F177" s="45"/>
      <c r="G177" s="45"/>
      <c r="H177" s="45"/>
      <c r="I177" s="45"/>
      <c r="J177" s="45"/>
      <c r="K177" s="45"/>
      <c r="L177" s="45"/>
      <c r="M177" s="45"/>
      <c r="N177" s="45"/>
      <c r="O177" s="47"/>
      <c r="P177" s="45"/>
      <c r="Q177" s="45"/>
      <c r="R177" s="45"/>
      <c r="S177" s="45"/>
      <c r="T177" s="45"/>
      <c r="U177" s="45"/>
      <c r="V177" s="45"/>
      <c r="W177" s="45"/>
      <c r="X177" s="28"/>
      <c r="Y177" s="28"/>
      <c r="Z177" s="28"/>
      <c r="AA177" s="28"/>
      <c r="AB177" s="28"/>
      <c r="AC177" s="28"/>
    </row>
    <row r="178" spans="1:29" ht="13">
      <c r="A178" s="28"/>
      <c r="B178" s="45"/>
      <c r="C178" s="45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7"/>
      <c r="P178" s="45"/>
      <c r="Q178" s="45"/>
      <c r="R178" s="45"/>
      <c r="S178" s="45"/>
      <c r="T178" s="45"/>
      <c r="U178" s="45"/>
      <c r="V178" s="45"/>
      <c r="W178" s="45"/>
      <c r="X178" s="28"/>
      <c r="Y178" s="28"/>
      <c r="Z178" s="28"/>
      <c r="AA178" s="28"/>
      <c r="AB178" s="28"/>
      <c r="AC178" s="28"/>
    </row>
    <row r="179" spans="1:29" ht="13">
      <c r="A179" s="28"/>
      <c r="B179" s="45"/>
      <c r="C179" s="45"/>
      <c r="D179" s="45"/>
      <c r="E179" s="45"/>
      <c r="F179" s="45"/>
      <c r="G179" s="45"/>
      <c r="H179" s="45"/>
      <c r="I179" s="45"/>
      <c r="J179" s="45"/>
      <c r="K179" s="45"/>
      <c r="L179" s="45"/>
      <c r="M179" s="45"/>
      <c r="N179" s="45"/>
      <c r="O179" s="47"/>
      <c r="P179" s="45"/>
      <c r="Q179" s="45"/>
      <c r="R179" s="45"/>
      <c r="S179" s="45"/>
      <c r="T179" s="45"/>
      <c r="U179" s="45"/>
      <c r="V179" s="45"/>
      <c r="W179" s="45"/>
      <c r="X179" s="28"/>
      <c r="Y179" s="28"/>
      <c r="Z179" s="28"/>
      <c r="AA179" s="28"/>
      <c r="AB179" s="28"/>
      <c r="AC179" s="28"/>
    </row>
    <row r="180" spans="1:29" ht="13">
      <c r="A180" s="28"/>
      <c r="B180" s="45"/>
      <c r="C180" s="45"/>
      <c r="D180" s="45"/>
      <c r="E180" s="45"/>
      <c r="F180" s="45"/>
      <c r="G180" s="45"/>
      <c r="H180" s="45"/>
      <c r="I180" s="45"/>
      <c r="J180" s="45"/>
      <c r="K180" s="45"/>
      <c r="L180" s="45"/>
      <c r="M180" s="45"/>
      <c r="N180" s="45"/>
      <c r="O180" s="47"/>
      <c r="P180" s="45"/>
      <c r="Q180" s="45"/>
      <c r="R180" s="45"/>
      <c r="S180" s="45"/>
      <c r="T180" s="45"/>
      <c r="U180" s="45"/>
      <c r="V180" s="45"/>
      <c r="W180" s="45"/>
      <c r="X180" s="28"/>
      <c r="Y180" s="28"/>
      <c r="Z180" s="28"/>
      <c r="AA180" s="28"/>
      <c r="AB180" s="28"/>
      <c r="AC180" s="28"/>
    </row>
    <row r="181" spans="1:29" ht="13">
      <c r="A181" s="28"/>
      <c r="B181" s="45"/>
      <c r="C181" s="45"/>
      <c r="D181" s="45"/>
      <c r="E181" s="45"/>
      <c r="F181" s="45"/>
      <c r="G181" s="45"/>
      <c r="H181" s="45"/>
      <c r="I181" s="45"/>
      <c r="J181" s="45"/>
      <c r="K181" s="45"/>
      <c r="L181" s="45"/>
      <c r="M181" s="45"/>
      <c r="N181" s="45"/>
      <c r="O181" s="47"/>
      <c r="P181" s="45"/>
      <c r="Q181" s="45"/>
      <c r="R181" s="45"/>
      <c r="S181" s="45"/>
      <c r="T181" s="45"/>
      <c r="U181" s="45"/>
      <c r="V181" s="45"/>
      <c r="W181" s="45"/>
      <c r="X181" s="28"/>
      <c r="Y181" s="28"/>
      <c r="Z181" s="28"/>
      <c r="AA181" s="28"/>
      <c r="AB181" s="28"/>
      <c r="AC181" s="28"/>
    </row>
    <row r="182" spans="1:29" ht="13">
      <c r="A182" s="28"/>
      <c r="B182" s="45"/>
      <c r="C182" s="45"/>
      <c r="D182" s="45"/>
      <c r="E182" s="45"/>
      <c r="F182" s="45"/>
      <c r="G182" s="45"/>
      <c r="H182" s="45"/>
      <c r="I182" s="45"/>
      <c r="J182" s="45"/>
      <c r="K182" s="45"/>
      <c r="L182" s="45"/>
      <c r="M182" s="45"/>
      <c r="N182" s="45"/>
      <c r="O182" s="47"/>
      <c r="P182" s="45"/>
      <c r="Q182" s="45"/>
      <c r="R182" s="45"/>
      <c r="S182" s="45"/>
      <c r="T182" s="45"/>
      <c r="U182" s="45"/>
      <c r="V182" s="45"/>
      <c r="W182" s="45"/>
      <c r="X182" s="28"/>
      <c r="Y182" s="28"/>
      <c r="Z182" s="28"/>
      <c r="AA182" s="28"/>
      <c r="AB182" s="28"/>
      <c r="AC182" s="28"/>
    </row>
    <row r="183" spans="1:29" ht="13">
      <c r="A183" s="28"/>
      <c r="B183" s="45"/>
      <c r="C183" s="45"/>
      <c r="D183" s="45"/>
      <c r="E183" s="45"/>
      <c r="F183" s="45"/>
      <c r="G183" s="45"/>
      <c r="H183" s="45"/>
      <c r="I183" s="45"/>
      <c r="J183" s="45"/>
      <c r="K183" s="45"/>
      <c r="L183" s="45"/>
      <c r="M183" s="45"/>
      <c r="N183" s="45"/>
      <c r="O183" s="47"/>
      <c r="P183" s="45"/>
      <c r="Q183" s="45"/>
      <c r="R183" s="45"/>
      <c r="S183" s="45"/>
      <c r="T183" s="45"/>
      <c r="U183" s="45"/>
      <c r="V183" s="45"/>
      <c r="W183" s="45"/>
      <c r="X183" s="28"/>
      <c r="Y183" s="28"/>
      <c r="Z183" s="28"/>
      <c r="AA183" s="28"/>
      <c r="AB183" s="28"/>
      <c r="AC183" s="28"/>
    </row>
    <row r="184" spans="1:29" ht="13">
      <c r="A184" s="28"/>
      <c r="B184" s="45"/>
      <c r="C184" s="45"/>
      <c r="D184" s="45"/>
      <c r="E184" s="45"/>
      <c r="F184" s="45"/>
      <c r="G184" s="45"/>
      <c r="H184" s="45"/>
      <c r="I184" s="45"/>
      <c r="J184" s="45"/>
      <c r="K184" s="45"/>
      <c r="L184" s="45"/>
      <c r="M184" s="45"/>
      <c r="N184" s="45"/>
      <c r="O184" s="47"/>
      <c r="P184" s="45"/>
      <c r="Q184" s="45"/>
      <c r="R184" s="45"/>
      <c r="S184" s="45"/>
      <c r="T184" s="45"/>
      <c r="U184" s="45"/>
      <c r="V184" s="45"/>
      <c r="W184" s="45"/>
      <c r="X184" s="28"/>
      <c r="Y184" s="28"/>
      <c r="Z184" s="28"/>
      <c r="AA184" s="28"/>
      <c r="AB184" s="28"/>
      <c r="AC184" s="28"/>
    </row>
    <row r="185" spans="1:29" ht="13">
      <c r="A185" s="28"/>
      <c r="B185" s="45"/>
      <c r="C185" s="45"/>
      <c r="D185" s="45"/>
      <c r="E185" s="45"/>
      <c r="F185" s="45"/>
      <c r="G185" s="45"/>
      <c r="H185" s="45"/>
      <c r="I185" s="45"/>
      <c r="J185" s="45"/>
      <c r="K185" s="45"/>
      <c r="L185" s="45"/>
      <c r="M185" s="45"/>
      <c r="N185" s="45"/>
      <c r="O185" s="47"/>
      <c r="P185" s="45"/>
      <c r="Q185" s="45"/>
      <c r="R185" s="45"/>
      <c r="S185" s="45"/>
      <c r="T185" s="45"/>
      <c r="U185" s="45"/>
      <c r="V185" s="45"/>
      <c r="W185" s="45"/>
      <c r="X185" s="28"/>
      <c r="Y185" s="28"/>
      <c r="Z185" s="28"/>
      <c r="AA185" s="28"/>
      <c r="AB185" s="28"/>
      <c r="AC185" s="28"/>
    </row>
    <row r="186" spans="1:29" ht="13">
      <c r="A186" s="28"/>
      <c r="B186" s="45"/>
      <c r="C186" s="45"/>
      <c r="D186" s="45"/>
      <c r="E186" s="45"/>
      <c r="F186" s="45"/>
      <c r="G186" s="45"/>
      <c r="H186" s="45"/>
      <c r="I186" s="45"/>
      <c r="J186" s="45"/>
      <c r="K186" s="45"/>
      <c r="L186" s="45"/>
      <c r="M186" s="45"/>
      <c r="N186" s="45"/>
      <c r="O186" s="47"/>
      <c r="P186" s="45"/>
      <c r="Q186" s="45"/>
      <c r="R186" s="45"/>
      <c r="S186" s="45"/>
      <c r="T186" s="45"/>
      <c r="U186" s="45"/>
      <c r="V186" s="45"/>
      <c r="W186" s="45"/>
      <c r="X186" s="28"/>
      <c r="Y186" s="28"/>
      <c r="Z186" s="28"/>
      <c r="AA186" s="28"/>
      <c r="AB186" s="28"/>
      <c r="AC186" s="28"/>
    </row>
    <row r="187" spans="1:29" ht="13">
      <c r="A187" s="28"/>
      <c r="B187" s="45"/>
      <c r="C187" s="45"/>
      <c r="D187" s="45"/>
      <c r="E187" s="45"/>
      <c r="F187" s="45"/>
      <c r="G187" s="45"/>
      <c r="H187" s="45"/>
      <c r="I187" s="45"/>
      <c r="J187" s="45"/>
      <c r="K187" s="45"/>
      <c r="L187" s="45"/>
      <c r="M187" s="45"/>
      <c r="N187" s="45"/>
      <c r="O187" s="47"/>
      <c r="P187" s="45"/>
      <c r="Q187" s="45"/>
      <c r="R187" s="45"/>
      <c r="S187" s="45"/>
      <c r="T187" s="45"/>
      <c r="U187" s="45"/>
      <c r="V187" s="45"/>
      <c r="W187" s="45"/>
      <c r="X187" s="28"/>
      <c r="Y187" s="28"/>
      <c r="Z187" s="28"/>
      <c r="AA187" s="28"/>
      <c r="AB187" s="28"/>
      <c r="AC187" s="28"/>
    </row>
    <row r="188" spans="1:29" ht="13">
      <c r="A188" s="28"/>
      <c r="B188" s="45"/>
      <c r="C188" s="45"/>
      <c r="D188" s="45"/>
      <c r="E188" s="45"/>
      <c r="F188" s="45"/>
      <c r="G188" s="45"/>
      <c r="H188" s="45"/>
      <c r="I188" s="45"/>
      <c r="J188" s="45"/>
      <c r="K188" s="45"/>
      <c r="L188" s="45"/>
      <c r="M188" s="45"/>
      <c r="N188" s="45"/>
      <c r="O188" s="47"/>
      <c r="P188" s="45"/>
      <c r="Q188" s="45"/>
      <c r="R188" s="45"/>
      <c r="S188" s="45"/>
      <c r="T188" s="45"/>
      <c r="U188" s="45"/>
      <c r="V188" s="45"/>
      <c r="W188" s="45"/>
      <c r="X188" s="28"/>
      <c r="Y188" s="28"/>
      <c r="Z188" s="28"/>
      <c r="AA188" s="28"/>
      <c r="AB188" s="28"/>
      <c r="AC188" s="28"/>
    </row>
    <row r="189" spans="1:29" ht="13">
      <c r="A189" s="28"/>
      <c r="B189" s="45"/>
      <c r="C189" s="45"/>
      <c r="D189" s="45"/>
      <c r="E189" s="45"/>
      <c r="F189" s="45"/>
      <c r="G189" s="45"/>
      <c r="H189" s="45"/>
      <c r="I189" s="45"/>
      <c r="J189" s="45"/>
      <c r="K189" s="45"/>
      <c r="L189" s="45"/>
      <c r="M189" s="45"/>
      <c r="N189" s="45"/>
      <c r="O189" s="47"/>
      <c r="P189" s="45"/>
      <c r="Q189" s="45"/>
      <c r="R189" s="45"/>
      <c r="S189" s="45"/>
      <c r="T189" s="45"/>
      <c r="U189" s="45"/>
      <c r="V189" s="45"/>
      <c r="W189" s="45"/>
      <c r="X189" s="28"/>
      <c r="Y189" s="28"/>
      <c r="Z189" s="28"/>
      <c r="AA189" s="28"/>
      <c r="AB189" s="28"/>
      <c r="AC189" s="28"/>
    </row>
    <row r="190" spans="1:29" ht="13">
      <c r="A190" s="28"/>
      <c r="B190" s="45"/>
      <c r="C190" s="45"/>
      <c r="D190" s="45"/>
      <c r="E190" s="45"/>
      <c r="F190" s="45"/>
      <c r="G190" s="45"/>
      <c r="H190" s="45"/>
      <c r="I190" s="45"/>
      <c r="J190" s="45"/>
      <c r="K190" s="45"/>
      <c r="L190" s="45"/>
      <c r="M190" s="45"/>
      <c r="N190" s="45"/>
      <c r="O190" s="47"/>
      <c r="P190" s="45"/>
      <c r="Q190" s="45"/>
      <c r="R190" s="45"/>
      <c r="S190" s="45"/>
      <c r="T190" s="45"/>
      <c r="U190" s="45"/>
      <c r="V190" s="45"/>
      <c r="W190" s="45"/>
      <c r="X190" s="28"/>
      <c r="Y190" s="28"/>
      <c r="Z190" s="28"/>
      <c r="AA190" s="28"/>
      <c r="AB190" s="28"/>
      <c r="AC190" s="28"/>
    </row>
    <row r="191" spans="1:29" ht="13">
      <c r="A191" s="28"/>
      <c r="B191" s="45"/>
      <c r="C191" s="45"/>
      <c r="D191" s="45"/>
      <c r="E191" s="45"/>
      <c r="F191" s="45"/>
      <c r="G191" s="45"/>
      <c r="H191" s="45"/>
      <c r="I191" s="45"/>
      <c r="J191" s="45"/>
      <c r="K191" s="45"/>
      <c r="L191" s="45"/>
      <c r="M191" s="45"/>
      <c r="N191" s="45"/>
      <c r="O191" s="47"/>
      <c r="P191" s="45"/>
      <c r="Q191" s="45"/>
      <c r="R191" s="45"/>
      <c r="S191" s="45"/>
      <c r="T191" s="45"/>
      <c r="U191" s="45"/>
      <c r="V191" s="45"/>
      <c r="W191" s="45"/>
      <c r="X191" s="28"/>
      <c r="Y191" s="28"/>
      <c r="Z191" s="28"/>
      <c r="AA191" s="28"/>
      <c r="AB191" s="28"/>
      <c r="AC191" s="28"/>
    </row>
    <row r="192" spans="1:29" ht="13">
      <c r="A192" s="28"/>
      <c r="B192" s="45"/>
      <c r="C192" s="45"/>
      <c r="D192" s="45"/>
      <c r="E192" s="45"/>
      <c r="F192" s="45"/>
      <c r="G192" s="45"/>
      <c r="H192" s="45"/>
      <c r="I192" s="45"/>
      <c r="J192" s="45"/>
      <c r="K192" s="45"/>
      <c r="L192" s="45"/>
      <c r="M192" s="45"/>
      <c r="N192" s="45"/>
      <c r="O192" s="47"/>
      <c r="P192" s="45"/>
      <c r="Q192" s="45"/>
      <c r="R192" s="45"/>
      <c r="S192" s="45"/>
      <c r="T192" s="45"/>
      <c r="U192" s="45"/>
      <c r="V192" s="45"/>
      <c r="W192" s="45"/>
      <c r="X192" s="28"/>
      <c r="Y192" s="28"/>
      <c r="Z192" s="28"/>
      <c r="AA192" s="28"/>
      <c r="AB192" s="28"/>
      <c r="AC192" s="28"/>
    </row>
    <row r="193" spans="1:29" ht="13">
      <c r="A193" s="28"/>
      <c r="B193" s="45"/>
      <c r="C193" s="45"/>
      <c r="D193" s="45"/>
      <c r="E193" s="45"/>
      <c r="F193" s="45"/>
      <c r="G193" s="45"/>
      <c r="H193" s="45"/>
      <c r="I193" s="45"/>
      <c r="J193" s="45"/>
      <c r="K193" s="45"/>
      <c r="L193" s="45"/>
      <c r="M193" s="45"/>
      <c r="N193" s="45"/>
      <c r="O193" s="47"/>
      <c r="P193" s="45"/>
      <c r="Q193" s="45"/>
      <c r="R193" s="45"/>
      <c r="S193" s="45"/>
      <c r="T193" s="45"/>
      <c r="U193" s="45"/>
      <c r="V193" s="45"/>
      <c r="W193" s="45"/>
      <c r="X193" s="28"/>
      <c r="Y193" s="28"/>
      <c r="Z193" s="28"/>
      <c r="AA193" s="28"/>
      <c r="AB193" s="28"/>
      <c r="AC193" s="28"/>
    </row>
    <row r="194" spans="1:29" ht="13">
      <c r="A194" s="28"/>
      <c r="B194" s="45"/>
      <c r="C194" s="45"/>
      <c r="D194" s="45"/>
      <c r="E194" s="45"/>
      <c r="F194" s="45"/>
      <c r="G194" s="45"/>
      <c r="H194" s="45"/>
      <c r="I194" s="45"/>
      <c r="J194" s="45"/>
      <c r="K194" s="45"/>
      <c r="L194" s="45"/>
      <c r="M194" s="45"/>
      <c r="N194" s="45"/>
      <c r="O194" s="47"/>
      <c r="P194" s="45"/>
      <c r="Q194" s="45"/>
      <c r="R194" s="45"/>
      <c r="S194" s="45"/>
      <c r="T194" s="45"/>
      <c r="U194" s="45"/>
      <c r="V194" s="45"/>
      <c r="W194" s="45"/>
      <c r="X194" s="28"/>
      <c r="Y194" s="28"/>
      <c r="Z194" s="28"/>
      <c r="AA194" s="28"/>
      <c r="AB194" s="28"/>
      <c r="AC194" s="28"/>
    </row>
    <row r="195" spans="1:29" ht="13">
      <c r="A195" s="28"/>
      <c r="B195" s="45"/>
      <c r="C195" s="45"/>
      <c r="D195" s="45"/>
      <c r="E195" s="45"/>
      <c r="F195" s="45"/>
      <c r="G195" s="45"/>
      <c r="H195" s="45"/>
      <c r="I195" s="45"/>
      <c r="J195" s="45"/>
      <c r="K195" s="45"/>
      <c r="L195" s="45"/>
      <c r="M195" s="45"/>
      <c r="N195" s="45"/>
      <c r="O195" s="47"/>
      <c r="P195" s="45"/>
      <c r="Q195" s="45"/>
      <c r="R195" s="45"/>
      <c r="S195" s="45"/>
      <c r="T195" s="45"/>
      <c r="U195" s="45"/>
      <c r="V195" s="45"/>
      <c r="W195" s="45"/>
      <c r="X195" s="28"/>
      <c r="Y195" s="28"/>
      <c r="Z195" s="28"/>
      <c r="AA195" s="28"/>
      <c r="AB195" s="28"/>
      <c r="AC195" s="28"/>
    </row>
    <row r="196" spans="1:29" ht="13">
      <c r="A196" s="28"/>
      <c r="B196" s="45"/>
      <c r="C196" s="45"/>
      <c r="D196" s="45"/>
      <c r="E196" s="45"/>
      <c r="F196" s="45"/>
      <c r="G196" s="45"/>
      <c r="H196" s="45"/>
      <c r="I196" s="45"/>
      <c r="J196" s="45"/>
      <c r="K196" s="45"/>
      <c r="L196" s="45"/>
      <c r="M196" s="45"/>
      <c r="N196" s="45"/>
      <c r="O196" s="47"/>
      <c r="P196" s="45"/>
      <c r="Q196" s="45"/>
      <c r="R196" s="45"/>
      <c r="S196" s="45"/>
      <c r="T196" s="45"/>
      <c r="U196" s="45"/>
      <c r="V196" s="45"/>
      <c r="W196" s="45"/>
      <c r="X196" s="28"/>
      <c r="Y196" s="28"/>
      <c r="Z196" s="28"/>
      <c r="AA196" s="28"/>
      <c r="AB196" s="28"/>
      <c r="AC196" s="28"/>
    </row>
    <row r="197" spans="1:29" ht="13">
      <c r="A197" s="28"/>
      <c r="B197" s="45"/>
      <c r="C197" s="45"/>
      <c r="D197" s="45"/>
      <c r="E197" s="45"/>
      <c r="F197" s="45"/>
      <c r="G197" s="45"/>
      <c r="H197" s="45"/>
      <c r="I197" s="45"/>
      <c r="J197" s="45"/>
      <c r="K197" s="45"/>
      <c r="L197" s="45"/>
      <c r="M197" s="45"/>
      <c r="N197" s="45"/>
      <c r="O197" s="47"/>
      <c r="P197" s="45"/>
      <c r="Q197" s="45"/>
      <c r="R197" s="45"/>
      <c r="S197" s="45"/>
      <c r="T197" s="45"/>
      <c r="U197" s="45"/>
      <c r="V197" s="45"/>
      <c r="W197" s="45"/>
      <c r="X197" s="28"/>
      <c r="Y197" s="28"/>
      <c r="Z197" s="28"/>
      <c r="AA197" s="28"/>
      <c r="AB197" s="28"/>
      <c r="AC197" s="28"/>
    </row>
    <row r="198" spans="1:29" ht="13">
      <c r="A198" s="28"/>
      <c r="B198" s="45"/>
      <c r="C198" s="45"/>
      <c r="D198" s="45"/>
      <c r="E198" s="45"/>
      <c r="F198" s="45"/>
      <c r="G198" s="45"/>
      <c r="H198" s="45"/>
      <c r="I198" s="45"/>
      <c r="J198" s="45"/>
      <c r="K198" s="45"/>
      <c r="L198" s="45"/>
      <c r="M198" s="45"/>
      <c r="N198" s="45"/>
      <c r="O198" s="47"/>
      <c r="P198" s="45"/>
      <c r="Q198" s="45"/>
      <c r="R198" s="45"/>
      <c r="S198" s="45"/>
      <c r="T198" s="45"/>
      <c r="U198" s="45"/>
      <c r="V198" s="45"/>
      <c r="W198" s="45"/>
      <c r="X198" s="28"/>
      <c r="Y198" s="28"/>
      <c r="Z198" s="28"/>
      <c r="AA198" s="28"/>
      <c r="AB198" s="28"/>
      <c r="AC198" s="28"/>
    </row>
    <row r="199" spans="1:29" ht="13">
      <c r="A199" s="28"/>
      <c r="B199" s="45"/>
      <c r="C199" s="45"/>
      <c r="D199" s="45"/>
      <c r="E199" s="45"/>
      <c r="F199" s="45"/>
      <c r="G199" s="45"/>
      <c r="H199" s="45"/>
      <c r="I199" s="45"/>
      <c r="J199" s="45"/>
      <c r="K199" s="45"/>
      <c r="L199" s="45"/>
      <c r="M199" s="45"/>
      <c r="N199" s="45"/>
      <c r="O199" s="47"/>
      <c r="P199" s="45"/>
      <c r="Q199" s="45"/>
      <c r="R199" s="45"/>
      <c r="S199" s="45"/>
      <c r="T199" s="45"/>
      <c r="U199" s="45"/>
      <c r="V199" s="45"/>
      <c r="W199" s="45"/>
      <c r="X199" s="28"/>
      <c r="Y199" s="28"/>
      <c r="Z199" s="28"/>
      <c r="AA199" s="28"/>
      <c r="AB199" s="28"/>
      <c r="AC199" s="28"/>
    </row>
    <row r="200" spans="1:29" ht="13">
      <c r="A200" s="28"/>
      <c r="B200" s="45"/>
      <c r="C200" s="45"/>
      <c r="D200" s="45"/>
      <c r="E200" s="45"/>
      <c r="F200" s="45"/>
      <c r="G200" s="45"/>
      <c r="H200" s="45"/>
      <c r="I200" s="45"/>
      <c r="J200" s="45"/>
      <c r="K200" s="45"/>
      <c r="L200" s="45"/>
      <c r="M200" s="45"/>
      <c r="N200" s="45"/>
      <c r="O200" s="47"/>
      <c r="P200" s="45"/>
      <c r="Q200" s="45"/>
      <c r="R200" s="45"/>
      <c r="S200" s="45"/>
      <c r="T200" s="45"/>
      <c r="U200" s="45"/>
      <c r="V200" s="45"/>
      <c r="W200" s="45"/>
      <c r="X200" s="28"/>
      <c r="Y200" s="28"/>
      <c r="Z200" s="28"/>
      <c r="AA200" s="28"/>
      <c r="AB200" s="28"/>
      <c r="AC200" s="28"/>
    </row>
    <row r="201" spans="1:29" ht="13">
      <c r="A201" s="28"/>
      <c r="B201" s="45"/>
      <c r="C201" s="45"/>
      <c r="D201" s="45"/>
      <c r="E201" s="45"/>
      <c r="F201" s="45"/>
      <c r="G201" s="45"/>
      <c r="H201" s="45"/>
      <c r="I201" s="45"/>
      <c r="J201" s="45"/>
      <c r="K201" s="45"/>
      <c r="L201" s="45"/>
      <c r="M201" s="45"/>
      <c r="N201" s="45"/>
      <c r="O201" s="47"/>
      <c r="P201" s="45"/>
      <c r="Q201" s="45"/>
      <c r="R201" s="45"/>
      <c r="S201" s="45"/>
      <c r="T201" s="45"/>
      <c r="U201" s="45"/>
      <c r="V201" s="45"/>
      <c r="W201" s="45"/>
      <c r="X201" s="28"/>
      <c r="Y201" s="28"/>
      <c r="Z201" s="28"/>
      <c r="AA201" s="28"/>
      <c r="AB201" s="28"/>
      <c r="AC201" s="28"/>
    </row>
    <row r="202" spans="1:29" ht="13">
      <c r="A202" s="28"/>
      <c r="B202" s="45"/>
      <c r="C202" s="45"/>
      <c r="D202" s="45"/>
      <c r="E202" s="45"/>
      <c r="F202" s="45"/>
      <c r="G202" s="45"/>
      <c r="H202" s="45"/>
      <c r="I202" s="45"/>
      <c r="J202" s="45"/>
      <c r="K202" s="45"/>
      <c r="L202" s="45"/>
      <c r="M202" s="45"/>
      <c r="N202" s="45"/>
      <c r="O202" s="47"/>
      <c r="P202" s="45"/>
      <c r="Q202" s="45"/>
      <c r="R202" s="45"/>
      <c r="S202" s="45"/>
      <c r="T202" s="45"/>
      <c r="U202" s="45"/>
      <c r="V202" s="45"/>
      <c r="W202" s="45"/>
      <c r="X202" s="28"/>
      <c r="Y202" s="28"/>
      <c r="Z202" s="28"/>
      <c r="AA202" s="28"/>
      <c r="AB202" s="28"/>
      <c r="AC202" s="28"/>
    </row>
    <row r="203" spans="1:29" ht="13">
      <c r="A203" s="28"/>
      <c r="B203" s="45"/>
      <c r="C203" s="45"/>
      <c r="D203" s="45"/>
      <c r="E203" s="45"/>
      <c r="F203" s="45"/>
      <c r="G203" s="45"/>
      <c r="H203" s="45"/>
      <c r="I203" s="45"/>
      <c r="J203" s="45"/>
      <c r="K203" s="45"/>
      <c r="L203" s="45"/>
      <c r="M203" s="45"/>
      <c r="N203" s="45"/>
      <c r="O203" s="47"/>
      <c r="P203" s="45"/>
      <c r="Q203" s="45"/>
      <c r="R203" s="45"/>
      <c r="S203" s="45"/>
      <c r="T203" s="45"/>
      <c r="U203" s="45"/>
      <c r="V203" s="45"/>
      <c r="W203" s="45"/>
      <c r="X203" s="28"/>
      <c r="Y203" s="28"/>
      <c r="Z203" s="28"/>
      <c r="AA203" s="28"/>
      <c r="AB203" s="28"/>
      <c r="AC203" s="28"/>
    </row>
    <row r="204" spans="1:29" ht="13">
      <c r="A204" s="28"/>
      <c r="B204" s="45"/>
      <c r="C204" s="45"/>
      <c r="D204" s="45"/>
      <c r="E204" s="45"/>
      <c r="F204" s="45"/>
      <c r="G204" s="45"/>
      <c r="H204" s="45"/>
      <c r="I204" s="45"/>
      <c r="J204" s="45"/>
      <c r="K204" s="45"/>
      <c r="L204" s="45"/>
      <c r="M204" s="45"/>
      <c r="N204" s="45"/>
      <c r="O204" s="47"/>
      <c r="P204" s="45"/>
      <c r="Q204" s="45"/>
      <c r="R204" s="45"/>
      <c r="S204" s="45"/>
      <c r="T204" s="45"/>
      <c r="U204" s="45"/>
      <c r="V204" s="45"/>
      <c r="W204" s="45"/>
      <c r="X204" s="28"/>
      <c r="Y204" s="28"/>
      <c r="Z204" s="28"/>
      <c r="AA204" s="28"/>
      <c r="AB204" s="28"/>
      <c r="AC204" s="28"/>
    </row>
    <row r="205" spans="1:29" ht="13">
      <c r="A205" s="28"/>
      <c r="B205" s="45"/>
      <c r="C205" s="45"/>
      <c r="D205" s="45"/>
      <c r="E205" s="45"/>
      <c r="F205" s="45"/>
      <c r="G205" s="45"/>
      <c r="H205" s="45"/>
      <c r="I205" s="45"/>
      <c r="J205" s="45"/>
      <c r="K205" s="45"/>
      <c r="L205" s="45"/>
      <c r="M205" s="45"/>
      <c r="N205" s="45"/>
      <c r="O205" s="47"/>
      <c r="P205" s="45"/>
      <c r="Q205" s="45"/>
      <c r="R205" s="45"/>
      <c r="S205" s="45"/>
      <c r="T205" s="45"/>
      <c r="U205" s="45"/>
      <c r="V205" s="45"/>
      <c r="W205" s="45"/>
      <c r="X205" s="28"/>
      <c r="Y205" s="28"/>
      <c r="Z205" s="28"/>
      <c r="AA205" s="28"/>
      <c r="AB205" s="28"/>
      <c r="AC205" s="28"/>
    </row>
    <row r="206" spans="1:29" ht="13">
      <c r="A206" s="28"/>
      <c r="B206" s="45"/>
      <c r="C206" s="45"/>
      <c r="D206" s="45"/>
      <c r="E206" s="45"/>
      <c r="F206" s="45"/>
      <c r="G206" s="45"/>
      <c r="H206" s="45"/>
      <c r="I206" s="45"/>
      <c r="J206" s="45"/>
      <c r="K206" s="45"/>
      <c r="L206" s="45"/>
      <c r="M206" s="45"/>
      <c r="N206" s="45"/>
      <c r="O206" s="47"/>
      <c r="P206" s="45"/>
      <c r="Q206" s="45"/>
      <c r="R206" s="45"/>
      <c r="S206" s="45"/>
      <c r="T206" s="45"/>
      <c r="U206" s="45"/>
      <c r="V206" s="45"/>
      <c r="W206" s="45"/>
      <c r="X206" s="28"/>
      <c r="Y206" s="28"/>
      <c r="Z206" s="28"/>
      <c r="AA206" s="28"/>
      <c r="AB206" s="28"/>
      <c r="AC206" s="28"/>
    </row>
    <row r="207" spans="1:29" ht="13">
      <c r="A207" s="28"/>
      <c r="B207" s="45"/>
      <c r="C207" s="45"/>
      <c r="D207" s="45"/>
      <c r="E207" s="45"/>
      <c r="F207" s="45"/>
      <c r="G207" s="45"/>
      <c r="H207" s="45"/>
      <c r="I207" s="45"/>
      <c r="J207" s="45"/>
      <c r="K207" s="45"/>
      <c r="L207" s="45"/>
      <c r="M207" s="45"/>
      <c r="N207" s="45"/>
      <c r="O207" s="47"/>
      <c r="P207" s="45"/>
      <c r="Q207" s="45"/>
      <c r="R207" s="45"/>
      <c r="S207" s="45"/>
      <c r="T207" s="45"/>
      <c r="U207" s="45"/>
      <c r="V207" s="45"/>
      <c r="W207" s="45"/>
      <c r="X207" s="28"/>
      <c r="Y207" s="28"/>
      <c r="Z207" s="28"/>
      <c r="AA207" s="28"/>
      <c r="AB207" s="28"/>
      <c r="AC207" s="28"/>
    </row>
    <row r="208" spans="1:29" ht="13">
      <c r="A208" s="28"/>
      <c r="B208" s="45"/>
      <c r="C208" s="45"/>
      <c r="D208" s="45"/>
      <c r="E208" s="45"/>
      <c r="F208" s="45"/>
      <c r="G208" s="45"/>
      <c r="H208" s="45"/>
      <c r="I208" s="45"/>
      <c r="J208" s="45"/>
      <c r="K208" s="45"/>
      <c r="L208" s="45"/>
      <c r="M208" s="45"/>
      <c r="N208" s="45"/>
      <c r="O208" s="47"/>
      <c r="P208" s="45"/>
      <c r="Q208" s="45"/>
      <c r="R208" s="45"/>
      <c r="S208" s="45"/>
      <c r="T208" s="45"/>
      <c r="U208" s="45"/>
      <c r="V208" s="45"/>
      <c r="W208" s="45"/>
      <c r="X208" s="28"/>
      <c r="Y208" s="28"/>
      <c r="Z208" s="28"/>
      <c r="AA208" s="28"/>
      <c r="AB208" s="28"/>
      <c r="AC208" s="28"/>
    </row>
    <row r="209" spans="1:29" ht="13">
      <c r="A209" s="28"/>
      <c r="B209" s="45"/>
      <c r="C209" s="45"/>
      <c r="D209" s="45"/>
      <c r="E209" s="45"/>
      <c r="F209" s="45"/>
      <c r="G209" s="45"/>
      <c r="H209" s="45"/>
      <c r="I209" s="45"/>
      <c r="J209" s="45"/>
      <c r="K209" s="45"/>
      <c r="L209" s="45"/>
      <c r="M209" s="45"/>
      <c r="N209" s="45"/>
      <c r="O209" s="47"/>
      <c r="P209" s="45"/>
      <c r="Q209" s="45"/>
      <c r="R209" s="45"/>
      <c r="S209" s="45"/>
      <c r="T209" s="45"/>
      <c r="U209" s="45"/>
      <c r="V209" s="45"/>
      <c r="W209" s="45"/>
      <c r="X209" s="28"/>
      <c r="Y209" s="28"/>
      <c r="Z209" s="28"/>
      <c r="AA209" s="28"/>
      <c r="AB209" s="28"/>
      <c r="AC209" s="28"/>
    </row>
    <row r="210" spans="1:29" ht="13">
      <c r="A210" s="28"/>
      <c r="B210" s="45"/>
      <c r="C210" s="45"/>
      <c r="D210" s="45"/>
      <c r="E210" s="45"/>
      <c r="F210" s="45"/>
      <c r="G210" s="45"/>
      <c r="H210" s="45"/>
      <c r="I210" s="45"/>
      <c r="J210" s="45"/>
      <c r="K210" s="45"/>
      <c r="L210" s="45"/>
      <c r="M210" s="45"/>
      <c r="N210" s="45"/>
      <c r="O210" s="47"/>
      <c r="P210" s="45"/>
      <c r="Q210" s="45"/>
      <c r="R210" s="45"/>
      <c r="S210" s="45"/>
      <c r="T210" s="45"/>
      <c r="U210" s="45"/>
      <c r="V210" s="45"/>
      <c r="W210" s="45"/>
      <c r="X210" s="28"/>
      <c r="Y210" s="28"/>
      <c r="Z210" s="28"/>
      <c r="AA210" s="28"/>
      <c r="AB210" s="28"/>
      <c r="AC210" s="28"/>
    </row>
    <row r="211" spans="1:29" ht="13">
      <c r="A211" s="28"/>
      <c r="B211" s="45"/>
      <c r="C211" s="45"/>
      <c r="D211" s="45"/>
      <c r="E211" s="45"/>
      <c r="F211" s="45"/>
      <c r="G211" s="45"/>
      <c r="H211" s="45"/>
      <c r="I211" s="45"/>
      <c r="J211" s="45"/>
      <c r="K211" s="45"/>
      <c r="L211" s="45"/>
      <c r="M211" s="45"/>
      <c r="N211" s="45"/>
      <c r="O211" s="47"/>
      <c r="P211" s="45"/>
      <c r="Q211" s="45"/>
      <c r="R211" s="45"/>
      <c r="S211" s="45"/>
      <c r="T211" s="45"/>
      <c r="U211" s="45"/>
      <c r="V211" s="45"/>
      <c r="W211" s="45"/>
      <c r="X211" s="28"/>
      <c r="Y211" s="28"/>
      <c r="Z211" s="28"/>
      <c r="AA211" s="28"/>
      <c r="AB211" s="28"/>
      <c r="AC211" s="28"/>
    </row>
    <row r="212" spans="1:29" ht="13">
      <c r="A212" s="28"/>
      <c r="B212" s="45"/>
      <c r="C212" s="45"/>
      <c r="D212" s="45"/>
      <c r="E212" s="45"/>
      <c r="F212" s="45"/>
      <c r="G212" s="45"/>
      <c r="H212" s="45"/>
      <c r="I212" s="45"/>
      <c r="J212" s="45"/>
      <c r="K212" s="45"/>
      <c r="L212" s="45"/>
      <c r="M212" s="45"/>
      <c r="N212" s="45"/>
      <c r="O212" s="47"/>
      <c r="P212" s="45"/>
      <c r="Q212" s="45"/>
      <c r="R212" s="45"/>
      <c r="S212" s="45"/>
      <c r="T212" s="45"/>
      <c r="U212" s="45"/>
      <c r="V212" s="45"/>
      <c r="W212" s="45"/>
      <c r="X212" s="28"/>
      <c r="Y212" s="28"/>
      <c r="Z212" s="28"/>
      <c r="AA212" s="28"/>
      <c r="AB212" s="28"/>
      <c r="AC212" s="28"/>
    </row>
    <row r="213" spans="1:29" ht="13">
      <c r="A213" s="28"/>
      <c r="B213" s="45"/>
      <c r="C213" s="45"/>
      <c r="D213" s="45"/>
      <c r="E213" s="45"/>
      <c r="F213" s="45"/>
      <c r="G213" s="45"/>
      <c r="H213" s="45"/>
      <c r="I213" s="45"/>
      <c r="J213" s="45"/>
      <c r="K213" s="45"/>
      <c r="L213" s="45"/>
      <c r="M213" s="45"/>
      <c r="N213" s="45"/>
      <c r="O213" s="47"/>
      <c r="P213" s="45"/>
      <c r="Q213" s="45"/>
      <c r="R213" s="45"/>
      <c r="S213" s="45"/>
      <c r="T213" s="45"/>
      <c r="U213" s="45"/>
      <c r="V213" s="45"/>
      <c r="W213" s="45"/>
      <c r="X213" s="28"/>
      <c r="Y213" s="28"/>
      <c r="Z213" s="28"/>
      <c r="AA213" s="28"/>
      <c r="AB213" s="28"/>
      <c r="AC213" s="28"/>
    </row>
    <row r="214" spans="1:29" ht="13">
      <c r="A214" s="28"/>
      <c r="B214" s="45"/>
      <c r="C214" s="45"/>
      <c r="D214" s="45"/>
      <c r="E214" s="45"/>
      <c r="F214" s="45"/>
      <c r="G214" s="45"/>
      <c r="H214" s="45"/>
      <c r="I214" s="45"/>
      <c r="J214" s="45"/>
      <c r="K214" s="45"/>
      <c r="L214" s="45"/>
      <c r="M214" s="45"/>
      <c r="N214" s="45"/>
      <c r="O214" s="47"/>
      <c r="P214" s="45"/>
      <c r="Q214" s="45"/>
      <c r="R214" s="45"/>
      <c r="S214" s="45"/>
      <c r="T214" s="45"/>
      <c r="U214" s="45"/>
      <c r="V214" s="45"/>
      <c r="W214" s="45"/>
      <c r="X214" s="28"/>
      <c r="Y214" s="28"/>
      <c r="Z214" s="28"/>
      <c r="AA214" s="28"/>
      <c r="AB214" s="28"/>
      <c r="AC214" s="28"/>
    </row>
    <row r="215" spans="1:29" ht="13">
      <c r="A215" s="28"/>
      <c r="B215" s="45"/>
      <c r="C215" s="45"/>
      <c r="D215" s="45"/>
      <c r="E215" s="45"/>
      <c r="F215" s="45"/>
      <c r="G215" s="45"/>
      <c r="H215" s="45"/>
      <c r="I215" s="45"/>
      <c r="J215" s="45"/>
      <c r="K215" s="45"/>
      <c r="L215" s="45"/>
      <c r="M215" s="45"/>
      <c r="N215" s="45"/>
      <c r="O215" s="47"/>
      <c r="P215" s="45"/>
      <c r="Q215" s="45"/>
      <c r="R215" s="45"/>
      <c r="S215" s="45"/>
      <c r="T215" s="45"/>
      <c r="U215" s="45"/>
      <c r="V215" s="45"/>
      <c r="W215" s="45"/>
      <c r="X215" s="28"/>
      <c r="Y215" s="28"/>
      <c r="Z215" s="28"/>
      <c r="AA215" s="28"/>
      <c r="AB215" s="28"/>
      <c r="AC215" s="28"/>
    </row>
    <row r="216" spans="1:29" ht="13">
      <c r="A216" s="28"/>
      <c r="B216" s="45"/>
      <c r="C216" s="45"/>
      <c r="D216" s="45"/>
      <c r="E216" s="45"/>
      <c r="F216" s="45"/>
      <c r="G216" s="45"/>
      <c r="H216" s="45"/>
      <c r="I216" s="45"/>
      <c r="J216" s="45"/>
      <c r="K216" s="45"/>
      <c r="L216" s="45"/>
      <c r="M216" s="45"/>
      <c r="N216" s="45"/>
      <c r="O216" s="47"/>
      <c r="P216" s="45"/>
      <c r="Q216" s="45"/>
      <c r="R216" s="45"/>
      <c r="S216" s="45"/>
      <c r="T216" s="45"/>
      <c r="U216" s="45"/>
      <c r="V216" s="45"/>
      <c r="W216" s="45"/>
      <c r="X216" s="28"/>
      <c r="Y216" s="28"/>
      <c r="Z216" s="28"/>
      <c r="AA216" s="28"/>
      <c r="AB216" s="28"/>
      <c r="AC216" s="28"/>
    </row>
    <row r="217" spans="1:29" ht="13">
      <c r="A217" s="28"/>
      <c r="B217" s="45"/>
      <c r="C217" s="45"/>
      <c r="D217" s="45"/>
      <c r="E217" s="45"/>
      <c r="F217" s="45"/>
      <c r="G217" s="45"/>
      <c r="H217" s="45"/>
      <c r="I217" s="45"/>
      <c r="J217" s="45"/>
      <c r="K217" s="45"/>
      <c r="L217" s="45"/>
      <c r="M217" s="45"/>
      <c r="N217" s="45"/>
      <c r="O217" s="47"/>
      <c r="P217" s="45"/>
      <c r="Q217" s="45"/>
      <c r="R217" s="45"/>
      <c r="S217" s="45"/>
      <c r="T217" s="45"/>
      <c r="U217" s="45"/>
      <c r="V217" s="45"/>
      <c r="W217" s="45"/>
      <c r="X217" s="28"/>
      <c r="Y217" s="28"/>
      <c r="Z217" s="28"/>
      <c r="AA217" s="28"/>
      <c r="AB217" s="28"/>
      <c r="AC217" s="28"/>
    </row>
    <row r="218" spans="1:29" ht="13">
      <c r="A218" s="28"/>
      <c r="B218" s="45"/>
      <c r="C218" s="45"/>
      <c r="D218" s="45"/>
      <c r="E218" s="45"/>
      <c r="F218" s="45"/>
      <c r="G218" s="45"/>
      <c r="H218" s="45"/>
      <c r="I218" s="45"/>
      <c r="J218" s="45"/>
      <c r="K218" s="45"/>
      <c r="L218" s="45"/>
      <c r="M218" s="45"/>
      <c r="N218" s="45"/>
      <c r="O218" s="47"/>
      <c r="P218" s="45"/>
      <c r="Q218" s="45"/>
      <c r="R218" s="45"/>
      <c r="S218" s="45"/>
      <c r="T218" s="45"/>
      <c r="U218" s="45"/>
      <c r="V218" s="45"/>
      <c r="W218" s="45"/>
      <c r="X218" s="28"/>
      <c r="Y218" s="28"/>
      <c r="Z218" s="28"/>
      <c r="AA218" s="28"/>
      <c r="AB218" s="28"/>
      <c r="AC218" s="28"/>
    </row>
    <row r="219" spans="1:29" ht="13">
      <c r="A219" s="28"/>
      <c r="B219" s="45"/>
      <c r="C219" s="45"/>
      <c r="D219" s="45"/>
      <c r="E219" s="45"/>
      <c r="F219" s="45"/>
      <c r="G219" s="45"/>
      <c r="H219" s="45"/>
      <c r="I219" s="45"/>
      <c r="J219" s="45"/>
      <c r="K219" s="45"/>
      <c r="L219" s="45"/>
      <c r="M219" s="45"/>
      <c r="N219" s="45"/>
      <c r="O219" s="47"/>
      <c r="P219" s="45"/>
      <c r="Q219" s="45"/>
      <c r="R219" s="45"/>
      <c r="S219" s="45"/>
      <c r="T219" s="45"/>
      <c r="U219" s="45"/>
      <c r="V219" s="45"/>
      <c r="W219" s="45"/>
      <c r="X219" s="28"/>
      <c r="Y219" s="28"/>
      <c r="Z219" s="28"/>
      <c r="AA219" s="28"/>
      <c r="AB219" s="28"/>
      <c r="AC219" s="28"/>
    </row>
    <row r="220" spans="1:29" ht="13">
      <c r="A220" s="28"/>
      <c r="B220" s="45"/>
      <c r="C220" s="45"/>
      <c r="D220" s="45"/>
      <c r="E220" s="45"/>
      <c r="F220" s="45"/>
      <c r="G220" s="45"/>
      <c r="H220" s="45"/>
      <c r="I220" s="45"/>
      <c r="J220" s="45"/>
      <c r="K220" s="45"/>
      <c r="L220" s="45"/>
      <c r="M220" s="45"/>
      <c r="N220" s="45"/>
      <c r="O220" s="47"/>
      <c r="P220" s="45"/>
      <c r="Q220" s="45"/>
      <c r="R220" s="45"/>
      <c r="S220" s="45"/>
      <c r="T220" s="45"/>
      <c r="U220" s="45"/>
      <c r="V220" s="45"/>
      <c r="W220" s="45"/>
      <c r="X220" s="28"/>
      <c r="Y220" s="28"/>
      <c r="Z220" s="28"/>
      <c r="AA220" s="28"/>
      <c r="AB220" s="28"/>
      <c r="AC220" s="28"/>
    </row>
    <row r="221" spans="1:29" ht="13">
      <c r="A221" s="28"/>
      <c r="B221" s="45"/>
      <c r="C221" s="45"/>
      <c r="D221" s="45"/>
      <c r="E221" s="45"/>
      <c r="F221" s="45"/>
      <c r="G221" s="45"/>
      <c r="H221" s="45"/>
      <c r="I221" s="45"/>
      <c r="J221" s="45"/>
      <c r="K221" s="45"/>
      <c r="L221" s="45"/>
      <c r="M221" s="45"/>
      <c r="N221" s="45"/>
      <c r="O221" s="47"/>
      <c r="P221" s="45"/>
      <c r="Q221" s="45"/>
      <c r="R221" s="45"/>
      <c r="S221" s="45"/>
      <c r="T221" s="45"/>
      <c r="U221" s="45"/>
      <c r="V221" s="45"/>
      <c r="W221" s="45"/>
      <c r="X221" s="28"/>
      <c r="Y221" s="28"/>
      <c r="Z221" s="28"/>
      <c r="AA221" s="28"/>
      <c r="AB221" s="28"/>
      <c r="AC221" s="28"/>
    </row>
    <row r="222" spans="1:29" ht="13">
      <c r="A222" s="28"/>
      <c r="B222" s="45"/>
      <c r="C222" s="45"/>
      <c r="D222" s="45"/>
      <c r="E222" s="45"/>
      <c r="F222" s="45"/>
      <c r="G222" s="45"/>
      <c r="H222" s="45"/>
      <c r="I222" s="45"/>
      <c r="J222" s="45"/>
      <c r="K222" s="45"/>
      <c r="L222" s="45"/>
      <c r="M222" s="45"/>
      <c r="N222" s="45"/>
      <c r="O222" s="47"/>
      <c r="P222" s="45"/>
      <c r="Q222" s="45"/>
      <c r="R222" s="45"/>
      <c r="S222" s="45"/>
      <c r="T222" s="45"/>
      <c r="U222" s="45"/>
      <c r="V222" s="45"/>
      <c r="W222" s="45"/>
      <c r="X222" s="28"/>
      <c r="Y222" s="28"/>
      <c r="Z222" s="28"/>
      <c r="AA222" s="28"/>
      <c r="AB222" s="28"/>
      <c r="AC222" s="28"/>
    </row>
    <row r="223" spans="1:29" ht="13">
      <c r="A223" s="28"/>
      <c r="B223" s="45"/>
      <c r="C223" s="45"/>
      <c r="D223" s="45"/>
      <c r="E223" s="45"/>
      <c r="F223" s="45"/>
      <c r="G223" s="45"/>
      <c r="H223" s="45"/>
      <c r="I223" s="45"/>
      <c r="J223" s="45"/>
      <c r="K223" s="45"/>
      <c r="L223" s="45"/>
      <c r="M223" s="45"/>
      <c r="N223" s="45"/>
      <c r="O223" s="47"/>
      <c r="P223" s="45"/>
      <c r="Q223" s="45"/>
      <c r="R223" s="45"/>
      <c r="S223" s="45"/>
      <c r="T223" s="45"/>
      <c r="U223" s="45"/>
      <c r="V223" s="45"/>
      <c r="W223" s="45"/>
      <c r="X223" s="28"/>
      <c r="Y223" s="28"/>
      <c r="Z223" s="28"/>
      <c r="AA223" s="28"/>
      <c r="AB223" s="28"/>
      <c r="AC223" s="28"/>
    </row>
    <row r="224" spans="1:29" ht="13">
      <c r="A224" s="28"/>
      <c r="B224" s="45"/>
      <c r="C224" s="45"/>
      <c r="D224" s="45"/>
      <c r="E224" s="45"/>
      <c r="F224" s="45"/>
      <c r="G224" s="45"/>
      <c r="H224" s="45"/>
      <c r="I224" s="45"/>
      <c r="J224" s="45"/>
      <c r="K224" s="45"/>
      <c r="L224" s="45"/>
      <c r="M224" s="45"/>
      <c r="N224" s="45"/>
      <c r="O224" s="47"/>
      <c r="P224" s="45"/>
      <c r="Q224" s="45"/>
      <c r="R224" s="45"/>
      <c r="S224" s="45"/>
      <c r="T224" s="45"/>
      <c r="U224" s="45"/>
      <c r="V224" s="45"/>
      <c r="W224" s="45"/>
      <c r="X224" s="28"/>
      <c r="Y224" s="28"/>
      <c r="Z224" s="28"/>
      <c r="AA224" s="28"/>
      <c r="AB224" s="28"/>
      <c r="AC224" s="28"/>
    </row>
    <row r="225" spans="1:29" ht="13">
      <c r="A225" s="28"/>
      <c r="B225" s="45"/>
      <c r="C225" s="45"/>
      <c r="D225" s="45"/>
      <c r="E225" s="45"/>
      <c r="F225" s="45"/>
      <c r="G225" s="45"/>
      <c r="H225" s="45"/>
      <c r="I225" s="45"/>
      <c r="J225" s="45"/>
      <c r="K225" s="45"/>
      <c r="L225" s="45"/>
      <c r="M225" s="45"/>
      <c r="N225" s="45"/>
      <c r="O225" s="47"/>
      <c r="P225" s="45"/>
      <c r="Q225" s="45"/>
      <c r="R225" s="45"/>
      <c r="S225" s="45"/>
      <c r="T225" s="45"/>
      <c r="U225" s="45"/>
      <c r="V225" s="45"/>
      <c r="W225" s="45"/>
      <c r="X225" s="28"/>
      <c r="Y225" s="28"/>
      <c r="Z225" s="28"/>
      <c r="AA225" s="28"/>
      <c r="AB225" s="28"/>
      <c r="AC225" s="28"/>
    </row>
    <row r="226" spans="1:29" ht="13">
      <c r="A226" s="28"/>
      <c r="B226" s="45"/>
      <c r="C226" s="45"/>
      <c r="D226" s="45"/>
      <c r="E226" s="45"/>
      <c r="F226" s="45"/>
      <c r="G226" s="45"/>
      <c r="H226" s="45"/>
      <c r="I226" s="45"/>
      <c r="J226" s="45"/>
      <c r="K226" s="45"/>
      <c r="L226" s="45"/>
      <c r="M226" s="45"/>
      <c r="N226" s="45"/>
      <c r="O226" s="47"/>
      <c r="P226" s="45"/>
      <c r="Q226" s="45"/>
      <c r="R226" s="45"/>
      <c r="S226" s="45"/>
      <c r="T226" s="45"/>
      <c r="U226" s="45"/>
      <c r="V226" s="45"/>
      <c r="W226" s="45"/>
      <c r="X226" s="28"/>
      <c r="Y226" s="28"/>
      <c r="Z226" s="28"/>
      <c r="AA226" s="28"/>
      <c r="AB226" s="28"/>
      <c r="AC226" s="28"/>
    </row>
    <row r="227" spans="1:29" ht="13">
      <c r="A227" s="28"/>
      <c r="B227" s="45"/>
      <c r="C227" s="45"/>
      <c r="D227" s="45"/>
      <c r="E227" s="45"/>
      <c r="F227" s="45"/>
      <c r="G227" s="45"/>
      <c r="H227" s="45"/>
      <c r="I227" s="45"/>
      <c r="J227" s="45"/>
      <c r="K227" s="45"/>
      <c r="L227" s="45"/>
      <c r="M227" s="45"/>
      <c r="N227" s="45"/>
      <c r="O227" s="47"/>
      <c r="P227" s="45"/>
      <c r="Q227" s="45"/>
      <c r="R227" s="45"/>
      <c r="S227" s="45"/>
      <c r="T227" s="45"/>
      <c r="U227" s="45"/>
      <c r="V227" s="45"/>
      <c r="W227" s="45"/>
      <c r="X227" s="28"/>
      <c r="Y227" s="28"/>
      <c r="Z227" s="28"/>
      <c r="AA227" s="28"/>
      <c r="AB227" s="28"/>
      <c r="AC227" s="28"/>
    </row>
    <row r="228" spans="1:29" ht="13">
      <c r="A228" s="28"/>
      <c r="B228" s="45"/>
      <c r="C228" s="45"/>
      <c r="D228" s="45"/>
      <c r="E228" s="45"/>
      <c r="F228" s="45"/>
      <c r="G228" s="45"/>
      <c r="H228" s="45"/>
      <c r="I228" s="45"/>
      <c r="J228" s="45"/>
      <c r="K228" s="45"/>
      <c r="L228" s="45"/>
      <c r="M228" s="45"/>
      <c r="N228" s="45"/>
      <c r="O228" s="47"/>
      <c r="P228" s="45"/>
      <c r="Q228" s="45"/>
      <c r="R228" s="45"/>
      <c r="S228" s="45"/>
      <c r="T228" s="45"/>
      <c r="U228" s="45"/>
      <c r="V228" s="45"/>
      <c r="W228" s="45"/>
      <c r="X228" s="28"/>
      <c r="Y228" s="28"/>
      <c r="Z228" s="28"/>
      <c r="AA228" s="28"/>
      <c r="AB228" s="28"/>
      <c r="AC228" s="28"/>
    </row>
    <row r="229" spans="1:29" ht="13">
      <c r="A229" s="28"/>
      <c r="B229" s="45"/>
      <c r="C229" s="45"/>
      <c r="D229" s="45"/>
      <c r="E229" s="45"/>
      <c r="F229" s="45"/>
      <c r="G229" s="45"/>
      <c r="H229" s="45"/>
      <c r="I229" s="45"/>
      <c r="J229" s="45"/>
      <c r="K229" s="45"/>
      <c r="L229" s="45"/>
      <c r="M229" s="45"/>
      <c r="N229" s="45"/>
      <c r="O229" s="47"/>
      <c r="P229" s="45"/>
      <c r="Q229" s="45"/>
      <c r="R229" s="45"/>
      <c r="S229" s="45"/>
      <c r="T229" s="45"/>
      <c r="U229" s="45"/>
      <c r="V229" s="45"/>
      <c r="W229" s="45"/>
      <c r="X229" s="28"/>
      <c r="Y229" s="28"/>
      <c r="Z229" s="28"/>
      <c r="AA229" s="28"/>
      <c r="AB229" s="28"/>
      <c r="AC229" s="28"/>
    </row>
    <row r="230" spans="1:29" ht="13">
      <c r="A230" s="28"/>
      <c r="B230" s="45"/>
      <c r="C230" s="45"/>
      <c r="D230" s="45"/>
      <c r="E230" s="45"/>
      <c r="F230" s="45"/>
      <c r="G230" s="45"/>
      <c r="H230" s="45"/>
      <c r="I230" s="45"/>
      <c r="J230" s="45"/>
      <c r="K230" s="45"/>
      <c r="L230" s="45"/>
      <c r="M230" s="45"/>
      <c r="N230" s="45"/>
      <c r="O230" s="47"/>
      <c r="P230" s="45"/>
      <c r="Q230" s="45"/>
      <c r="R230" s="45"/>
      <c r="S230" s="45"/>
      <c r="T230" s="45"/>
      <c r="U230" s="45"/>
      <c r="V230" s="45"/>
      <c r="W230" s="45"/>
      <c r="X230" s="28"/>
      <c r="Y230" s="28"/>
      <c r="Z230" s="28"/>
      <c r="AA230" s="28"/>
      <c r="AB230" s="28"/>
      <c r="AC230" s="28"/>
    </row>
    <row r="231" spans="1:29" ht="13">
      <c r="A231" s="28"/>
      <c r="B231" s="45"/>
      <c r="C231" s="45"/>
      <c r="D231" s="45"/>
      <c r="E231" s="45"/>
      <c r="F231" s="45"/>
      <c r="G231" s="45"/>
      <c r="H231" s="45"/>
      <c r="I231" s="45"/>
      <c r="J231" s="45"/>
      <c r="K231" s="45"/>
      <c r="L231" s="45"/>
      <c r="M231" s="45"/>
      <c r="N231" s="45"/>
      <c r="O231" s="47"/>
      <c r="P231" s="45"/>
      <c r="Q231" s="45"/>
      <c r="R231" s="45"/>
      <c r="S231" s="45"/>
      <c r="T231" s="45"/>
      <c r="U231" s="45"/>
      <c r="V231" s="45"/>
      <c r="W231" s="45"/>
      <c r="X231" s="28"/>
      <c r="Y231" s="28"/>
      <c r="Z231" s="28"/>
      <c r="AA231" s="28"/>
      <c r="AB231" s="28"/>
      <c r="AC231" s="28"/>
    </row>
    <row r="232" spans="1:29" ht="13">
      <c r="A232" s="28"/>
      <c r="B232" s="45"/>
      <c r="C232" s="45"/>
      <c r="D232" s="45"/>
      <c r="E232" s="45"/>
      <c r="F232" s="45"/>
      <c r="G232" s="45"/>
      <c r="H232" s="45"/>
      <c r="I232" s="45"/>
      <c r="J232" s="45"/>
      <c r="K232" s="45"/>
      <c r="L232" s="45"/>
      <c r="M232" s="45"/>
      <c r="N232" s="45"/>
      <c r="O232" s="47"/>
      <c r="P232" s="45"/>
      <c r="Q232" s="45"/>
      <c r="R232" s="45"/>
      <c r="S232" s="45"/>
      <c r="T232" s="45"/>
      <c r="U232" s="45"/>
      <c r="V232" s="45"/>
      <c r="W232" s="45"/>
      <c r="X232" s="28"/>
      <c r="Y232" s="28"/>
      <c r="Z232" s="28"/>
      <c r="AA232" s="28"/>
      <c r="AB232" s="28"/>
      <c r="AC232" s="28"/>
    </row>
    <row r="233" spans="1:29" ht="13">
      <c r="A233" s="28"/>
      <c r="B233" s="45"/>
      <c r="C233" s="45"/>
      <c r="D233" s="45"/>
      <c r="E233" s="45"/>
      <c r="F233" s="45"/>
      <c r="G233" s="45"/>
      <c r="H233" s="45"/>
      <c r="I233" s="45"/>
      <c r="J233" s="45"/>
      <c r="K233" s="45"/>
      <c r="L233" s="45"/>
      <c r="M233" s="45"/>
      <c r="N233" s="45"/>
      <c r="O233" s="47"/>
      <c r="P233" s="45"/>
      <c r="Q233" s="45"/>
      <c r="R233" s="45"/>
      <c r="S233" s="45"/>
      <c r="T233" s="45"/>
      <c r="U233" s="45"/>
      <c r="V233" s="45"/>
      <c r="W233" s="45"/>
      <c r="X233" s="28"/>
      <c r="Y233" s="28"/>
      <c r="Z233" s="28"/>
      <c r="AA233" s="28"/>
      <c r="AB233" s="28"/>
      <c r="AC233" s="28"/>
    </row>
    <row r="234" spans="1:29" ht="13">
      <c r="A234" s="28"/>
      <c r="B234" s="45"/>
      <c r="C234" s="45"/>
      <c r="D234" s="45"/>
      <c r="E234" s="45"/>
      <c r="F234" s="45"/>
      <c r="G234" s="45"/>
      <c r="H234" s="45"/>
      <c r="I234" s="45"/>
      <c r="J234" s="45"/>
      <c r="K234" s="45"/>
      <c r="L234" s="45"/>
      <c r="M234" s="45"/>
      <c r="N234" s="45"/>
      <c r="O234" s="47"/>
      <c r="P234" s="45"/>
      <c r="Q234" s="45"/>
      <c r="R234" s="45"/>
      <c r="S234" s="45"/>
      <c r="T234" s="45"/>
      <c r="U234" s="45"/>
      <c r="V234" s="45"/>
      <c r="W234" s="45"/>
      <c r="X234" s="28"/>
      <c r="Y234" s="28"/>
      <c r="Z234" s="28"/>
      <c r="AA234" s="28"/>
      <c r="AB234" s="28"/>
      <c r="AC234" s="28"/>
    </row>
    <row r="235" spans="1:29" ht="13">
      <c r="A235" s="28"/>
      <c r="B235" s="45"/>
      <c r="C235" s="45"/>
      <c r="D235" s="45"/>
      <c r="E235" s="45"/>
      <c r="F235" s="45"/>
      <c r="G235" s="45"/>
      <c r="H235" s="45"/>
      <c r="I235" s="45"/>
      <c r="J235" s="45"/>
      <c r="K235" s="45"/>
      <c r="L235" s="45"/>
      <c r="M235" s="45"/>
      <c r="N235" s="45"/>
      <c r="O235" s="47"/>
      <c r="P235" s="45"/>
      <c r="Q235" s="45"/>
      <c r="R235" s="45"/>
      <c r="S235" s="45"/>
      <c r="T235" s="45"/>
      <c r="U235" s="45"/>
      <c r="V235" s="45"/>
      <c r="W235" s="45"/>
      <c r="X235" s="28"/>
      <c r="Y235" s="28"/>
      <c r="Z235" s="28"/>
      <c r="AA235" s="28"/>
      <c r="AB235" s="28"/>
      <c r="AC235" s="28"/>
    </row>
    <row r="236" spans="1:29" ht="13">
      <c r="A236" s="28"/>
      <c r="B236" s="45"/>
      <c r="C236" s="45"/>
      <c r="D236" s="45"/>
      <c r="E236" s="45"/>
      <c r="F236" s="45"/>
      <c r="G236" s="45"/>
      <c r="H236" s="45"/>
      <c r="I236" s="45"/>
      <c r="J236" s="45"/>
      <c r="K236" s="45"/>
      <c r="L236" s="45"/>
      <c r="M236" s="45"/>
      <c r="N236" s="45"/>
      <c r="O236" s="47"/>
      <c r="P236" s="45"/>
      <c r="Q236" s="45"/>
      <c r="R236" s="45"/>
      <c r="S236" s="45"/>
      <c r="T236" s="45"/>
      <c r="U236" s="45"/>
      <c r="V236" s="45"/>
      <c r="W236" s="45"/>
      <c r="X236" s="28"/>
      <c r="Y236" s="28"/>
      <c r="Z236" s="28"/>
      <c r="AA236" s="28"/>
      <c r="AB236" s="28"/>
      <c r="AC236" s="28"/>
    </row>
    <row r="237" spans="1:29" ht="13">
      <c r="A237" s="28"/>
      <c r="B237" s="45"/>
      <c r="C237" s="45"/>
      <c r="D237" s="45"/>
      <c r="E237" s="45"/>
      <c r="F237" s="45"/>
      <c r="G237" s="45"/>
      <c r="H237" s="45"/>
      <c r="I237" s="45"/>
      <c r="J237" s="45"/>
      <c r="K237" s="45"/>
      <c r="L237" s="45"/>
      <c r="M237" s="45"/>
      <c r="N237" s="45"/>
      <c r="O237" s="47"/>
      <c r="P237" s="45"/>
      <c r="Q237" s="45"/>
      <c r="R237" s="45"/>
      <c r="S237" s="45"/>
      <c r="T237" s="45"/>
      <c r="U237" s="45"/>
      <c r="V237" s="45"/>
      <c r="W237" s="45"/>
      <c r="X237" s="28"/>
      <c r="Y237" s="28"/>
      <c r="Z237" s="28"/>
      <c r="AA237" s="28"/>
      <c r="AB237" s="28"/>
      <c r="AC237" s="28"/>
    </row>
    <row r="238" spans="1:29" ht="13">
      <c r="A238" s="28"/>
      <c r="B238" s="45"/>
      <c r="C238" s="45"/>
      <c r="D238" s="45"/>
      <c r="E238" s="45"/>
      <c r="F238" s="45"/>
      <c r="G238" s="45"/>
      <c r="H238" s="45"/>
      <c r="I238" s="45"/>
      <c r="J238" s="45"/>
      <c r="K238" s="45"/>
      <c r="L238" s="45"/>
      <c r="M238" s="45"/>
      <c r="N238" s="45"/>
      <c r="O238" s="47"/>
      <c r="P238" s="45"/>
      <c r="Q238" s="45"/>
      <c r="R238" s="45"/>
      <c r="S238" s="45"/>
      <c r="T238" s="45"/>
      <c r="U238" s="45"/>
      <c r="V238" s="45"/>
      <c r="W238" s="45"/>
      <c r="X238" s="28"/>
      <c r="Y238" s="28"/>
      <c r="Z238" s="28"/>
      <c r="AA238" s="28"/>
      <c r="AB238" s="28"/>
      <c r="AC238" s="28"/>
    </row>
    <row r="239" spans="1:29" ht="13">
      <c r="A239" s="28"/>
      <c r="B239" s="45"/>
      <c r="C239" s="45"/>
      <c r="D239" s="45"/>
      <c r="E239" s="45"/>
      <c r="F239" s="45"/>
      <c r="G239" s="45"/>
      <c r="H239" s="45"/>
      <c r="I239" s="45"/>
      <c r="J239" s="45"/>
      <c r="K239" s="45"/>
      <c r="L239" s="45"/>
      <c r="M239" s="45"/>
      <c r="N239" s="45"/>
      <c r="O239" s="47"/>
      <c r="P239" s="45"/>
      <c r="Q239" s="45"/>
      <c r="R239" s="45"/>
      <c r="S239" s="45"/>
      <c r="T239" s="45"/>
      <c r="U239" s="45"/>
      <c r="V239" s="45"/>
      <c r="W239" s="45"/>
      <c r="X239" s="28"/>
      <c r="Y239" s="28"/>
      <c r="Z239" s="28"/>
      <c r="AA239" s="28"/>
      <c r="AB239" s="28"/>
      <c r="AC239" s="28"/>
    </row>
    <row r="240" spans="1:29" ht="13">
      <c r="A240" s="28"/>
      <c r="B240" s="45"/>
      <c r="C240" s="45"/>
      <c r="D240" s="45"/>
      <c r="E240" s="45"/>
      <c r="F240" s="45"/>
      <c r="G240" s="45"/>
      <c r="H240" s="45"/>
      <c r="I240" s="45"/>
      <c r="J240" s="45"/>
      <c r="K240" s="45"/>
      <c r="L240" s="45"/>
      <c r="M240" s="45"/>
      <c r="N240" s="45"/>
      <c r="O240" s="47"/>
      <c r="P240" s="45"/>
      <c r="Q240" s="45"/>
      <c r="R240" s="45"/>
      <c r="S240" s="45"/>
      <c r="T240" s="45"/>
      <c r="U240" s="45"/>
      <c r="V240" s="45"/>
      <c r="W240" s="45"/>
      <c r="X240" s="28"/>
      <c r="Y240" s="28"/>
      <c r="Z240" s="28"/>
      <c r="AA240" s="28"/>
      <c r="AB240" s="28"/>
      <c r="AC240" s="28"/>
    </row>
    <row r="241" spans="1:29" ht="13">
      <c r="A241" s="28"/>
      <c r="B241" s="45"/>
      <c r="C241" s="45"/>
      <c r="D241" s="45"/>
      <c r="E241" s="45"/>
      <c r="F241" s="45"/>
      <c r="G241" s="45"/>
      <c r="H241" s="45"/>
      <c r="I241" s="45"/>
      <c r="J241" s="45"/>
      <c r="K241" s="45"/>
      <c r="L241" s="45"/>
      <c r="M241" s="45"/>
      <c r="N241" s="45"/>
      <c r="O241" s="47"/>
      <c r="P241" s="45"/>
      <c r="Q241" s="45"/>
      <c r="R241" s="45"/>
      <c r="S241" s="45"/>
      <c r="T241" s="45"/>
      <c r="U241" s="45"/>
      <c r="V241" s="45"/>
      <c r="W241" s="45"/>
      <c r="X241" s="28"/>
      <c r="Y241" s="28"/>
      <c r="Z241" s="28"/>
      <c r="AA241" s="28"/>
      <c r="AB241" s="28"/>
      <c r="AC241" s="28"/>
    </row>
    <row r="242" spans="1:29" ht="13">
      <c r="A242" s="28"/>
      <c r="B242" s="45"/>
      <c r="C242" s="45"/>
      <c r="D242" s="45"/>
      <c r="E242" s="45"/>
      <c r="F242" s="45"/>
      <c r="G242" s="45"/>
      <c r="H242" s="45"/>
      <c r="I242" s="45"/>
      <c r="J242" s="45"/>
      <c r="K242" s="45"/>
      <c r="L242" s="45"/>
      <c r="M242" s="45"/>
      <c r="N242" s="45"/>
      <c r="O242" s="47"/>
      <c r="P242" s="45"/>
      <c r="Q242" s="45"/>
      <c r="R242" s="45"/>
      <c r="S242" s="45"/>
      <c r="T242" s="45"/>
      <c r="U242" s="45"/>
      <c r="V242" s="45"/>
      <c r="W242" s="45"/>
      <c r="X242" s="28"/>
      <c r="Y242" s="28"/>
      <c r="Z242" s="28"/>
      <c r="AA242" s="28"/>
      <c r="AB242" s="28"/>
      <c r="AC242" s="28"/>
    </row>
    <row r="243" spans="1:29" ht="13">
      <c r="A243" s="28"/>
      <c r="B243" s="45"/>
      <c r="C243" s="45"/>
      <c r="D243" s="45"/>
      <c r="E243" s="45"/>
      <c r="F243" s="45"/>
      <c r="G243" s="45"/>
      <c r="H243" s="45"/>
      <c r="I243" s="45"/>
      <c r="J243" s="45"/>
      <c r="K243" s="45"/>
      <c r="L243" s="45"/>
      <c r="M243" s="45"/>
      <c r="N243" s="45"/>
      <c r="O243" s="47"/>
      <c r="P243" s="45"/>
      <c r="Q243" s="45"/>
      <c r="R243" s="45"/>
      <c r="S243" s="45"/>
      <c r="T243" s="45"/>
      <c r="U243" s="45"/>
      <c r="V243" s="45"/>
      <c r="W243" s="45"/>
      <c r="X243" s="28"/>
      <c r="Y243" s="28"/>
      <c r="Z243" s="28"/>
      <c r="AA243" s="28"/>
      <c r="AB243" s="28"/>
      <c r="AC243" s="28"/>
    </row>
    <row r="244" spans="1:29" ht="13">
      <c r="A244" s="28"/>
      <c r="B244" s="45"/>
      <c r="C244" s="45"/>
      <c r="D244" s="45"/>
      <c r="E244" s="45"/>
      <c r="F244" s="45"/>
      <c r="G244" s="45"/>
      <c r="H244" s="45"/>
      <c r="I244" s="45"/>
      <c r="J244" s="45"/>
      <c r="K244" s="45"/>
      <c r="L244" s="45"/>
      <c r="M244" s="45"/>
      <c r="N244" s="45"/>
      <c r="O244" s="47"/>
      <c r="P244" s="45"/>
      <c r="Q244" s="45"/>
      <c r="R244" s="45"/>
      <c r="S244" s="45"/>
      <c r="T244" s="45"/>
      <c r="U244" s="45"/>
      <c r="V244" s="45"/>
      <c r="W244" s="45"/>
      <c r="X244" s="28"/>
      <c r="Y244" s="28"/>
      <c r="Z244" s="28"/>
      <c r="AA244" s="28"/>
      <c r="AB244" s="28"/>
      <c r="AC244" s="28"/>
    </row>
    <row r="245" spans="1:29" ht="13">
      <c r="A245" s="28"/>
      <c r="B245" s="45"/>
      <c r="C245" s="45"/>
      <c r="D245" s="45"/>
      <c r="E245" s="45"/>
      <c r="F245" s="45"/>
      <c r="G245" s="45"/>
      <c r="H245" s="45"/>
      <c r="I245" s="45"/>
      <c r="J245" s="45"/>
      <c r="K245" s="45"/>
      <c r="L245" s="45"/>
      <c r="M245" s="45"/>
      <c r="N245" s="45"/>
      <c r="O245" s="47"/>
      <c r="P245" s="45"/>
      <c r="Q245" s="45"/>
      <c r="R245" s="45"/>
      <c r="S245" s="45"/>
      <c r="T245" s="45"/>
      <c r="U245" s="45"/>
      <c r="V245" s="45"/>
      <c r="W245" s="45"/>
      <c r="X245" s="28"/>
      <c r="Y245" s="28"/>
      <c r="Z245" s="28"/>
      <c r="AA245" s="28"/>
      <c r="AB245" s="28"/>
      <c r="AC245" s="28"/>
    </row>
    <row r="246" spans="1:29" ht="13">
      <c r="A246" s="28"/>
      <c r="B246" s="45"/>
      <c r="C246" s="45"/>
      <c r="D246" s="45"/>
      <c r="E246" s="45"/>
      <c r="F246" s="45"/>
      <c r="G246" s="45"/>
      <c r="H246" s="45"/>
      <c r="I246" s="45"/>
      <c r="J246" s="45"/>
      <c r="K246" s="45"/>
      <c r="L246" s="45"/>
      <c r="M246" s="45"/>
      <c r="N246" s="45"/>
      <c r="O246" s="47"/>
      <c r="P246" s="45"/>
      <c r="Q246" s="45"/>
      <c r="R246" s="45"/>
      <c r="S246" s="45"/>
      <c r="T246" s="45"/>
      <c r="U246" s="45"/>
      <c r="V246" s="45"/>
      <c r="W246" s="45"/>
      <c r="X246" s="28"/>
      <c r="Y246" s="28"/>
      <c r="Z246" s="28"/>
      <c r="AA246" s="28"/>
      <c r="AB246" s="28"/>
      <c r="AC246" s="28"/>
    </row>
    <row r="247" spans="1:29" ht="13">
      <c r="A247" s="28"/>
      <c r="B247" s="45"/>
      <c r="C247" s="45"/>
      <c r="D247" s="45"/>
      <c r="E247" s="45"/>
      <c r="F247" s="45"/>
      <c r="G247" s="45"/>
      <c r="H247" s="45"/>
      <c r="I247" s="45"/>
      <c r="J247" s="45"/>
      <c r="K247" s="45"/>
      <c r="L247" s="45"/>
      <c r="M247" s="45"/>
      <c r="N247" s="45"/>
      <c r="O247" s="47"/>
      <c r="P247" s="45"/>
      <c r="Q247" s="45"/>
      <c r="R247" s="45"/>
      <c r="S247" s="45"/>
      <c r="T247" s="45"/>
      <c r="U247" s="45"/>
      <c r="V247" s="45"/>
      <c r="W247" s="45"/>
      <c r="X247" s="28"/>
      <c r="Y247" s="28"/>
      <c r="Z247" s="28"/>
      <c r="AA247" s="28"/>
      <c r="AB247" s="28"/>
      <c r="AC247" s="28"/>
    </row>
    <row r="248" spans="1:29" ht="13">
      <c r="A248" s="28"/>
      <c r="B248" s="45"/>
      <c r="C248" s="45"/>
      <c r="D248" s="45"/>
      <c r="E248" s="45"/>
      <c r="F248" s="45"/>
      <c r="G248" s="45"/>
      <c r="H248" s="45"/>
      <c r="I248" s="45"/>
      <c r="J248" s="45"/>
      <c r="K248" s="45"/>
      <c r="L248" s="45"/>
      <c r="M248" s="45"/>
      <c r="N248" s="45"/>
      <c r="O248" s="47"/>
      <c r="P248" s="45"/>
      <c r="Q248" s="45"/>
      <c r="R248" s="45"/>
      <c r="S248" s="45"/>
      <c r="T248" s="45"/>
      <c r="U248" s="45"/>
      <c r="V248" s="45"/>
      <c r="W248" s="45"/>
      <c r="X248" s="28"/>
      <c r="Y248" s="28"/>
      <c r="Z248" s="28"/>
      <c r="AA248" s="28"/>
      <c r="AB248" s="28"/>
      <c r="AC248" s="28"/>
    </row>
    <row r="249" spans="1:29" ht="13">
      <c r="A249" s="28"/>
      <c r="B249" s="45"/>
      <c r="C249" s="45"/>
      <c r="D249" s="45"/>
      <c r="E249" s="45"/>
      <c r="F249" s="45"/>
      <c r="G249" s="45"/>
      <c r="H249" s="45"/>
      <c r="I249" s="45"/>
      <c r="J249" s="45"/>
      <c r="K249" s="45"/>
      <c r="L249" s="45"/>
      <c r="M249" s="45"/>
      <c r="N249" s="45"/>
      <c r="O249" s="47"/>
      <c r="P249" s="45"/>
      <c r="Q249" s="45"/>
      <c r="R249" s="45"/>
      <c r="S249" s="45"/>
      <c r="T249" s="45"/>
      <c r="U249" s="45"/>
      <c r="V249" s="45"/>
      <c r="W249" s="45"/>
      <c r="X249" s="28"/>
      <c r="Y249" s="28"/>
      <c r="Z249" s="28"/>
      <c r="AA249" s="28"/>
      <c r="AB249" s="28"/>
      <c r="AC249" s="28"/>
    </row>
    <row r="250" spans="1:29" ht="13">
      <c r="A250" s="28"/>
      <c r="B250" s="45"/>
      <c r="C250" s="45"/>
      <c r="D250" s="45"/>
      <c r="E250" s="45"/>
      <c r="F250" s="45"/>
      <c r="G250" s="45"/>
      <c r="H250" s="45"/>
      <c r="I250" s="45"/>
      <c r="J250" s="45"/>
      <c r="K250" s="45"/>
      <c r="L250" s="45"/>
      <c r="M250" s="45"/>
      <c r="N250" s="45"/>
      <c r="O250" s="47"/>
      <c r="P250" s="45"/>
      <c r="Q250" s="45"/>
      <c r="R250" s="45"/>
      <c r="S250" s="45"/>
      <c r="T250" s="45"/>
      <c r="U250" s="45"/>
      <c r="V250" s="45"/>
      <c r="W250" s="45"/>
      <c r="X250" s="28"/>
      <c r="Y250" s="28"/>
      <c r="Z250" s="28"/>
      <c r="AA250" s="28"/>
      <c r="AB250" s="28"/>
      <c r="AC250" s="28"/>
    </row>
    <row r="251" spans="1:29" ht="13">
      <c r="A251" s="28"/>
      <c r="B251" s="45"/>
      <c r="C251" s="45"/>
      <c r="D251" s="45"/>
      <c r="E251" s="45"/>
      <c r="F251" s="45"/>
      <c r="G251" s="45"/>
      <c r="H251" s="45"/>
      <c r="I251" s="45"/>
      <c r="J251" s="45"/>
      <c r="K251" s="45"/>
      <c r="L251" s="45"/>
      <c r="M251" s="45"/>
      <c r="N251" s="45"/>
      <c r="O251" s="47"/>
      <c r="P251" s="45"/>
      <c r="Q251" s="45"/>
      <c r="R251" s="45"/>
      <c r="S251" s="45"/>
      <c r="T251" s="45"/>
      <c r="U251" s="45"/>
      <c r="V251" s="45"/>
      <c r="W251" s="45"/>
      <c r="X251" s="28"/>
      <c r="Y251" s="28"/>
      <c r="Z251" s="28"/>
      <c r="AA251" s="28"/>
      <c r="AB251" s="28"/>
      <c r="AC251" s="28"/>
    </row>
    <row r="252" spans="1:29" ht="13">
      <c r="A252" s="28"/>
      <c r="B252" s="45"/>
      <c r="C252" s="45"/>
      <c r="D252" s="45"/>
      <c r="E252" s="45"/>
      <c r="F252" s="45"/>
      <c r="G252" s="45"/>
      <c r="H252" s="45"/>
      <c r="I252" s="45"/>
      <c r="J252" s="45"/>
      <c r="K252" s="45"/>
      <c r="L252" s="45"/>
      <c r="M252" s="45"/>
      <c r="N252" s="45"/>
      <c r="O252" s="47"/>
      <c r="P252" s="45"/>
      <c r="Q252" s="45"/>
      <c r="R252" s="45"/>
      <c r="S252" s="45"/>
      <c r="T252" s="45"/>
      <c r="U252" s="45"/>
      <c r="V252" s="45"/>
      <c r="W252" s="45"/>
      <c r="X252" s="28"/>
      <c r="Y252" s="28"/>
      <c r="Z252" s="28"/>
      <c r="AA252" s="28"/>
      <c r="AB252" s="28"/>
      <c r="AC252" s="28"/>
    </row>
    <row r="253" spans="1:29" ht="13">
      <c r="A253" s="28"/>
      <c r="B253" s="45"/>
      <c r="C253" s="45"/>
      <c r="D253" s="45"/>
      <c r="E253" s="45"/>
      <c r="F253" s="45"/>
      <c r="G253" s="45"/>
      <c r="H253" s="45"/>
      <c r="I253" s="45"/>
      <c r="J253" s="45"/>
      <c r="K253" s="45"/>
      <c r="L253" s="45"/>
      <c r="M253" s="45"/>
      <c r="N253" s="45"/>
      <c r="O253" s="47"/>
      <c r="P253" s="45"/>
      <c r="Q253" s="45"/>
      <c r="R253" s="45"/>
      <c r="S253" s="45"/>
      <c r="T253" s="45"/>
      <c r="U253" s="45"/>
      <c r="V253" s="45"/>
      <c r="W253" s="45"/>
      <c r="X253" s="28"/>
      <c r="Y253" s="28"/>
      <c r="Z253" s="28"/>
      <c r="AA253" s="28"/>
      <c r="AB253" s="28"/>
      <c r="AC253" s="28"/>
    </row>
    <row r="254" spans="1:29" ht="13">
      <c r="A254" s="28"/>
      <c r="B254" s="45"/>
      <c r="C254" s="45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7"/>
      <c r="P254" s="45"/>
      <c r="Q254" s="45"/>
      <c r="R254" s="45"/>
      <c r="S254" s="45"/>
      <c r="T254" s="45"/>
      <c r="U254" s="45"/>
      <c r="V254" s="45"/>
      <c r="W254" s="45"/>
      <c r="X254" s="28"/>
      <c r="Y254" s="28"/>
      <c r="Z254" s="28"/>
      <c r="AA254" s="28"/>
      <c r="AB254" s="28"/>
      <c r="AC254" s="28"/>
    </row>
    <row r="255" spans="1:29" ht="13">
      <c r="A255" s="28"/>
      <c r="B255" s="45"/>
      <c r="C255" s="45"/>
      <c r="D255" s="45"/>
      <c r="E255" s="45"/>
      <c r="F255" s="45"/>
      <c r="G255" s="45"/>
      <c r="H255" s="45"/>
      <c r="I255" s="45"/>
      <c r="J255" s="45"/>
      <c r="K255" s="45"/>
      <c r="L255" s="45"/>
      <c r="M255" s="45"/>
      <c r="N255" s="45"/>
      <c r="O255" s="47"/>
      <c r="P255" s="45"/>
      <c r="Q255" s="45"/>
      <c r="R255" s="45"/>
      <c r="S255" s="45"/>
      <c r="T255" s="45"/>
      <c r="U255" s="45"/>
      <c r="V255" s="45"/>
      <c r="W255" s="45"/>
      <c r="X255" s="28"/>
      <c r="Y255" s="28"/>
      <c r="Z255" s="28"/>
      <c r="AA255" s="28"/>
      <c r="AB255" s="28"/>
      <c r="AC255" s="28"/>
    </row>
    <row r="256" spans="1:29" ht="13">
      <c r="A256" s="28"/>
      <c r="B256" s="45"/>
      <c r="C256" s="45"/>
      <c r="D256" s="45"/>
      <c r="E256" s="45"/>
      <c r="F256" s="45"/>
      <c r="G256" s="45"/>
      <c r="H256" s="45"/>
      <c r="I256" s="45"/>
      <c r="J256" s="45"/>
      <c r="K256" s="45"/>
      <c r="L256" s="45"/>
      <c r="M256" s="45"/>
      <c r="N256" s="45"/>
      <c r="O256" s="47"/>
      <c r="P256" s="45"/>
      <c r="Q256" s="45"/>
      <c r="R256" s="45"/>
      <c r="S256" s="45"/>
      <c r="T256" s="45"/>
      <c r="U256" s="45"/>
      <c r="V256" s="45"/>
      <c r="W256" s="45"/>
      <c r="X256" s="28"/>
      <c r="Y256" s="28"/>
      <c r="Z256" s="28"/>
      <c r="AA256" s="28"/>
      <c r="AB256" s="28"/>
      <c r="AC256" s="28"/>
    </row>
    <row r="257" spans="1:29" ht="13">
      <c r="A257" s="28"/>
      <c r="B257" s="45"/>
      <c r="C257" s="45"/>
      <c r="D257" s="45"/>
      <c r="E257" s="45"/>
      <c r="F257" s="45"/>
      <c r="G257" s="45"/>
      <c r="H257" s="45"/>
      <c r="I257" s="45"/>
      <c r="J257" s="45"/>
      <c r="K257" s="45"/>
      <c r="L257" s="45"/>
      <c r="M257" s="45"/>
      <c r="N257" s="45"/>
      <c r="O257" s="47"/>
      <c r="P257" s="45"/>
      <c r="Q257" s="45"/>
      <c r="R257" s="45"/>
      <c r="S257" s="45"/>
      <c r="T257" s="45"/>
      <c r="U257" s="45"/>
      <c r="V257" s="45"/>
      <c r="W257" s="45"/>
      <c r="X257" s="28"/>
      <c r="Y257" s="28"/>
      <c r="Z257" s="28"/>
      <c r="AA257" s="28"/>
      <c r="AB257" s="28"/>
      <c r="AC257" s="28"/>
    </row>
    <row r="258" spans="1:29" ht="13">
      <c r="A258" s="28"/>
      <c r="B258" s="45"/>
      <c r="C258" s="45"/>
      <c r="D258" s="45"/>
      <c r="E258" s="45"/>
      <c r="F258" s="45"/>
      <c r="G258" s="45"/>
      <c r="H258" s="45"/>
      <c r="I258" s="45"/>
      <c r="J258" s="45"/>
      <c r="K258" s="45"/>
      <c r="L258" s="45"/>
      <c r="M258" s="45"/>
      <c r="N258" s="45"/>
      <c r="O258" s="47"/>
      <c r="P258" s="45"/>
      <c r="Q258" s="45"/>
      <c r="R258" s="45"/>
      <c r="S258" s="45"/>
      <c r="T258" s="45"/>
      <c r="U258" s="45"/>
      <c r="V258" s="45"/>
      <c r="W258" s="45"/>
      <c r="X258" s="28"/>
      <c r="Y258" s="28"/>
      <c r="Z258" s="28"/>
      <c r="AA258" s="28"/>
      <c r="AB258" s="28"/>
      <c r="AC258" s="28"/>
    </row>
    <row r="259" spans="1:29" ht="13">
      <c r="A259" s="28"/>
      <c r="B259" s="45"/>
      <c r="C259" s="45"/>
      <c r="D259" s="45"/>
      <c r="E259" s="45"/>
      <c r="F259" s="45"/>
      <c r="G259" s="45"/>
      <c r="H259" s="45"/>
      <c r="I259" s="45"/>
      <c r="J259" s="45"/>
      <c r="K259" s="45"/>
      <c r="L259" s="45"/>
      <c r="M259" s="45"/>
      <c r="N259" s="45"/>
      <c r="O259" s="47"/>
      <c r="P259" s="45"/>
      <c r="Q259" s="45"/>
      <c r="R259" s="45"/>
      <c r="S259" s="45"/>
      <c r="T259" s="45"/>
      <c r="U259" s="45"/>
      <c r="V259" s="45"/>
      <c r="W259" s="45"/>
      <c r="X259" s="28"/>
      <c r="Y259" s="28"/>
      <c r="Z259" s="28"/>
      <c r="AA259" s="28"/>
      <c r="AB259" s="28"/>
      <c r="AC259" s="28"/>
    </row>
    <row r="260" spans="1:29" ht="13">
      <c r="A260" s="28"/>
      <c r="B260" s="45"/>
      <c r="C260" s="45"/>
      <c r="D260" s="45"/>
      <c r="E260" s="45"/>
      <c r="F260" s="45"/>
      <c r="G260" s="45"/>
      <c r="H260" s="45"/>
      <c r="I260" s="45"/>
      <c r="J260" s="45"/>
      <c r="K260" s="45"/>
      <c r="L260" s="45"/>
      <c r="M260" s="45"/>
      <c r="N260" s="45"/>
      <c r="O260" s="47"/>
      <c r="P260" s="45"/>
      <c r="Q260" s="45"/>
      <c r="R260" s="45"/>
      <c r="S260" s="45"/>
      <c r="T260" s="45"/>
      <c r="U260" s="45"/>
      <c r="V260" s="45"/>
      <c r="W260" s="45"/>
      <c r="X260" s="28"/>
      <c r="Y260" s="28"/>
      <c r="Z260" s="28"/>
      <c r="AA260" s="28"/>
      <c r="AB260" s="28"/>
      <c r="AC260" s="28"/>
    </row>
    <row r="261" spans="1:29" ht="13">
      <c r="A261" s="28"/>
      <c r="B261" s="45"/>
      <c r="C261" s="45"/>
      <c r="D261" s="45"/>
      <c r="E261" s="45"/>
      <c r="F261" s="45"/>
      <c r="G261" s="45"/>
      <c r="H261" s="45"/>
      <c r="I261" s="45"/>
      <c r="J261" s="45"/>
      <c r="K261" s="45"/>
      <c r="L261" s="45"/>
      <c r="M261" s="45"/>
      <c r="N261" s="45"/>
      <c r="O261" s="47"/>
      <c r="P261" s="45"/>
      <c r="Q261" s="45"/>
      <c r="R261" s="45"/>
      <c r="S261" s="45"/>
      <c r="T261" s="45"/>
      <c r="U261" s="45"/>
      <c r="V261" s="45"/>
      <c r="W261" s="45"/>
      <c r="X261" s="28"/>
      <c r="Y261" s="28"/>
      <c r="Z261" s="28"/>
      <c r="AA261" s="28"/>
      <c r="AB261" s="28"/>
      <c r="AC261" s="28"/>
    </row>
    <row r="262" spans="1:29" ht="13">
      <c r="A262" s="28"/>
      <c r="B262" s="45"/>
      <c r="C262" s="45"/>
      <c r="D262" s="45"/>
      <c r="E262" s="45"/>
      <c r="F262" s="45"/>
      <c r="G262" s="45"/>
      <c r="H262" s="45"/>
      <c r="I262" s="45"/>
      <c r="J262" s="45"/>
      <c r="K262" s="45"/>
      <c r="L262" s="45"/>
      <c r="M262" s="45"/>
      <c r="N262" s="45"/>
      <c r="O262" s="47"/>
      <c r="P262" s="45"/>
      <c r="Q262" s="45"/>
      <c r="R262" s="45"/>
      <c r="S262" s="45"/>
      <c r="T262" s="45"/>
      <c r="U262" s="45"/>
      <c r="V262" s="45"/>
      <c r="W262" s="45"/>
      <c r="X262" s="28"/>
      <c r="Y262" s="28"/>
      <c r="Z262" s="28"/>
      <c r="AA262" s="28"/>
      <c r="AB262" s="28"/>
      <c r="AC262" s="28"/>
    </row>
    <row r="263" spans="1:29" ht="13">
      <c r="A263" s="28"/>
      <c r="B263" s="45"/>
      <c r="C263" s="45"/>
      <c r="D263" s="45"/>
      <c r="E263" s="45"/>
      <c r="F263" s="45"/>
      <c r="G263" s="45"/>
      <c r="H263" s="45"/>
      <c r="I263" s="45"/>
      <c r="J263" s="45"/>
      <c r="K263" s="45"/>
      <c r="L263" s="45"/>
      <c r="M263" s="45"/>
      <c r="N263" s="45"/>
      <c r="O263" s="47"/>
      <c r="P263" s="45"/>
      <c r="Q263" s="45"/>
      <c r="R263" s="45"/>
      <c r="S263" s="45"/>
      <c r="T263" s="45"/>
      <c r="U263" s="45"/>
      <c r="V263" s="45"/>
      <c r="W263" s="45"/>
      <c r="X263" s="28"/>
      <c r="Y263" s="28"/>
      <c r="Z263" s="28"/>
      <c r="AA263" s="28"/>
      <c r="AB263" s="28"/>
      <c r="AC263" s="28"/>
    </row>
    <row r="264" spans="1:29" ht="13">
      <c r="A264" s="28"/>
      <c r="B264" s="45"/>
      <c r="C264" s="45"/>
      <c r="D264" s="45"/>
      <c r="E264" s="45"/>
      <c r="F264" s="45"/>
      <c r="G264" s="45"/>
      <c r="H264" s="45"/>
      <c r="I264" s="45"/>
      <c r="J264" s="45"/>
      <c r="K264" s="45"/>
      <c r="L264" s="45"/>
      <c r="M264" s="45"/>
      <c r="N264" s="45"/>
      <c r="O264" s="47"/>
      <c r="P264" s="45"/>
      <c r="Q264" s="45"/>
      <c r="R264" s="45"/>
      <c r="S264" s="45"/>
      <c r="T264" s="45"/>
      <c r="U264" s="45"/>
      <c r="V264" s="45"/>
      <c r="W264" s="45"/>
      <c r="X264" s="28"/>
      <c r="Y264" s="28"/>
      <c r="Z264" s="28"/>
      <c r="AA264" s="28"/>
      <c r="AB264" s="28"/>
      <c r="AC264" s="28"/>
    </row>
    <row r="265" spans="1:29" ht="13">
      <c r="A265" s="28"/>
      <c r="B265" s="45"/>
      <c r="C265" s="45"/>
      <c r="D265" s="45"/>
      <c r="E265" s="45"/>
      <c r="F265" s="45"/>
      <c r="G265" s="45"/>
      <c r="H265" s="45"/>
      <c r="I265" s="45"/>
      <c r="J265" s="45"/>
      <c r="K265" s="45"/>
      <c r="L265" s="45"/>
      <c r="M265" s="45"/>
      <c r="N265" s="45"/>
      <c r="O265" s="47"/>
      <c r="P265" s="45"/>
      <c r="Q265" s="45"/>
      <c r="R265" s="45"/>
      <c r="S265" s="45"/>
      <c r="T265" s="45"/>
      <c r="U265" s="45"/>
      <c r="V265" s="45"/>
      <c r="W265" s="45"/>
      <c r="X265" s="28"/>
      <c r="Y265" s="28"/>
      <c r="Z265" s="28"/>
      <c r="AA265" s="28"/>
      <c r="AB265" s="28"/>
      <c r="AC265" s="28"/>
    </row>
    <row r="266" spans="1:29" ht="13">
      <c r="A266" s="28"/>
      <c r="B266" s="45"/>
      <c r="C266" s="45"/>
      <c r="D266" s="45"/>
      <c r="E266" s="45"/>
      <c r="F266" s="45"/>
      <c r="G266" s="45"/>
      <c r="H266" s="45"/>
      <c r="I266" s="45"/>
      <c r="J266" s="45"/>
      <c r="K266" s="45"/>
      <c r="L266" s="45"/>
      <c r="M266" s="45"/>
      <c r="N266" s="45"/>
      <c r="O266" s="47"/>
      <c r="P266" s="45"/>
      <c r="Q266" s="45"/>
      <c r="R266" s="45"/>
      <c r="S266" s="45"/>
      <c r="T266" s="45"/>
      <c r="U266" s="45"/>
      <c r="V266" s="45"/>
      <c r="W266" s="45"/>
      <c r="X266" s="28"/>
      <c r="Y266" s="28"/>
      <c r="Z266" s="28"/>
      <c r="AA266" s="28"/>
      <c r="AB266" s="28"/>
      <c r="AC266" s="28"/>
    </row>
    <row r="267" spans="1:29" ht="13">
      <c r="A267" s="28"/>
      <c r="B267" s="45"/>
      <c r="C267" s="45"/>
      <c r="D267" s="45"/>
      <c r="E267" s="45"/>
      <c r="F267" s="45"/>
      <c r="G267" s="45"/>
      <c r="H267" s="45"/>
      <c r="I267" s="45"/>
      <c r="J267" s="45"/>
      <c r="K267" s="45"/>
      <c r="L267" s="45"/>
      <c r="M267" s="45"/>
      <c r="N267" s="45"/>
      <c r="O267" s="47"/>
      <c r="P267" s="45"/>
      <c r="Q267" s="45"/>
      <c r="R267" s="45"/>
      <c r="S267" s="45"/>
      <c r="T267" s="45"/>
      <c r="U267" s="45"/>
      <c r="V267" s="45"/>
      <c r="W267" s="45"/>
      <c r="X267" s="28"/>
      <c r="Y267" s="28"/>
      <c r="Z267" s="28"/>
      <c r="AA267" s="28"/>
      <c r="AB267" s="28"/>
      <c r="AC267" s="28"/>
    </row>
    <row r="268" spans="1:29" ht="13">
      <c r="A268" s="28"/>
      <c r="B268" s="45"/>
      <c r="C268" s="45"/>
      <c r="D268" s="45"/>
      <c r="E268" s="45"/>
      <c r="F268" s="45"/>
      <c r="G268" s="45"/>
      <c r="H268" s="45"/>
      <c r="I268" s="45"/>
      <c r="J268" s="45"/>
      <c r="K268" s="45"/>
      <c r="L268" s="45"/>
      <c r="M268" s="45"/>
      <c r="N268" s="45"/>
      <c r="O268" s="47"/>
      <c r="P268" s="45"/>
      <c r="Q268" s="45"/>
      <c r="R268" s="45"/>
      <c r="S268" s="45"/>
      <c r="T268" s="45"/>
      <c r="U268" s="45"/>
      <c r="V268" s="45"/>
      <c r="W268" s="45"/>
      <c r="X268" s="28"/>
      <c r="Y268" s="28"/>
      <c r="Z268" s="28"/>
      <c r="AA268" s="28"/>
      <c r="AB268" s="28"/>
      <c r="AC268" s="28"/>
    </row>
    <row r="269" spans="1:29" ht="13">
      <c r="A269" s="28"/>
      <c r="B269" s="45"/>
      <c r="C269" s="45"/>
      <c r="D269" s="45"/>
      <c r="E269" s="45"/>
      <c r="F269" s="45"/>
      <c r="G269" s="45"/>
      <c r="H269" s="45"/>
      <c r="I269" s="45"/>
      <c r="J269" s="45"/>
      <c r="K269" s="45"/>
      <c r="L269" s="45"/>
      <c r="M269" s="45"/>
      <c r="N269" s="45"/>
      <c r="O269" s="47"/>
      <c r="P269" s="45"/>
      <c r="Q269" s="45"/>
      <c r="R269" s="45"/>
      <c r="S269" s="45"/>
      <c r="T269" s="45"/>
      <c r="U269" s="45"/>
      <c r="V269" s="45"/>
      <c r="W269" s="45"/>
      <c r="X269" s="28"/>
      <c r="Y269" s="28"/>
      <c r="Z269" s="28"/>
      <c r="AA269" s="28"/>
      <c r="AB269" s="28"/>
      <c r="AC269" s="28"/>
    </row>
    <row r="270" spans="1:29" ht="13">
      <c r="A270" s="28"/>
      <c r="B270" s="45"/>
      <c r="C270" s="45"/>
      <c r="D270" s="45"/>
      <c r="E270" s="45"/>
      <c r="F270" s="45"/>
      <c r="G270" s="45"/>
      <c r="H270" s="45"/>
      <c r="I270" s="45"/>
      <c r="J270" s="45"/>
      <c r="K270" s="45"/>
      <c r="L270" s="45"/>
      <c r="M270" s="45"/>
      <c r="N270" s="45"/>
      <c r="O270" s="47"/>
      <c r="P270" s="45"/>
      <c r="Q270" s="45"/>
      <c r="R270" s="45"/>
      <c r="S270" s="45"/>
      <c r="T270" s="45"/>
      <c r="U270" s="45"/>
      <c r="V270" s="45"/>
      <c r="W270" s="45"/>
      <c r="X270" s="28"/>
      <c r="Y270" s="28"/>
      <c r="Z270" s="28"/>
      <c r="AA270" s="28"/>
      <c r="AB270" s="28"/>
      <c r="AC270" s="28"/>
    </row>
    <row r="271" spans="1:29" ht="13">
      <c r="A271" s="28"/>
      <c r="B271" s="45"/>
      <c r="C271" s="45"/>
      <c r="D271" s="45"/>
      <c r="E271" s="45"/>
      <c r="F271" s="45"/>
      <c r="G271" s="45"/>
      <c r="H271" s="45"/>
      <c r="I271" s="45"/>
      <c r="J271" s="45"/>
      <c r="K271" s="45"/>
      <c r="L271" s="45"/>
      <c r="M271" s="45"/>
      <c r="N271" s="45"/>
      <c r="O271" s="47"/>
      <c r="P271" s="45"/>
      <c r="Q271" s="45"/>
      <c r="R271" s="45"/>
      <c r="S271" s="45"/>
      <c r="T271" s="45"/>
      <c r="U271" s="45"/>
      <c r="V271" s="45"/>
      <c r="W271" s="45"/>
      <c r="X271" s="28"/>
      <c r="Y271" s="28"/>
      <c r="Z271" s="28"/>
      <c r="AA271" s="28"/>
      <c r="AB271" s="28"/>
      <c r="AC271" s="28"/>
    </row>
    <row r="272" spans="1:29" ht="13">
      <c r="A272" s="28"/>
      <c r="B272" s="45"/>
      <c r="C272" s="45"/>
      <c r="D272" s="45"/>
      <c r="E272" s="45"/>
      <c r="F272" s="45"/>
      <c r="G272" s="45"/>
      <c r="H272" s="45"/>
      <c r="I272" s="45"/>
      <c r="J272" s="45"/>
      <c r="K272" s="45"/>
      <c r="L272" s="45"/>
      <c r="M272" s="45"/>
      <c r="N272" s="45"/>
      <c r="O272" s="47"/>
      <c r="P272" s="45"/>
      <c r="Q272" s="45"/>
      <c r="R272" s="45"/>
      <c r="S272" s="45"/>
      <c r="T272" s="45"/>
      <c r="U272" s="45"/>
      <c r="V272" s="45"/>
      <c r="W272" s="45"/>
      <c r="X272" s="28"/>
      <c r="Y272" s="28"/>
      <c r="Z272" s="28"/>
      <c r="AA272" s="28"/>
      <c r="AB272" s="28"/>
      <c r="AC272" s="28"/>
    </row>
    <row r="273" spans="1:29" ht="13">
      <c r="A273" s="28"/>
      <c r="B273" s="45"/>
      <c r="C273" s="45"/>
      <c r="D273" s="45"/>
      <c r="E273" s="45"/>
      <c r="F273" s="45"/>
      <c r="G273" s="45"/>
      <c r="H273" s="45"/>
      <c r="I273" s="45"/>
      <c r="J273" s="45"/>
      <c r="K273" s="45"/>
      <c r="L273" s="45"/>
      <c r="M273" s="45"/>
      <c r="N273" s="45"/>
      <c r="O273" s="47"/>
      <c r="P273" s="45"/>
      <c r="Q273" s="45"/>
      <c r="R273" s="45"/>
      <c r="S273" s="45"/>
      <c r="T273" s="45"/>
      <c r="U273" s="45"/>
      <c r="V273" s="45"/>
      <c r="W273" s="45"/>
      <c r="X273" s="28"/>
      <c r="Y273" s="28"/>
      <c r="Z273" s="28"/>
      <c r="AA273" s="28"/>
      <c r="AB273" s="28"/>
      <c r="AC273" s="28"/>
    </row>
    <row r="274" spans="1:29" ht="13">
      <c r="A274" s="28"/>
      <c r="B274" s="45"/>
      <c r="C274" s="45"/>
      <c r="D274" s="45"/>
      <c r="E274" s="45"/>
      <c r="F274" s="45"/>
      <c r="G274" s="45"/>
      <c r="H274" s="45"/>
      <c r="I274" s="45"/>
      <c r="J274" s="45"/>
      <c r="K274" s="45"/>
      <c r="L274" s="45"/>
      <c r="M274" s="45"/>
      <c r="N274" s="45"/>
      <c r="O274" s="47"/>
      <c r="P274" s="45"/>
      <c r="Q274" s="45"/>
      <c r="R274" s="45"/>
      <c r="S274" s="45"/>
      <c r="T274" s="45"/>
      <c r="U274" s="45"/>
      <c r="V274" s="45"/>
      <c r="W274" s="45"/>
      <c r="X274" s="28"/>
      <c r="Y274" s="28"/>
      <c r="Z274" s="28"/>
      <c r="AA274" s="28"/>
      <c r="AB274" s="28"/>
      <c r="AC274" s="28"/>
    </row>
    <row r="275" spans="1:29" ht="13">
      <c r="A275" s="28"/>
      <c r="B275" s="45"/>
      <c r="C275" s="45"/>
      <c r="D275" s="45"/>
      <c r="E275" s="45"/>
      <c r="F275" s="45"/>
      <c r="G275" s="45"/>
      <c r="H275" s="45"/>
      <c r="I275" s="45"/>
      <c r="J275" s="45"/>
      <c r="K275" s="45"/>
      <c r="L275" s="45"/>
      <c r="M275" s="45"/>
      <c r="N275" s="45"/>
      <c r="O275" s="47"/>
      <c r="P275" s="45"/>
      <c r="Q275" s="45"/>
      <c r="R275" s="45"/>
      <c r="S275" s="45"/>
      <c r="T275" s="45"/>
      <c r="U275" s="45"/>
      <c r="V275" s="45"/>
      <c r="W275" s="45"/>
      <c r="X275" s="28"/>
      <c r="Y275" s="28"/>
      <c r="Z275" s="28"/>
      <c r="AA275" s="28"/>
      <c r="AB275" s="28"/>
      <c r="AC275" s="28"/>
    </row>
    <row r="276" spans="1:29" ht="13">
      <c r="A276" s="28"/>
      <c r="B276" s="45"/>
      <c r="C276" s="45"/>
      <c r="D276" s="45"/>
      <c r="E276" s="45"/>
      <c r="F276" s="45"/>
      <c r="G276" s="45"/>
      <c r="H276" s="45"/>
      <c r="I276" s="45"/>
      <c r="J276" s="45"/>
      <c r="K276" s="45"/>
      <c r="L276" s="45"/>
      <c r="M276" s="45"/>
      <c r="N276" s="45"/>
      <c r="O276" s="47"/>
      <c r="P276" s="45"/>
      <c r="Q276" s="45"/>
      <c r="R276" s="45"/>
      <c r="S276" s="45"/>
      <c r="T276" s="45"/>
      <c r="U276" s="45"/>
      <c r="V276" s="45"/>
      <c r="W276" s="45"/>
      <c r="X276" s="28"/>
      <c r="Y276" s="28"/>
      <c r="Z276" s="28"/>
      <c r="AA276" s="28"/>
      <c r="AB276" s="28"/>
      <c r="AC276" s="28"/>
    </row>
    <row r="277" spans="1:29" ht="13">
      <c r="A277" s="28"/>
      <c r="B277" s="45"/>
      <c r="C277" s="45"/>
      <c r="D277" s="45"/>
      <c r="E277" s="45"/>
      <c r="F277" s="45"/>
      <c r="G277" s="45"/>
      <c r="H277" s="45"/>
      <c r="I277" s="45"/>
      <c r="J277" s="45"/>
      <c r="K277" s="45"/>
      <c r="L277" s="45"/>
      <c r="M277" s="45"/>
      <c r="N277" s="45"/>
      <c r="O277" s="47"/>
      <c r="P277" s="45"/>
      <c r="Q277" s="45"/>
      <c r="R277" s="45"/>
      <c r="S277" s="45"/>
      <c r="T277" s="45"/>
      <c r="U277" s="45"/>
      <c r="V277" s="45"/>
      <c r="W277" s="45"/>
      <c r="X277" s="28"/>
      <c r="Y277" s="28"/>
      <c r="Z277" s="28"/>
      <c r="AA277" s="28"/>
      <c r="AB277" s="28"/>
      <c r="AC277" s="28"/>
    </row>
    <row r="278" spans="1:29" ht="13">
      <c r="A278" s="28"/>
      <c r="B278" s="45"/>
      <c r="C278" s="45"/>
      <c r="D278" s="45"/>
      <c r="E278" s="45"/>
      <c r="F278" s="45"/>
      <c r="G278" s="45"/>
      <c r="H278" s="45"/>
      <c r="I278" s="45"/>
      <c r="J278" s="45"/>
      <c r="K278" s="45"/>
      <c r="L278" s="45"/>
      <c r="M278" s="45"/>
      <c r="N278" s="45"/>
      <c r="O278" s="47"/>
      <c r="P278" s="45"/>
      <c r="Q278" s="45"/>
      <c r="R278" s="45"/>
      <c r="S278" s="45"/>
      <c r="T278" s="45"/>
      <c r="U278" s="45"/>
      <c r="V278" s="45"/>
      <c r="W278" s="45"/>
      <c r="X278" s="28"/>
      <c r="Y278" s="28"/>
      <c r="Z278" s="28"/>
      <c r="AA278" s="28"/>
      <c r="AB278" s="28"/>
      <c r="AC278" s="28"/>
    </row>
    <row r="279" spans="1:29" ht="13">
      <c r="A279" s="28"/>
      <c r="B279" s="45"/>
      <c r="C279" s="45"/>
      <c r="D279" s="45"/>
      <c r="E279" s="45"/>
      <c r="F279" s="45"/>
      <c r="G279" s="45"/>
      <c r="H279" s="45"/>
      <c r="I279" s="45"/>
      <c r="J279" s="45"/>
      <c r="K279" s="45"/>
      <c r="L279" s="45"/>
      <c r="M279" s="45"/>
      <c r="N279" s="45"/>
      <c r="O279" s="47"/>
      <c r="P279" s="45"/>
      <c r="Q279" s="45"/>
      <c r="R279" s="45"/>
      <c r="S279" s="45"/>
      <c r="T279" s="45"/>
      <c r="U279" s="45"/>
      <c r="V279" s="45"/>
      <c r="W279" s="45"/>
      <c r="X279" s="28"/>
      <c r="Y279" s="28"/>
      <c r="Z279" s="28"/>
      <c r="AA279" s="28"/>
      <c r="AB279" s="28"/>
      <c r="AC279" s="28"/>
    </row>
    <row r="280" spans="1:29" ht="13">
      <c r="A280" s="28"/>
      <c r="B280" s="45"/>
      <c r="C280" s="45"/>
      <c r="D280" s="45"/>
      <c r="E280" s="45"/>
      <c r="F280" s="45"/>
      <c r="G280" s="45"/>
      <c r="H280" s="45"/>
      <c r="I280" s="45"/>
      <c r="J280" s="45"/>
      <c r="K280" s="45"/>
      <c r="L280" s="45"/>
      <c r="M280" s="45"/>
      <c r="N280" s="45"/>
      <c r="O280" s="47"/>
      <c r="P280" s="45"/>
      <c r="Q280" s="45"/>
      <c r="R280" s="45"/>
      <c r="S280" s="45"/>
      <c r="T280" s="45"/>
      <c r="U280" s="45"/>
      <c r="V280" s="45"/>
      <c r="W280" s="45"/>
      <c r="X280" s="28"/>
      <c r="Y280" s="28"/>
      <c r="Z280" s="28"/>
      <c r="AA280" s="28"/>
      <c r="AB280" s="28"/>
      <c r="AC280" s="28"/>
    </row>
    <row r="281" spans="1:29" ht="13">
      <c r="A281" s="28"/>
      <c r="B281" s="45"/>
      <c r="C281" s="45"/>
      <c r="D281" s="45"/>
      <c r="E281" s="45"/>
      <c r="F281" s="45"/>
      <c r="G281" s="45"/>
      <c r="H281" s="45"/>
      <c r="I281" s="45"/>
      <c r="J281" s="45"/>
      <c r="K281" s="45"/>
      <c r="L281" s="45"/>
      <c r="M281" s="45"/>
      <c r="N281" s="45"/>
      <c r="O281" s="47"/>
      <c r="P281" s="45"/>
      <c r="Q281" s="45"/>
      <c r="R281" s="45"/>
      <c r="S281" s="45"/>
      <c r="T281" s="45"/>
      <c r="U281" s="45"/>
      <c r="V281" s="45"/>
      <c r="W281" s="45"/>
      <c r="X281" s="28"/>
      <c r="Y281" s="28"/>
      <c r="Z281" s="28"/>
      <c r="AA281" s="28"/>
      <c r="AB281" s="28"/>
      <c r="AC281" s="28"/>
    </row>
    <row r="282" spans="1:29" ht="13">
      <c r="A282" s="28"/>
      <c r="B282" s="45"/>
      <c r="C282" s="45"/>
      <c r="D282" s="45"/>
      <c r="E282" s="45"/>
      <c r="F282" s="45"/>
      <c r="G282" s="45"/>
      <c r="H282" s="45"/>
      <c r="I282" s="45"/>
      <c r="J282" s="45"/>
      <c r="K282" s="45"/>
      <c r="L282" s="45"/>
      <c r="M282" s="45"/>
      <c r="N282" s="45"/>
      <c r="O282" s="47"/>
      <c r="P282" s="45"/>
      <c r="Q282" s="45"/>
      <c r="R282" s="45"/>
      <c r="S282" s="45"/>
      <c r="T282" s="45"/>
      <c r="U282" s="45"/>
      <c r="V282" s="45"/>
      <c r="W282" s="45"/>
      <c r="X282" s="28"/>
      <c r="Y282" s="28"/>
      <c r="Z282" s="28"/>
      <c r="AA282" s="28"/>
      <c r="AB282" s="28"/>
      <c r="AC282" s="28"/>
    </row>
    <row r="283" spans="1:29" ht="13">
      <c r="A283" s="28"/>
      <c r="B283" s="45"/>
      <c r="C283" s="45"/>
      <c r="D283" s="45"/>
      <c r="E283" s="45"/>
      <c r="F283" s="45"/>
      <c r="G283" s="45"/>
      <c r="H283" s="45"/>
      <c r="I283" s="45"/>
      <c r="J283" s="45"/>
      <c r="K283" s="45"/>
      <c r="L283" s="45"/>
      <c r="M283" s="45"/>
      <c r="N283" s="45"/>
      <c r="O283" s="47"/>
      <c r="P283" s="45"/>
      <c r="Q283" s="45"/>
      <c r="R283" s="45"/>
      <c r="S283" s="45"/>
      <c r="T283" s="45"/>
      <c r="U283" s="45"/>
      <c r="V283" s="45"/>
      <c r="W283" s="45"/>
      <c r="X283" s="28"/>
      <c r="Y283" s="28"/>
      <c r="Z283" s="28"/>
      <c r="AA283" s="28"/>
      <c r="AB283" s="28"/>
      <c r="AC283" s="28"/>
    </row>
    <row r="284" spans="1:29" ht="13">
      <c r="A284" s="28"/>
      <c r="B284" s="45"/>
      <c r="C284" s="45"/>
      <c r="D284" s="45"/>
      <c r="E284" s="45"/>
      <c r="F284" s="45"/>
      <c r="G284" s="45"/>
      <c r="H284" s="45"/>
      <c r="I284" s="45"/>
      <c r="J284" s="45"/>
      <c r="K284" s="45"/>
      <c r="L284" s="45"/>
      <c r="M284" s="45"/>
      <c r="N284" s="45"/>
      <c r="O284" s="47"/>
      <c r="P284" s="45"/>
      <c r="Q284" s="45"/>
      <c r="R284" s="45"/>
      <c r="S284" s="45"/>
      <c r="T284" s="45"/>
      <c r="U284" s="45"/>
      <c r="V284" s="45"/>
      <c r="W284" s="45"/>
      <c r="X284" s="28"/>
      <c r="Y284" s="28"/>
      <c r="Z284" s="28"/>
      <c r="AA284" s="28"/>
      <c r="AB284" s="28"/>
      <c r="AC284" s="28"/>
    </row>
    <row r="285" spans="1:29" ht="13">
      <c r="A285" s="28"/>
      <c r="B285" s="45"/>
      <c r="C285" s="45"/>
      <c r="D285" s="45"/>
      <c r="E285" s="45"/>
      <c r="F285" s="45"/>
      <c r="G285" s="45"/>
      <c r="H285" s="45"/>
      <c r="I285" s="45"/>
      <c r="J285" s="45"/>
      <c r="K285" s="45"/>
      <c r="L285" s="45"/>
      <c r="M285" s="45"/>
      <c r="N285" s="45"/>
      <c r="O285" s="47"/>
      <c r="P285" s="45"/>
      <c r="Q285" s="45"/>
      <c r="R285" s="45"/>
      <c r="S285" s="45"/>
      <c r="T285" s="45"/>
      <c r="U285" s="45"/>
      <c r="V285" s="45"/>
      <c r="W285" s="45"/>
      <c r="X285" s="28"/>
      <c r="Y285" s="28"/>
      <c r="Z285" s="28"/>
      <c r="AA285" s="28"/>
      <c r="AB285" s="28"/>
      <c r="AC285" s="28"/>
    </row>
    <row r="286" spans="1:29" ht="13">
      <c r="A286" s="28"/>
      <c r="B286" s="45"/>
      <c r="C286" s="45"/>
      <c r="D286" s="45"/>
      <c r="E286" s="45"/>
      <c r="F286" s="45"/>
      <c r="G286" s="45"/>
      <c r="H286" s="45"/>
      <c r="I286" s="45"/>
      <c r="J286" s="45"/>
      <c r="K286" s="45"/>
      <c r="L286" s="45"/>
      <c r="M286" s="45"/>
      <c r="N286" s="45"/>
      <c r="O286" s="47"/>
      <c r="P286" s="45"/>
      <c r="Q286" s="45"/>
      <c r="R286" s="45"/>
      <c r="S286" s="45"/>
      <c r="T286" s="45"/>
      <c r="U286" s="45"/>
      <c r="V286" s="45"/>
      <c r="W286" s="45"/>
      <c r="X286" s="28"/>
      <c r="Y286" s="28"/>
      <c r="Z286" s="28"/>
      <c r="AA286" s="28"/>
      <c r="AB286" s="28"/>
      <c r="AC286" s="28"/>
    </row>
    <row r="287" spans="1:29" ht="13">
      <c r="A287" s="28"/>
      <c r="B287" s="45"/>
      <c r="C287" s="45"/>
      <c r="D287" s="45"/>
      <c r="E287" s="45"/>
      <c r="F287" s="45"/>
      <c r="G287" s="45"/>
      <c r="H287" s="45"/>
      <c r="I287" s="45"/>
      <c r="J287" s="45"/>
      <c r="K287" s="45"/>
      <c r="L287" s="45"/>
      <c r="M287" s="45"/>
      <c r="N287" s="45"/>
      <c r="O287" s="47"/>
      <c r="P287" s="45"/>
      <c r="Q287" s="45"/>
      <c r="R287" s="45"/>
      <c r="S287" s="45"/>
      <c r="T287" s="45"/>
      <c r="U287" s="45"/>
      <c r="V287" s="45"/>
      <c r="W287" s="45"/>
      <c r="X287" s="28"/>
      <c r="Y287" s="28"/>
      <c r="Z287" s="28"/>
      <c r="AA287" s="28"/>
      <c r="AB287" s="28"/>
      <c r="AC287" s="28"/>
    </row>
    <row r="288" spans="1:29" ht="13">
      <c r="A288" s="28"/>
      <c r="B288" s="45"/>
      <c r="C288" s="45"/>
      <c r="D288" s="45"/>
      <c r="E288" s="45"/>
      <c r="F288" s="45"/>
      <c r="G288" s="45"/>
      <c r="H288" s="45"/>
      <c r="I288" s="45"/>
      <c r="J288" s="45"/>
      <c r="K288" s="45"/>
      <c r="L288" s="45"/>
      <c r="M288" s="45"/>
      <c r="N288" s="45"/>
      <c r="O288" s="47"/>
      <c r="P288" s="45"/>
      <c r="Q288" s="45"/>
      <c r="R288" s="45"/>
      <c r="S288" s="45"/>
      <c r="T288" s="45"/>
      <c r="U288" s="45"/>
      <c r="V288" s="45"/>
      <c r="W288" s="45"/>
      <c r="X288" s="28"/>
      <c r="Y288" s="28"/>
      <c r="Z288" s="28"/>
      <c r="AA288" s="28"/>
      <c r="AB288" s="28"/>
      <c r="AC288" s="28"/>
    </row>
    <row r="289" spans="1:29" ht="13">
      <c r="A289" s="28"/>
      <c r="B289" s="45"/>
      <c r="C289" s="45"/>
      <c r="D289" s="45"/>
      <c r="E289" s="45"/>
      <c r="F289" s="45"/>
      <c r="G289" s="45"/>
      <c r="H289" s="45"/>
      <c r="I289" s="45"/>
      <c r="J289" s="45"/>
      <c r="K289" s="45"/>
      <c r="L289" s="45"/>
      <c r="M289" s="45"/>
      <c r="N289" s="45"/>
      <c r="O289" s="47"/>
      <c r="P289" s="45"/>
      <c r="Q289" s="45"/>
      <c r="R289" s="45"/>
      <c r="S289" s="45"/>
      <c r="T289" s="45"/>
      <c r="U289" s="45"/>
      <c r="V289" s="45"/>
      <c r="W289" s="45"/>
      <c r="X289" s="28"/>
      <c r="Y289" s="28"/>
      <c r="Z289" s="28"/>
      <c r="AA289" s="28"/>
      <c r="AB289" s="28"/>
      <c r="AC289" s="28"/>
    </row>
    <row r="290" spans="1:29" ht="13">
      <c r="A290" s="28"/>
      <c r="B290" s="45"/>
      <c r="C290" s="45"/>
      <c r="D290" s="45"/>
      <c r="E290" s="45"/>
      <c r="F290" s="45"/>
      <c r="G290" s="45"/>
      <c r="H290" s="45"/>
      <c r="I290" s="45"/>
      <c r="J290" s="45"/>
      <c r="K290" s="45"/>
      <c r="L290" s="45"/>
      <c r="M290" s="45"/>
      <c r="N290" s="45"/>
      <c r="O290" s="47"/>
      <c r="P290" s="45"/>
      <c r="Q290" s="45"/>
      <c r="R290" s="45"/>
      <c r="S290" s="45"/>
      <c r="T290" s="45"/>
      <c r="U290" s="45"/>
      <c r="V290" s="45"/>
      <c r="W290" s="45"/>
      <c r="X290" s="28"/>
      <c r="Y290" s="28"/>
      <c r="Z290" s="28"/>
      <c r="AA290" s="28"/>
      <c r="AB290" s="28"/>
      <c r="AC290" s="28"/>
    </row>
    <row r="291" spans="1:29" ht="13">
      <c r="A291" s="28"/>
      <c r="B291" s="45"/>
      <c r="C291" s="45"/>
      <c r="D291" s="45"/>
      <c r="E291" s="45"/>
      <c r="F291" s="45"/>
      <c r="G291" s="45"/>
      <c r="H291" s="45"/>
      <c r="I291" s="45"/>
      <c r="J291" s="45"/>
      <c r="K291" s="45"/>
      <c r="L291" s="45"/>
      <c r="M291" s="45"/>
      <c r="N291" s="45"/>
      <c r="O291" s="47"/>
      <c r="P291" s="45"/>
      <c r="Q291" s="45"/>
      <c r="R291" s="45"/>
      <c r="S291" s="45"/>
      <c r="T291" s="45"/>
      <c r="U291" s="45"/>
      <c r="V291" s="45"/>
      <c r="W291" s="45"/>
      <c r="X291" s="28"/>
      <c r="Y291" s="28"/>
      <c r="Z291" s="28"/>
      <c r="AA291" s="28"/>
      <c r="AB291" s="28"/>
      <c r="AC291" s="28"/>
    </row>
    <row r="292" spans="1:29" ht="13">
      <c r="A292" s="28"/>
      <c r="B292" s="45"/>
      <c r="C292" s="45"/>
      <c r="D292" s="45"/>
      <c r="E292" s="45"/>
      <c r="F292" s="45"/>
      <c r="G292" s="45"/>
      <c r="H292" s="45"/>
      <c r="I292" s="45"/>
      <c r="J292" s="45"/>
      <c r="K292" s="45"/>
      <c r="L292" s="45"/>
      <c r="M292" s="45"/>
      <c r="N292" s="45"/>
      <c r="O292" s="47"/>
      <c r="P292" s="45"/>
      <c r="Q292" s="45"/>
      <c r="R292" s="45"/>
      <c r="S292" s="45"/>
      <c r="T292" s="45"/>
      <c r="U292" s="45"/>
      <c r="V292" s="45"/>
      <c r="W292" s="45"/>
      <c r="X292" s="28"/>
      <c r="Y292" s="28"/>
      <c r="Z292" s="28"/>
      <c r="AA292" s="28"/>
      <c r="AB292" s="28"/>
      <c r="AC292" s="28"/>
    </row>
    <row r="293" spans="1:29" ht="13">
      <c r="A293" s="28"/>
      <c r="B293" s="45"/>
      <c r="C293" s="45"/>
      <c r="D293" s="45"/>
      <c r="E293" s="45"/>
      <c r="F293" s="45"/>
      <c r="G293" s="45"/>
      <c r="H293" s="45"/>
      <c r="I293" s="45"/>
      <c r="J293" s="45"/>
      <c r="K293" s="45"/>
      <c r="L293" s="45"/>
      <c r="M293" s="45"/>
      <c r="N293" s="45"/>
      <c r="O293" s="47"/>
      <c r="P293" s="45"/>
      <c r="Q293" s="45"/>
      <c r="R293" s="45"/>
      <c r="S293" s="45"/>
      <c r="T293" s="45"/>
      <c r="U293" s="45"/>
      <c r="V293" s="45"/>
      <c r="W293" s="45"/>
      <c r="X293" s="28"/>
      <c r="Y293" s="28"/>
      <c r="Z293" s="28"/>
      <c r="AA293" s="28"/>
      <c r="AB293" s="28"/>
      <c r="AC293" s="28"/>
    </row>
    <row r="294" spans="1:29" ht="13">
      <c r="A294" s="28"/>
      <c r="B294" s="45"/>
      <c r="C294" s="45"/>
      <c r="D294" s="45"/>
      <c r="E294" s="45"/>
      <c r="F294" s="45"/>
      <c r="G294" s="45"/>
      <c r="H294" s="45"/>
      <c r="I294" s="45"/>
      <c r="J294" s="45"/>
      <c r="K294" s="45"/>
      <c r="L294" s="45"/>
      <c r="M294" s="45"/>
      <c r="N294" s="45"/>
      <c r="O294" s="47"/>
      <c r="P294" s="45"/>
      <c r="Q294" s="45"/>
      <c r="R294" s="45"/>
      <c r="S294" s="45"/>
      <c r="T294" s="45"/>
      <c r="U294" s="45"/>
      <c r="V294" s="45"/>
      <c r="W294" s="45"/>
      <c r="X294" s="28"/>
      <c r="Y294" s="28"/>
      <c r="Z294" s="28"/>
      <c r="AA294" s="28"/>
      <c r="AB294" s="28"/>
      <c r="AC294" s="28"/>
    </row>
    <row r="295" spans="1:29" ht="13">
      <c r="A295" s="28"/>
      <c r="B295" s="45"/>
      <c r="C295" s="45"/>
      <c r="D295" s="45"/>
      <c r="E295" s="45"/>
      <c r="F295" s="45"/>
      <c r="G295" s="45"/>
      <c r="H295" s="45"/>
      <c r="I295" s="45"/>
      <c r="J295" s="45"/>
      <c r="K295" s="45"/>
      <c r="L295" s="45"/>
      <c r="M295" s="45"/>
      <c r="N295" s="45"/>
      <c r="O295" s="47"/>
      <c r="P295" s="45"/>
      <c r="Q295" s="45"/>
      <c r="R295" s="45"/>
      <c r="S295" s="45"/>
      <c r="T295" s="45"/>
      <c r="U295" s="45"/>
      <c r="V295" s="45"/>
      <c r="W295" s="45"/>
      <c r="X295" s="28"/>
      <c r="Y295" s="28"/>
      <c r="Z295" s="28"/>
      <c r="AA295" s="28"/>
      <c r="AB295" s="28"/>
      <c r="AC295" s="28"/>
    </row>
    <row r="296" spans="1:29" ht="13">
      <c r="A296" s="28"/>
      <c r="B296" s="45"/>
      <c r="C296" s="45"/>
      <c r="D296" s="45"/>
      <c r="E296" s="45"/>
      <c r="F296" s="45"/>
      <c r="G296" s="45"/>
      <c r="H296" s="45"/>
      <c r="I296" s="45"/>
      <c r="J296" s="45"/>
      <c r="K296" s="45"/>
      <c r="L296" s="45"/>
      <c r="M296" s="45"/>
      <c r="N296" s="45"/>
      <c r="O296" s="47"/>
      <c r="P296" s="45"/>
      <c r="Q296" s="45"/>
      <c r="R296" s="45"/>
      <c r="S296" s="45"/>
      <c r="T296" s="45"/>
      <c r="U296" s="45"/>
      <c r="V296" s="45"/>
      <c r="W296" s="45"/>
      <c r="X296" s="28"/>
      <c r="Y296" s="28"/>
      <c r="Z296" s="28"/>
      <c r="AA296" s="28"/>
      <c r="AB296" s="28"/>
      <c r="AC296" s="28"/>
    </row>
    <row r="297" spans="1:29" ht="13">
      <c r="A297" s="28"/>
      <c r="B297" s="45"/>
      <c r="C297" s="45"/>
      <c r="D297" s="45"/>
      <c r="E297" s="45"/>
      <c r="F297" s="45"/>
      <c r="G297" s="45"/>
      <c r="H297" s="45"/>
      <c r="I297" s="45"/>
      <c r="J297" s="45"/>
      <c r="K297" s="45"/>
      <c r="L297" s="45"/>
      <c r="M297" s="45"/>
      <c r="N297" s="45"/>
      <c r="O297" s="47"/>
      <c r="P297" s="45"/>
      <c r="Q297" s="45"/>
      <c r="R297" s="45"/>
      <c r="S297" s="45"/>
      <c r="T297" s="45"/>
      <c r="U297" s="45"/>
      <c r="V297" s="45"/>
      <c r="W297" s="45"/>
      <c r="X297" s="28"/>
      <c r="Y297" s="28"/>
      <c r="Z297" s="28"/>
      <c r="AA297" s="28"/>
      <c r="AB297" s="28"/>
      <c r="AC297" s="28"/>
    </row>
    <row r="298" spans="1:29" ht="13">
      <c r="A298" s="28"/>
      <c r="B298" s="45"/>
      <c r="C298" s="45"/>
      <c r="D298" s="45"/>
      <c r="E298" s="45"/>
      <c r="F298" s="45"/>
      <c r="G298" s="45"/>
      <c r="H298" s="45"/>
      <c r="I298" s="45"/>
      <c r="J298" s="45"/>
      <c r="K298" s="45"/>
      <c r="L298" s="45"/>
      <c r="M298" s="45"/>
      <c r="N298" s="45"/>
      <c r="O298" s="47"/>
      <c r="P298" s="45"/>
      <c r="Q298" s="45"/>
      <c r="R298" s="45"/>
      <c r="S298" s="45"/>
      <c r="T298" s="45"/>
      <c r="U298" s="45"/>
      <c r="V298" s="45"/>
      <c r="W298" s="45"/>
      <c r="X298" s="28"/>
      <c r="Y298" s="28"/>
      <c r="Z298" s="28"/>
      <c r="AA298" s="28"/>
      <c r="AB298" s="28"/>
      <c r="AC298" s="28"/>
    </row>
    <row r="299" spans="1:29" ht="13">
      <c r="A299" s="28"/>
      <c r="B299" s="45"/>
      <c r="C299" s="45"/>
      <c r="D299" s="45"/>
      <c r="E299" s="45"/>
      <c r="F299" s="45"/>
      <c r="G299" s="45"/>
      <c r="H299" s="45"/>
      <c r="I299" s="45"/>
      <c r="J299" s="45"/>
      <c r="K299" s="45"/>
      <c r="L299" s="45"/>
      <c r="M299" s="45"/>
      <c r="N299" s="45"/>
      <c r="O299" s="47"/>
      <c r="P299" s="45"/>
      <c r="Q299" s="45"/>
      <c r="R299" s="45"/>
      <c r="S299" s="45"/>
      <c r="T299" s="45"/>
      <c r="U299" s="45"/>
      <c r="V299" s="45"/>
      <c r="W299" s="45"/>
      <c r="X299" s="28"/>
      <c r="Y299" s="28"/>
      <c r="Z299" s="28"/>
      <c r="AA299" s="28"/>
      <c r="AB299" s="28"/>
      <c r="AC299" s="28"/>
    </row>
    <row r="300" spans="1:29" ht="13">
      <c r="A300" s="28"/>
      <c r="B300" s="45"/>
      <c r="C300" s="45"/>
      <c r="D300" s="45"/>
      <c r="E300" s="45"/>
      <c r="F300" s="45"/>
      <c r="G300" s="45"/>
      <c r="H300" s="45"/>
      <c r="I300" s="45"/>
      <c r="J300" s="45"/>
      <c r="K300" s="45"/>
      <c r="L300" s="45"/>
      <c r="M300" s="45"/>
      <c r="N300" s="45"/>
      <c r="O300" s="47"/>
      <c r="P300" s="45"/>
      <c r="Q300" s="45"/>
      <c r="R300" s="45"/>
      <c r="S300" s="45"/>
      <c r="T300" s="45"/>
      <c r="U300" s="45"/>
      <c r="V300" s="45"/>
      <c r="W300" s="45"/>
      <c r="X300" s="28"/>
      <c r="Y300" s="28"/>
      <c r="Z300" s="28"/>
      <c r="AA300" s="28"/>
      <c r="AB300" s="28"/>
      <c r="AC300" s="28"/>
    </row>
    <row r="301" spans="1:29" ht="13">
      <c r="A301" s="28"/>
      <c r="B301" s="45"/>
      <c r="C301" s="45"/>
      <c r="D301" s="45"/>
      <c r="E301" s="45"/>
      <c r="F301" s="45"/>
      <c r="G301" s="45"/>
      <c r="H301" s="45"/>
      <c r="I301" s="45"/>
      <c r="J301" s="45"/>
      <c r="K301" s="45"/>
      <c r="L301" s="45"/>
      <c r="M301" s="45"/>
      <c r="N301" s="45"/>
      <c r="O301" s="47"/>
      <c r="P301" s="45"/>
      <c r="Q301" s="45"/>
      <c r="R301" s="45"/>
      <c r="S301" s="45"/>
      <c r="T301" s="45"/>
      <c r="U301" s="45"/>
      <c r="V301" s="45"/>
      <c r="W301" s="45"/>
      <c r="X301" s="28"/>
      <c r="Y301" s="28"/>
      <c r="Z301" s="28"/>
      <c r="AA301" s="28"/>
      <c r="AB301" s="28"/>
      <c r="AC301" s="28"/>
    </row>
    <row r="302" spans="1:29" ht="13">
      <c r="A302" s="28"/>
      <c r="B302" s="45"/>
      <c r="C302" s="45"/>
      <c r="D302" s="45"/>
      <c r="E302" s="45"/>
      <c r="F302" s="45"/>
      <c r="G302" s="45"/>
      <c r="H302" s="45"/>
      <c r="I302" s="45"/>
      <c r="J302" s="45"/>
      <c r="K302" s="45"/>
      <c r="L302" s="45"/>
      <c r="M302" s="45"/>
      <c r="N302" s="45"/>
      <c r="O302" s="47"/>
      <c r="P302" s="45"/>
      <c r="Q302" s="45"/>
      <c r="R302" s="45"/>
      <c r="S302" s="45"/>
      <c r="T302" s="45"/>
      <c r="U302" s="45"/>
      <c r="V302" s="45"/>
      <c r="W302" s="45"/>
      <c r="X302" s="28"/>
      <c r="Y302" s="28"/>
      <c r="Z302" s="28"/>
      <c r="AA302" s="28"/>
      <c r="AB302" s="28"/>
      <c r="AC302" s="28"/>
    </row>
    <row r="303" spans="1:29" ht="13">
      <c r="A303" s="28"/>
      <c r="B303" s="45"/>
      <c r="C303" s="45"/>
      <c r="D303" s="45"/>
      <c r="E303" s="45"/>
      <c r="F303" s="45"/>
      <c r="G303" s="45"/>
      <c r="H303" s="45"/>
      <c r="I303" s="45"/>
      <c r="J303" s="45"/>
      <c r="K303" s="45"/>
      <c r="L303" s="45"/>
      <c r="M303" s="45"/>
      <c r="N303" s="45"/>
      <c r="O303" s="47"/>
      <c r="P303" s="45"/>
      <c r="Q303" s="45"/>
      <c r="R303" s="45"/>
      <c r="S303" s="45"/>
      <c r="T303" s="45"/>
      <c r="U303" s="45"/>
      <c r="V303" s="45"/>
      <c r="W303" s="45"/>
      <c r="X303" s="28"/>
      <c r="Y303" s="28"/>
      <c r="Z303" s="28"/>
      <c r="AA303" s="28"/>
      <c r="AB303" s="28"/>
      <c r="AC303" s="28"/>
    </row>
    <row r="304" spans="1:29" ht="13">
      <c r="A304" s="28"/>
      <c r="B304" s="45"/>
      <c r="C304" s="45"/>
      <c r="D304" s="45"/>
      <c r="E304" s="45"/>
      <c r="F304" s="45"/>
      <c r="G304" s="45"/>
      <c r="H304" s="45"/>
      <c r="I304" s="45"/>
      <c r="J304" s="45"/>
      <c r="K304" s="45"/>
      <c r="L304" s="45"/>
      <c r="M304" s="45"/>
      <c r="N304" s="45"/>
      <c r="O304" s="47"/>
      <c r="P304" s="45"/>
      <c r="Q304" s="45"/>
      <c r="R304" s="45"/>
      <c r="S304" s="45"/>
      <c r="T304" s="45"/>
      <c r="U304" s="45"/>
      <c r="V304" s="45"/>
      <c r="W304" s="45"/>
      <c r="X304" s="28"/>
      <c r="Y304" s="28"/>
      <c r="Z304" s="28"/>
      <c r="AA304" s="28"/>
      <c r="AB304" s="28"/>
      <c r="AC304" s="28"/>
    </row>
    <row r="305" spans="1:29" ht="13">
      <c r="A305" s="28"/>
      <c r="B305" s="45"/>
      <c r="C305" s="45"/>
      <c r="D305" s="45"/>
      <c r="E305" s="45"/>
      <c r="F305" s="45"/>
      <c r="G305" s="45"/>
      <c r="H305" s="45"/>
      <c r="I305" s="45"/>
      <c r="J305" s="45"/>
      <c r="K305" s="45"/>
      <c r="L305" s="45"/>
      <c r="M305" s="45"/>
      <c r="N305" s="45"/>
      <c r="O305" s="47"/>
      <c r="P305" s="45"/>
      <c r="Q305" s="45"/>
      <c r="R305" s="45"/>
      <c r="S305" s="45"/>
      <c r="T305" s="45"/>
      <c r="U305" s="45"/>
      <c r="V305" s="45"/>
      <c r="W305" s="45"/>
      <c r="X305" s="28"/>
      <c r="Y305" s="28"/>
      <c r="Z305" s="28"/>
      <c r="AA305" s="28"/>
      <c r="AB305" s="28"/>
      <c r="AC305" s="28"/>
    </row>
    <row r="306" spans="1:29" ht="13">
      <c r="A306" s="28"/>
      <c r="B306" s="45"/>
      <c r="C306" s="45"/>
      <c r="D306" s="45"/>
      <c r="E306" s="45"/>
      <c r="F306" s="45"/>
      <c r="G306" s="45"/>
      <c r="H306" s="45"/>
      <c r="I306" s="45"/>
      <c r="J306" s="45"/>
      <c r="K306" s="45"/>
      <c r="L306" s="45"/>
      <c r="M306" s="45"/>
      <c r="N306" s="45"/>
      <c r="O306" s="47"/>
      <c r="P306" s="45"/>
      <c r="Q306" s="45"/>
      <c r="R306" s="45"/>
      <c r="S306" s="45"/>
      <c r="T306" s="45"/>
      <c r="U306" s="45"/>
      <c r="V306" s="45"/>
      <c r="W306" s="45"/>
      <c r="X306" s="28"/>
      <c r="Y306" s="28"/>
      <c r="Z306" s="28"/>
      <c r="AA306" s="28"/>
      <c r="AB306" s="28"/>
      <c r="AC306" s="28"/>
    </row>
    <row r="307" spans="1:29" ht="13">
      <c r="A307" s="28"/>
      <c r="B307" s="45"/>
      <c r="C307" s="45"/>
      <c r="D307" s="45"/>
      <c r="E307" s="45"/>
      <c r="F307" s="45"/>
      <c r="G307" s="45"/>
      <c r="H307" s="45"/>
      <c r="I307" s="45"/>
      <c r="J307" s="45"/>
      <c r="K307" s="45"/>
      <c r="L307" s="45"/>
      <c r="M307" s="45"/>
      <c r="N307" s="45"/>
      <c r="O307" s="47"/>
      <c r="P307" s="45"/>
      <c r="Q307" s="45"/>
      <c r="R307" s="45"/>
      <c r="S307" s="45"/>
      <c r="T307" s="45"/>
      <c r="U307" s="45"/>
      <c r="V307" s="45"/>
      <c r="W307" s="45"/>
      <c r="X307" s="28"/>
      <c r="Y307" s="28"/>
      <c r="Z307" s="28"/>
      <c r="AA307" s="28"/>
      <c r="AB307" s="28"/>
      <c r="AC307" s="28"/>
    </row>
    <row r="308" spans="1:29" ht="13">
      <c r="A308" s="28"/>
      <c r="B308" s="45"/>
      <c r="C308" s="45"/>
      <c r="D308" s="45"/>
      <c r="E308" s="45"/>
      <c r="F308" s="45"/>
      <c r="G308" s="45"/>
      <c r="H308" s="45"/>
      <c r="I308" s="45"/>
      <c r="J308" s="45"/>
      <c r="K308" s="45"/>
      <c r="L308" s="45"/>
      <c r="M308" s="45"/>
      <c r="N308" s="45"/>
      <c r="O308" s="47"/>
      <c r="P308" s="45"/>
      <c r="Q308" s="45"/>
      <c r="R308" s="45"/>
      <c r="S308" s="45"/>
      <c r="T308" s="45"/>
      <c r="U308" s="45"/>
      <c r="V308" s="45"/>
      <c r="W308" s="45"/>
      <c r="X308" s="28"/>
      <c r="Y308" s="28"/>
      <c r="Z308" s="28"/>
      <c r="AA308" s="28"/>
      <c r="AB308" s="28"/>
      <c r="AC308" s="28"/>
    </row>
    <row r="309" spans="1:29" ht="13">
      <c r="A309" s="28"/>
      <c r="B309" s="45"/>
      <c r="C309" s="45"/>
      <c r="D309" s="45"/>
      <c r="E309" s="45"/>
      <c r="F309" s="45"/>
      <c r="G309" s="45"/>
      <c r="H309" s="45"/>
      <c r="I309" s="45"/>
      <c r="J309" s="45"/>
      <c r="K309" s="45"/>
      <c r="L309" s="45"/>
      <c r="M309" s="45"/>
      <c r="N309" s="45"/>
      <c r="O309" s="47"/>
      <c r="P309" s="45"/>
      <c r="Q309" s="45"/>
      <c r="R309" s="45"/>
      <c r="S309" s="45"/>
      <c r="T309" s="45"/>
      <c r="U309" s="45"/>
      <c r="V309" s="45"/>
      <c r="W309" s="45"/>
      <c r="X309" s="28"/>
      <c r="Y309" s="28"/>
      <c r="Z309" s="28"/>
      <c r="AA309" s="28"/>
      <c r="AB309" s="28"/>
      <c r="AC309" s="28"/>
    </row>
    <row r="310" spans="1:29" ht="13">
      <c r="A310" s="28"/>
      <c r="B310" s="45"/>
      <c r="C310" s="45"/>
      <c r="D310" s="45"/>
      <c r="E310" s="45"/>
      <c r="F310" s="45"/>
      <c r="G310" s="45"/>
      <c r="H310" s="45"/>
      <c r="I310" s="45"/>
      <c r="J310" s="45"/>
      <c r="K310" s="45"/>
      <c r="L310" s="45"/>
      <c r="M310" s="45"/>
      <c r="N310" s="45"/>
      <c r="O310" s="47"/>
      <c r="P310" s="45"/>
      <c r="Q310" s="45"/>
      <c r="R310" s="45"/>
      <c r="S310" s="45"/>
      <c r="T310" s="45"/>
      <c r="U310" s="45"/>
      <c r="V310" s="45"/>
      <c r="W310" s="45"/>
      <c r="X310" s="28"/>
      <c r="Y310" s="28"/>
      <c r="Z310" s="28"/>
      <c r="AA310" s="28"/>
      <c r="AB310" s="28"/>
      <c r="AC310" s="28"/>
    </row>
    <row r="311" spans="1:29" ht="13">
      <c r="A311" s="28"/>
      <c r="B311" s="45"/>
      <c r="C311" s="45"/>
      <c r="D311" s="45"/>
      <c r="E311" s="45"/>
      <c r="F311" s="45"/>
      <c r="G311" s="45"/>
      <c r="H311" s="45"/>
      <c r="I311" s="45"/>
      <c r="J311" s="45"/>
      <c r="K311" s="45"/>
      <c r="L311" s="45"/>
      <c r="M311" s="45"/>
      <c r="N311" s="45"/>
      <c r="O311" s="47"/>
      <c r="P311" s="45"/>
      <c r="Q311" s="45"/>
      <c r="R311" s="45"/>
      <c r="S311" s="45"/>
      <c r="T311" s="45"/>
      <c r="U311" s="45"/>
      <c r="V311" s="45"/>
      <c r="W311" s="45"/>
      <c r="X311" s="28"/>
      <c r="Y311" s="28"/>
      <c r="Z311" s="28"/>
      <c r="AA311" s="28"/>
      <c r="AB311" s="28"/>
      <c r="AC311" s="28"/>
    </row>
    <row r="312" spans="1:29" ht="13">
      <c r="A312" s="28"/>
      <c r="B312" s="45"/>
      <c r="C312" s="45"/>
      <c r="D312" s="45"/>
      <c r="E312" s="45"/>
      <c r="F312" s="45"/>
      <c r="G312" s="45"/>
      <c r="H312" s="45"/>
      <c r="I312" s="45"/>
      <c r="J312" s="45"/>
      <c r="K312" s="45"/>
      <c r="L312" s="45"/>
      <c r="M312" s="45"/>
      <c r="N312" s="45"/>
      <c r="O312" s="47"/>
      <c r="P312" s="45"/>
      <c r="Q312" s="45"/>
      <c r="R312" s="45"/>
      <c r="S312" s="45"/>
      <c r="T312" s="45"/>
      <c r="U312" s="45"/>
      <c r="V312" s="45"/>
      <c r="W312" s="45"/>
      <c r="X312" s="28"/>
      <c r="Y312" s="28"/>
      <c r="Z312" s="28"/>
      <c r="AA312" s="28"/>
      <c r="AB312" s="28"/>
      <c r="AC312" s="28"/>
    </row>
    <row r="313" spans="1:29" ht="13">
      <c r="A313" s="28"/>
      <c r="B313" s="45"/>
      <c r="C313" s="45"/>
      <c r="D313" s="45"/>
      <c r="E313" s="45"/>
      <c r="F313" s="45"/>
      <c r="G313" s="45"/>
      <c r="H313" s="45"/>
      <c r="I313" s="45"/>
      <c r="J313" s="45"/>
      <c r="K313" s="45"/>
      <c r="L313" s="45"/>
      <c r="M313" s="45"/>
      <c r="N313" s="45"/>
      <c r="O313" s="47"/>
      <c r="P313" s="45"/>
      <c r="Q313" s="45"/>
      <c r="R313" s="45"/>
      <c r="S313" s="45"/>
      <c r="T313" s="45"/>
      <c r="U313" s="45"/>
      <c r="V313" s="45"/>
      <c r="W313" s="45"/>
      <c r="X313" s="28"/>
      <c r="Y313" s="28"/>
      <c r="Z313" s="28"/>
      <c r="AA313" s="28"/>
      <c r="AB313" s="28"/>
      <c r="AC313" s="28"/>
    </row>
    <row r="314" spans="1:29" ht="13">
      <c r="A314" s="28"/>
      <c r="B314" s="45"/>
      <c r="C314" s="45"/>
      <c r="D314" s="45"/>
      <c r="E314" s="45"/>
      <c r="F314" s="45"/>
      <c r="G314" s="45"/>
      <c r="H314" s="45"/>
      <c r="I314" s="45"/>
      <c r="J314" s="45"/>
      <c r="K314" s="45"/>
      <c r="L314" s="45"/>
      <c r="M314" s="45"/>
      <c r="N314" s="45"/>
      <c r="O314" s="47"/>
      <c r="P314" s="45"/>
      <c r="Q314" s="45"/>
      <c r="R314" s="45"/>
      <c r="S314" s="45"/>
      <c r="T314" s="45"/>
      <c r="U314" s="45"/>
      <c r="V314" s="45"/>
      <c r="W314" s="45"/>
      <c r="X314" s="28"/>
      <c r="Y314" s="28"/>
      <c r="Z314" s="28"/>
      <c r="AA314" s="28"/>
      <c r="AB314" s="28"/>
      <c r="AC314" s="28"/>
    </row>
    <row r="315" spans="1:29" ht="13">
      <c r="A315" s="28"/>
      <c r="B315" s="45"/>
      <c r="C315" s="45"/>
      <c r="D315" s="45"/>
      <c r="E315" s="45"/>
      <c r="F315" s="45"/>
      <c r="G315" s="45"/>
      <c r="H315" s="45"/>
      <c r="I315" s="45"/>
      <c r="J315" s="45"/>
      <c r="K315" s="45"/>
      <c r="L315" s="45"/>
      <c r="M315" s="45"/>
      <c r="N315" s="45"/>
      <c r="O315" s="47"/>
      <c r="P315" s="45"/>
      <c r="Q315" s="45"/>
      <c r="R315" s="45"/>
      <c r="S315" s="45"/>
      <c r="T315" s="45"/>
      <c r="U315" s="45"/>
      <c r="V315" s="45"/>
      <c r="W315" s="45"/>
      <c r="X315" s="28"/>
      <c r="Y315" s="28"/>
      <c r="Z315" s="28"/>
      <c r="AA315" s="28"/>
      <c r="AB315" s="28"/>
      <c r="AC315" s="28"/>
    </row>
    <row r="316" spans="1:29" ht="13">
      <c r="A316" s="28"/>
      <c r="B316" s="45"/>
      <c r="C316" s="45"/>
      <c r="D316" s="45"/>
      <c r="E316" s="45"/>
      <c r="F316" s="45"/>
      <c r="G316" s="45"/>
      <c r="H316" s="45"/>
      <c r="I316" s="45"/>
      <c r="J316" s="45"/>
      <c r="K316" s="45"/>
      <c r="L316" s="45"/>
      <c r="M316" s="45"/>
      <c r="N316" s="45"/>
      <c r="O316" s="47"/>
      <c r="P316" s="45"/>
      <c r="Q316" s="45"/>
      <c r="R316" s="45"/>
      <c r="S316" s="45"/>
      <c r="T316" s="45"/>
      <c r="U316" s="45"/>
      <c r="V316" s="45"/>
      <c r="W316" s="45"/>
      <c r="X316" s="28"/>
      <c r="Y316" s="28"/>
      <c r="Z316" s="28"/>
      <c r="AA316" s="28"/>
      <c r="AB316" s="28"/>
      <c r="AC316" s="28"/>
    </row>
    <row r="317" spans="1:29" ht="13">
      <c r="A317" s="28"/>
      <c r="B317" s="45"/>
      <c r="C317" s="45"/>
      <c r="D317" s="45"/>
      <c r="E317" s="45"/>
      <c r="F317" s="45"/>
      <c r="G317" s="45"/>
      <c r="H317" s="45"/>
      <c r="I317" s="45"/>
      <c r="J317" s="45"/>
      <c r="K317" s="45"/>
      <c r="L317" s="45"/>
      <c r="M317" s="45"/>
      <c r="N317" s="45"/>
      <c r="O317" s="47"/>
      <c r="P317" s="45"/>
      <c r="Q317" s="45"/>
      <c r="R317" s="45"/>
      <c r="S317" s="45"/>
      <c r="T317" s="45"/>
      <c r="U317" s="45"/>
      <c r="V317" s="45"/>
      <c r="W317" s="45"/>
      <c r="X317" s="28"/>
      <c r="Y317" s="28"/>
      <c r="Z317" s="28"/>
      <c r="AA317" s="28"/>
      <c r="AB317" s="28"/>
      <c r="AC317" s="28"/>
    </row>
    <row r="318" spans="1:29" ht="13">
      <c r="A318" s="28"/>
      <c r="B318" s="45"/>
      <c r="C318" s="45"/>
      <c r="D318" s="45"/>
      <c r="E318" s="45"/>
      <c r="F318" s="45"/>
      <c r="G318" s="45"/>
      <c r="H318" s="45"/>
      <c r="I318" s="45"/>
      <c r="J318" s="45"/>
      <c r="K318" s="45"/>
      <c r="L318" s="45"/>
      <c r="M318" s="45"/>
      <c r="N318" s="45"/>
      <c r="O318" s="47"/>
      <c r="P318" s="45"/>
      <c r="Q318" s="45"/>
      <c r="R318" s="45"/>
      <c r="S318" s="45"/>
      <c r="T318" s="45"/>
      <c r="U318" s="45"/>
      <c r="V318" s="45"/>
      <c r="W318" s="45"/>
      <c r="X318" s="28"/>
      <c r="Y318" s="28"/>
      <c r="Z318" s="28"/>
      <c r="AA318" s="28"/>
      <c r="AB318" s="28"/>
      <c r="AC318" s="28"/>
    </row>
    <row r="319" spans="1:29" ht="13">
      <c r="A319" s="28"/>
      <c r="B319" s="45"/>
      <c r="C319" s="45"/>
      <c r="D319" s="45"/>
      <c r="E319" s="45"/>
      <c r="F319" s="45"/>
      <c r="G319" s="45"/>
      <c r="H319" s="45"/>
      <c r="I319" s="45"/>
      <c r="J319" s="45"/>
      <c r="K319" s="45"/>
      <c r="L319" s="45"/>
      <c r="M319" s="45"/>
      <c r="N319" s="45"/>
      <c r="O319" s="47"/>
      <c r="P319" s="45"/>
      <c r="Q319" s="45"/>
      <c r="R319" s="45"/>
      <c r="S319" s="45"/>
      <c r="T319" s="45"/>
      <c r="U319" s="45"/>
      <c r="V319" s="45"/>
      <c r="W319" s="45"/>
      <c r="X319" s="28"/>
      <c r="Y319" s="28"/>
      <c r="Z319" s="28"/>
      <c r="AA319" s="28"/>
      <c r="AB319" s="28"/>
      <c r="AC319" s="28"/>
    </row>
    <row r="320" spans="1:29" ht="13">
      <c r="A320" s="28"/>
      <c r="B320" s="45"/>
      <c r="C320" s="45"/>
      <c r="D320" s="45"/>
      <c r="E320" s="45"/>
      <c r="F320" s="45"/>
      <c r="G320" s="45"/>
      <c r="H320" s="45"/>
      <c r="I320" s="45"/>
      <c r="J320" s="45"/>
      <c r="K320" s="45"/>
      <c r="L320" s="45"/>
      <c r="M320" s="45"/>
      <c r="N320" s="45"/>
      <c r="O320" s="47"/>
      <c r="P320" s="45"/>
      <c r="Q320" s="45"/>
      <c r="R320" s="45"/>
      <c r="S320" s="45"/>
      <c r="T320" s="45"/>
      <c r="U320" s="45"/>
      <c r="V320" s="45"/>
      <c r="W320" s="45"/>
      <c r="X320" s="28"/>
      <c r="Y320" s="28"/>
      <c r="Z320" s="28"/>
      <c r="AA320" s="28"/>
      <c r="AB320" s="28"/>
      <c r="AC320" s="28"/>
    </row>
    <row r="321" spans="1:29" ht="13">
      <c r="A321" s="28"/>
      <c r="B321" s="45"/>
      <c r="C321" s="45"/>
      <c r="D321" s="45"/>
      <c r="E321" s="45"/>
      <c r="F321" s="45"/>
      <c r="G321" s="45"/>
      <c r="H321" s="45"/>
      <c r="I321" s="45"/>
      <c r="J321" s="45"/>
      <c r="K321" s="45"/>
      <c r="L321" s="45"/>
      <c r="M321" s="45"/>
      <c r="N321" s="45"/>
      <c r="O321" s="47"/>
      <c r="P321" s="45"/>
      <c r="Q321" s="45"/>
      <c r="R321" s="45"/>
      <c r="S321" s="45"/>
      <c r="T321" s="45"/>
      <c r="U321" s="45"/>
      <c r="V321" s="45"/>
      <c r="W321" s="45"/>
      <c r="X321" s="28"/>
      <c r="Y321" s="28"/>
      <c r="Z321" s="28"/>
      <c r="AA321" s="28"/>
      <c r="AB321" s="28"/>
      <c r="AC321" s="28"/>
    </row>
    <row r="322" spans="1:29" ht="13">
      <c r="A322" s="28"/>
      <c r="B322" s="45"/>
      <c r="C322" s="45"/>
      <c r="D322" s="45"/>
      <c r="E322" s="45"/>
      <c r="F322" s="45"/>
      <c r="G322" s="45"/>
      <c r="H322" s="45"/>
      <c r="I322" s="45"/>
      <c r="J322" s="45"/>
      <c r="K322" s="45"/>
      <c r="L322" s="45"/>
      <c r="M322" s="45"/>
      <c r="N322" s="45"/>
      <c r="O322" s="47"/>
      <c r="P322" s="45"/>
      <c r="Q322" s="45"/>
      <c r="R322" s="45"/>
      <c r="S322" s="45"/>
      <c r="T322" s="45"/>
      <c r="U322" s="45"/>
      <c r="V322" s="45"/>
      <c r="W322" s="45"/>
      <c r="X322" s="28"/>
      <c r="Y322" s="28"/>
      <c r="Z322" s="28"/>
      <c r="AA322" s="28"/>
      <c r="AB322" s="28"/>
      <c r="AC322" s="28"/>
    </row>
    <row r="323" spans="1:29" ht="13">
      <c r="A323" s="28"/>
      <c r="B323" s="45"/>
      <c r="C323" s="45"/>
      <c r="D323" s="45"/>
      <c r="E323" s="45"/>
      <c r="F323" s="45"/>
      <c r="G323" s="45"/>
      <c r="H323" s="45"/>
      <c r="I323" s="45"/>
      <c r="J323" s="45"/>
      <c r="K323" s="45"/>
      <c r="L323" s="45"/>
      <c r="M323" s="45"/>
      <c r="N323" s="45"/>
      <c r="O323" s="47"/>
      <c r="P323" s="45"/>
      <c r="Q323" s="45"/>
      <c r="R323" s="45"/>
      <c r="S323" s="45"/>
      <c r="T323" s="45"/>
      <c r="U323" s="45"/>
      <c r="V323" s="45"/>
      <c r="W323" s="45"/>
      <c r="X323" s="28"/>
      <c r="Y323" s="28"/>
      <c r="Z323" s="28"/>
      <c r="AA323" s="28"/>
      <c r="AB323" s="28"/>
      <c r="AC323" s="28"/>
    </row>
    <row r="324" spans="1:29" ht="13">
      <c r="A324" s="28"/>
      <c r="B324" s="45"/>
      <c r="C324" s="45"/>
      <c r="D324" s="45"/>
      <c r="E324" s="45"/>
      <c r="F324" s="45"/>
      <c r="G324" s="45"/>
      <c r="H324" s="45"/>
      <c r="I324" s="45"/>
      <c r="J324" s="45"/>
      <c r="K324" s="45"/>
      <c r="L324" s="45"/>
      <c r="M324" s="45"/>
      <c r="N324" s="45"/>
      <c r="O324" s="47"/>
      <c r="P324" s="45"/>
      <c r="Q324" s="45"/>
      <c r="R324" s="45"/>
      <c r="S324" s="45"/>
      <c r="T324" s="45"/>
      <c r="U324" s="45"/>
      <c r="V324" s="45"/>
      <c r="W324" s="45"/>
      <c r="X324" s="28"/>
      <c r="Y324" s="28"/>
      <c r="Z324" s="28"/>
      <c r="AA324" s="28"/>
      <c r="AB324" s="28"/>
      <c r="AC324" s="28"/>
    </row>
    <row r="325" spans="1:29" ht="13">
      <c r="A325" s="28"/>
      <c r="B325" s="45"/>
      <c r="C325" s="45"/>
      <c r="D325" s="45"/>
      <c r="E325" s="45"/>
      <c r="F325" s="45"/>
      <c r="G325" s="45"/>
      <c r="H325" s="45"/>
      <c r="I325" s="45"/>
      <c r="J325" s="45"/>
      <c r="K325" s="45"/>
      <c r="L325" s="45"/>
      <c r="M325" s="45"/>
      <c r="N325" s="45"/>
      <c r="O325" s="47"/>
      <c r="P325" s="45"/>
      <c r="Q325" s="45"/>
      <c r="R325" s="45"/>
      <c r="S325" s="45"/>
      <c r="T325" s="45"/>
      <c r="U325" s="45"/>
      <c r="V325" s="45"/>
      <c r="W325" s="45"/>
      <c r="X325" s="28"/>
      <c r="Y325" s="28"/>
      <c r="Z325" s="28"/>
      <c r="AA325" s="28"/>
      <c r="AB325" s="28"/>
      <c r="AC325" s="28"/>
    </row>
    <row r="326" spans="1:29" ht="13">
      <c r="A326" s="28"/>
      <c r="B326" s="45"/>
      <c r="C326" s="45"/>
      <c r="D326" s="45"/>
      <c r="E326" s="45"/>
      <c r="F326" s="45"/>
      <c r="G326" s="45"/>
      <c r="H326" s="45"/>
      <c r="I326" s="45"/>
      <c r="J326" s="45"/>
      <c r="K326" s="45"/>
      <c r="L326" s="45"/>
      <c r="M326" s="45"/>
      <c r="N326" s="45"/>
      <c r="O326" s="47"/>
      <c r="P326" s="45"/>
      <c r="Q326" s="45"/>
      <c r="R326" s="45"/>
      <c r="S326" s="45"/>
      <c r="T326" s="45"/>
      <c r="U326" s="45"/>
      <c r="V326" s="45"/>
      <c r="W326" s="45"/>
      <c r="X326" s="28"/>
      <c r="Y326" s="28"/>
      <c r="Z326" s="28"/>
      <c r="AA326" s="28"/>
      <c r="AB326" s="28"/>
      <c r="AC326" s="28"/>
    </row>
    <row r="327" spans="1:29" ht="13">
      <c r="A327" s="28"/>
      <c r="B327" s="45"/>
      <c r="C327" s="45"/>
      <c r="D327" s="45"/>
      <c r="E327" s="45"/>
      <c r="F327" s="45"/>
      <c r="G327" s="45"/>
      <c r="H327" s="45"/>
      <c r="I327" s="45"/>
      <c r="J327" s="45"/>
      <c r="K327" s="45"/>
      <c r="L327" s="45"/>
      <c r="M327" s="45"/>
      <c r="N327" s="45"/>
      <c r="O327" s="47"/>
      <c r="P327" s="45"/>
      <c r="Q327" s="45"/>
      <c r="R327" s="45"/>
      <c r="S327" s="45"/>
      <c r="T327" s="45"/>
      <c r="U327" s="45"/>
      <c r="V327" s="45"/>
      <c r="W327" s="45"/>
      <c r="X327" s="28"/>
      <c r="Y327" s="28"/>
      <c r="Z327" s="28"/>
      <c r="AA327" s="28"/>
      <c r="AB327" s="28"/>
      <c r="AC327" s="28"/>
    </row>
    <row r="328" spans="1:29" ht="13">
      <c r="A328" s="28"/>
      <c r="B328" s="45"/>
      <c r="C328" s="45"/>
      <c r="D328" s="45"/>
      <c r="E328" s="45"/>
      <c r="F328" s="45"/>
      <c r="G328" s="45"/>
      <c r="H328" s="45"/>
      <c r="I328" s="45"/>
      <c r="J328" s="45"/>
      <c r="K328" s="45"/>
      <c r="L328" s="45"/>
      <c r="M328" s="45"/>
      <c r="N328" s="45"/>
      <c r="O328" s="47"/>
      <c r="P328" s="45"/>
      <c r="Q328" s="45"/>
      <c r="R328" s="45"/>
      <c r="S328" s="45"/>
      <c r="T328" s="45"/>
      <c r="U328" s="45"/>
      <c r="V328" s="45"/>
      <c r="W328" s="45"/>
      <c r="X328" s="28"/>
      <c r="Y328" s="28"/>
      <c r="Z328" s="28"/>
      <c r="AA328" s="28"/>
      <c r="AB328" s="28"/>
      <c r="AC328" s="28"/>
    </row>
    <row r="329" spans="1:29" ht="13">
      <c r="A329" s="28"/>
      <c r="B329" s="45"/>
      <c r="C329" s="45"/>
      <c r="D329" s="45"/>
      <c r="E329" s="45"/>
      <c r="F329" s="45"/>
      <c r="G329" s="45"/>
      <c r="H329" s="45"/>
      <c r="I329" s="45"/>
      <c r="J329" s="45"/>
      <c r="K329" s="45"/>
      <c r="L329" s="45"/>
      <c r="M329" s="45"/>
      <c r="N329" s="45"/>
      <c r="O329" s="47"/>
      <c r="P329" s="45"/>
      <c r="Q329" s="45"/>
      <c r="R329" s="45"/>
      <c r="S329" s="45"/>
      <c r="T329" s="45"/>
      <c r="U329" s="45"/>
      <c r="V329" s="45"/>
      <c r="W329" s="45"/>
      <c r="X329" s="28"/>
      <c r="Y329" s="28"/>
      <c r="Z329" s="28"/>
      <c r="AA329" s="28"/>
      <c r="AB329" s="28"/>
      <c r="AC329" s="28"/>
    </row>
    <row r="330" spans="1:29" ht="13">
      <c r="A330" s="28"/>
      <c r="B330" s="45"/>
      <c r="C330" s="45"/>
      <c r="D330" s="45"/>
      <c r="E330" s="45"/>
      <c r="F330" s="45"/>
      <c r="G330" s="45"/>
      <c r="H330" s="45"/>
      <c r="I330" s="45"/>
      <c r="J330" s="45"/>
      <c r="K330" s="45"/>
      <c r="L330" s="45"/>
      <c r="M330" s="45"/>
      <c r="N330" s="45"/>
      <c r="O330" s="47"/>
      <c r="P330" s="45"/>
      <c r="Q330" s="45"/>
      <c r="R330" s="45"/>
      <c r="S330" s="45"/>
      <c r="T330" s="45"/>
      <c r="U330" s="45"/>
      <c r="V330" s="45"/>
      <c r="W330" s="45"/>
      <c r="X330" s="28"/>
      <c r="Y330" s="28"/>
      <c r="Z330" s="28"/>
      <c r="AA330" s="28"/>
      <c r="AB330" s="28"/>
      <c r="AC330" s="28"/>
    </row>
    <row r="331" spans="1:29" ht="13">
      <c r="A331" s="28"/>
      <c r="B331" s="45"/>
      <c r="C331" s="45"/>
      <c r="D331" s="45"/>
      <c r="E331" s="45"/>
      <c r="F331" s="45"/>
      <c r="G331" s="45"/>
      <c r="H331" s="45"/>
      <c r="I331" s="45"/>
      <c r="J331" s="45"/>
      <c r="K331" s="45"/>
      <c r="L331" s="45"/>
      <c r="M331" s="45"/>
      <c r="N331" s="45"/>
      <c r="O331" s="47"/>
      <c r="P331" s="45"/>
      <c r="Q331" s="45"/>
      <c r="R331" s="45"/>
      <c r="S331" s="45"/>
      <c r="T331" s="45"/>
      <c r="U331" s="45"/>
      <c r="V331" s="45"/>
      <c r="W331" s="45"/>
      <c r="X331" s="28"/>
      <c r="Y331" s="28"/>
      <c r="Z331" s="28"/>
      <c r="AA331" s="28"/>
      <c r="AB331" s="28"/>
      <c r="AC331" s="28"/>
    </row>
    <row r="332" spans="1:29" ht="13">
      <c r="A332" s="28"/>
      <c r="B332" s="45"/>
      <c r="C332" s="45"/>
      <c r="D332" s="45"/>
      <c r="E332" s="45"/>
      <c r="F332" s="45"/>
      <c r="G332" s="45"/>
      <c r="H332" s="45"/>
      <c r="I332" s="45"/>
      <c r="J332" s="45"/>
      <c r="K332" s="45"/>
      <c r="L332" s="45"/>
      <c r="M332" s="45"/>
      <c r="N332" s="45"/>
      <c r="O332" s="47"/>
      <c r="P332" s="45"/>
      <c r="Q332" s="45"/>
      <c r="R332" s="45"/>
      <c r="S332" s="45"/>
      <c r="T332" s="45"/>
      <c r="U332" s="45"/>
      <c r="V332" s="45"/>
      <c r="W332" s="45"/>
      <c r="X332" s="28"/>
      <c r="Y332" s="28"/>
      <c r="Z332" s="28"/>
      <c r="AA332" s="28"/>
      <c r="AB332" s="28"/>
      <c r="AC332" s="28"/>
    </row>
    <row r="333" spans="1:29" ht="13">
      <c r="A333" s="28"/>
      <c r="B333" s="45"/>
      <c r="C333" s="45"/>
      <c r="D333" s="45"/>
      <c r="E333" s="45"/>
      <c r="F333" s="45"/>
      <c r="G333" s="45"/>
      <c r="H333" s="45"/>
      <c r="I333" s="45"/>
      <c r="J333" s="45"/>
      <c r="K333" s="45"/>
      <c r="L333" s="45"/>
      <c r="M333" s="45"/>
      <c r="N333" s="45"/>
      <c r="O333" s="47"/>
      <c r="P333" s="45"/>
      <c r="Q333" s="45"/>
      <c r="R333" s="45"/>
      <c r="S333" s="45"/>
      <c r="T333" s="45"/>
      <c r="U333" s="45"/>
      <c r="V333" s="45"/>
      <c r="W333" s="45"/>
      <c r="X333" s="28"/>
      <c r="Y333" s="28"/>
      <c r="Z333" s="28"/>
      <c r="AA333" s="28"/>
      <c r="AB333" s="28"/>
      <c r="AC333" s="28"/>
    </row>
    <row r="334" spans="1:29" ht="13">
      <c r="A334" s="28"/>
      <c r="B334" s="45"/>
      <c r="C334" s="45"/>
      <c r="D334" s="45"/>
      <c r="E334" s="45"/>
      <c r="F334" s="45"/>
      <c r="G334" s="45"/>
      <c r="H334" s="45"/>
      <c r="I334" s="45"/>
      <c r="J334" s="45"/>
      <c r="K334" s="45"/>
      <c r="L334" s="45"/>
      <c r="M334" s="45"/>
      <c r="N334" s="45"/>
      <c r="O334" s="47"/>
      <c r="P334" s="45"/>
      <c r="Q334" s="45"/>
      <c r="R334" s="45"/>
      <c r="S334" s="45"/>
      <c r="T334" s="45"/>
      <c r="U334" s="45"/>
      <c r="V334" s="45"/>
      <c r="W334" s="45"/>
      <c r="X334" s="28"/>
      <c r="Y334" s="28"/>
      <c r="Z334" s="28"/>
      <c r="AA334" s="28"/>
      <c r="AB334" s="28"/>
      <c r="AC334" s="28"/>
    </row>
    <row r="335" spans="1:29" ht="13">
      <c r="A335" s="28"/>
      <c r="B335" s="45"/>
      <c r="C335" s="45"/>
      <c r="D335" s="45"/>
      <c r="E335" s="45"/>
      <c r="F335" s="45"/>
      <c r="G335" s="45"/>
      <c r="H335" s="45"/>
      <c r="I335" s="45"/>
      <c r="J335" s="45"/>
      <c r="K335" s="45"/>
      <c r="L335" s="45"/>
      <c r="M335" s="45"/>
      <c r="N335" s="45"/>
      <c r="O335" s="47"/>
      <c r="P335" s="45"/>
      <c r="Q335" s="45"/>
      <c r="R335" s="45"/>
      <c r="S335" s="45"/>
      <c r="T335" s="45"/>
      <c r="U335" s="45"/>
      <c r="V335" s="45"/>
      <c r="W335" s="45"/>
      <c r="X335" s="28"/>
      <c r="Y335" s="28"/>
      <c r="Z335" s="28"/>
      <c r="AA335" s="28"/>
      <c r="AB335" s="28"/>
      <c r="AC335" s="28"/>
    </row>
    <row r="336" spans="1:29" ht="13">
      <c r="A336" s="28"/>
      <c r="B336" s="45"/>
      <c r="C336" s="45"/>
      <c r="D336" s="45"/>
      <c r="E336" s="45"/>
      <c r="F336" s="45"/>
      <c r="G336" s="45"/>
      <c r="H336" s="45"/>
      <c r="I336" s="45"/>
      <c r="J336" s="45"/>
      <c r="K336" s="45"/>
      <c r="L336" s="45"/>
      <c r="M336" s="45"/>
      <c r="N336" s="45"/>
      <c r="O336" s="47"/>
      <c r="P336" s="45"/>
      <c r="Q336" s="45"/>
      <c r="R336" s="45"/>
      <c r="S336" s="45"/>
      <c r="T336" s="45"/>
      <c r="U336" s="45"/>
      <c r="V336" s="45"/>
      <c r="W336" s="45"/>
      <c r="X336" s="28"/>
      <c r="Y336" s="28"/>
      <c r="Z336" s="28"/>
      <c r="AA336" s="28"/>
      <c r="AB336" s="28"/>
      <c r="AC336" s="28"/>
    </row>
    <row r="337" spans="1:29" ht="13">
      <c r="A337" s="28"/>
      <c r="B337" s="45"/>
      <c r="C337" s="45"/>
      <c r="D337" s="45"/>
      <c r="E337" s="45"/>
      <c r="F337" s="45"/>
      <c r="G337" s="45"/>
      <c r="H337" s="45"/>
      <c r="I337" s="45"/>
      <c r="J337" s="45"/>
      <c r="K337" s="45"/>
      <c r="L337" s="45"/>
      <c r="M337" s="45"/>
      <c r="N337" s="45"/>
      <c r="O337" s="47"/>
      <c r="P337" s="45"/>
      <c r="Q337" s="45"/>
      <c r="R337" s="45"/>
      <c r="S337" s="45"/>
      <c r="T337" s="45"/>
      <c r="U337" s="45"/>
      <c r="V337" s="45"/>
      <c r="W337" s="45"/>
      <c r="X337" s="28"/>
      <c r="Y337" s="28"/>
      <c r="Z337" s="28"/>
      <c r="AA337" s="28"/>
      <c r="AB337" s="28"/>
      <c r="AC337" s="28"/>
    </row>
    <row r="338" spans="1:29" ht="13">
      <c r="A338" s="28"/>
      <c r="B338" s="45"/>
      <c r="C338" s="45"/>
      <c r="D338" s="45"/>
      <c r="E338" s="45"/>
      <c r="F338" s="45"/>
      <c r="G338" s="45"/>
      <c r="H338" s="45"/>
      <c r="I338" s="45"/>
      <c r="J338" s="45"/>
      <c r="K338" s="45"/>
      <c r="L338" s="45"/>
      <c r="M338" s="45"/>
      <c r="N338" s="45"/>
      <c r="O338" s="47"/>
      <c r="P338" s="45"/>
      <c r="Q338" s="45"/>
      <c r="R338" s="45"/>
      <c r="S338" s="45"/>
      <c r="T338" s="45"/>
      <c r="U338" s="45"/>
      <c r="V338" s="45"/>
      <c r="W338" s="45"/>
      <c r="X338" s="28"/>
      <c r="Y338" s="28"/>
      <c r="Z338" s="28"/>
      <c r="AA338" s="28"/>
      <c r="AB338" s="28"/>
      <c r="AC338" s="28"/>
    </row>
    <row r="339" spans="1:29" ht="13">
      <c r="A339" s="28"/>
      <c r="B339" s="45"/>
      <c r="C339" s="45"/>
      <c r="D339" s="45"/>
      <c r="E339" s="45"/>
      <c r="F339" s="45"/>
      <c r="G339" s="45"/>
      <c r="H339" s="45"/>
      <c r="I339" s="45"/>
      <c r="J339" s="45"/>
      <c r="K339" s="45"/>
      <c r="L339" s="45"/>
      <c r="M339" s="45"/>
      <c r="N339" s="45"/>
      <c r="O339" s="47"/>
      <c r="P339" s="45"/>
      <c r="Q339" s="45"/>
      <c r="R339" s="45"/>
      <c r="S339" s="45"/>
      <c r="T339" s="45"/>
      <c r="U339" s="45"/>
      <c r="V339" s="45"/>
      <c r="W339" s="45"/>
      <c r="X339" s="28"/>
      <c r="Y339" s="28"/>
      <c r="Z339" s="28"/>
      <c r="AA339" s="28"/>
      <c r="AB339" s="28"/>
      <c r="AC339" s="28"/>
    </row>
    <row r="340" spans="1:29" ht="13">
      <c r="A340" s="28"/>
      <c r="B340" s="45"/>
      <c r="C340" s="45"/>
      <c r="D340" s="45"/>
      <c r="E340" s="45"/>
      <c r="F340" s="45"/>
      <c r="G340" s="45"/>
      <c r="H340" s="45"/>
      <c r="I340" s="45"/>
      <c r="J340" s="45"/>
      <c r="K340" s="45"/>
      <c r="L340" s="45"/>
      <c r="M340" s="45"/>
      <c r="N340" s="45"/>
      <c r="O340" s="47"/>
      <c r="P340" s="45"/>
      <c r="Q340" s="45"/>
      <c r="R340" s="45"/>
      <c r="S340" s="45"/>
      <c r="T340" s="45"/>
      <c r="U340" s="45"/>
      <c r="V340" s="45"/>
      <c r="W340" s="45"/>
      <c r="X340" s="28"/>
      <c r="Y340" s="28"/>
      <c r="Z340" s="28"/>
      <c r="AA340" s="28"/>
      <c r="AB340" s="28"/>
      <c r="AC340" s="28"/>
    </row>
    <row r="341" spans="1:29" ht="13">
      <c r="A341" s="28"/>
      <c r="B341" s="45"/>
      <c r="C341" s="45"/>
      <c r="D341" s="45"/>
      <c r="E341" s="45"/>
      <c r="F341" s="45"/>
      <c r="G341" s="45"/>
      <c r="H341" s="45"/>
      <c r="I341" s="45"/>
      <c r="J341" s="45"/>
      <c r="K341" s="45"/>
      <c r="L341" s="45"/>
      <c r="M341" s="45"/>
      <c r="N341" s="45"/>
      <c r="O341" s="47"/>
      <c r="P341" s="45"/>
      <c r="Q341" s="45"/>
      <c r="R341" s="45"/>
      <c r="S341" s="45"/>
      <c r="T341" s="45"/>
      <c r="U341" s="45"/>
      <c r="V341" s="45"/>
      <c r="W341" s="45"/>
      <c r="X341" s="28"/>
      <c r="Y341" s="28"/>
      <c r="Z341" s="28"/>
      <c r="AA341" s="28"/>
      <c r="AB341" s="28"/>
      <c r="AC341" s="28"/>
    </row>
    <row r="342" spans="1:29" ht="13">
      <c r="A342" s="28"/>
      <c r="B342" s="45"/>
      <c r="C342" s="45"/>
      <c r="D342" s="45"/>
      <c r="E342" s="45"/>
      <c r="F342" s="45"/>
      <c r="G342" s="45"/>
      <c r="H342" s="45"/>
      <c r="I342" s="45"/>
      <c r="J342" s="45"/>
      <c r="K342" s="45"/>
      <c r="L342" s="45"/>
      <c r="M342" s="45"/>
      <c r="N342" s="45"/>
      <c r="O342" s="47"/>
      <c r="P342" s="45"/>
      <c r="Q342" s="45"/>
      <c r="R342" s="45"/>
      <c r="S342" s="45"/>
      <c r="T342" s="45"/>
      <c r="U342" s="45"/>
      <c r="V342" s="45"/>
      <c r="W342" s="45"/>
      <c r="X342" s="28"/>
      <c r="Y342" s="28"/>
      <c r="Z342" s="28"/>
      <c r="AA342" s="28"/>
      <c r="AB342" s="28"/>
      <c r="AC342" s="28"/>
    </row>
    <row r="343" spans="1:29" ht="13">
      <c r="A343" s="28"/>
      <c r="B343" s="45"/>
      <c r="C343" s="45"/>
      <c r="D343" s="45"/>
      <c r="E343" s="45"/>
      <c r="F343" s="45"/>
      <c r="G343" s="45"/>
      <c r="H343" s="45"/>
      <c r="I343" s="45"/>
      <c r="J343" s="45"/>
      <c r="K343" s="45"/>
      <c r="L343" s="45"/>
      <c r="M343" s="45"/>
      <c r="N343" s="45"/>
      <c r="O343" s="47"/>
      <c r="P343" s="45"/>
      <c r="Q343" s="45"/>
      <c r="R343" s="45"/>
      <c r="S343" s="45"/>
      <c r="T343" s="45"/>
      <c r="U343" s="45"/>
      <c r="V343" s="45"/>
      <c r="W343" s="45"/>
      <c r="X343" s="28"/>
      <c r="Y343" s="28"/>
      <c r="Z343" s="28"/>
      <c r="AA343" s="28"/>
      <c r="AB343" s="28"/>
      <c r="AC343" s="28"/>
    </row>
    <row r="344" spans="1:29" ht="13">
      <c r="A344" s="28"/>
      <c r="B344" s="45"/>
      <c r="C344" s="45"/>
      <c r="D344" s="45"/>
      <c r="E344" s="45"/>
      <c r="F344" s="45"/>
      <c r="G344" s="45"/>
      <c r="H344" s="45"/>
      <c r="I344" s="45"/>
      <c r="J344" s="45"/>
      <c r="K344" s="45"/>
      <c r="L344" s="45"/>
      <c r="M344" s="45"/>
      <c r="N344" s="45"/>
      <c r="O344" s="47"/>
      <c r="P344" s="45"/>
      <c r="Q344" s="45"/>
      <c r="R344" s="45"/>
      <c r="S344" s="45"/>
      <c r="T344" s="45"/>
      <c r="U344" s="45"/>
      <c r="V344" s="45"/>
      <c r="W344" s="45"/>
      <c r="X344" s="28"/>
      <c r="Y344" s="28"/>
      <c r="Z344" s="28"/>
      <c r="AA344" s="28"/>
      <c r="AB344" s="28"/>
      <c r="AC344" s="28"/>
    </row>
    <row r="345" spans="1:29" ht="13">
      <c r="A345" s="28"/>
      <c r="B345" s="45"/>
      <c r="C345" s="45"/>
      <c r="D345" s="45"/>
      <c r="E345" s="45"/>
      <c r="F345" s="45"/>
      <c r="G345" s="45"/>
      <c r="H345" s="45"/>
      <c r="I345" s="45"/>
      <c r="J345" s="45"/>
      <c r="K345" s="45"/>
      <c r="L345" s="45"/>
      <c r="M345" s="45"/>
      <c r="N345" s="45"/>
      <c r="O345" s="47"/>
      <c r="P345" s="45"/>
      <c r="Q345" s="45"/>
      <c r="R345" s="45"/>
      <c r="S345" s="45"/>
      <c r="T345" s="45"/>
      <c r="U345" s="45"/>
      <c r="V345" s="45"/>
      <c r="W345" s="45"/>
      <c r="X345" s="28"/>
      <c r="Y345" s="28"/>
      <c r="Z345" s="28"/>
      <c r="AA345" s="28"/>
      <c r="AB345" s="28"/>
      <c r="AC345" s="28"/>
    </row>
    <row r="346" spans="1:29" ht="13">
      <c r="A346" s="28"/>
      <c r="B346" s="45"/>
      <c r="C346" s="45"/>
      <c r="D346" s="45"/>
      <c r="E346" s="45"/>
      <c r="F346" s="45"/>
      <c r="G346" s="45"/>
      <c r="H346" s="45"/>
      <c r="I346" s="45"/>
      <c r="J346" s="45"/>
      <c r="K346" s="45"/>
      <c r="L346" s="45"/>
      <c r="M346" s="45"/>
      <c r="N346" s="45"/>
      <c r="O346" s="47"/>
      <c r="P346" s="45"/>
      <c r="Q346" s="45"/>
      <c r="R346" s="45"/>
      <c r="S346" s="45"/>
      <c r="T346" s="45"/>
      <c r="U346" s="45"/>
      <c r="V346" s="45"/>
      <c r="W346" s="45"/>
      <c r="X346" s="28"/>
      <c r="Y346" s="28"/>
      <c r="Z346" s="28"/>
      <c r="AA346" s="28"/>
      <c r="AB346" s="28"/>
      <c r="AC346" s="28"/>
    </row>
    <row r="347" spans="1:29" ht="13">
      <c r="A347" s="28"/>
      <c r="B347" s="45"/>
      <c r="C347" s="45"/>
      <c r="D347" s="45"/>
      <c r="E347" s="45"/>
      <c r="F347" s="45"/>
      <c r="G347" s="45"/>
      <c r="H347" s="45"/>
      <c r="I347" s="45"/>
      <c r="J347" s="45"/>
      <c r="K347" s="45"/>
      <c r="L347" s="45"/>
      <c r="M347" s="45"/>
      <c r="N347" s="45"/>
      <c r="O347" s="47"/>
      <c r="P347" s="45"/>
      <c r="Q347" s="45"/>
      <c r="R347" s="45"/>
      <c r="S347" s="45"/>
      <c r="T347" s="45"/>
      <c r="U347" s="45"/>
      <c r="V347" s="45"/>
      <c r="W347" s="45"/>
      <c r="X347" s="28"/>
      <c r="Y347" s="28"/>
      <c r="Z347" s="28"/>
      <c r="AA347" s="28"/>
      <c r="AB347" s="28"/>
      <c r="AC347" s="28"/>
    </row>
    <row r="348" spans="1:29" ht="13">
      <c r="A348" s="28"/>
      <c r="B348" s="45"/>
      <c r="C348" s="45"/>
      <c r="D348" s="45"/>
      <c r="E348" s="45"/>
      <c r="F348" s="45"/>
      <c r="G348" s="45"/>
      <c r="H348" s="45"/>
      <c r="I348" s="45"/>
      <c r="J348" s="45"/>
      <c r="K348" s="45"/>
      <c r="L348" s="45"/>
      <c r="M348" s="45"/>
      <c r="N348" s="45"/>
      <c r="O348" s="47"/>
      <c r="P348" s="45"/>
      <c r="Q348" s="45"/>
      <c r="R348" s="45"/>
      <c r="S348" s="45"/>
      <c r="T348" s="45"/>
      <c r="U348" s="45"/>
      <c r="V348" s="45"/>
      <c r="W348" s="45"/>
      <c r="X348" s="28"/>
      <c r="Y348" s="28"/>
      <c r="Z348" s="28"/>
      <c r="AA348" s="28"/>
      <c r="AB348" s="28"/>
      <c r="AC348" s="28"/>
    </row>
    <row r="349" spans="1:29" ht="13">
      <c r="A349" s="28"/>
      <c r="B349" s="45"/>
      <c r="C349" s="45"/>
      <c r="D349" s="45"/>
      <c r="E349" s="45"/>
      <c r="F349" s="45"/>
      <c r="G349" s="45"/>
      <c r="H349" s="45"/>
      <c r="I349" s="45"/>
      <c r="J349" s="45"/>
      <c r="K349" s="45"/>
      <c r="L349" s="45"/>
      <c r="M349" s="45"/>
      <c r="N349" s="45"/>
      <c r="O349" s="47"/>
      <c r="P349" s="45"/>
      <c r="Q349" s="45"/>
      <c r="R349" s="45"/>
      <c r="S349" s="45"/>
      <c r="T349" s="45"/>
      <c r="U349" s="45"/>
      <c r="V349" s="45"/>
      <c r="W349" s="45"/>
      <c r="X349" s="28"/>
      <c r="Y349" s="28"/>
      <c r="Z349" s="28"/>
      <c r="AA349" s="28"/>
      <c r="AB349" s="28"/>
      <c r="AC349" s="28"/>
    </row>
    <row r="350" spans="1:29" ht="13">
      <c r="A350" s="28"/>
      <c r="B350" s="45"/>
      <c r="C350" s="45"/>
      <c r="D350" s="45"/>
      <c r="E350" s="45"/>
      <c r="F350" s="45"/>
      <c r="G350" s="45"/>
      <c r="H350" s="45"/>
      <c r="I350" s="45"/>
      <c r="J350" s="45"/>
      <c r="K350" s="45"/>
      <c r="L350" s="45"/>
      <c r="M350" s="45"/>
      <c r="N350" s="45"/>
      <c r="O350" s="47"/>
      <c r="P350" s="45"/>
      <c r="Q350" s="45"/>
      <c r="R350" s="45"/>
      <c r="S350" s="45"/>
      <c r="T350" s="45"/>
      <c r="U350" s="45"/>
      <c r="V350" s="45"/>
      <c r="W350" s="45"/>
      <c r="X350" s="28"/>
      <c r="Y350" s="28"/>
      <c r="Z350" s="28"/>
      <c r="AA350" s="28"/>
      <c r="AB350" s="28"/>
      <c r="AC350" s="28"/>
    </row>
    <row r="351" spans="1:29" ht="13">
      <c r="A351" s="28"/>
      <c r="B351" s="45"/>
      <c r="C351" s="45"/>
      <c r="D351" s="45"/>
      <c r="E351" s="45"/>
      <c r="F351" s="45"/>
      <c r="G351" s="45"/>
      <c r="H351" s="45"/>
      <c r="I351" s="45"/>
      <c r="J351" s="45"/>
      <c r="K351" s="45"/>
      <c r="L351" s="45"/>
      <c r="M351" s="45"/>
      <c r="N351" s="45"/>
      <c r="O351" s="47"/>
      <c r="P351" s="45"/>
      <c r="Q351" s="45"/>
      <c r="R351" s="45"/>
      <c r="S351" s="45"/>
      <c r="T351" s="45"/>
      <c r="U351" s="45"/>
      <c r="V351" s="45"/>
      <c r="W351" s="45"/>
      <c r="X351" s="28"/>
      <c r="Y351" s="28"/>
      <c r="Z351" s="28"/>
      <c r="AA351" s="28"/>
      <c r="AB351" s="28"/>
      <c r="AC351" s="28"/>
    </row>
    <row r="352" spans="1:29" ht="13">
      <c r="A352" s="28"/>
      <c r="B352" s="45"/>
      <c r="C352" s="45"/>
      <c r="D352" s="45"/>
      <c r="E352" s="45"/>
      <c r="F352" s="45"/>
      <c r="G352" s="45"/>
      <c r="H352" s="45"/>
      <c r="I352" s="45"/>
      <c r="J352" s="45"/>
      <c r="K352" s="45"/>
      <c r="L352" s="45"/>
      <c r="M352" s="45"/>
      <c r="N352" s="45"/>
      <c r="O352" s="47"/>
      <c r="P352" s="45"/>
      <c r="Q352" s="45"/>
      <c r="R352" s="45"/>
      <c r="S352" s="45"/>
      <c r="T352" s="45"/>
      <c r="U352" s="45"/>
      <c r="V352" s="45"/>
      <c r="W352" s="45"/>
      <c r="X352" s="28"/>
      <c r="Y352" s="28"/>
      <c r="Z352" s="28"/>
      <c r="AA352" s="28"/>
      <c r="AB352" s="28"/>
      <c r="AC352" s="28"/>
    </row>
    <row r="353" spans="1:29" ht="13">
      <c r="A353" s="28"/>
      <c r="B353" s="45"/>
      <c r="C353" s="45"/>
      <c r="D353" s="45"/>
      <c r="E353" s="45"/>
      <c r="F353" s="45"/>
      <c r="G353" s="45"/>
      <c r="H353" s="45"/>
      <c r="I353" s="45"/>
      <c r="J353" s="45"/>
      <c r="K353" s="45"/>
      <c r="L353" s="45"/>
      <c r="M353" s="45"/>
      <c r="N353" s="45"/>
      <c r="O353" s="47"/>
      <c r="P353" s="45"/>
      <c r="Q353" s="45"/>
      <c r="R353" s="45"/>
      <c r="S353" s="45"/>
      <c r="T353" s="45"/>
      <c r="U353" s="45"/>
      <c r="V353" s="45"/>
      <c r="W353" s="45"/>
      <c r="X353" s="28"/>
      <c r="Y353" s="28"/>
      <c r="Z353" s="28"/>
      <c r="AA353" s="28"/>
      <c r="AB353" s="28"/>
      <c r="AC353" s="28"/>
    </row>
    <row r="354" spans="1:29" ht="13">
      <c r="A354" s="28"/>
      <c r="B354" s="45"/>
      <c r="C354" s="45"/>
      <c r="D354" s="45"/>
      <c r="E354" s="45"/>
      <c r="F354" s="45"/>
      <c r="G354" s="45"/>
      <c r="H354" s="45"/>
      <c r="I354" s="45"/>
      <c r="J354" s="45"/>
      <c r="K354" s="45"/>
      <c r="L354" s="45"/>
      <c r="M354" s="45"/>
      <c r="N354" s="45"/>
      <c r="O354" s="47"/>
      <c r="P354" s="45"/>
      <c r="Q354" s="45"/>
      <c r="R354" s="45"/>
      <c r="S354" s="45"/>
      <c r="T354" s="45"/>
      <c r="U354" s="45"/>
      <c r="V354" s="45"/>
      <c r="W354" s="45"/>
      <c r="X354" s="28"/>
      <c r="Y354" s="28"/>
      <c r="Z354" s="28"/>
      <c r="AA354" s="28"/>
      <c r="AB354" s="28"/>
      <c r="AC354" s="28"/>
    </row>
    <row r="355" spans="1:29" ht="13">
      <c r="A355" s="28"/>
      <c r="B355" s="45"/>
      <c r="C355" s="45"/>
      <c r="D355" s="45"/>
      <c r="E355" s="45"/>
      <c r="F355" s="45"/>
      <c r="G355" s="45"/>
      <c r="H355" s="45"/>
      <c r="I355" s="45"/>
      <c r="J355" s="45"/>
      <c r="K355" s="45"/>
      <c r="L355" s="45"/>
      <c r="M355" s="45"/>
      <c r="N355" s="45"/>
      <c r="O355" s="47"/>
      <c r="P355" s="45"/>
      <c r="Q355" s="45"/>
      <c r="R355" s="45"/>
      <c r="S355" s="45"/>
      <c r="T355" s="45"/>
      <c r="U355" s="45"/>
      <c r="V355" s="45"/>
      <c r="W355" s="45"/>
      <c r="X355" s="28"/>
      <c r="Y355" s="28"/>
      <c r="Z355" s="28"/>
      <c r="AA355" s="28"/>
      <c r="AB355" s="28"/>
      <c r="AC355" s="28"/>
    </row>
    <row r="356" spans="1:29" ht="13">
      <c r="A356" s="28"/>
      <c r="B356" s="45"/>
      <c r="C356" s="45"/>
      <c r="D356" s="45"/>
      <c r="E356" s="45"/>
      <c r="F356" s="45"/>
      <c r="G356" s="45"/>
      <c r="H356" s="45"/>
      <c r="I356" s="45"/>
      <c r="J356" s="45"/>
      <c r="K356" s="45"/>
      <c r="L356" s="45"/>
      <c r="M356" s="45"/>
      <c r="N356" s="45"/>
      <c r="O356" s="47"/>
      <c r="P356" s="45"/>
      <c r="Q356" s="45"/>
      <c r="R356" s="45"/>
      <c r="S356" s="45"/>
      <c r="T356" s="45"/>
      <c r="U356" s="45"/>
      <c r="V356" s="45"/>
      <c r="W356" s="45"/>
      <c r="X356" s="28"/>
      <c r="Y356" s="28"/>
      <c r="Z356" s="28"/>
      <c r="AA356" s="28"/>
      <c r="AB356" s="28"/>
      <c r="AC356" s="28"/>
    </row>
    <row r="357" spans="1:29" ht="13">
      <c r="A357" s="28"/>
      <c r="B357" s="45"/>
      <c r="C357" s="45"/>
      <c r="D357" s="45"/>
      <c r="E357" s="45"/>
      <c r="F357" s="45"/>
      <c r="G357" s="45"/>
      <c r="H357" s="45"/>
      <c r="I357" s="45"/>
      <c r="J357" s="45"/>
      <c r="K357" s="45"/>
      <c r="L357" s="45"/>
      <c r="M357" s="45"/>
      <c r="N357" s="45"/>
      <c r="O357" s="47"/>
      <c r="P357" s="45"/>
      <c r="Q357" s="45"/>
      <c r="R357" s="45"/>
      <c r="S357" s="45"/>
      <c r="T357" s="45"/>
      <c r="U357" s="45"/>
      <c r="V357" s="45"/>
      <c r="W357" s="45"/>
      <c r="X357" s="28"/>
      <c r="Y357" s="28"/>
      <c r="Z357" s="28"/>
      <c r="AA357" s="28"/>
      <c r="AB357" s="28"/>
      <c r="AC357" s="28"/>
    </row>
    <row r="358" spans="1:29" ht="13">
      <c r="A358" s="28"/>
      <c r="B358" s="45"/>
      <c r="C358" s="45"/>
      <c r="D358" s="45"/>
      <c r="E358" s="45"/>
      <c r="F358" s="45"/>
      <c r="G358" s="45"/>
      <c r="H358" s="45"/>
      <c r="I358" s="45"/>
      <c r="J358" s="45"/>
      <c r="K358" s="45"/>
      <c r="L358" s="45"/>
      <c r="M358" s="45"/>
      <c r="N358" s="45"/>
      <c r="O358" s="47"/>
      <c r="P358" s="45"/>
      <c r="Q358" s="45"/>
      <c r="R358" s="45"/>
      <c r="S358" s="45"/>
      <c r="T358" s="45"/>
      <c r="U358" s="45"/>
      <c r="V358" s="45"/>
      <c r="W358" s="45"/>
      <c r="X358" s="28"/>
      <c r="Y358" s="28"/>
      <c r="Z358" s="28"/>
      <c r="AA358" s="28"/>
      <c r="AB358" s="28"/>
      <c r="AC358" s="28"/>
    </row>
    <row r="359" spans="1:29" ht="13">
      <c r="A359" s="28"/>
      <c r="B359" s="45"/>
      <c r="C359" s="45"/>
      <c r="D359" s="45"/>
      <c r="E359" s="45"/>
      <c r="F359" s="45"/>
      <c r="G359" s="45"/>
      <c r="H359" s="45"/>
      <c r="I359" s="45"/>
      <c r="J359" s="45"/>
      <c r="K359" s="45"/>
      <c r="L359" s="45"/>
      <c r="M359" s="45"/>
      <c r="N359" s="45"/>
      <c r="O359" s="47"/>
      <c r="P359" s="45"/>
      <c r="Q359" s="45"/>
      <c r="R359" s="45"/>
      <c r="S359" s="45"/>
      <c r="T359" s="45"/>
      <c r="U359" s="45"/>
      <c r="V359" s="45"/>
      <c r="W359" s="45"/>
      <c r="X359" s="28"/>
      <c r="Y359" s="28"/>
      <c r="Z359" s="28"/>
      <c r="AA359" s="28"/>
      <c r="AB359" s="28"/>
      <c r="AC359" s="28"/>
    </row>
    <row r="360" spans="1:29" ht="13">
      <c r="A360" s="28"/>
      <c r="B360" s="45"/>
      <c r="C360" s="45"/>
      <c r="D360" s="45"/>
      <c r="E360" s="45"/>
      <c r="F360" s="45"/>
      <c r="G360" s="45"/>
      <c r="H360" s="45"/>
      <c r="I360" s="45"/>
      <c r="J360" s="45"/>
      <c r="K360" s="45"/>
      <c r="L360" s="45"/>
      <c r="M360" s="45"/>
      <c r="N360" s="45"/>
      <c r="O360" s="47"/>
      <c r="P360" s="45"/>
      <c r="Q360" s="45"/>
      <c r="R360" s="45"/>
      <c r="S360" s="45"/>
      <c r="T360" s="45"/>
      <c r="U360" s="45"/>
      <c r="V360" s="45"/>
      <c r="W360" s="45"/>
      <c r="X360" s="28"/>
      <c r="Y360" s="28"/>
      <c r="Z360" s="28"/>
      <c r="AA360" s="28"/>
      <c r="AB360" s="28"/>
      <c r="AC360" s="28"/>
    </row>
    <row r="361" spans="1:29" ht="13">
      <c r="A361" s="28"/>
      <c r="B361" s="45"/>
      <c r="C361" s="45"/>
      <c r="D361" s="45"/>
      <c r="E361" s="45"/>
      <c r="F361" s="45"/>
      <c r="G361" s="45"/>
      <c r="H361" s="45"/>
      <c r="I361" s="45"/>
      <c r="J361" s="45"/>
      <c r="K361" s="45"/>
      <c r="L361" s="45"/>
      <c r="M361" s="45"/>
      <c r="N361" s="45"/>
      <c r="O361" s="47"/>
      <c r="P361" s="45"/>
      <c r="Q361" s="45"/>
      <c r="R361" s="45"/>
      <c r="S361" s="45"/>
      <c r="T361" s="45"/>
      <c r="U361" s="45"/>
      <c r="V361" s="45"/>
      <c r="W361" s="45"/>
      <c r="X361" s="28"/>
      <c r="Y361" s="28"/>
      <c r="Z361" s="28"/>
      <c r="AA361" s="28"/>
      <c r="AB361" s="28"/>
      <c r="AC361" s="28"/>
    </row>
    <row r="362" spans="1:29" ht="13">
      <c r="A362" s="28"/>
      <c r="B362" s="45"/>
      <c r="C362" s="45"/>
      <c r="D362" s="45"/>
      <c r="E362" s="45"/>
      <c r="F362" s="45"/>
      <c r="G362" s="45"/>
      <c r="H362" s="45"/>
      <c r="I362" s="45"/>
      <c r="J362" s="45"/>
      <c r="K362" s="45"/>
      <c r="L362" s="45"/>
      <c r="M362" s="45"/>
      <c r="N362" s="45"/>
      <c r="O362" s="47"/>
      <c r="P362" s="45"/>
      <c r="Q362" s="45"/>
      <c r="R362" s="45"/>
      <c r="S362" s="45"/>
      <c r="T362" s="45"/>
      <c r="U362" s="45"/>
      <c r="V362" s="45"/>
      <c r="W362" s="45"/>
      <c r="X362" s="28"/>
      <c r="Y362" s="28"/>
      <c r="Z362" s="28"/>
      <c r="AA362" s="28"/>
      <c r="AB362" s="28"/>
      <c r="AC362" s="28"/>
    </row>
    <row r="363" spans="1:29" ht="13">
      <c r="A363" s="28"/>
      <c r="B363" s="45"/>
      <c r="C363" s="45"/>
      <c r="D363" s="45"/>
      <c r="E363" s="45"/>
      <c r="F363" s="45"/>
      <c r="G363" s="45"/>
      <c r="H363" s="45"/>
      <c r="I363" s="45"/>
      <c r="J363" s="45"/>
      <c r="K363" s="45"/>
      <c r="L363" s="45"/>
      <c r="M363" s="45"/>
      <c r="N363" s="45"/>
      <c r="O363" s="47"/>
      <c r="P363" s="45"/>
      <c r="Q363" s="45"/>
      <c r="R363" s="45"/>
      <c r="S363" s="45"/>
      <c r="T363" s="45"/>
      <c r="U363" s="45"/>
      <c r="V363" s="45"/>
      <c r="W363" s="45"/>
      <c r="X363" s="28"/>
      <c r="Y363" s="28"/>
      <c r="Z363" s="28"/>
      <c r="AA363" s="28"/>
      <c r="AB363" s="28"/>
      <c r="AC363" s="28"/>
    </row>
    <row r="364" spans="1:29" ht="13">
      <c r="A364" s="28"/>
      <c r="B364" s="45"/>
      <c r="C364" s="45"/>
      <c r="D364" s="45"/>
      <c r="E364" s="45"/>
      <c r="F364" s="45"/>
      <c r="G364" s="45"/>
      <c r="H364" s="45"/>
      <c r="I364" s="45"/>
      <c r="J364" s="45"/>
      <c r="K364" s="45"/>
      <c r="L364" s="45"/>
      <c r="M364" s="45"/>
      <c r="N364" s="45"/>
      <c r="O364" s="47"/>
      <c r="P364" s="45"/>
      <c r="Q364" s="45"/>
      <c r="R364" s="45"/>
      <c r="S364" s="45"/>
      <c r="T364" s="45"/>
      <c r="U364" s="45"/>
      <c r="V364" s="45"/>
      <c r="W364" s="45"/>
      <c r="X364" s="28"/>
      <c r="Y364" s="28"/>
      <c r="Z364" s="28"/>
      <c r="AA364" s="28"/>
      <c r="AB364" s="28"/>
      <c r="AC364" s="28"/>
    </row>
    <row r="365" spans="1:29" ht="13">
      <c r="A365" s="28"/>
      <c r="B365" s="45"/>
      <c r="C365" s="45"/>
      <c r="D365" s="45"/>
      <c r="E365" s="45"/>
      <c r="F365" s="45"/>
      <c r="G365" s="45"/>
      <c r="H365" s="45"/>
      <c r="I365" s="45"/>
      <c r="J365" s="45"/>
      <c r="K365" s="45"/>
      <c r="L365" s="45"/>
      <c r="M365" s="45"/>
      <c r="N365" s="45"/>
      <c r="O365" s="47"/>
      <c r="P365" s="45"/>
      <c r="Q365" s="45"/>
      <c r="R365" s="45"/>
      <c r="S365" s="45"/>
      <c r="T365" s="45"/>
      <c r="U365" s="45"/>
      <c r="V365" s="45"/>
      <c r="W365" s="45"/>
      <c r="X365" s="28"/>
      <c r="Y365" s="28"/>
      <c r="Z365" s="28"/>
      <c r="AA365" s="28"/>
      <c r="AB365" s="28"/>
      <c r="AC365" s="28"/>
    </row>
    <row r="366" spans="1:29" ht="13">
      <c r="A366" s="28"/>
      <c r="B366" s="45"/>
      <c r="C366" s="45"/>
      <c r="D366" s="45"/>
      <c r="E366" s="45"/>
      <c r="F366" s="45"/>
      <c r="G366" s="45"/>
      <c r="H366" s="45"/>
      <c r="I366" s="45"/>
      <c r="J366" s="45"/>
      <c r="K366" s="45"/>
      <c r="L366" s="45"/>
      <c r="M366" s="45"/>
      <c r="N366" s="45"/>
      <c r="O366" s="47"/>
      <c r="P366" s="45"/>
      <c r="Q366" s="45"/>
      <c r="R366" s="45"/>
      <c r="S366" s="45"/>
      <c r="T366" s="45"/>
      <c r="U366" s="45"/>
      <c r="V366" s="45"/>
      <c r="W366" s="45"/>
      <c r="X366" s="28"/>
      <c r="Y366" s="28"/>
      <c r="Z366" s="28"/>
      <c r="AA366" s="28"/>
      <c r="AB366" s="28"/>
      <c r="AC366" s="28"/>
    </row>
    <row r="367" spans="1:29" ht="13">
      <c r="A367" s="28"/>
      <c r="B367" s="45"/>
      <c r="C367" s="45"/>
      <c r="D367" s="45"/>
      <c r="E367" s="45"/>
      <c r="F367" s="45"/>
      <c r="G367" s="45"/>
      <c r="H367" s="45"/>
      <c r="I367" s="45"/>
      <c r="J367" s="45"/>
      <c r="K367" s="45"/>
      <c r="L367" s="45"/>
      <c r="M367" s="45"/>
      <c r="N367" s="45"/>
      <c r="O367" s="47"/>
      <c r="P367" s="45"/>
      <c r="Q367" s="45"/>
      <c r="R367" s="45"/>
      <c r="S367" s="45"/>
      <c r="T367" s="45"/>
      <c r="U367" s="45"/>
      <c r="V367" s="45"/>
      <c r="W367" s="45"/>
      <c r="X367" s="28"/>
      <c r="Y367" s="28"/>
      <c r="Z367" s="28"/>
      <c r="AA367" s="28"/>
      <c r="AB367" s="28"/>
      <c r="AC367" s="28"/>
    </row>
    <row r="368" spans="1:29" ht="13">
      <c r="A368" s="28"/>
      <c r="B368" s="45"/>
      <c r="C368" s="45"/>
      <c r="D368" s="45"/>
      <c r="E368" s="45"/>
      <c r="F368" s="45"/>
      <c r="G368" s="45"/>
      <c r="H368" s="45"/>
      <c r="I368" s="45"/>
      <c r="J368" s="45"/>
      <c r="K368" s="45"/>
      <c r="L368" s="45"/>
      <c r="M368" s="45"/>
      <c r="N368" s="45"/>
      <c r="O368" s="47"/>
      <c r="P368" s="45"/>
      <c r="Q368" s="45"/>
      <c r="R368" s="45"/>
      <c r="S368" s="45"/>
      <c r="T368" s="45"/>
      <c r="U368" s="45"/>
      <c r="V368" s="45"/>
      <c r="W368" s="45"/>
      <c r="X368" s="28"/>
      <c r="Y368" s="28"/>
      <c r="Z368" s="28"/>
      <c r="AA368" s="28"/>
      <c r="AB368" s="28"/>
      <c r="AC368" s="28"/>
    </row>
    <row r="369" spans="1:29" ht="13">
      <c r="A369" s="28"/>
      <c r="B369" s="45"/>
      <c r="C369" s="45"/>
      <c r="D369" s="45"/>
      <c r="E369" s="45"/>
      <c r="F369" s="45"/>
      <c r="G369" s="45"/>
      <c r="H369" s="45"/>
      <c r="I369" s="45"/>
      <c r="J369" s="45"/>
      <c r="K369" s="45"/>
      <c r="L369" s="45"/>
      <c r="M369" s="45"/>
      <c r="N369" s="45"/>
      <c r="O369" s="47"/>
      <c r="P369" s="45"/>
      <c r="Q369" s="45"/>
      <c r="R369" s="45"/>
      <c r="S369" s="45"/>
      <c r="T369" s="45"/>
      <c r="U369" s="45"/>
      <c r="V369" s="45"/>
      <c r="W369" s="45"/>
      <c r="X369" s="28"/>
      <c r="Y369" s="28"/>
      <c r="Z369" s="28"/>
      <c r="AA369" s="28"/>
      <c r="AB369" s="28"/>
      <c r="AC369" s="28"/>
    </row>
    <row r="370" spans="1:29" ht="13">
      <c r="A370" s="28"/>
      <c r="B370" s="45"/>
      <c r="C370" s="45"/>
      <c r="D370" s="45"/>
      <c r="E370" s="45"/>
      <c r="F370" s="45"/>
      <c r="G370" s="45"/>
      <c r="H370" s="45"/>
      <c r="I370" s="45"/>
      <c r="J370" s="45"/>
      <c r="K370" s="45"/>
      <c r="L370" s="45"/>
      <c r="M370" s="45"/>
      <c r="N370" s="45"/>
      <c r="O370" s="47"/>
      <c r="P370" s="45"/>
      <c r="Q370" s="45"/>
      <c r="R370" s="45"/>
      <c r="S370" s="45"/>
      <c r="T370" s="45"/>
      <c r="U370" s="45"/>
      <c r="V370" s="45"/>
      <c r="W370" s="45"/>
      <c r="X370" s="28"/>
      <c r="Y370" s="28"/>
      <c r="Z370" s="28"/>
      <c r="AA370" s="28"/>
      <c r="AB370" s="28"/>
      <c r="AC370" s="28"/>
    </row>
    <row r="371" spans="1:29" ht="13">
      <c r="A371" s="28"/>
      <c r="B371" s="45"/>
      <c r="C371" s="45"/>
      <c r="D371" s="45"/>
      <c r="E371" s="45"/>
      <c r="F371" s="45"/>
      <c r="G371" s="45"/>
      <c r="H371" s="45"/>
      <c r="I371" s="45"/>
      <c r="J371" s="45"/>
      <c r="K371" s="45"/>
      <c r="L371" s="45"/>
      <c r="M371" s="45"/>
      <c r="N371" s="45"/>
      <c r="O371" s="47"/>
      <c r="P371" s="45"/>
      <c r="Q371" s="45"/>
      <c r="R371" s="45"/>
      <c r="S371" s="45"/>
      <c r="T371" s="45"/>
      <c r="U371" s="45"/>
      <c r="V371" s="45"/>
      <c r="W371" s="45"/>
      <c r="X371" s="28"/>
      <c r="Y371" s="28"/>
      <c r="Z371" s="28"/>
      <c r="AA371" s="28"/>
      <c r="AB371" s="28"/>
      <c r="AC371" s="28"/>
    </row>
    <row r="372" spans="1:29" ht="13">
      <c r="A372" s="28"/>
      <c r="B372" s="45"/>
      <c r="C372" s="45"/>
      <c r="D372" s="45"/>
      <c r="E372" s="45"/>
      <c r="F372" s="45"/>
      <c r="G372" s="45"/>
      <c r="H372" s="45"/>
      <c r="I372" s="45"/>
      <c r="J372" s="45"/>
      <c r="K372" s="45"/>
      <c r="L372" s="45"/>
      <c r="M372" s="45"/>
      <c r="N372" s="45"/>
      <c r="O372" s="47"/>
      <c r="P372" s="45"/>
      <c r="Q372" s="45"/>
      <c r="R372" s="45"/>
      <c r="S372" s="45"/>
      <c r="T372" s="45"/>
      <c r="U372" s="45"/>
      <c r="V372" s="45"/>
      <c r="W372" s="45"/>
      <c r="X372" s="28"/>
      <c r="Y372" s="28"/>
      <c r="Z372" s="28"/>
      <c r="AA372" s="28"/>
      <c r="AB372" s="28"/>
      <c r="AC372" s="28"/>
    </row>
    <row r="373" spans="1:29" ht="13">
      <c r="A373" s="28"/>
      <c r="B373" s="45"/>
      <c r="C373" s="45"/>
      <c r="D373" s="45"/>
      <c r="E373" s="45"/>
      <c r="F373" s="45"/>
      <c r="G373" s="45"/>
      <c r="H373" s="45"/>
      <c r="I373" s="45"/>
      <c r="J373" s="45"/>
      <c r="K373" s="45"/>
      <c r="L373" s="45"/>
      <c r="M373" s="45"/>
      <c r="N373" s="45"/>
      <c r="O373" s="47"/>
      <c r="P373" s="45"/>
      <c r="Q373" s="45"/>
      <c r="R373" s="45"/>
      <c r="S373" s="45"/>
      <c r="T373" s="45"/>
      <c r="U373" s="45"/>
      <c r="V373" s="45"/>
      <c r="W373" s="45"/>
      <c r="X373" s="28"/>
      <c r="Y373" s="28"/>
      <c r="Z373" s="28"/>
      <c r="AA373" s="28"/>
      <c r="AB373" s="28"/>
      <c r="AC373" s="28"/>
    </row>
    <row r="374" spans="1:29" ht="13">
      <c r="A374" s="28"/>
      <c r="B374" s="45"/>
      <c r="C374" s="45"/>
      <c r="D374" s="45"/>
      <c r="E374" s="45"/>
      <c r="F374" s="45"/>
      <c r="G374" s="45"/>
      <c r="H374" s="45"/>
      <c r="I374" s="45"/>
      <c r="J374" s="45"/>
      <c r="K374" s="45"/>
      <c r="L374" s="45"/>
      <c r="M374" s="45"/>
      <c r="N374" s="45"/>
      <c r="O374" s="47"/>
      <c r="P374" s="45"/>
      <c r="Q374" s="45"/>
      <c r="R374" s="45"/>
      <c r="S374" s="45"/>
      <c r="T374" s="45"/>
      <c r="U374" s="45"/>
      <c r="V374" s="45"/>
      <c r="W374" s="45"/>
      <c r="X374" s="28"/>
      <c r="Y374" s="28"/>
      <c r="Z374" s="28"/>
      <c r="AA374" s="28"/>
      <c r="AB374" s="28"/>
      <c r="AC374" s="28"/>
    </row>
    <row r="375" spans="1:29" ht="13">
      <c r="A375" s="28"/>
      <c r="B375" s="45"/>
      <c r="C375" s="45"/>
      <c r="D375" s="45"/>
      <c r="E375" s="45"/>
      <c r="F375" s="45"/>
      <c r="G375" s="45"/>
      <c r="H375" s="45"/>
      <c r="I375" s="45"/>
      <c r="J375" s="45"/>
      <c r="K375" s="45"/>
      <c r="L375" s="45"/>
      <c r="M375" s="45"/>
      <c r="N375" s="45"/>
      <c r="O375" s="47"/>
      <c r="P375" s="45"/>
      <c r="Q375" s="45"/>
      <c r="R375" s="45"/>
      <c r="S375" s="45"/>
      <c r="T375" s="45"/>
      <c r="U375" s="45"/>
      <c r="V375" s="45"/>
      <c r="W375" s="45"/>
      <c r="X375" s="28"/>
      <c r="Y375" s="28"/>
      <c r="Z375" s="28"/>
      <c r="AA375" s="28"/>
      <c r="AB375" s="28"/>
      <c r="AC375" s="28"/>
    </row>
    <row r="376" spans="1:29" ht="13">
      <c r="A376" s="28"/>
      <c r="B376" s="45"/>
      <c r="C376" s="45"/>
      <c r="D376" s="45"/>
      <c r="E376" s="45"/>
      <c r="F376" s="45"/>
      <c r="G376" s="45"/>
      <c r="H376" s="45"/>
      <c r="I376" s="45"/>
      <c r="J376" s="45"/>
      <c r="K376" s="45"/>
      <c r="L376" s="45"/>
      <c r="M376" s="45"/>
      <c r="N376" s="45"/>
      <c r="O376" s="47"/>
      <c r="P376" s="45"/>
      <c r="Q376" s="45"/>
      <c r="R376" s="45"/>
      <c r="S376" s="45"/>
      <c r="T376" s="45"/>
      <c r="U376" s="45"/>
      <c r="V376" s="45"/>
      <c r="W376" s="45"/>
      <c r="X376" s="28"/>
      <c r="Y376" s="28"/>
      <c r="Z376" s="28"/>
      <c r="AA376" s="28"/>
      <c r="AB376" s="28"/>
      <c r="AC376" s="28"/>
    </row>
    <row r="377" spans="1:29" ht="13">
      <c r="A377" s="28"/>
      <c r="B377" s="45"/>
      <c r="C377" s="45"/>
      <c r="D377" s="45"/>
      <c r="E377" s="45"/>
      <c r="F377" s="45"/>
      <c r="G377" s="45"/>
      <c r="H377" s="45"/>
      <c r="I377" s="45"/>
      <c r="J377" s="45"/>
      <c r="K377" s="45"/>
      <c r="L377" s="45"/>
      <c r="M377" s="45"/>
      <c r="N377" s="45"/>
      <c r="O377" s="47"/>
      <c r="P377" s="45"/>
      <c r="Q377" s="45"/>
      <c r="R377" s="45"/>
      <c r="S377" s="45"/>
      <c r="T377" s="45"/>
      <c r="U377" s="45"/>
      <c r="V377" s="45"/>
      <c r="W377" s="45"/>
      <c r="X377" s="28"/>
      <c r="Y377" s="28"/>
      <c r="Z377" s="28"/>
      <c r="AA377" s="28"/>
      <c r="AB377" s="28"/>
      <c r="AC377" s="28"/>
    </row>
    <row r="378" spans="1:29" ht="13">
      <c r="A378" s="28"/>
      <c r="B378" s="45"/>
      <c r="C378" s="45"/>
      <c r="D378" s="45"/>
      <c r="E378" s="45"/>
      <c r="F378" s="45"/>
      <c r="G378" s="45"/>
      <c r="H378" s="45"/>
      <c r="I378" s="45"/>
      <c r="J378" s="45"/>
      <c r="K378" s="45"/>
      <c r="L378" s="45"/>
      <c r="M378" s="45"/>
      <c r="N378" s="45"/>
      <c r="O378" s="47"/>
      <c r="P378" s="45"/>
      <c r="Q378" s="45"/>
      <c r="R378" s="45"/>
      <c r="S378" s="45"/>
      <c r="T378" s="45"/>
      <c r="U378" s="45"/>
      <c r="V378" s="45"/>
      <c r="W378" s="45"/>
      <c r="X378" s="28"/>
      <c r="Y378" s="28"/>
      <c r="Z378" s="28"/>
      <c r="AA378" s="28"/>
      <c r="AB378" s="28"/>
      <c r="AC378" s="28"/>
    </row>
    <row r="379" spans="1:29" ht="13">
      <c r="A379" s="28"/>
      <c r="B379" s="45"/>
      <c r="C379" s="45"/>
      <c r="D379" s="45"/>
      <c r="E379" s="45"/>
      <c r="F379" s="45"/>
      <c r="G379" s="45"/>
      <c r="H379" s="45"/>
      <c r="I379" s="45"/>
      <c r="J379" s="45"/>
      <c r="K379" s="45"/>
      <c r="L379" s="45"/>
      <c r="M379" s="45"/>
      <c r="N379" s="45"/>
      <c r="O379" s="47"/>
      <c r="P379" s="45"/>
      <c r="Q379" s="45"/>
      <c r="R379" s="45"/>
      <c r="S379" s="45"/>
      <c r="T379" s="45"/>
      <c r="U379" s="45"/>
      <c r="V379" s="45"/>
      <c r="W379" s="45"/>
      <c r="X379" s="28"/>
      <c r="Y379" s="28"/>
      <c r="Z379" s="28"/>
      <c r="AA379" s="28"/>
      <c r="AB379" s="28"/>
      <c r="AC379" s="28"/>
    </row>
    <row r="380" spans="1:29" ht="13">
      <c r="A380" s="28"/>
      <c r="B380" s="45"/>
      <c r="C380" s="45"/>
      <c r="D380" s="45"/>
      <c r="E380" s="45"/>
      <c r="F380" s="45"/>
      <c r="G380" s="45"/>
      <c r="H380" s="45"/>
      <c r="I380" s="45"/>
      <c r="J380" s="45"/>
      <c r="K380" s="45"/>
      <c r="L380" s="45"/>
      <c r="M380" s="45"/>
      <c r="N380" s="45"/>
      <c r="O380" s="47"/>
      <c r="P380" s="45"/>
      <c r="Q380" s="45"/>
      <c r="R380" s="45"/>
      <c r="S380" s="45"/>
      <c r="T380" s="45"/>
      <c r="U380" s="45"/>
      <c r="V380" s="45"/>
      <c r="W380" s="45"/>
      <c r="X380" s="28"/>
      <c r="Y380" s="28"/>
      <c r="Z380" s="28"/>
      <c r="AA380" s="28"/>
      <c r="AB380" s="28"/>
      <c r="AC380" s="28"/>
    </row>
    <row r="381" spans="1:29" ht="13">
      <c r="A381" s="28"/>
      <c r="B381" s="45"/>
      <c r="C381" s="45"/>
      <c r="D381" s="45"/>
      <c r="E381" s="45"/>
      <c r="F381" s="45"/>
      <c r="G381" s="45"/>
      <c r="H381" s="45"/>
      <c r="I381" s="45"/>
      <c r="J381" s="45"/>
      <c r="K381" s="45"/>
      <c r="L381" s="45"/>
      <c r="M381" s="45"/>
      <c r="N381" s="45"/>
      <c r="O381" s="47"/>
      <c r="P381" s="45"/>
      <c r="Q381" s="45"/>
      <c r="R381" s="45"/>
      <c r="S381" s="45"/>
      <c r="T381" s="45"/>
      <c r="U381" s="45"/>
      <c r="V381" s="45"/>
      <c r="W381" s="45"/>
      <c r="X381" s="28"/>
      <c r="Y381" s="28"/>
      <c r="Z381" s="28"/>
      <c r="AA381" s="28"/>
      <c r="AB381" s="28"/>
      <c r="AC381" s="28"/>
    </row>
    <row r="382" spans="1:29" ht="13">
      <c r="A382" s="28"/>
      <c r="B382" s="45"/>
      <c r="C382" s="45"/>
      <c r="D382" s="45"/>
      <c r="E382" s="45"/>
      <c r="F382" s="45"/>
      <c r="G382" s="45"/>
      <c r="H382" s="45"/>
      <c r="I382" s="45"/>
      <c r="J382" s="45"/>
      <c r="K382" s="45"/>
      <c r="L382" s="45"/>
      <c r="M382" s="45"/>
      <c r="N382" s="45"/>
      <c r="O382" s="47"/>
      <c r="P382" s="45"/>
      <c r="Q382" s="45"/>
      <c r="R382" s="45"/>
      <c r="S382" s="45"/>
      <c r="T382" s="45"/>
      <c r="U382" s="45"/>
      <c r="V382" s="45"/>
      <c r="W382" s="45"/>
      <c r="X382" s="28"/>
      <c r="Y382" s="28"/>
      <c r="Z382" s="28"/>
      <c r="AA382" s="28"/>
      <c r="AB382" s="28"/>
      <c r="AC382" s="28"/>
    </row>
    <row r="383" spans="1:29" ht="13">
      <c r="A383" s="28"/>
      <c r="B383" s="45"/>
      <c r="C383" s="45"/>
      <c r="D383" s="45"/>
      <c r="E383" s="45"/>
      <c r="F383" s="45"/>
      <c r="G383" s="45"/>
      <c r="H383" s="45"/>
      <c r="I383" s="45"/>
      <c r="J383" s="45"/>
      <c r="K383" s="45"/>
      <c r="L383" s="45"/>
      <c r="M383" s="45"/>
      <c r="N383" s="45"/>
      <c r="O383" s="47"/>
      <c r="P383" s="45"/>
      <c r="Q383" s="45"/>
      <c r="R383" s="45"/>
      <c r="S383" s="45"/>
      <c r="T383" s="45"/>
      <c r="U383" s="45"/>
      <c r="V383" s="45"/>
      <c r="W383" s="45"/>
      <c r="X383" s="28"/>
      <c r="Y383" s="28"/>
      <c r="Z383" s="28"/>
      <c r="AA383" s="28"/>
      <c r="AB383" s="28"/>
      <c r="AC383" s="28"/>
    </row>
    <row r="384" spans="1:29" ht="13">
      <c r="A384" s="28"/>
      <c r="B384" s="45"/>
      <c r="C384" s="45"/>
      <c r="D384" s="45"/>
      <c r="E384" s="45"/>
      <c r="F384" s="45"/>
      <c r="G384" s="45"/>
      <c r="H384" s="45"/>
      <c r="I384" s="45"/>
      <c r="J384" s="45"/>
      <c r="K384" s="45"/>
      <c r="L384" s="45"/>
      <c r="M384" s="45"/>
      <c r="N384" s="45"/>
      <c r="O384" s="47"/>
      <c r="P384" s="45"/>
      <c r="Q384" s="45"/>
      <c r="R384" s="45"/>
      <c r="S384" s="45"/>
      <c r="T384" s="45"/>
      <c r="U384" s="45"/>
      <c r="V384" s="45"/>
      <c r="W384" s="45"/>
      <c r="X384" s="28"/>
      <c r="Y384" s="28"/>
      <c r="Z384" s="28"/>
      <c r="AA384" s="28"/>
      <c r="AB384" s="28"/>
      <c r="AC384" s="28"/>
    </row>
    <row r="385" spans="1:29" ht="13">
      <c r="A385" s="28"/>
      <c r="B385" s="45"/>
      <c r="C385" s="45"/>
      <c r="D385" s="45"/>
      <c r="E385" s="45"/>
      <c r="F385" s="45"/>
      <c r="G385" s="45"/>
      <c r="H385" s="45"/>
      <c r="I385" s="45"/>
      <c r="J385" s="45"/>
      <c r="K385" s="45"/>
      <c r="L385" s="45"/>
      <c r="M385" s="45"/>
      <c r="N385" s="45"/>
      <c r="O385" s="47"/>
      <c r="P385" s="45"/>
      <c r="Q385" s="45"/>
      <c r="R385" s="45"/>
      <c r="S385" s="45"/>
      <c r="T385" s="45"/>
      <c r="U385" s="45"/>
      <c r="V385" s="45"/>
      <c r="W385" s="45"/>
      <c r="X385" s="28"/>
      <c r="Y385" s="28"/>
      <c r="Z385" s="28"/>
      <c r="AA385" s="28"/>
      <c r="AB385" s="28"/>
      <c r="AC385" s="28"/>
    </row>
    <row r="386" spans="1:29" ht="13">
      <c r="A386" s="28"/>
      <c r="B386" s="45"/>
      <c r="C386" s="45"/>
      <c r="D386" s="45"/>
      <c r="E386" s="45"/>
      <c r="F386" s="45"/>
      <c r="G386" s="45"/>
      <c r="H386" s="45"/>
      <c r="I386" s="45"/>
      <c r="J386" s="45"/>
      <c r="K386" s="45"/>
      <c r="L386" s="45"/>
      <c r="M386" s="45"/>
      <c r="N386" s="45"/>
      <c r="O386" s="47"/>
      <c r="P386" s="45"/>
      <c r="Q386" s="45"/>
      <c r="R386" s="45"/>
      <c r="S386" s="45"/>
      <c r="T386" s="45"/>
      <c r="U386" s="45"/>
      <c r="V386" s="45"/>
      <c r="W386" s="45"/>
      <c r="X386" s="28"/>
      <c r="Y386" s="28"/>
      <c r="Z386" s="28"/>
      <c r="AA386" s="28"/>
      <c r="AB386" s="28"/>
      <c r="AC386" s="28"/>
    </row>
    <row r="387" spans="1:29" ht="13">
      <c r="A387" s="28"/>
      <c r="B387" s="45"/>
      <c r="C387" s="45"/>
      <c r="D387" s="45"/>
      <c r="E387" s="45"/>
      <c r="F387" s="45"/>
      <c r="G387" s="45"/>
      <c r="H387" s="45"/>
      <c r="I387" s="45"/>
      <c r="J387" s="45"/>
      <c r="K387" s="45"/>
      <c r="L387" s="45"/>
      <c r="M387" s="45"/>
      <c r="N387" s="45"/>
      <c r="O387" s="47"/>
      <c r="P387" s="45"/>
      <c r="Q387" s="45"/>
      <c r="R387" s="45"/>
      <c r="S387" s="45"/>
      <c r="T387" s="45"/>
      <c r="U387" s="45"/>
      <c r="V387" s="45"/>
      <c r="W387" s="45"/>
      <c r="X387" s="28"/>
      <c r="Y387" s="28"/>
      <c r="Z387" s="28"/>
      <c r="AA387" s="28"/>
      <c r="AB387" s="28"/>
      <c r="AC387" s="28"/>
    </row>
    <row r="388" spans="1:29" ht="13">
      <c r="A388" s="28"/>
      <c r="B388" s="45"/>
      <c r="C388" s="45"/>
      <c r="D388" s="45"/>
      <c r="E388" s="45"/>
      <c r="F388" s="45"/>
      <c r="G388" s="45"/>
      <c r="H388" s="45"/>
      <c r="I388" s="45"/>
      <c r="J388" s="45"/>
      <c r="K388" s="45"/>
      <c r="L388" s="45"/>
      <c r="M388" s="45"/>
      <c r="N388" s="45"/>
      <c r="O388" s="47"/>
      <c r="P388" s="45"/>
      <c r="Q388" s="45"/>
      <c r="R388" s="45"/>
      <c r="S388" s="45"/>
      <c r="T388" s="45"/>
      <c r="U388" s="45"/>
      <c r="V388" s="45"/>
      <c r="W388" s="45"/>
      <c r="X388" s="28"/>
      <c r="Y388" s="28"/>
      <c r="Z388" s="28"/>
      <c r="AA388" s="28"/>
      <c r="AB388" s="28"/>
      <c r="AC388" s="28"/>
    </row>
    <row r="389" spans="1:29" ht="13">
      <c r="A389" s="28"/>
      <c r="B389" s="45"/>
      <c r="C389" s="45"/>
      <c r="D389" s="45"/>
      <c r="E389" s="45"/>
      <c r="F389" s="45"/>
      <c r="G389" s="45"/>
      <c r="H389" s="45"/>
      <c r="I389" s="45"/>
      <c r="J389" s="45"/>
      <c r="K389" s="45"/>
      <c r="L389" s="45"/>
      <c r="M389" s="45"/>
      <c r="N389" s="45"/>
      <c r="O389" s="47"/>
      <c r="P389" s="45"/>
      <c r="Q389" s="45"/>
      <c r="R389" s="45"/>
      <c r="S389" s="45"/>
      <c r="T389" s="45"/>
      <c r="U389" s="45"/>
      <c r="V389" s="45"/>
      <c r="W389" s="45"/>
      <c r="X389" s="28"/>
      <c r="Y389" s="28"/>
      <c r="Z389" s="28"/>
      <c r="AA389" s="28"/>
      <c r="AB389" s="28"/>
      <c r="AC389" s="28"/>
    </row>
    <row r="390" spans="1:29" ht="13">
      <c r="A390" s="28"/>
      <c r="B390" s="45"/>
      <c r="C390" s="45"/>
      <c r="D390" s="45"/>
      <c r="E390" s="45"/>
      <c r="F390" s="45"/>
      <c r="G390" s="45"/>
      <c r="H390" s="45"/>
      <c r="I390" s="45"/>
      <c r="J390" s="45"/>
      <c r="K390" s="45"/>
      <c r="L390" s="45"/>
      <c r="M390" s="45"/>
      <c r="N390" s="45"/>
      <c r="O390" s="47"/>
      <c r="P390" s="45"/>
      <c r="Q390" s="45"/>
      <c r="R390" s="45"/>
      <c r="S390" s="45"/>
      <c r="T390" s="45"/>
      <c r="U390" s="45"/>
      <c r="V390" s="45"/>
      <c r="W390" s="45"/>
      <c r="X390" s="28"/>
      <c r="Y390" s="28"/>
      <c r="Z390" s="28"/>
      <c r="AA390" s="28"/>
      <c r="AB390" s="28"/>
      <c r="AC390" s="28"/>
    </row>
    <row r="391" spans="1:29" ht="13">
      <c r="A391" s="28"/>
      <c r="B391" s="45"/>
      <c r="C391" s="45"/>
      <c r="D391" s="45"/>
      <c r="E391" s="45"/>
      <c r="F391" s="45"/>
      <c r="G391" s="45"/>
      <c r="H391" s="45"/>
      <c r="I391" s="45"/>
      <c r="J391" s="45"/>
      <c r="K391" s="45"/>
      <c r="L391" s="45"/>
      <c r="M391" s="45"/>
      <c r="N391" s="45"/>
      <c r="O391" s="47"/>
      <c r="P391" s="45"/>
      <c r="Q391" s="45"/>
      <c r="R391" s="45"/>
      <c r="S391" s="45"/>
      <c r="T391" s="45"/>
      <c r="U391" s="45"/>
      <c r="V391" s="45"/>
      <c r="W391" s="45"/>
      <c r="X391" s="28"/>
      <c r="Y391" s="28"/>
      <c r="Z391" s="28"/>
      <c r="AA391" s="28"/>
      <c r="AB391" s="28"/>
      <c r="AC391" s="28"/>
    </row>
    <row r="392" spans="1:29" ht="13">
      <c r="A392" s="28"/>
      <c r="B392" s="45"/>
      <c r="C392" s="45"/>
      <c r="D392" s="45"/>
      <c r="E392" s="45"/>
      <c r="F392" s="45"/>
      <c r="G392" s="45"/>
      <c r="H392" s="45"/>
      <c r="I392" s="45"/>
      <c r="J392" s="45"/>
      <c r="K392" s="45"/>
      <c r="L392" s="45"/>
      <c r="M392" s="45"/>
      <c r="N392" s="45"/>
      <c r="O392" s="47"/>
      <c r="P392" s="45"/>
      <c r="Q392" s="45"/>
      <c r="R392" s="45"/>
      <c r="S392" s="45"/>
      <c r="T392" s="45"/>
      <c r="U392" s="45"/>
      <c r="V392" s="45"/>
      <c r="W392" s="45"/>
      <c r="X392" s="28"/>
      <c r="Y392" s="28"/>
      <c r="Z392" s="28"/>
      <c r="AA392" s="28"/>
      <c r="AB392" s="28"/>
      <c r="AC392" s="28"/>
    </row>
    <row r="393" spans="1:29" ht="13">
      <c r="A393" s="28"/>
      <c r="B393" s="45"/>
      <c r="C393" s="45"/>
      <c r="D393" s="45"/>
      <c r="E393" s="45"/>
      <c r="F393" s="45"/>
      <c r="G393" s="45"/>
      <c r="H393" s="45"/>
      <c r="I393" s="45"/>
      <c r="J393" s="45"/>
      <c r="K393" s="45"/>
      <c r="L393" s="45"/>
      <c r="M393" s="45"/>
      <c r="N393" s="45"/>
      <c r="O393" s="47"/>
      <c r="P393" s="45"/>
      <c r="Q393" s="45"/>
      <c r="R393" s="45"/>
      <c r="S393" s="45"/>
      <c r="T393" s="45"/>
      <c r="U393" s="45"/>
      <c r="V393" s="45"/>
      <c r="W393" s="45"/>
      <c r="X393" s="28"/>
      <c r="Y393" s="28"/>
      <c r="Z393" s="28"/>
      <c r="AA393" s="28"/>
      <c r="AB393" s="28"/>
      <c r="AC393" s="28"/>
    </row>
    <row r="394" spans="1:29" ht="13">
      <c r="A394" s="28"/>
      <c r="B394" s="45"/>
      <c r="C394" s="45"/>
      <c r="D394" s="45"/>
      <c r="E394" s="45"/>
      <c r="F394" s="45"/>
      <c r="G394" s="45"/>
      <c r="H394" s="45"/>
      <c r="I394" s="45"/>
      <c r="J394" s="45"/>
      <c r="K394" s="45"/>
      <c r="L394" s="45"/>
      <c r="M394" s="45"/>
      <c r="N394" s="45"/>
      <c r="O394" s="47"/>
      <c r="P394" s="45"/>
      <c r="Q394" s="45"/>
      <c r="R394" s="45"/>
      <c r="S394" s="45"/>
      <c r="T394" s="45"/>
      <c r="U394" s="45"/>
      <c r="V394" s="45"/>
      <c r="W394" s="45"/>
      <c r="X394" s="28"/>
      <c r="Y394" s="28"/>
      <c r="Z394" s="28"/>
      <c r="AA394" s="28"/>
      <c r="AB394" s="28"/>
      <c r="AC394" s="28"/>
    </row>
    <row r="395" spans="1:29" ht="13">
      <c r="A395" s="28"/>
      <c r="B395" s="45"/>
      <c r="C395" s="45"/>
      <c r="D395" s="45"/>
      <c r="E395" s="45"/>
      <c r="F395" s="45"/>
      <c r="G395" s="45"/>
      <c r="H395" s="45"/>
      <c r="I395" s="45"/>
      <c r="J395" s="45"/>
      <c r="K395" s="45"/>
      <c r="L395" s="45"/>
      <c r="M395" s="45"/>
      <c r="N395" s="45"/>
      <c r="O395" s="47"/>
      <c r="P395" s="45"/>
      <c r="Q395" s="45"/>
      <c r="R395" s="45"/>
      <c r="S395" s="45"/>
      <c r="T395" s="45"/>
      <c r="U395" s="45"/>
      <c r="V395" s="45"/>
      <c r="W395" s="45"/>
      <c r="X395" s="28"/>
      <c r="Y395" s="28"/>
      <c r="Z395" s="28"/>
      <c r="AA395" s="28"/>
      <c r="AB395" s="28"/>
      <c r="AC395" s="28"/>
    </row>
    <row r="396" spans="1:29" ht="13">
      <c r="A396" s="28"/>
      <c r="B396" s="45"/>
      <c r="C396" s="45"/>
      <c r="D396" s="45"/>
      <c r="E396" s="45"/>
      <c r="F396" s="45"/>
      <c r="G396" s="45"/>
      <c r="H396" s="45"/>
      <c r="I396" s="45"/>
      <c r="J396" s="45"/>
      <c r="K396" s="45"/>
      <c r="L396" s="45"/>
      <c r="M396" s="45"/>
      <c r="N396" s="45"/>
      <c r="O396" s="47"/>
      <c r="P396" s="45"/>
      <c r="Q396" s="45"/>
      <c r="R396" s="45"/>
      <c r="S396" s="45"/>
      <c r="T396" s="45"/>
      <c r="U396" s="45"/>
      <c r="V396" s="45"/>
      <c r="W396" s="45"/>
      <c r="X396" s="28"/>
      <c r="Y396" s="28"/>
      <c r="Z396" s="28"/>
      <c r="AA396" s="28"/>
      <c r="AB396" s="28"/>
      <c r="AC396" s="28"/>
    </row>
    <row r="397" spans="1:29" ht="13">
      <c r="A397" s="28"/>
      <c r="B397" s="45"/>
      <c r="C397" s="45"/>
      <c r="D397" s="45"/>
      <c r="E397" s="45"/>
      <c r="F397" s="45"/>
      <c r="G397" s="45"/>
      <c r="H397" s="45"/>
      <c r="I397" s="45"/>
      <c r="J397" s="45"/>
      <c r="K397" s="45"/>
      <c r="L397" s="45"/>
      <c r="M397" s="45"/>
      <c r="N397" s="45"/>
      <c r="O397" s="47"/>
      <c r="P397" s="45"/>
      <c r="Q397" s="45"/>
      <c r="R397" s="45"/>
      <c r="S397" s="45"/>
      <c r="T397" s="45"/>
      <c r="U397" s="45"/>
      <c r="V397" s="45"/>
      <c r="W397" s="45"/>
      <c r="X397" s="28"/>
      <c r="Y397" s="28"/>
      <c r="Z397" s="28"/>
      <c r="AA397" s="28"/>
      <c r="AB397" s="28"/>
      <c r="AC397" s="28"/>
    </row>
    <row r="398" spans="1:29" ht="13">
      <c r="A398" s="28"/>
      <c r="B398" s="45"/>
      <c r="C398" s="45"/>
      <c r="D398" s="45"/>
      <c r="E398" s="45"/>
      <c r="F398" s="45"/>
      <c r="G398" s="45"/>
      <c r="H398" s="45"/>
      <c r="I398" s="45"/>
      <c r="J398" s="45"/>
      <c r="K398" s="45"/>
      <c r="L398" s="45"/>
      <c r="M398" s="45"/>
      <c r="N398" s="45"/>
      <c r="O398" s="47"/>
      <c r="P398" s="45"/>
      <c r="Q398" s="45"/>
      <c r="R398" s="45"/>
      <c r="S398" s="45"/>
      <c r="T398" s="45"/>
      <c r="U398" s="45"/>
      <c r="V398" s="45"/>
      <c r="W398" s="45"/>
      <c r="X398" s="28"/>
      <c r="Y398" s="28"/>
      <c r="Z398" s="28"/>
      <c r="AA398" s="28"/>
      <c r="AB398" s="28"/>
      <c r="AC398" s="28"/>
    </row>
    <row r="399" spans="1:29" ht="13">
      <c r="A399" s="28"/>
      <c r="B399" s="45"/>
      <c r="C399" s="45"/>
      <c r="D399" s="45"/>
      <c r="E399" s="45"/>
      <c r="F399" s="45"/>
      <c r="G399" s="45"/>
      <c r="H399" s="45"/>
      <c r="I399" s="45"/>
      <c r="J399" s="45"/>
      <c r="K399" s="45"/>
      <c r="L399" s="45"/>
      <c r="M399" s="45"/>
      <c r="N399" s="45"/>
      <c r="O399" s="47"/>
      <c r="P399" s="45"/>
      <c r="Q399" s="45"/>
      <c r="R399" s="45"/>
      <c r="S399" s="45"/>
      <c r="T399" s="45"/>
      <c r="U399" s="45"/>
      <c r="V399" s="45"/>
      <c r="W399" s="45"/>
      <c r="X399" s="28"/>
      <c r="Y399" s="28"/>
      <c r="Z399" s="28"/>
      <c r="AA399" s="28"/>
      <c r="AB399" s="28"/>
      <c r="AC399" s="28"/>
    </row>
    <row r="400" spans="1:29" ht="13">
      <c r="A400" s="28"/>
      <c r="B400" s="45"/>
      <c r="C400" s="45"/>
      <c r="D400" s="45"/>
      <c r="E400" s="45"/>
      <c r="F400" s="45"/>
      <c r="G400" s="45"/>
      <c r="H400" s="45"/>
      <c r="I400" s="45"/>
      <c r="J400" s="45"/>
      <c r="K400" s="45"/>
      <c r="L400" s="45"/>
      <c r="M400" s="45"/>
      <c r="N400" s="45"/>
      <c r="O400" s="47"/>
      <c r="P400" s="45"/>
      <c r="Q400" s="45"/>
      <c r="R400" s="45"/>
      <c r="S400" s="45"/>
      <c r="T400" s="45"/>
      <c r="U400" s="45"/>
      <c r="V400" s="45"/>
      <c r="W400" s="45"/>
      <c r="X400" s="28"/>
      <c r="Y400" s="28"/>
      <c r="Z400" s="28"/>
      <c r="AA400" s="28"/>
      <c r="AB400" s="28"/>
      <c r="AC400" s="28"/>
    </row>
    <row r="401" spans="1:29" ht="13">
      <c r="A401" s="28"/>
      <c r="B401" s="45"/>
      <c r="C401" s="45"/>
      <c r="D401" s="45"/>
      <c r="E401" s="45"/>
      <c r="F401" s="45"/>
      <c r="G401" s="45"/>
      <c r="H401" s="45"/>
      <c r="I401" s="45"/>
      <c r="J401" s="45"/>
      <c r="K401" s="45"/>
      <c r="L401" s="45"/>
      <c r="M401" s="45"/>
      <c r="N401" s="45"/>
      <c r="O401" s="47"/>
      <c r="P401" s="45"/>
      <c r="Q401" s="45"/>
      <c r="R401" s="45"/>
      <c r="S401" s="45"/>
      <c r="T401" s="45"/>
      <c r="U401" s="45"/>
      <c r="V401" s="45"/>
      <c r="W401" s="45"/>
      <c r="X401" s="28"/>
      <c r="Y401" s="28"/>
      <c r="Z401" s="28"/>
      <c r="AA401" s="28"/>
      <c r="AB401" s="28"/>
      <c r="AC401" s="28"/>
    </row>
    <row r="402" spans="1:29" ht="13">
      <c r="A402" s="28"/>
      <c r="B402" s="45"/>
      <c r="C402" s="45"/>
      <c r="D402" s="45"/>
      <c r="E402" s="45"/>
      <c r="F402" s="45"/>
      <c r="G402" s="45"/>
      <c r="H402" s="45"/>
      <c r="I402" s="45"/>
      <c r="J402" s="45"/>
      <c r="K402" s="45"/>
      <c r="L402" s="45"/>
      <c r="M402" s="45"/>
      <c r="N402" s="45"/>
      <c r="O402" s="47"/>
      <c r="P402" s="45"/>
      <c r="Q402" s="45"/>
      <c r="R402" s="45"/>
      <c r="S402" s="45"/>
      <c r="T402" s="45"/>
      <c r="U402" s="45"/>
      <c r="V402" s="45"/>
      <c r="W402" s="45"/>
      <c r="X402" s="28"/>
      <c r="Y402" s="28"/>
      <c r="Z402" s="28"/>
      <c r="AA402" s="28"/>
      <c r="AB402" s="28"/>
      <c r="AC402" s="28"/>
    </row>
    <row r="403" spans="1:29" ht="13">
      <c r="A403" s="28"/>
      <c r="B403" s="45"/>
      <c r="C403" s="45"/>
      <c r="D403" s="45"/>
      <c r="E403" s="45"/>
      <c r="F403" s="45"/>
      <c r="G403" s="45"/>
      <c r="H403" s="45"/>
      <c r="I403" s="45"/>
      <c r="J403" s="45"/>
      <c r="K403" s="45"/>
      <c r="L403" s="45"/>
      <c r="M403" s="45"/>
      <c r="N403" s="45"/>
      <c r="O403" s="47"/>
      <c r="P403" s="45"/>
      <c r="Q403" s="45"/>
      <c r="R403" s="45"/>
      <c r="S403" s="45"/>
      <c r="T403" s="45"/>
      <c r="U403" s="45"/>
      <c r="V403" s="45"/>
      <c r="W403" s="45"/>
      <c r="X403" s="28"/>
      <c r="Y403" s="28"/>
      <c r="Z403" s="28"/>
      <c r="AA403" s="28"/>
      <c r="AB403" s="28"/>
      <c r="AC403" s="28"/>
    </row>
    <row r="404" spans="1:29" ht="13">
      <c r="A404" s="28"/>
      <c r="B404" s="45"/>
      <c r="C404" s="45"/>
      <c r="D404" s="45"/>
      <c r="E404" s="45"/>
      <c r="F404" s="45"/>
      <c r="G404" s="45"/>
      <c r="H404" s="45"/>
      <c r="I404" s="45"/>
      <c r="J404" s="45"/>
      <c r="K404" s="45"/>
      <c r="L404" s="45"/>
      <c r="M404" s="45"/>
      <c r="N404" s="45"/>
      <c r="O404" s="47"/>
      <c r="P404" s="45"/>
      <c r="Q404" s="45"/>
      <c r="R404" s="45"/>
      <c r="S404" s="45"/>
      <c r="T404" s="45"/>
      <c r="U404" s="45"/>
      <c r="V404" s="45"/>
      <c r="W404" s="45"/>
      <c r="X404" s="28"/>
      <c r="Y404" s="28"/>
      <c r="Z404" s="28"/>
      <c r="AA404" s="28"/>
      <c r="AB404" s="28"/>
      <c r="AC404" s="28"/>
    </row>
    <row r="405" spans="1:29" ht="13">
      <c r="A405" s="28"/>
      <c r="B405" s="45"/>
      <c r="C405" s="45"/>
      <c r="D405" s="45"/>
      <c r="E405" s="45"/>
      <c r="F405" s="45"/>
      <c r="G405" s="45"/>
      <c r="H405" s="45"/>
      <c r="I405" s="45"/>
      <c r="J405" s="45"/>
      <c r="K405" s="45"/>
      <c r="L405" s="45"/>
      <c r="M405" s="45"/>
      <c r="N405" s="45"/>
      <c r="O405" s="47"/>
      <c r="P405" s="45"/>
      <c r="Q405" s="45"/>
      <c r="R405" s="45"/>
      <c r="S405" s="45"/>
      <c r="T405" s="45"/>
      <c r="U405" s="45"/>
      <c r="V405" s="45"/>
      <c r="W405" s="45"/>
      <c r="X405" s="28"/>
      <c r="Y405" s="28"/>
      <c r="Z405" s="28"/>
      <c r="AA405" s="28"/>
      <c r="AB405" s="28"/>
      <c r="AC405" s="28"/>
    </row>
    <row r="406" spans="1:29" ht="13">
      <c r="A406" s="28"/>
      <c r="B406" s="45"/>
      <c r="C406" s="45"/>
      <c r="D406" s="45"/>
      <c r="E406" s="45"/>
      <c r="F406" s="45"/>
      <c r="G406" s="45"/>
      <c r="H406" s="45"/>
      <c r="I406" s="45"/>
      <c r="J406" s="45"/>
      <c r="K406" s="45"/>
      <c r="L406" s="45"/>
      <c r="M406" s="45"/>
      <c r="N406" s="45"/>
      <c r="O406" s="47"/>
      <c r="P406" s="45"/>
      <c r="Q406" s="45"/>
      <c r="R406" s="45"/>
      <c r="S406" s="45"/>
      <c r="T406" s="45"/>
      <c r="U406" s="45"/>
      <c r="V406" s="45"/>
      <c r="W406" s="45"/>
      <c r="X406" s="28"/>
      <c r="Y406" s="28"/>
      <c r="Z406" s="28"/>
      <c r="AA406" s="28"/>
      <c r="AB406" s="28"/>
      <c r="AC406" s="28"/>
    </row>
    <row r="407" spans="1:29" ht="13">
      <c r="A407" s="28"/>
      <c r="B407" s="45"/>
      <c r="C407" s="45"/>
      <c r="D407" s="45"/>
      <c r="E407" s="45"/>
      <c r="F407" s="45"/>
      <c r="G407" s="45"/>
      <c r="H407" s="45"/>
      <c r="I407" s="45"/>
      <c r="J407" s="45"/>
      <c r="K407" s="45"/>
      <c r="L407" s="45"/>
      <c r="M407" s="45"/>
      <c r="N407" s="45"/>
      <c r="O407" s="47"/>
      <c r="P407" s="45"/>
      <c r="Q407" s="45"/>
      <c r="R407" s="45"/>
      <c r="S407" s="45"/>
      <c r="T407" s="45"/>
      <c r="U407" s="45"/>
      <c r="V407" s="45"/>
      <c r="W407" s="45"/>
      <c r="X407" s="28"/>
      <c r="Y407" s="28"/>
      <c r="Z407" s="28"/>
      <c r="AA407" s="28"/>
      <c r="AB407" s="28"/>
      <c r="AC407" s="28"/>
    </row>
    <row r="408" spans="1:29" ht="13">
      <c r="A408" s="28"/>
      <c r="B408" s="45"/>
      <c r="C408" s="45"/>
      <c r="D408" s="45"/>
      <c r="E408" s="45"/>
      <c r="F408" s="45"/>
      <c r="G408" s="45"/>
      <c r="H408" s="45"/>
      <c r="I408" s="45"/>
      <c r="J408" s="45"/>
      <c r="K408" s="45"/>
      <c r="L408" s="45"/>
      <c r="M408" s="45"/>
      <c r="N408" s="45"/>
      <c r="O408" s="47"/>
      <c r="P408" s="45"/>
      <c r="Q408" s="45"/>
      <c r="R408" s="45"/>
      <c r="S408" s="45"/>
      <c r="T408" s="45"/>
      <c r="U408" s="45"/>
      <c r="V408" s="45"/>
      <c r="W408" s="45"/>
      <c r="X408" s="28"/>
      <c r="Y408" s="28"/>
      <c r="Z408" s="28"/>
      <c r="AA408" s="28"/>
      <c r="AB408" s="28"/>
      <c r="AC408" s="28"/>
    </row>
    <row r="409" spans="1:29" ht="13">
      <c r="A409" s="28"/>
      <c r="B409" s="45"/>
      <c r="C409" s="45"/>
      <c r="D409" s="45"/>
      <c r="E409" s="45"/>
      <c r="F409" s="45"/>
      <c r="G409" s="45"/>
      <c r="H409" s="45"/>
      <c r="I409" s="45"/>
      <c r="J409" s="45"/>
      <c r="K409" s="45"/>
      <c r="L409" s="45"/>
      <c r="M409" s="45"/>
      <c r="N409" s="45"/>
      <c r="O409" s="47"/>
      <c r="P409" s="45"/>
      <c r="Q409" s="45"/>
      <c r="R409" s="45"/>
      <c r="S409" s="45"/>
      <c r="T409" s="45"/>
      <c r="U409" s="45"/>
      <c r="V409" s="45"/>
      <c r="W409" s="45"/>
      <c r="X409" s="28"/>
      <c r="Y409" s="28"/>
      <c r="Z409" s="28"/>
      <c r="AA409" s="28"/>
      <c r="AB409" s="28"/>
      <c r="AC409" s="28"/>
    </row>
    <row r="410" spans="1:29" ht="13">
      <c r="A410" s="28"/>
      <c r="B410" s="45"/>
      <c r="C410" s="45"/>
      <c r="D410" s="45"/>
      <c r="E410" s="45"/>
      <c r="F410" s="45"/>
      <c r="G410" s="45"/>
      <c r="H410" s="45"/>
      <c r="I410" s="45"/>
      <c r="J410" s="45"/>
      <c r="K410" s="45"/>
      <c r="L410" s="45"/>
      <c r="M410" s="45"/>
      <c r="N410" s="45"/>
      <c r="O410" s="47"/>
      <c r="P410" s="45"/>
      <c r="Q410" s="45"/>
      <c r="R410" s="45"/>
      <c r="S410" s="45"/>
      <c r="T410" s="45"/>
      <c r="U410" s="45"/>
      <c r="V410" s="45"/>
      <c r="W410" s="45"/>
      <c r="X410" s="28"/>
      <c r="Y410" s="28"/>
      <c r="Z410" s="28"/>
      <c r="AA410" s="28"/>
      <c r="AB410" s="28"/>
      <c r="AC410" s="28"/>
    </row>
    <row r="411" spans="1:29" ht="13">
      <c r="A411" s="28"/>
      <c r="B411" s="45"/>
      <c r="C411" s="45"/>
      <c r="D411" s="45"/>
      <c r="E411" s="45"/>
      <c r="F411" s="45"/>
      <c r="G411" s="45"/>
      <c r="H411" s="45"/>
      <c r="I411" s="45"/>
      <c r="J411" s="45"/>
      <c r="K411" s="45"/>
      <c r="L411" s="45"/>
      <c r="M411" s="45"/>
      <c r="N411" s="45"/>
      <c r="O411" s="47"/>
      <c r="P411" s="45"/>
      <c r="Q411" s="45"/>
      <c r="R411" s="45"/>
      <c r="S411" s="45"/>
      <c r="T411" s="45"/>
      <c r="U411" s="45"/>
      <c r="V411" s="45"/>
      <c r="W411" s="45"/>
      <c r="X411" s="28"/>
      <c r="Y411" s="28"/>
      <c r="Z411" s="28"/>
      <c r="AA411" s="28"/>
      <c r="AB411" s="28"/>
      <c r="AC411" s="28"/>
    </row>
    <row r="412" spans="1:29" ht="13">
      <c r="A412" s="28"/>
      <c r="B412" s="45"/>
      <c r="C412" s="45"/>
      <c r="D412" s="45"/>
      <c r="E412" s="45"/>
      <c r="F412" s="45"/>
      <c r="G412" s="45"/>
      <c r="H412" s="45"/>
      <c r="I412" s="45"/>
      <c r="J412" s="45"/>
      <c r="K412" s="45"/>
      <c r="L412" s="45"/>
      <c r="M412" s="45"/>
      <c r="N412" s="45"/>
      <c r="O412" s="47"/>
      <c r="P412" s="45"/>
      <c r="Q412" s="45"/>
      <c r="R412" s="45"/>
      <c r="S412" s="45"/>
      <c r="T412" s="45"/>
      <c r="U412" s="45"/>
      <c r="V412" s="45"/>
      <c r="W412" s="45"/>
      <c r="X412" s="28"/>
      <c r="Y412" s="28"/>
      <c r="Z412" s="28"/>
      <c r="AA412" s="28"/>
      <c r="AB412" s="28"/>
      <c r="AC412" s="28"/>
    </row>
    <row r="413" spans="1:29" ht="13">
      <c r="A413" s="28"/>
      <c r="B413" s="45"/>
      <c r="C413" s="45"/>
      <c r="D413" s="45"/>
      <c r="E413" s="45"/>
      <c r="F413" s="45"/>
      <c r="G413" s="45"/>
      <c r="H413" s="45"/>
      <c r="I413" s="45"/>
      <c r="J413" s="45"/>
      <c r="K413" s="45"/>
      <c r="L413" s="45"/>
      <c r="M413" s="45"/>
      <c r="N413" s="45"/>
      <c r="O413" s="47"/>
      <c r="P413" s="45"/>
      <c r="Q413" s="45"/>
      <c r="R413" s="45"/>
      <c r="S413" s="45"/>
      <c r="T413" s="45"/>
      <c r="U413" s="45"/>
      <c r="V413" s="45"/>
      <c r="W413" s="45"/>
      <c r="X413" s="28"/>
      <c r="Y413" s="28"/>
      <c r="Z413" s="28"/>
      <c r="AA413" s="28"/>
      <c r="AB413" s="28"/>
      <c r="AC413" s="28"/>
    </row>
    <row r="414" spans="1:29" ht="13">
      <c r="A414" s="28"/>
      <c r="B414" s="45"/>
      <c r="C414" s="45"/>
      <c r="D414" s="45"/>
      <c r="E414" s="45"/>
      <c r="F414" s="45"/>
      <c r="G414" s="45"/>
      <c r="H414" s="45"/>
      <c r="I414" s="45"/>
      <c r="J414" s="45"/>
      <c r="K414" s="45"/>
      <c r="L414" s="45"/>
      <c r="M414" s="45"/>
      <c r="N414" s="45"/>
      <c r="O414" s="47"/>
      <c r="P414" s="45"/>
      <c r="Q414" s="45"/>
      <c r="R414" s="45"/>
      <c r="S414" s="45"/>
      <c r="T414" s="45"/>
      <c r="U414" s="45"/>
      <c r="V414" s="45"/>
      <c r="W414" s="45"/>
      <c r="X414" s="28"/>
      <c r="Y414" s="28"/>
      <c r="Z414" s="28"/>
      <c r="AA414" s="28"/>
      <c r="AB414" s="28"/>
      <c r="AC414" s="28"/>
    </row>
    <row r="415" spans="1:29" ht="13">
      <c r="A415" s="28"/>
      <c r="B415" s="45"/>
      <c r="C415" s="45"/>
      <c r="D415" s="45"/>
      <c r="E415" s="45"/>
      <c r="F415" s="45"/>
      <c r="G415" s="45"/>
      <c r="H415" s="45"/>
      <c r="I415" s="45"/>
      <c r="J415" s="45"/>
      <c r="K415" s="45"/>
      <c r="L415" s="45"/>
      <c r="M415" s="45"/>
      <c r="N415" s="45"/>
      <c r="O415" s="47"/>
      <c r="P415" s="45"/>
      <c r="Q415" s="45"/>
      <c r="R415" s="45"/>
      <c r="S415" s="45"/>
      <c r="T415" s="45"/>
      <c r="U415" s="45"/>
      <c r="V415" s="45"/>
      <c r="W415" s="45"/>
      <c r="X415" s="28"/>
      <c r="Y415" s="28"/>
      <c r="Z415" s="28"/>
      <c r="AA415" s="28"/>
      <c r="AB415" s="28"/>
      <c r="AC415" s="28"/>
    </row>
    <row r="416" spans="1:29" ht="13">
      <c r="A416" s="28"/>
      <c r="B416" s="45"/>
      <c r="C416" s="45"/>
      <c r="D416" s="45"/>
      <c r="E416" s="45"/>
      <c r="F416" s="45"/>
      <c r="G416" s="45"/>
      <c r="H416" s="45"/>
      <c r="I416" s="45"/>
      <c r="J416" s="45"/>
      <c r="K416" s="45"/>
      <c r="L416" s="45"/>
      <c r="M416" s="45"/>
      <c r="N416" s="45"/>
      <c r="O416" s="47"/>
      <c r="P416" s="45"/>
      <c r="Q416" s="45"/>
      <c r="R416" s="45"/>
      <c r="S416" s="45"/>
      <c r="T416" s="45"/>
      <c r="U416" s="45"/>
      <c r="V416" s="45"/>
      <c r="W416" s="45"/>
      <c r="X416" s="28"/>
      <c r="Y416" s="28"/>
      <c r="Z416" s="28"/>
      <c r="AA416" s="28"/>
      <c r="AB416" s="28"/>
      <c r="AC416" s="28"/>
    </row>
    <row r="417" spans="1:29" ht="13">
      <c r="A417" s="28"/>
      <c r="B417" s="45"/>
      <c r="C417" s="45"/>
      <c r="D417" s="45"/>
      <c r="E417" s="45"/>
      <c r="F417" s="45"/>
      <c r="G417" s="45"/>
      <c r="H417" s="45"/>
      <c r="I417" s="45"/>
      <c r="J417" s="45"/>
      <c r="K417" s="45"/>
      <c r="L417" s="45"/>
      <c r="M417" s="45"/>
      <c r="N417" s="45"/>
      <c r="O417" s="47"/>
      <c r="P417" s="45"/>
      <c r="Q417" s="45"/>
      <c r="R417" s="45"/>
      <c r="S417" s="45"/>
      <c r="T417" s="45"/>
      <c r="U417" s="45"/>
      <c r="V417" s="45"/>
      <c r="W417" s="45"/>
      <c r="X417" s="28"/>
      <c r="Y417" s="28"/>
      <c r="Z417" s="28"/>
      <c r="AA417" s="28"/>
      <c r="AB417" s="28"/>
      <c r="AC417" s="28"/>
    </row>
    <row r="418" spans="1:29" ht="13">
      <c r="A418" s="28"/>
      <c r="B418" s="45"/>
      <c r="C418" s="45"/>
      <c r="D418" s="45"/>
      <c r="E418" s="45"/>
      <c r="F418" s="45"/>
      <c r="G418" s="45"/>
      <c r="H418" s="45"/>
      <c r="I418" s="45"/>
      <c r="J418" s="45"/>
      <c r="K418" s="45"/>
      <c r="L418" s="45"/>
      <c r="M418" s="45"/>
      <c r="N418" s="45"/>
      <c r="O418" s="47"/>
      <c r="P418" s="45"/>
      <c r="Q418" s="45"/>
      <c r="R418" s="45"/>
      <c r="S418" s="45"/>
      <c r="T418" s="45"/>
      <c r="U418" s="45"/>
      <c r="V418" s="45"/>
      <c r="W418" s="45"/>
      <c r="X418" s="28"/>
      <c r="Y418" s="28"/>
      <c r="Z418" s="28"/>
      <c r="AA418" s="28"/>
      <c r="AB418" s="28"/>
      <c r="AC418" s="28"/>
    </row>
    <row r="419" spans="1:29" ht="13">
      <c r="A419" s="28"/>
      <c r="B419" s="45"/>
      <c r="C419" s="45"/>
      <c r="D419" s="45"/>
      <c r="E419" s="45"/>
      <c r="F419" s="45"/>
      <c r="G419" s="45"/>
      <c r="H419" s="45"/>
      <c r="I419" s="45"/>
      <c r="J419" s="45"/>
      <c r="K419" s="45"/>
      <c r="L419" s="45"/>
      <c r="M419" s="45"/>
      <c r="N419" s="45"/>
      <c r="O419" s="47"/>
      <c r="P419" s="45"/>
      <c r="Q419" s="45"/>
      <c r="R419" s="45"/>
      <c r="S419" s="45"/>
      <c r="T419" s="45"/>
      <c r="U419" s="45"/>
      <c r="V419" s="45"/>
      <c r="W419" s="45"/>
      <c r="X419" s="28"/>
      <c r="Y419" s="28"/>
      <c r="Z419" s="28"/>
      <c r="AA419" s="28"/>
      <c r="AB419" s="28"/>
      <c r="AC419" s="28"/>
    </row>
    <row r="420" spans="1:29" ht="13">
      <c r="A420" s="28"/>
      <c r="B420" s="45"/>
      <c r="C420" s="45"/>
      <c r="D420" s="45"/>
      <c r="E420" s="45"/>
      <c r="F420" s="45"/>
      <c r="G420" s="45"/>
      <c r="H420" s="45"/>
      <c r="I420" s="45"/>
      <c r="J420" s="45"/>
      <c r="K420" s="45"/>
      <c r="L420" s="45"/>
      <c r="M420" s="45"/>
      <c r="N420" s="45"/>
      <c r="O420" s="47"/>
      <c r="P420" s="45"/>
      <c r="Q420" s="45"/>
      <c r="R420" s="45"/>
      <c r="S420" s="45"/>
      <c r="T420" s="45"/>
      <c r="U420" s="45"/>
      <c r="V420" s="45"/>
      <c r="W420" s="45"/>
      <c r="X420" s="28"/>
      <c r="Y420" s="28"/>
      <c r="Z420" s="28"/>
      <c r="AA420" s="28"/>
      <c r="AB420" s="28"/>
      <c r="AC420" s="28"/>
    </row>
    <row r="421" spans="1:29" ht="13">
      <c r="A421" s="28"/>
      <c r="B421" s="45"/>
      <c r="C421" s="45"/>
      <c r="D421" s="45"/>
      <c r="E421" s="45"/>
      <c r="F421" s="45"/>
      <c r="G421" s="45"/>
      <c r="H421" s="45"/>
      <c r="I421" s="45"/>
      <c r="J421" s="45"/>
      <c r="K421" s="45"/>
      <c r="L421" s="45"/>
      <c r="M421" s="45"/>
      <c r="N421" s="45"/>
      <c r="O421" s="47"/>
      <c r="P421" s="45"/>
      <c r="Q421" s="45"/>
      <c r="R421" s="45"/>
      <c r="S421" s="45"/>
      <c r="T421" s="45"/>
      <c r="U421" s="45"/>
      <c r="V421" s="45"/>
      <c r="W421" s="45"/>
      <c r="X421" s="28"/>
      <c r="Y421" s="28"/>
      <c r="Z421" s="28"/>
      <c r="AA421" s="28"/>
      <c r="AB421" s="28"/>
      <c r="AC421" s="28"/>
    </row>
    <row r="422" spans="1:29" ht="13">
      <c r="A422" s="28"/>
      <c r="B422" s="45"/>
      <c r="C422" s="45"/>
      <c r="D422" s="45"/>
      <c r="E422" s="45"/>
      <c r="F422" s="45"/>
      <c r="G422" s="45"/>
      <c r="H422" s="45"/>
      <c r="I422" s="45"/>
      <c r="J422" s="45"/>
      <c r="K422" s="45"/>
      <c r="L422" s="45"/>
      <c r="M422" s="45"/>
      <c r="N422" s="45"/>
      <c r="O422" s="47"/>
      <c r="P422" s="45"/>
      <c r="Q422" s="45"/>
      <c r="R422" s="45"/>
      <c r="S422" s="45"/>
      <c r="T422" s="45"/>
      <c r="U422" s="45"/>
      <c r="V422" s="45"/>
      <c r="W422" s="45"/>
      <c r="X422" s="28"/>
      <c r="Y422" s="28"/>
      <c r="Z422" s="28"/>
      <c r="AA422" s="28"/>
      <c r="AB422" s="28"/>
      <c r="AC422" s="28"/>
    </row>
    <row r="423" spans="1:29" ht="13">
      <c r="A423" s="28"/>
      <c r="B423" s="45"/>
      <c r="C423" s="45"/>
      <c r="D423" s="45"/>
      <c r="E423" s="45"/>
      <c r="F423" s="45"/>
      <c r="G423" s="45"/>
      <c r="H423" s="45"/>
      <c r="I423" s="45"/>
      <c r="J423" s="45"/>
      <c r="K423" s="45"/>
      <c r="L423" s="45"/>
      <c r="M423" s="45"/>
      <c r="N423" s="45"/>
      <c r="O423" s="47"/>
      <c r="P423" s="45"/>
      <c r="Q423" s="45"/>
      <c r="R423" s="45"/>
      <c r="S423" s="45"/>
      <c r="T423" s="45"/>
      <c r="U423" s="45"/>
      <c r="V423" s="45"/>
      <c r="W423" s="45"/>
      <c r="X423" s="28"/>
      <c r="Y423" s="28"/>
      <c r="Z423" s="28"/>
      <c r="AA423" s="28"/>
      <c r="AB423" s="28"/>
      <c r="AC423" s="28"/>
    </row>
    <row r="424" spans="1:29" ht="13">
      <c r="A424" s="28"/>
      <c r="B424" s="45"/>
      <c r="C424" s="45"/>
      <c r="D424" s="45"/>
      <c r="E424" s="45"/>
      <c r="F424" s="45"/>
      <c r="G424" s="45"/>
      <c r="H424" s="45"/>
      <c r="I424" s="45"/>
      <c r="J424" s="45"/>
      <c r="K424" s="45"/>
      <c r="L424" s="45"/>
      <c r="M424" s="45"/>
      <c r="N424" s="45"/>
      <c r="O424" s="47"/>
      <c r="P424" s="45"/>
      <c r="Q424" s="45"/>
      <c r="R424" s="45"/>
      <c r="S424" s="45"/>
      <c r="T424" s="45"/>
      <c r="U424" s="45"/>
      <c r="V424" s="45"/>
      <c r="W424" s="45"/>
      <c r="X424" s="28"/>
      <c r="Y424" s="28"/>
      <c r="Z424" s="28"/>
      <c r="AA424" s="28"/>
      <c r="AB424" s="28"/>
      <c r="AC424" s="28"/>
    </row>
    <row r="425" spans="1:29" ht="13">
      <c r="A425" s="28"/>
      <c r="B425" s="45"/>
      <c r="C425" s="45"/>
      <c r="D425" s="45"/>
      <c r="E425" s="45"/>
      <c r="F425" s="45"/>
      <c r="G425" s="45"/>
      <c r="H425" s="45"/>
      <c r="I425" s="45"/>
      <c r="J425" s="45"/>
      <c r="K425" s="45"/>
      <c r="L425" s="45"/>
      <c r="M425" s="45"/>
      <c r="N425" s="45"/>
      <c r="O425" s="47"/>
      <c r="P425" s="45"/>
      <c r="Q425" s="45"/>
      <c r="R425" s="45"/>
      <c r="S425" s="45"/>
      <c r="T425" s="45"/>
      <c r="U425" s="45"/>
      <c r="V425" s="45"/>
      <c r="W425" s="45"/>
      <c r="X425" s="28"/>
      <c r="Y425" s="28"/>
      <c r="Z425" s="28"/>
      <c r="AA425" s="28"/>
      <c r="AB425" s="28"/>
      <c r="AC425" s="28"/>
    </row>
    <row r="426" spans="1:29" ht="13">
      <c r="A426" s="28"/>
      <c r="B426" s="45"/>
      <c r="C426" s="45"/>
      <c r="D426" s="45"/>
      <c r="E426" s="45"/>
      <c r="F426" s="45"/>
      <c r="G426" s="45"/>
      <c r="H426" s="45"/>
      <c r="I426" s="45"/>
      <c r="J426" s="45"/>
      <c r="K426" s="45"/>
      <c r="L426" s="45"/>
      <c r="M426" s="45"/>
      <c r="N426" s="45"/>
      <c r="O426" s="47"/>
      <c r="P426" s="45"/>
      <c r="Q426" s="45"/>
      <c r="R426" s="45"/>
      <c r="S426" s="45"/>
      <c r="T426" s="45"/>
      <c r="U426" s="45"/>
      <c r="V426" s="45"/>
      <c r="W426" s="45"/>
      <c r="X426" s="28"/>
      <c r="Y426" s="28"/>
      <c r="Z426" s="28"/>
      <c r="AA426" s="28"/>
      <c r="AB426" s="28"/>
      <c r="AC426" s="28"/>
    </row>
    <row r="427" spans="1:29" ht="13">
      <c r="A427" s="28"/>
      <c r="B427" s="45"/>
      <c r="C427" s="45"/>
      <c r="D427" s="45"/>
      <c r="E427" s="45"/>
      <c r="F427" s="45"/>
      <c r="G427" s="45"/>
      <c r="H427" s="45"/>
      <c r="I427" s="45"/>
      <c r="J427" s="45"/>
      <c r="K427" s="45"/>
      <c r="L427" s="45"/>
      <c r="M427" s="45"/>
      <c r="N427" s="45"/>
      <c r="O427" s="47"/>
      <c r="P427" s="45"/>
      <c r="Q427" s="45"/>
      <c r="R427" s="45"/>
      <c r="S427" s="45"/>
      <c r="T427" s="45"/>
      <c r="U427" s="45"/>
      <c r="V427" s="45"/>
      <c r="W427" s="45"/>
      <c r="X427" s="28"/>
      <c r="Y427" s="28"/>
      <c r="Z427" s="28"/>
      <c r="AA427" s="28"/>
      <c r="AB427" s="28"/>
      <c r="AC427" s="28"/>
    </row>
    <row r="428" spans="1:29" ht="13">
      <c r="A428" s="28"/>
      <c r="B428" s="45"/>
      <c r="C428" s="45"/>
      <c r="D428" s="45"/>
      <c r="E428" s="45"/>
      <c r="F428" s="45"/>
      <c r="G428" s="45"/>
      <c r="H428" s="45"/>
      <c r="I428" s="45"/>
      <c r="J428" s="45"/>
      <c r="K428" s="45"/>
      <c r="L428" s="45"/>
      <c r="M428" s="45"/>
      <c r="N428" s="45"/>
      <c r="O428" s="47"/>
      <c r="P428" s="45"/>
      <c r="Q428" s="45"/>
      <c r="R428" s="45"/>
      <c r="S428" s="45"/>
      <c r="T428" s="45"/>
      <c r="U428" s="45"/>
      <c r="V428" s="45"/>
      <c r="W428" s="45"/>
      <c r="X428" s="28"/>
      <c r="Y428" s="28"/>
      <c r="Z428" s="28"/>
      <c r="AA428" s="28"/>
      <c r="AB428" s="28"/>
      <c r="AC428" s="28"/>
    </row>
    <row r="429" spans="1:29" ht="13">
      <c r="A429" s="28"/>
      <c r="B429" s="45"/>
      <c r="C429" s="45"/>
      <c r="D429" s="45"/>
      <c r="E429" s="45"/>
      <c r="F429" s="45"/>
      <c r="G429" s="45"/>
      <c r="H429" s="45"/>
      <c r="I429" s="45"/>
      <c r="J429" s="45"/>
      <c r="K429" s="45"/>
      <c r="L429" s="45"/>
      <c r="M429" s="45"/>
      <c r="N429" s="45"/>
      <c r="O429" s="47"/>
      <c r="P429" s="45"/>
      <c r="Q429" s="45"/>
      <c r="R429" s="45"/>
      <c r="S429" s="45"/>
      <c r="T429" s="45"/>
      <c r="U429" s="45"/>
      <c r="V429" s="45"/>
      <c r="W429" s="45"/>
      <c r="X429" s="28"/>
      <c r="Y429" s="28"/>
      <c r="Z429" s="28"/>
      <c r="AA429" s="28"/>
      <c r="AB429" s="28"/>
      <c r="AC429" s="28"/>
    </row>
    <row r="430" spans="1:29" ht="13">
      <c r="A430" s="28"/>
      <c r="B430" s="45"/>
      <c r="C430" s="45"/>
      <c r="D430" s="45"/>
      <c r="E430" s="45"/>
      <c r="F430" s="45"/>
      <c r="G430" s="45"/>
      <c r="H430" s="45"/>
      <c r="I430" s="45"/>
      <c r="J430" s="45"/>
      <c r="K430" s="45"/>
      <c r="L430" s="45"/>
      <c r="M430" s="45"/>
      <c r="N430" s="45"/>
      <c r="O430" s="47"/>
      <c r="P430" s="45"/>
      <c r="Q430" s="45"/>
      <c r="R430" s="45"/>
      <c r="S430" s="45"/>
      <c r="T430" s="45"/>
      <c r="U430" s="45"/>
      <c r="V430" s="45"/>
      <c r="W430" s="45"/>
      <c r="X430" s="28"/>
      <c r="Y430" s="28"/>
      <c r="Z430" s="28"/>
      <c r="AA430" s="28"/>
      <c r="AB430" s="28"/>
      <c r="AC430" s="28"/>
    </row>
    <row r="431" spans="1:29" ht="13">
      <c r="A431" s="28"/>
      <c r="B431" s="45"/>
      <c r="C431" s="45"/>
      <c r="D431" s="45"/>
      <c r="E431" s="45"/>
      <c r="F431" s="45"/>
      <c r="G431" s="45"/>
      <c r="H431" s="45"/>
      <c r="I431" s="45"/>
      <c r="J431" s="45"/>
      <c r="K431" s="45"/>
      <c r="L431" s="45"/>
      <c r="M431" s="45"/>
      <c r="N431" s="45"/>
      <c r="O431" s="47"/>
      <c r="P431" s="45"/>
      <c r="Q431" s="45"/>
      <c r="R431" s="45"/>
      <c r="S431" s="45"/>
      <c r="T431" s="45"/>
      <c r="U431" s="45"/>
      <c r="V431" s="45"/>
      <c r="W431" s="45"/>
      <c r="X431" s="28"/>
      <c r="Y431" s="28"/>
      <c r="Z431" s="28"/>
      <c r="AA431" s="28"/>
      <c r="AB431" s="28"/>
      <c r="AC431" s="28"/>
    </row>
    <row r="432" spans="1:29" ht="13">
      <c r="A432" s="28"/>
      <c r="B432" s="45"/>
      <c r="C432" s="45"/>
      <c r="D432" s="45"/>
      <c r="E432" s="45"/>
      <c r="F432" s="45"/>
      <c r="G432" s="45"/>
      <c r="H432" s="45"/>
      <c r="I432" s="45"/>
      <c r="J432" s="45"/>
      <c r="K432" s="45"/>
      <c r="L432" s="45"/>
      <c r="M432" s="45"/>
      <c r="N432" s="45"/>
      <c r="O432" s="47"/>
      <c r="P432" s="45"/>
      <c r="Q432" s="45"/>
      <c r="R432" s="45"/>
      <c r="S432" s="45"/>
      <c r="T432" s="45"/>
      <c r="U432" s="45"/>
      <c r="V432" s="45"/>
      <c r="W432" s="45"/>
      <c r="X432" s="28"/>
      <c r="Y432" s="28"/>
      <c r="Z432" s="28"/>
      <c r="AA432" s="28"/>
      <c r="AB432" s="28"/>
      <c r="AC432" s="28"/>
    </row>
    <row r="433" spans="1:29" ht="13">
      <c r="A433" s="28"/>
      <c r="B433" s="45"/>
      <c r="C433" s="45"/>
      <c r="D433" s="45"/>
      <c r="E433" s="45"/>
      <c r="F433" s="45"/>
      <c r="G433" s="45"/>
      <c r="H433" s="45"/>
      <c r="I433" s="45"/>
      <c r="J433" s="45"/>
      <c r="K433" s="45"/>
      <c r="L433" s="45"/>
      <c r="M433" s="45"/>
      <c r="N433" s="45"/>
      <c r="O433" s="47"/>
      <c r="P433" s="45"/>
      <c r="Q433" s="45"/>
      <c r="R433" s="45"/>
      <c r="S433" s="45"/>
      <c r="T433" s="45"/>
      <c r="U433" s="45"/>
      <c r="V433" s="45"/>
      <c r="W433" s="45"/>
      <c r="X433" s="28"/>
      <c r="Y433" s="28"/>
      <c r="Z433" s="28"/>
      <c r="AA433" s="28"/>
      <c r="AB433" s="28"/>
      <c r="AC433" s="28"/>
    </row>
    <row r="434" spans="1:29" ht="13">
      <c r="A434" s="28"/>
      <c r="B434" s="45"/>
      <c r="C434" s="45"/>
      <c r="D434" s="45"/>
      <c r="E434" s="45"/>
      <c r="F434" s="45"/>
      <c r="G434" s="45"/>
      <c r="H434" s="45"/>
      <c r="I434" s="45"/>
      <c r="J434" s="45"/>
      <c r="K434" s="45"/>
      <c r="L434" s="45"/>
      <c r="M434" s="45"/>
      <c r="N434" s="45"/>
      <c r="O434" s="47"/>
      <c r="P434" s="45"/>
      <c r="Q434" s="45"/>
      <c r="R434" s="45"/>
      <c r="S434" s="45"/>
      <c r="T434" s="45"/>
      <c r="U434" s="45"/>
      <c r="V434" s="45"/>
      <c r="W434" s="45"/>
      <c r="X434" s="28"/>
      <c r="Y434" s="28"/>
      <c r="Z434" s="28"/>
      <c r="AA434" s="28"/>
      <c r="AB434" s="28"/>
      <c r="AC434" s="28"/>
    </row>
    <row r="435" spans="1:29" ht="13">
      <c r="A435" s="28"/>
      <c r="B435" s="45"/>
      <c r="C435" s="45"/>
      <c r="D435" s="45"/>
      <c r="E435" s="45"/>
      <c r="F435" s="45"/>
      <c r="G435" s="45"/>
      <c r="H435" s="45"/>
      <c r="I435" s="45"/>
      <c r="J435" s="45"/>
      <c r="K435" s="45"/>
      <c r="L435" s="45"/>
      <c r="M435" s="45"/>
      <c r="N435" s="45"/>
      <c r="O435" s="47"/>
      <c r="P435" s="45"/>
      <c r="Q435" s="45"/>
      <c r="R435" s="45"/>
      <c r="S435" s="45"/>
      <c r="T435" s="45"/>
      <c r="U435" s="45"/>
      <c r="V435" s="45"/>
      <c r="W435" s="45"/>
      <c r="X435" s="28"/>
      <c r="Y435" s="28"/>
      <c r="Z435" s="28"/>
      <c r="AA435" s="28"/>
      <c r="AB435" s="28"/>
      <c r="AC435" s="28"/>
    </row>
    <row r="436" spans="1:29" ht="13">
      <c r="A436" s="28"/>
      <c r="B436" s="45"/>
      <c r="C436" s="45"/>
      <c r="D436" s="45"/>
      <c r="E436" s="45"/>
      <c r="F436" s="45"/>
      <c r="G436" s="45"/>
      <c r="H436" s="45"/>
      <c r="I436" s="45"/>
      <c r="J436" s="45"/>
      <c r="K436" s="45"/>
      <c r="L436" s="45"/>
      <c r="M436" s="45"/>
      <c r="N436" s="45"/>
      <c r="O436" s="47"/>
      <c r="P436" s="45"/>
      <c r="Q436" s="45"/>
      <c r="R436" s="45"/>
      <c r="S436" s="45"/>
      <c r="T436" s="45"/>
      <c r="U436" s="45"/>
      <c r="V436" s="45"/>
      <c r="W436" s="45"/>
      <c r="X436" s="28"/>
      <c r="Y436" s="28"/>
      <c r="Z436" s="28"/>
      <c r="AA436" s="28"/>
      <c r="AB436" s="28"/>
      <c r="AC436" s="28"/>
    </row>
    <row r="437" spans="1:29" ht="13">
      <c r="A437" s="28"/>
      <c r="B437" s="45"/>
      <c r="C437" s="45"/>
      <c r="D437" s="45"/>
      <c r="E437" s="45"/>
      <c r="F437" s="45"/>
      <c r="G437" s="45"/>
      <c r="H437" s="45"/>
      <c r="I437" s="45"/>
      <c r="J437" s="45"/>
      <c r="K437" s="45"/>
      <c r="L437" s="45"/>
      <c r="M437" s="45"/>
      <c r="N437" s="45"/>
      <c r="O437" s="47"/>
      <c r="P437" s="45"/>
      <c r="Q437" s="45"/>
      <c r="R437" s="45"/>
      <c r="S437" s="45"/>
      <c r="T437" s="45"/>
      <c r="U437" s="45"/>
      <c r="V437" s="45"/>
      <c r="W437" s="45"/>
      <c r="X437" s="28"/>
      <c r="Y437" s="28"/>
      <c r="Z437" s="28"/>
      <c r="AA437" s="28"/>
      <c r="AB437" s="28"/>
      <c r="AC437" s="28"/>
    </row>
    <row r="438" spans="1:29" ht="13">
      <c r="A438" s="28"/>
      <c r="B438" s="45"/>
      <c r="C438" s="45"/>
      <c r="D438" s="45"/>
      <c r="E438" s="45"/>
      <c r="F438" s="45"/>
      <c r="G438" s="45"/>
      <c r="H438" s="45"/>
      <c r="I438" s="45"/>
      <c r="J438" s="45"/>
      <c r="K438" s="45"/>
      <c r="L438" s="45"/>
      <c r="M438" s="45"/>
      <c r="N438" s="45"/>
      <c r="O438" s="47"/>
      <c r="P438" s="45"/>
      <c r="Q438" s="45"/>
      <c r="R438" s="45"/>
      <c r="S438" s="45"/>
      <c r="T438" s="45"/>
      <c r="U438" s="45"/>
      <c r="V438" s="45"/>
      <c r="W438" s="45"/>
      <c r="X438" s="28"/>
      <c r="Y438" s="28"/>
      <c r="Z438" s="28"/>
      <c r="AA438" s="28"/>
      <c r="AB438" s="28"/>
      <c r="AC438" s="28"/>
    </row>
    <row r="439" spans="1:29" ht="13">
      <c r="A439" s="28"/>
      <c r="B439" s="45"/>
      <c r="C439" s="45"/>
      <c r="D439" s="45"/>
      <c r="E439" s="45"/>
      <c r="F439" s="45"/>
      <c r="G439" s="45"/>
      <c r="H439" s="45"/>
      <c r="I439" s="45"/>
      <c r="J439" s="45"/>
      <c r="K439" s="45"/>
      <c r="L439" s="45"/>
      <c r="M439" s="45"/>
      <c r="N439" s="45"/>
      <c r="O439" s="47"/>
      <c r="P439" s="45"/>
      <c r="Q439" s="45"/>
      <c r="R439" s="45"/>
      <c r="S439" s="45"/>
      <c r="T439" s="45"/>
      <c r="U439" s="45"/>
      <c r="V439" s="45"/>
      <c r="W439" s="45"/>
      <c r="X439" s="28"/>
      <c r="Y439" s="28"/>
      <c r="Z439" s="28"/>
      <c r="AA439" s="28"/>
      <c r="AB439" s="28"/>
      <c r="AC439" s="28"/>
    </row>
    <row r="440" spans="1:29" ht="13">
      <c r="A440" s="28"/>
      <c r="B440" s="45"/>
      <c r="C440" s="45"/>
      <c r="D440" s="45"/>
      <c r="E440" s="45"/>
      <c r="F440" s="45"/>
      <c r="G440" s="45"/>
      <c r="H440" s="45"/>
      <c r="I440" s="45"/>
      <c r="J440" s="45"/>
      <c r="K440" s="45"/>
      <c r="L440" s="45"/>
      <c r="M440" s="45"/>
      <c r="N440" s="45"/>
      <c r="O440" s="47"/>
      <c r="P440" s="45"/>
      <c r="Q440" s="45"/>
      <c r="R440" s="45"/>
      <c r="S440" s="45"/>
      <c r="T440" s="45"/>
      <c r="U440" s="45"/>
      <c r="V440" s="45"/>
      <c r="W440" s="45"/>
      <c r="X440" s="28"/>
      <c r="Y440" s="28"/>
      <c r="Z440" s="28"/>
      <c r="AA440" s="28"/>
      <c r="AB440" s="28"/>
      <c r="AC440" s="28"/>
    </row>
    <row r="441" spans="1:29" ht="13">
      <c r="A441" s="28"/>
      <c r="B441" s="45"/>
      <c r="C441" s="45"/>
      <c r="D441" s="45"/>
      <c r="E441" s="45"/>
      <c r="F441" s="45"/>
      <c r="G441" s="45"/>
      <c r="H441" s="45"/>
      <c r="I441" s="45"/>
      <c r="J441" s="45"/>
      <c r="K441" s="45"/>
      <c r="L441" s="45"/>
      <c r="M441" s="45"/>
      <c r="N441" s="45"/>
      <c r="O441" s="47"/>
      <c r="P441" s="45"/>
      <c r="Q441" s="45"/>
      <c r="R441" s="45"/>
      <c r="S441" s="45"/>
      <c r="T441" s="45"/>
      <c r="U441" s="45"/>
      <c r="V441" s="45"/>
      <c r="W441" s="45"/>
      <c r="X441" s="28"/>
      <c r="Y441" s="28"/>
      <c r="Z441" s="28"/>
      <c r="AA441" s="28"/>
      <c r="AB441" s="28"/>
      <c r="AC441" s="28"/>
    </row>
    <row r="442" spans="1:29" ht="13">
      <c r="A442" s="28"/>
      <c r="B442" s="45"/>
      <c r="C442" s="45"/>
      <c r="D442" s="45"/>
      <c r="E442" s="45"/>
      <c r="F442" s="45"/>
      <c r="G442" s="45"/>
      <c r="H442" s="45"/>
      <c r="I442" s="45"/>
      <c r="J442" s="45"/>
      <c r="K442" s="45"/>
      <c r="L442" s="45"/>
      <c r="M442" s="45"/>
      <c r="N442" s="45"/>
      <c r="O442" s="47"/>
      <c r="P442" s="45"/>
      <c r="Q442" s="45"/>
      <c r="R442" s="45"/>
      <c r="S442" s="45"/>
      <c r="T442" s="45"/>
      <c r="U442" s="45"/>
      <c r="V442" s="45"/>
      <c r="W442" s="45"/>
      <c r="X442" s="28"/>
      <c r="Y442" s="28"/>
      <c r="Z442" s="28"/>
      <c r="AA442" s="28"/>
      <c r="AB442" s="28"/>
      <c r="AC442" s="28"/>
    </row>
    <row r="443" spans="1:29" ht="13">
      <c r="A443" s="28"/>
      <c r="B443" s="45"/>
      <c r="C443" s="45"/>
      <c r="D443" s="45"/>
      <c r="E443" s="45"/>
      <c r="F443" s="45"/>
      <c r="G443" s="45"/>
      <c r="H443" s="45"/>
      <c r="I443" s="45"/>
      <c r="J443" s="45"/>
      <c r="K443" s="45"/>
      <c r="L443" s="45"/>
      <c r="M443" s="45"/>
      <c r="N443" s="45"/>
      <c r="O443" s="47"/>
      <c r="P443" s="45"/>
      <c r="Q443" s="45"/>
      <c r="R443" s="45"/>
      <c r="S443" s="45"/>
      <c r="T443" s="45"/>
      <c r="U443" s="45"/>
      <c r="V443" s="45"/>
      <c r="W443" s="45"/>
      <c r="X443" s="28"/>
      <c r="Y443" s="28"/>
      <c r="Z443" s="28"/>
      <c r="AA443" s="28"/>
      <c r="AB443" s="28"/>
      <c r="AC443" s="28"/>
    </row>
    <row r="444" spans="1:29" ht="13">
      <c r="A444" s="28"/>
      <c r="B444" s="45"/>
      <c r="C444" s="45"/>
      <c r="D444" s="45"/>
      <c r="E444" s="45"/>
      <c r="F444" s="45"/>
      <c r="G444" s="45"/>
      <c r="H444" s="45"/>
      <c r="I444" s="45"/>
      <c r="J444" s="45"/>
      <c r="K444" s="45"/>
      <c r="L444" s="45"/>
      <c r="M444" s="45"/>
      <c r="N444" s="45"/>
      <c r="O444" s="47"/>
      <c r="P444" s="45"/>
      <c r="Q444" s="45"/>
      <c r="R444" s="45"/>
      <c r="S444" s="45"/>
      <c r="T444" s="45"/>
      <c r="U444" s="45"/>
      <c r="V444" s="45"/>
      <c r="W444" s="45"/>
      <c r="X444" s="28"/>
      <c r="Y444" s="28"/>
      <c r="Z444" s="28"/>
      <c r="AA444" s="28"/>
      <c r="AB444" s="28"/>
      <c r="AC444" s="28"/>
    </row>
    <row r="445" spans="1:29" ht="13">
      <c r="A445" s="28"/>
      <c r="B445" s="45"/>
      <c r="C445" s="45"/>
      <c r="D445" s="45"/>
      <c r="E445" s="45"/>
      <c r="F445" s="45"/>
      <c r="G445" s="45"/>
      <c r="H445" s="45"/>
      <c r="I445" s="45"/>
      <c r="J445" s="45"/>
      <c r="K445" s="45"/>
      <c r="L445" s="45"/>
      <c r="M445" s="45"/>
      <c r="N445" s="45"/>
      <c r="O445" s="47"/>
      <c r="P445" s="45"/>
      <c r="Q445" s="45"/>
      <c r="R445" s="45"/>
      <c r="S445" s="45"/>
      <c r="T445" s="45"/>
      <c r="U445" s="45"/>
      <c r="V445" s="45"/>
      <c r="W445" s="45"/>
      <c r="X445" s="28"/>
      <c r="Y445" s="28"/>
      <c r="Z445" s="28"/>
      <c r="AA445" s="28"/>
      <c r="AB445" s="28"/>
      <c r="AC445" s="28"/>
    </row>
    <row r="446" spans="1:29" ht="13">
      <c r="A446" s="28"/>
      <c r="B446" s="45"/>
      <c r="C446" s="45"/>
      <c r="D446" s="45"/>
      <c r="E446" s="45"/>
      <c r="F446" s="45"/>
      <c r="G446" s="45"/>
      <c r="H446" s="45"/>
      <c r="I446" s="45"/>
      <c r="J446" s="45"/>
      <c r="K446" s="45"/>
      <c r="L446" s="45"/>
      <c r="M446" s="45"/>
      <c r="N446" s="45"/>
      <c r="O446" s="47"/>
      <c r="P446" s="45"/>
      <c r="Q446" s="45"/>
      <c r="R446" s="45"/>
      <c r="S446" s="45"/>
      <c r="T446" s="45"/>
      <c r="U446" s="45"/>
      <c r="V446" s="45"/>
      <c r="W446" s="45"/>
      <c r="X446" s="28"/>
      <c r="Y446" s="28"/>
      <c r="Z446" s="28"/>
      <c r="AA446" s="28"/>
      <c r="AB446" s="28"/>
      <c r="AC446" s="28"/>
    </row>
    <row r="447" spans="1:29" ht="13">
      <c r="A447" s="28"/>
      <c r="B447" s="45"/>
      <c r="C447" s="45"/>
      <c r="D447" s="45"/>
      <c r="E447" s="45"/>
      <c r="F447" s="45"/>
      <c r="G447" s="45"/>
      <c r="H447" s="45"/>
      <c r="I447" s="45"/>
      <c r="J447" s="45"/>
      <c r="K447" s="45"/>
      <c r="L447" s="45"/>
      <c r="M447" s="45"/>
      <c r="N447" s="45"/>
      <c r="O447" s="47"/>
      <c r="P447" s="45"/>
      <c r="Q447" s="45"/>
      <c r="R447" s="45"/>
      <c r="S447" s="45"/>
      <c r="T447" s="45"/>
      <c r="U447" s="45"/>
      <c r="V447" s="45"/>
      <c r="W447" s="45"/>
      <c r="X447" s="28"/>
      <c r="Y447" s="28"/>
      <c r="Z447" s="28"/>
      <c r="AA447" s="28"/>
      <c r="AB447" s="28"/>
      <c r="AC447" s="28"/>
    </row>
    <row r="448" spans="1:29" ht="13">
      <c r="A448" s="28"/>
      <c r="B448" s="45"/>
      <c r="C448" s="45"/>
      <c r="D448" s="45"/>
      <c r="E448" s="45"/>
      <c r="F448" s="45"/>
      <c r="G448" s="45"/>
      <c r="H448" s="45"/>
      <c r="I448" s="45"/>
      <c r="J448" s="45"/>
      <c r="K448" s="45"/>
      <c r="L448" s="45"/>
      <c r="M448" s="45"/>
      <c r="N448" s="45"/>
      <c r="O448" s="47"/>
      <c r="P448" s="45"/>
      <c r="Q448" s="45"/>
      <c r="R448" s="45"/>
      <c r="S448" s="45"/>
      <c r="T448" s="45"/>
      <c r="U448" s="45"/>
      <c r="V448" s="45"/>
      <c r="W448" s="45"/>
      <c r="X448" s="28"/>
      <c r="Y448" s="28"/>
      <c r="Z448" s="28"/>
      <c r="AA448" s="28"/>
      <c r="AB448" s="28"/>
      <c r="AC448" s="28"/>
    </row>
    <row r="449" spans="1:29" ht="13">
      <c r="A449" s="28"/>
      <c r="B449" s="45"/>
      <c r="C449" s="45"/>
      <c r="D449" s="45"/>
      <c r="E449" s="45"/>
      <c r="F449" s="45"/>
      <c r="G449" s="45"/>
      <c r="H449" s="45"/>
      <c r="I449" s="45"/>
      <c r="J449" s="45"/>
      <c r="K449" s="45"/>
      <c r="L449" s="45"/>
      <c r="M449" s="45"/>
      <c r="N449" s="45"/>
      <c r="O449" s="47"/>
      <c r="P449" s="45"/>
      <c r="Q449" s="45"/>
      <c r="R449" s="45"/>
      <c r="S449" s="45"/>
      <c r="T449" s="45"/>
      <c r="U449" s="45"/>
      <c r="V449" s="45"/>
      <c r="W449" s="45"/>
      <c r="X449" s="28"/>
      <c r="Y449" s="28"/>
      <c r="Z449" s="28"/>
      <c r="AA449" s="28"/>
      <c r="AB449" s="28"/>
      <c r="AC449" s="28"/>
    </row>
    <row r="450" spans="1:29" ht="13">
      <c r="A450" s="28"/>
      <c r="B450" s="45"/>
      <c r="C450" s="45"/>
      <c r="D450" s="45"/>
      <c r="E450" s="45"/>
      <c r="F450" s="45"/>
      <c r="G450" s="45"/>
      <c r="H450" s="45"/>
      <c r="I450" s="45"/>
      <c r="J450" s="45"/>
      <c r="K450" s="45"/>
      <c r="L450" s="45"/>
      <c r="M450" s="45"/>
      <c r="N450" s="45"/>
      <c r="O450" s="47"/>
      <c r="P450" s="45"/>
      <c r="Q450" s="45"/>
      <c r="R450" s="45"/>
      <c r="S450" s="45"/>
      <c r="T450" s="45"/>
      <c r="U450" s="45"/>
      <c r="V450" s="45"/>
      <c r="W450" s="45"/>
      <c r="X450" s="28"/>
      <c r="Y450" s="28"/>
      <c r="Z450" s="28"/>
      <c r="AA450" s="28"/>
      <c r="AB450" s="28"/>
      <c r="AC450" s="28"/>
    </row>
    <row r="451" spans="1:29" ht="13">
      <c r="A451" s="28"/>
      <c r="B451" s="45"/>
      <c r="C451" s="45"/>
      <c r="D451" s="45"/>
      <c r="E451" s="45"/>
      <c r="F451" s="45"/>
      <c r="G451" s="45"/>
      <c r="H451" s="45"/>
      <c r="I451" s="45"/>
      <c r="J451" s="45"/>
      <c r="K451" s="45"/>
      <c r="L451" s="45"/>
      <c r="M451" s="45"/>
      <c r="N451" s="45"/>
      <c r="O451" s="47"/>
      <c r="P451" s="45"/>
      <c r="Q451" s="45"/>
      <c r="R451" s="45"/>
      <c r="S451" s="45"/>
      <c r="T451" s="45"/>
      <c r="U451" s="45"/>
      <c r="V451" s="45"/>
      <c r="W451" s="45"/>
      <c r="X451" s="28"/>
      <c r="Y451" s="28"/>
      <c r="Z451" s="28"/>
      <c r="AA451" s="28"/>
      <c r="AB451" s="28"/>
      <c r="AC451" s="28"/>
    </row>
    <row r="452" spans="1:29" ht="13">
      <c r="A452" s="28"/>
      <c r="B452" s="45"/>
      <c r="C452" s="45"/>
      <c r="D452" s="45"/>
      <c r="E452" s="45"/>
      <c r="F452" s="45"/>
      <c r="G452" s="45"/>
      <c r="H452" s="45"/>
      <c r="I452" s="45"/>
      <c r="J452" s="45"/>
      <c r="K452" s="45"/>
      <c r="L452" s="45"/>
      <c r="M452" s="45"/>
      <c r="N452" s="45"/>
      <c r="O452" s="47"/>
      <c r="P452" s="45"/>
      <c r="Q452" s="45"/>
      <c r="R452" s="45"/>
      <c r="S452" s="45"/>
      <c r="T452" s="45"/>
      <c r="U452" s="45"/>
      <c r="V452" s="45"/>
      <c r="W452" s="45"/>
      <c r="X452" s="28"/>
      <c r="Y452" s="28"/>
      <c r="Z452" s="28"/>
      <c r="AA452" s="28"/>
      <c r="AB452" s="28"/>
      <c r="AC452" s="28"/>
    </row>
    <row r="453" spans="1:29" ht="13">
      <c r="A453" s="28"/>
      <c r="B453" s="45"/>
      <c r="C453" s="45"/>
      <c r="D453" s="45"/>
      <c r="E453" s="45"/>
      <c r="F453" s="45"/>
      <c r="G453" s="45"/>
      <c r="H453" s="45"/>
      <c r="I453" s="45"/>
      <c r="J453" s="45"/>
      <c r="K453" s="45"/>
      <c r="L453" s="45"/>
      <c r="M453" s="45"/>
      <c r="N453" s="45"/>
      <c r="O453" s="47"/>
      <c r="P453" s="45"/>
      <c r="Q453" s="45"/>
      <c r="R453" s="45"/>
      <c r="S453" s="45"/>
      <c r="T453" s="45"/>
      <c r="U453" s="45"/>
      <c r="V453" s="45"/>
      <c r="W453" s="45"/>
      <c r="X453" s="28"/>
      <c r="Y453" s="28"/>
      <c r="Z453" s="28"/>
      <c r="AA453" s="28"/>
      <c r="AB453" s="28"/>
      <c r="AC453" s="28"/>
    </row>
    <row r="454" spans="1:29" ht="13">
      <c r="A454" s="28"/>
      <c r="B454" s="45"/>
      <c r="C454" s="45"/>
      <c r="D454" s="45"/>
      <c r="E454" s="45"/>
      <c r="F454" s="45"/>
      <c r="G454" s="45"/>
      <c r="H454" s="45"/>
      <c r="I454" s="45"/>
      <c r="J454" s="45"/>
      <c r="K454" s="45"/>
      <c r="L454" s="45"/>
      <c r="M454" s="45"/>
      <c r="N454" s="45"/>
      <c r="O454" s="47"/>
      <c r="P454" s="45"/>
      <c r="Q454" s="45"/>
      <c r="R454" s="45"/>
      <c r="S454" s="45"/>
      <c r="T454" s="45"/>
      <c r="U454" s="45"/>
      <c r="V454" s="45"/>
      <c r="W454" s="45"/>
      <c r="X454" s="28"/>
      <c r="Y454" s="28"/>
      <c r="Z454" s="28"/>
      <c r="AA454" s="28"/>
      <c r="AB454" s="28"/>
      <c r="AC454" s="28"/>
    </row>
    <row r="455" spans="1:29" ht="13">
      <c r="A455" s="28"/>
      <c r="B455" s="45"/>
      <c r="C455" s="45"/>
      <c r="D455" s="45"/>
      <c r="E455" s="45"/>
      <c r="F455" s="45"/>
      <c r="G455" s="45"/>
      <c r="H455" s="45"/>
      <c r="I455" s="45"/>
      <c r="J455" s="45"/>
      <c r="K455" s="45"/>
      <c r="L455" s="45"/>
      <c r="M455" s="45"/>
      <c r="N455" s="45"/>
      <c r="O455" s="47"/>
      <c r="P455" s="45"/>
      <c r="Q455" s="45"/>
      <c r="R455" s="45"/>
      <c r="S455" s="45"/>
      <c r="T455" s="45"/>
      <c r="U455" s="45"/>
      <c r="V455" s="45"/>
      <c r="W455" s="45"/>
      <c r="X455" s="28"/>
      <c r="Y455" s="28"/>
      <c r="Z455" s="28"/>
      <c r="AA455" s="28"/>
      <c r="AB455" s="28"/>
      <c r="AC455" s="28"/>
    </row>
    <row r="456" spans="1:29" ht="13">
      <c r="A456" s="28"/>
      <c r="B456" s="45"/>
      <c r="C456" s="45"/>
      <c r="D456" s="45"/>
      <c r="E456" s="45"/>
      <c r="F456" s="45"/>
      <c r="G456" s="45"/>
      <c r="H456" s="45"/>
      <c r="I456" s="45"/>
      <c r="J456" s="45"/>
      <c r="K456" s="45"/>
      <c r="L456" s="45"/>
      <c r="M456" s="45"/>
      <c r="N456" s="45"/>
      <c r="O456" s="47"/>
      <c r="P456" s="45"/>
      <c r="Q456" s="45"/>
      <c r="R456" s="45"/>
      <c r="S456" s="45"/>
      <c r="T456" s="45"/>
      <c r="U456" s="45"/>
      <c r="V456" s="45"/>
      <c r="W456" s="45"/>
      <c r="X456" s="28"/>
      <c r="Y456" s="28"/>
      <c r="Z456" s="28"/>
      <c r="AA456" s="28"/>
      <c r="AB456" s="28"/>
      <c r="AC456" s="28"/>
    </row>
    <row r="457" spans="1:29" ht="13">
      <c r="A457" s="28"/>
      <c r="B457" s="45"/>
      <c r="C457" s="45"/>
      <c r="D457" s="45"/>
      <c r="E457" s="45"/>
      <c r="F457" s="45"/>
      <c r="G457" s="45"/>
      <c r="H457" s="45"/>
      <c r="I457" s="45"/>
      <c r="J457" s="45"/>
      <c r="K457" s="45"/>
      <c r="L457" s="45"/>
      <c r="M457" s="45"/>
      <c r="N457" s="45"/>
      <c r="O457" s="47"/>
      <c r="P457" s="45"/>
      <c r="Q457" s="45"/>
      <c r="R457" s="45"/>
      <c r="S457" s="45"/>
      <c r="T457" s="45"/>
      <c r="U457" s="45"/>
      <c r="V457" s="45"/>
      <c r="W457" s="45"/>
      <c r="X457" s="28"/>
      <c r="Y457" s="28"/>
      <c r="Z457" s="28"/>
      <c r="AA457" s="28"/>
      <c r="AB457" s="28"/>
      <c r="AC457" s="28"/>
    </row>
    <row r="458" spans="1:29" ht="13">
      <c r="A458" s="28"/>
      <c r="B458" s="45"/>
      <c r="C458" s="45"/>
      <c r="D458" s="45"/>
      <c r="E458" s="45"/>
      <c r="F458" s="45"/>
      <c r="G458" s="45"/>
      <c r="H458" s="45"/>
      <c r="I458" s="45"/>
      <c r="J458" s="45"/>
      <c r="K458" s="45"/>
      <c r="L458" s="45"/>
      <c r="M458" s="45"/>
      <c r="N458" s="45"/>
      <c r="O458" s="47"/>
      <c r="P458" s="45"/>
      <c r="Q458" s="45"/>
      <c r="R458" s="45"/>
      <c r="S458" s="45"/>
      <c r="T458" s="45"/>
      <c r="U458" s="45"/>
      <c r="V458" s="45"/>
      <c r="W458" s="45"/>
      <c r="X458" s="28"/>
      <c r="Y458" s="28"/>
      <c r="Z458" s="28"/>
      <c r="AA458" s="28"/>
      <c r="AB458" s="28"/>
      <c r="AC458" s="28"/>
    </row>
    <row r="459" spans="1:29" ht="13">
      <c r="A459" s="28"/>
      <c r="B459" s="45"/>
      <c r="C459" s="45"/>
      <c r="D459" s="45"/>
      <c r="E459" s="45"/>
      <c r="F459" s="45"/>
      <c r="G459" s="45"/>
      <c r="H459" s="45"/>
      <c r="I459" s="45"/>
      <c r="J459" s="45"/>
      <c r="K459" s="45"/>
      <c r="L459" s="45"/>
      <c r="M459" s="45"/>
      <c r="N459" s="45"/>
      <c r="O459" s="47"/>
      <c r="P459" s="45"/>
      <c r="Q459" s="45"/>
      <c r="R459" s="45"/>
      <c r="S459" s="45"/>
      <c r="T459" s="45"/>
      <c r="U459" s="45"/>
      <c r="V459" s="45"/>
      <c r="W459" s="45"/>
      <c r="X459" s="28"/>
      <c r="Y459" s="28"/>
      <c r="Z459" s="28"/>
      <c r="AA459" s="28"/>
      <c r="AB459" s="28"/>
      <c r="AC459" s="28"/>
    </row>
    <row r="460" spans="1:29" ht="13">
      <c r="A460" s="28"/>
      <c r="B460" s="45"/>
      <c r="C460" s="45"/>
      <c r="D460" s="45"/>
      <c r="E460" s="45"/>
      <c r="F460" s="45"/>
      <c r="G460" s="45"/>
      <c r="H460" s="45"/>
      <c r="I460" s="45"/>
      <c r="J460" s="45"/>
      <c r="K460" s="45"/>
      <c r="L460" s="45"/>
      <c r="M460" s="45"/>
      <c r="N460" s="45"/>
      <c r="O460" s="47"/>
      <c r="P460" s="45"/>
      <c r="Q460" s="45"/>
      <c r="R460" s="45"/>
      <c r="S460" s="45"/>
      <c r="T460" s="45"/>
      <c r="U460" s="45"/>
      <c r="V460" s="45"/>
      <c r="W460" s="45"/>
      <c r="X460" s="28"/>
      <c r="Y460" s="28"/>
      <c r="Z460" s="28"/>
      <c r="AA460" s="28"/>
      <c r="AB460" s="28"/>
      <c r="AC460" s="28"/>
    </row>
    <row r="461" spans="1:29" ht="13">
      <c r="A461" s="28"/>
      <c r="B461" s="45"/>
      <c r="C461" s="45"/>
      <c r="D461" s="45"/>
      <c r="E461" s="45"/>
      <c r="F461" s="45"/>
      <c r="G461" s="45"/>
      <c r="H461" s="45"/>
      <c r="I461" s="45"/>
      <c r="J461" s="45"/>
      <c r="K461" s="45"/>
      <c r="L461" s="45"/>
      <c r="M461" s="45"/>
      <c r="N461" s="45"/>
      <c r="O461" s="47"/>
      <c r="P461" s="45"/>
      <c r="Q461" s="45"/>
      <c r="R461" s="45"/>
      <c r="S461" s="45"/>
      <c r="T461" s="45"/>
      <c r="U461" s="45"/>
      <c r="V461" s="45"/>
      <c r="W461" s="45"/>
      <c r="X461" s="28"/>
      <c r="Y461" s="28"/>
      <c r="Z461" s="28"/>
      <c r="AA461" s="28"/>
      <c r="AB461" s="28"/>
      <c r="AC461" s="28"/>
    </row>
    <row r="462" spans="1:29" ht="13">
      <c r="A462" s="28"/>
      <c r="B462" s="45"/>
      <c r="C462" s="45"/>
      <c r="D462" s="45"/>
      <c r="E462" s="45"/>
      <c r="F462" s="45"/>
      <c r="G462" s="45"/>
      <c r="H462" s="45"/>
      <c r="I462" s="45"/>
      <c r="J462" s="45"/>
      <c r="K462" s="45"/>
      <c r="L462" s="45"/>
      <c r="M462" s="45"/>
      <c r="N462" s="45"/>
      <c r="O462" s="47"/>
      <c r="P462" s="45"/>
      <c r="Q462" s="45"/>
      <c r="R462" s="45"/>
      <c r="S462" s="45"/>
      <c r="T462" s="45"/>
      <c r="U462" s="45"/>
      <c r="V462" s="45"/>
      <c r="W462" s="45"/>
      <c r="X462" s="28"/>
      <c r="Y462" s="28"/>
      <c r="Z462" s="28"/>
      <c r="AA462" s="28"/>
      <c r="AB462" s="28"/>
      <c r="AC462" s="28"/>
    </row>
    <row r="463" spans="1:29" ht="13">
      <c r="A463" s="28"/>
      <c r="B463" s="45"/>
      <c r="C463" s="45"/>
      <c r="D463" s="45"/>
      <c r="E463" s="45"/>
      <c r="F463" s="45"/>
      <c r="G463" s="45"/>
      <c r="H463" s="45"/>
      <c r="I463" s="45"/>
      <c r="J463" s="45"/>
      <c r="K463" s="45"/>
      <c r="L463" s="45"/>
      <c r="M463" s="45"/>
      <c r="N463" s="45"/>
      <c r="O463" s="47"/>
      <c r="P463" s="45"/>
      <c r="Q463" s="45"/>
      <c r="R463" s="45"/>
      <c r="S463" s="45"/>
      <c r="T463" s="45"/>
      <c r="U463" s="45"/>
      <c r="V463" s="45"/>
      <c r="W463" s="45"/>
      <c r="X463" s="28"/>
      <c r="Y463" s="28"/>
      <c r="Z463" s="28"/>
      <c r="AA463" s="28"/>
      <c r="AB463" s="28"/>
      <c r="AC463" s="28"/>
    </row>
    <row r="464" spans="1:29" ht="13">
      <c r="A464" s="28"/>
      <c r="B464" s="45"/>
      <c r="C464" s="45"/>
      <c r="D464" s="45"/>
      <c r="E464" s="45"/>
      <c r="F464" s="45"/>
      <c r="G464" s="45"/>
      <c r="H464" s="45"/>
      <c r="I464" s="45"/>
      <c r="J464" s="45"/>
      <c r="K464" s="45"/>
      <c r="L464" s="45"/>
      <c r="M464" s="45"/>
      <c r="N464" s="45"/>
      <c r="O464" s="47"/>
      <c r="P464" s="45"/>
      <c r="Q464" s="45"/>
      <c r="R464" s="45"/>
      <c r="S464" s="45"/>
      <c r="T464" s="45"/>
      <c r="U464" s="45"/>
      <c r="V464" s="45"/>
      <c r="W464" s="45"/>
      <c r="X464" s="28"/>
      <c r="Y464" s="28"/>
      <c r="Z464" s="28"/>
      <c r="AA464" s="28"/>
      <c r="AB464" s="28"/>
      <c r="AC464" s="28"/>
    </row>
    <row r="465" spans="1:29" ht="13">
      <c r="A465" s="28"/>
      <c r="B465" s="45"/>
      <c r="C465" s="45"/>
      <c r="D465" s="45"/>
      <c r="E465" s="45"/>
      <c r="F465" s="45"/>
      <c r="G465" s="45"/>
      <c r="H465" s="45"/>
      <c r="I465" s="45"/>
      <c r="J465" s="45"/>
      <c r="K465" s="45"/>
      <c r="L465" s="45"/>
      <c r="M465" s="45"/>
      <c r="N465" s="45"/>
      <c r="O465" s="47"/>
      <c r="P465" s="45"/>
      <c r="Q465" s="45"/>
      <c r="R465" s="45"/>
      <c r="S465" s="45"/>
      <c r="T465" s="45"/>
      <c r="U465" s="45"/>
      <c r="V465" s="45"/>
      <c r="W465" s="45"/>
      <c r="X465" s="28"/>
      <c r="Y465" s="28"/>
      <c r="Z465" s="28"/>
      <c r="AA465" s="28"/>
      <c r="AB465" s="28"/>
      <c r="AC465" s="28"/>
    </row>
    <row r="466" spans="1:29" ht="13">
      <c r="A466" s="28"/>
      <c r="B466" s="45"/>
      <c r="C466" s="45"/>
      <c r="D466" s="45"/>
      <c r="E466" s="45"/>
      <c r="F466" s="45"/>
      <c r="G466" s="45"/>
      <c r="H466" s="45"/>
      <c r="I466" s="45"/>
      <c r="J466" s="45"/>
      <c r="K466" s="45"/>
      <c r="L466" s="45"/>
      <c r="M466" s="45"/>
      <c r="N466" s="45"/>
      <c r="O466" s="47"/>
      <c r="P466" s="45"/>
      <c r="Q466" s="45"/>
      <c r="R466" s="45"/>
      <c r="S466" s="45"/>
      <c r="T466" s="45"/>
      <c r="U466" s="45"/>
      <c r="V466" s="45"/>
      <c r="W466" s="45"/>
      <c r="X466" s="28"/>
      <c r="Y466" s="28"/>
      <c r="Z466" s="28"/>
      <c r="AA466" s="28"/>
      <c r="AB466" s="28"/>
      <c r="AC466" s="28"/>
    </row>
    <row r="467" spans="1:29" ht="13">
      <c r="A467" s="28"/>
      <c r="B467" s="45"/>
      <c r="C467" s="45"/>
      <c r="D467" s="45"/>
      <c r="E467" s="45"/>
      <c r="F467" s="45"/>
      <c r="G467" s="45"/>
      <c r="H467" s="45"/>
      <c r="I467" s="45"/>
      <c r="J467" s="45"/>
      <c r="K467" s="45"/>
      <c r="L467" s="45"/>
      <c r="M467" s="45"/>
      <c r="N467" s="45"/>
      <c r="O467" s="47"/>
      <c r="P467" s="45"/>
      <c r="Q467" s="45"/>
      <c r="R467" s="45"/>
      <c r="S467" s="45"/>
      <c r="T467" s="45"/>
      <c r="U467" s="45"/>
      <c r="V467" s="45"/>
      <c r="W467" s="45"/>
      <c r="X467" s="28"/>
      <c r="Y467" s="28"/>
      <c r="Z467" s="28"/>
      <c r="AA467" s="28"/>
      <c r="AB467" s="28"/>
      <c r="AC467" s="28"/>
    </row>
    <row r="468" spans="1:29" ht="13">
      <c r="A468" s="28"/>
      <c r="B468" s="45"/>
      <c r="C468" s="45"/>
      <c r="D468" s="45"/>
      <c r="E468" s="45"/>
      <c r="F468" s="45"/>
      <c r="G468" s="45"/>
      <c r="H468" s="45"/>
      <c r="I468" s="45"/>
      <c r="J468" s="45"/>
      <c r="K468" s="45"/>
      <c r="L468" s="45"/>
      <c r="M468" s="45"/>
      <c r="N468" s="45"/>
      <c r="O468" s="47"/>
      <c r="P468" s="45"/>
      <c r="Q468" s="45"/>
      <c r="R468" s="45"/>
      <c r="S468" s="45"/>
      <c r="T468" s="45"/>
      <c r="U468" s="45"/>
      <c r="V468" s="45"/>
      <c r="W468" s="45"/>
      <c r="X468" s="28"/>
      <c r="Y468" s="28"/>
      <c r="Z468" s="28"/>
      <c r="AA468" s="28"/>
      <c r="AB468" s="28"/>
      <c r="AC468" s="28"/>
    </row>
    <row r="469" spans="1:29" ht="13">
      <c r="A469" s="28"/>
      <c r="B469" s="45"/>
      <c r="C469" s="45"/>
      <c r="D469" s="45"/>
      <c r="E469" s="45"/>
      <c r="F469" s="45"/>
      <c r="G469" s="45"/>
      <c r="H469" s="45"/>
      <c r="I469" s="45"/>
      <c r="J469" s="45"/>
      <c r="K469" s="45"/>
      <c r="L469" s="45"/>
      <c r="M469" s="45"/>
      <c r="N469" s="45"/>
      <c r="O469" s="47"/>
      <c r="P469" s="45"/>
      <c r="Q469" s="45"/>
      <c r="R469" s="45"/>
      <c r="S469" s="45"/>
      <c r="T469" s="45"/>
      <c r="U469" s="45"/>
      <c r="V469" s="45"/>
      <c r="W469" s="45"/>
      <c r="X469" s="28"/>
      <c r="Y469" s="28"/>
      <c r="Z469" s="28"/>
      <c r="AA469" s="28"/>
      <c r="AB469" s="28"/>
      <c r="AC469" s="28"/>
    </row>
    <row r="470" spans="1:29" ht="13">
      <c r="A470" s="28"/>
      <c r="B470" s="45"/>
      <c r="C470" s="45"/>
      <c r="D470" s="45"/>
      <c r="E470" s="45"/>
      <c r="F470" s="45"/>
      <c r="G470" s="45"/>
      <c r="H470" s="45"/>
      <c r="I470" s="45"/>
      <c r="J470" s="45"/>
      <c r="K470" s="45"/>
      <c r="L470" s="45"/>
      <c r="M470" s="45"/>
      <c r="N470" s="45"/>
      <c r="O470" s="47"/>
      <c r="P470" s="45"/>
      <c r="Q470" s="45"/>
      <c r="R470" s="45"/>
      <c r="S470" s="45"/>
      <c r="T470" s="45"/>
      <c r="U470" s="45"/>
      <c r="V470" s="45"/>
      <c r="W470" s="45"/>
      <c r="X470" s="28"/>
      <c r="Y470" s="28"/>
      <c r="Z470" s="28"/>
      <c r="AA470" s="28"/>
      <c r="AB470" s="28"/>
      <c r="AC470" s="28"/>
    </row>
    <row r="471" spans="1:29" ht="13">
      <c r="A471" s="28"/>
      <c r="B471" s="45"/>
      <c r="C471" s="45"/>
      <c r="D471" s="45"/>
      <c r="E471" s="45"/>
      <c r="F471" s="45"/>
      <c r="G471" s="45"/>
      <c r="H471" s="45"/>
      <c r="I471" s="45"/>
      <c r="J471" s="45"/>
      <c r="K471" s="45"/>
      <c r="L471" s="45"/>
      <c r="M471" s="45"/>
      <c r="N471" s="45"/>
      <c r="O471" s="47"/>
      <c r="P471" s="45"/>
      <c r="Q471" s="45"/>
      <c r="R471" s="45"/>
      <c r="S471" s="45"/>
      <c r="T471" s="45"/>
      <c r="U471" s="45"/>
      <c r="V471" s="45"/>
      <c r="W471" s="45"/>
      <c r="X471" s="28"/>
      <c r="Y471" s="28"/>
      <c r="Z471" s="28"/>
      <c r="AA471" s="28"/>
      <c r="AB471" s="28"/>
      <c r="AC471" s="28"/>
    </row>
    <row r="472" spans="1:29" ht="13">
      <c r="A472" s="28"/>
      <c r="B472" s="45"/>
      <c r="C472" s="45"/>
      <c r="D472" s="45"/>
      <c r="E472" s="45"/>
      <c r="F472" s="45"/>
      <c r="G472" s="45"/>
      <c r="H472" s="45"/>
      <c r="I472" s="45"/>
      <c r="J472" s="45"/>
      <c r="K472" s="45"/>
      <c r="L472" s="45"/>
      <c r="M472" s="45"/>
      <c r="N472" s="45"/>
      <c r="O472" s="47"/>
      <c r="P472" s="45"/>
      <c r="Q472" s="45"/>
      <c r="R472" s="45"/>
      <c r="S472" s="45"/>
      <c r="T472" s="45"/>
      <c r="U472" s="45"/>
      <c r="V472" s="45"/>
      <c r="W472" s="45"/>
      <c r="X472" s="28"/>
      <c r="Y472" s="28"/>
      <c r="Z472" s="28"/>
      <c r="AA472" s="28"/>
      <c r="AB472" s="28"/>
      <c r="AC472" s="28"/>
    </row>
    <row r="473" spans="1:29" ht="13">
      <c r="A473" s="28"/>
      <c r="B473" s="45"/>
      <c r="C473" s="45"/>
      <c r="D473" s="45"/>
      <c r="E473" s="45"/>
      <c r="F473" s="45"/>
      <c r="G473" s="45"/>
      <c r="H473" s="45"/>
      <c r="I473" s="45"/>
      <c r="J473" s="45"/>
      <c r="K473" s="45"/>
      <c r="L473" s="45"/>
      <c r="M473" s="45"/>
      <c r="N473" s="45"/>
      <c r="O473" s="47"/>
      <c r="P473" s="45"/>
      <c r="Q473" s="45"/>
      <c r="R473" s="45"/>
      <c r="S473" s="45"/>
      <c r="T473" s="45"/>
      <c r="U473" s="45"/>
      <c r="V473" s="45"/>
      <c r="W473" s="45"/>
      <c r="X473" s="28"/>
      <c r="Y473" s="28"/>
      <c r="Z473" s="28"/>
      <c r="AA473" s="28"/>
      <c r="AB473" s="28"/>
      <c r="AC473" s="28"/>
    </row>
    <row r="474" spans="1:29" ht="13">
      <c r="A474" s="28"/>
      <c r="B474" s="45"/>
      <c r="C474" s="45"/>
      <c r="D474" s="45"/>
      <c r="E474" s="45"/>
      <c r="F474" s="45"/>
      <c r="G474" s="45"/>
      <c r="H474" s="45"/>
      <c r="I474" s="45"/>
      <c r="J474" s="45"/>
      <c r="K474" s="45"/>
      <c r="L474" s="45"/>
      <c r="M474" s="45"/>
      <c r="N474" s="45"/>
      <c r="O474" s="47"/>
      <c r="P474" s="45"/>
      <c r="Q474" s="45"/>
      <c r="R474" s="45"/>
      <c r="S474" s="45"/>
      <c r="T474" s="45"/>
      <c r="U474" s="45"/>
      <c r="V474" s="45"/>
      <c r="W474" s="45"/>
      <c r="X474" s="28"/>
      <c r="Y474" s="28"/>
      <c r="Z474" s="28"/>
      <c r="AA474" s="28"/>
      <c r="AB474" s="28"/>
      <c r="AC474" s="28"/>
    </row>
    <row r="475" spans="1:29" ht="13">
      <c r="A475" s="28"/>
      <c r="B475" s="45"/>
      <c r="C475" s="45"/>
      <c r="D475" s="45"/>
      <c r="E475" s="45"/>
      <c r="F475" s="45"/>
      <c r="G475" s="45"/>
      <c r="H475" s="45"/>
      <c r="I475" s="45"/>
      <c r="J475" s="45"/>
      <c r="K475" s="45"/>
      <c r="L475" s="45"/>
      <c r="M475" s="45"/>
      <c r="N475" s="45"/>
      <c r="O475" s="47"/>
      <c r="P475" s="45"/>
      <c r="Q475" s="45"/>
      <c r="R475" s="45"/>
      <c r="S475" s="45"/>
      <c r="T475" s="45"/>
      <c r="U475" s="45"/>
      <c r="V475" s="45"/>
      <c r="W475" s="45"/>
      <c r="X475" s="28"/>
      <c r="Y475" s="28"/>
      <c r="Z475" s="28"/>
      <c r="AA475" s="28"/>
      <c r="AB475" s="28"/>
      <c r="AC475" s="28"/>
    </row>
    <row r="476" spans="1:29" ht="13">
      <c r="A476" s="28"/>
      <c r="B476" s="45"/>
      <c r="C476" s="45"/>
      <c r="D476" s="45"/>
      <c r="E476" s="45"/>
      <c r="F476" s="45"/>
      <c r="G476" s="45"/>
      <c r="H476" s="45"/>
      <c r="I476" s="45"/>
      <c r="J476" s="45"/>
      <c r="K476" s="45"/>
      <c r="L476" s="45"/>
      <c r="M476" s="45"/>
      <c r="N476" s="45"/>
      <c r="O476" s="47"/>
      <c r="P476" s="45"/>
      <c r="Q476" s="45"/>
      <c r="R476" s="45"/>
      <c r="S476" s="45"/>
      <c r="T476" s="45"/>
      <c r="U476" s="45"/>
      <c r="V476" s="45"/>
      <c r="W476" s="45"/>
      <c r="X476" s="28"/>
      <c r="Y476" s="28"/>
      <c r="Z476" s="28"/>
      <c r="AA476" s="28"/>
      <c r="AB476" s="28"/>
      <c r="AC476" s="28"/>
    </row>
    <row r="477" spans="1:29" ht="13">
      <c r="A477" s="28"/>
      <c r="B477" s="45"/>
      <c r="C477" s="45"/>
      <c r="D477" s="45"/>
      <c r="E477" s="45"/>
      <c r="F477" s="45"/>
      <c r="G477" s="45"/>
      <c r="H477" s="45"/>
      <c r="I477" s="45"/>
      <c r="J477" s="45"/>
      <c r="K477" s="45"/>
      <c r="L477" s="45"/>
      <c r="M477" s="45"/>
      <c r="N477" s="45"/>
      <c r="O477" s="47"/>
      <c r="P477" s="45"/>
      <c r="Q477" s="45"/>
      <c r="R477" s="45"/>
      <c r="S477" s="45"/>
      <c r="T477" s="45"/>
      <c r="U477" s="45"/>
      <c r="V477" s="45"/>
      <c r="W477" s="45"/>
      <c r="X477" s="28"/>
      <c r="Y477" s="28"/>
      <c r="Z477" s="28"/>
      <c r="AA477" s="28"/>
      <c r="AB477" s="28"/>
      <c r="AC477" s="28"/>
    </row>
    <row r="478" spans="1:29" ht="13">
      <c r="A478" s="28"/>
      <c r="B478" s="45"/>
      <c r="C478" s="45"/>
      <c r="D478" s="45"/>
      <c r="E478" s="45"/>
      <c r="F478" s="45"/>
      <c r="G478" s="45"/>
      <c r="H478" s="45"/>
      <c r="I478" s="45"/>
      <c r="J478" s="45"/>
      <c r="K478" s="45"/>
      <c r="L478" s="45"/>
      <c r="M478" s="45"/>
      <c r="N478" s="45"/>
      <c r="O478" s="47"/>
      <c r="P478" s="45"/>
      <c r="Q478" s="45"/>
      <c r="R478" s="45"/>
      <c r="S478" s="45"/>
      <c r="T478" s="45"/>
      <c r="U478" s="45"/>
      <c r="V478" s="45"/>
      <c r="W478" s="45"/>
      <c r="X478" s="28"/>
      <c r="Y478" s="28"/>
      <c r="Z478" s="28"/>
      <c r="AA478" s="28"/>
      <c r="AB478" s="28"/>
      <c r="AC478" s="28"/>
    </row>
    <row r="479" spans="1:29" ht="13">
      <c r="A479" s="28"/>
      <c r="B479" s="45"/>
      <c r="C479" s="45"/>
      <c r="D479" s="45"/>
      <c r="E479" s="45"/>
      <c r="F479" s="45"/>
      <c r="G479" s="45"/>
      <c r="H479" s="45"/>
      <c r="I479" s="45"/>
      <c r="J479" s="45"/>
      <c r="K479" s="45"/>
      <c r="L479" s="45"/>
      <c r="M479" s="45"/>
      <c r="N479" s="45"/>
      <c r="O479" s="47"/>
      <c r="P479" s="45"/>
      <c r="Q479" s="45"/>
      <c r="R479" s="45"/>
      <c r="S479" s="45"/>
      <c r="T479" s="45"/>
      <c r="U479" s="45"/>
      <c r="V479" s="45"/>
      <c r="W479" s="45"/>
      <c r="X479" s="28"/>
      <c r="Y479" s="28"/>
      <c r="Z479" s="28"/>
      <c r="AA479" s="28"/>
      <c r="AB479" s="28"/>
      <c r="AC479" s="28"/>
    </row>
    <row r="480" spans="1:29" ht="13">
      <c r="A480" s="28"/>
      <c r="B480" s="45"/>
      <c r="C480" s="45"/>
      <c r="D480" s="45"/>
      <c r="E480" s="45"/>
      <c r="F480" s="45"/>
      <c r="G480" s="45"/>
      <c r="H480" s="45"/>
      <c r="I480" s="45"/>
      <c r="J480" s="45"/>
      <c r="K480" s="45"/>
      <c r="L480" s="45"/>
      <c r="M480" s="45"/>
      <c r="N480" s="45"/>
      <c r="O480" s="47"/>
      <c r="P480" s="45"/>
      <c r="Q480" s="45"/>
      <c r="R480" s="45"/>
      <c r="S480" s="45"/>
      <c r="T480" s="45"/>
      <c r="U480" s="45"/>
      <c r="V480" s="45"/>
      <c r="W480" s="45"/>
      <c r="X480" s="28"/>
      <c r="Y480" s="28"/>
      <c r="Z480" s="28"/>
      <c r="AA480" s="28"/>
      <c r="AB480" s="28"/>
      <c r="AC480" s="28"/>
    </row>
    <row r="481" spans="1:29" ht="13">
      <c r="A481" s="28"/>
      <c r="B481" s="45"/>
      <c r="C481" s="45"/>
      <c r="D481" s="45"/>
      <c r="E481" s="45"/>
      <c r="F481" s="45"/>
      <c r="G481" s="45"/>
      <c r="H481" s="45"/>
      <c r="I481" s="45"/>
      <c r="J481" s="45"/>
      <c r="K481" s="45"/>
      <c r="L481" s="45"/>
      <c r="M481" s="45"/>
      <c r="N481" s="45"/>
      <c r="O481" s="47"/>
      <c r="P481" s="45"/>
      <c r="Q481" s="45"/>
      <c r="R481" s="45"/>
      <c r="S481" s="45"/>
      <c r="T481" s="45"/>
      <c r="U481" s="45"/>
      <c r="V481" s="45"/>
      <c r="W481" s="45"/>
      <c r="X481" s="28"/>
      <c r="Y481" s="28"/>
      <c r="Z481" s="28"/>
      <c r="AA481" s="28"/>
      <c r="AB481" s="28"/>
      <c r="AC481" s="28"/>
    </row>
    <row r="482" spans="1:29" ht="13">
      <c r="A482" s="28"/>
      <c r="B482" s="45"/>
      <c r="C482" s="45"/>
      <c r="D482" s="45"/>
      <c r="E482" s="45"/>
      <c r="F482" s="45"/>
      <c r="G482" s="45"/>
      <c r="H482" s="45"/>
      <c r="I482" s="45"/>
      <c r="J482" s="45"/>
      <c r="K482" s="45"/>
      <c r="L482" s="45"/>
      <c r="M482" s="45"/>
      <c r="N482" s="45"/>
      <c r="O482" s="47"/>
      <c r="P482" s="45"/>
      <c r="Q482" s="45"/>
      <c r="R482" s="45"/>
      <c r="S482" s="45"/>
      <c r="T482" s="45"/>
      <c r="U482" s="45"/>
      <c r="V482" s="45"/>
      <c r="W482" s="45"/>
      <c r="X482" s="28"/>
      <c r="Y482" s="28"/>
      <c r="Z482" s="28"/>
      <c r="AA482" s="28"/>
      <c r="AB482" s="28"/>
      <c r="AC482" s="28"/>
    </row>
    <row r="483" spans="1:29" ht="13">
      <c r="A483" s="28"/>
      <c r="B483" s="45"/>
      <c r="C483" s="45"/>
      <c r="D483" s="45"/>
      <c r="E483" s="45"/>
      <c r="F483" s="45"/>
      <c r="G483" s="45"/>
      <c r="H483" s="45"/>
      <c r="I483" s="45"/>
      <c r="J483" s="45"/>
      <c r="K483" s="45"/>
      <c r="L483" s="45"/>
      <c r="M483" s="45"/>
      <c r="N483" s="45"/>
      <c r="O483" s="47"/>
      <c r="P483" s="45"/>
      <c r="Q483" s="45"/>
      <c r="R483" s="45"/>
      <c r="S483" s="45"/>
      <c r="T483" s="45"/>
      <c r="U483" s="45"/>
      <c r="V483" s="45"/>
      <c r="W483" s="45"/>
      <c r="X483" s="28"/>
      <c r="Y483" s="28"/>
      <c r="Z483" s="28"/>
      <c r="AA483" s="28"/>
      <c r="AB483" s="28"/>
      <c r="AC483" s="28"/>
    </row>
    <row r="484" spans="1:29" ht="13">
      <c r="A484" s="28"/>
      <c r="B484" s="45"/>
      <c r="C484" s="45"/>
      <c r="D484" s="45"/>
      <c r="E484" s="45"/>
      <c r="F484" s="45"/>
      <c r="G484" s="45"/>
      <c r="H484" s="45"/>
      <c r="I484" s="45"/>
      <c r="J484" s="45"/>
      <c r="K484" s="45"/>
      <c r="L484" s="45"/>
      <c r="M484" s="45"/>
      <c r="N484" s="45"/>
      <c r="O484" s="47"/>
      <c r="P484" s="45"/>
      <c r="Q484" s="45"/>
      <c r="R484" s="45"/>
      <c r="S484" s="45"/>
      <c r="T484" s="45"/>
      <c r="U484" s="45"/>
      <c r="V484" s="45"/>
      <c r="W484" s="45"/>
      <c r="X484" s="28"/>
      <c r="Y484" s="28"/>
      <c r="Z484" s="28"/>
      <c r="AA484" s="28"/>
      <c r="AB484" s="28"/>
      <c r="AC484" s="28"/>
    </row>
    <row r="485" spans="1:29" ht="13">
      <c r="A485" s="28"/>
      <c r="B485" s="45"/>
      <c r="C485" s="45"/>
      <c r="D485" s="45"/>
      <c r="E485" s="45"/>
      <c r="F485" s="45"/>
      <c r="G485" s="45"/>
      <c r="H485" s="45"/>
      <c r="I485" s="45"/>
      <c r="J485" s="45"/>
      <c r="K485" s="45"/>
      <c r="L485" s="45"/>
      <c r="M485" s="45"/>
      <c r="N485" s="45"/>
      <c r="O485" s="47"/>
      <c r="P485" s="45"/>
      <c r="Q485" s="45"/>
      <c r="R485" s="45"/>
      <c r="S485" s="45"/>
      <c r="T485" s="45"/>
      <c r="U485" s="45"/>
      <c r="V485" s="45"/>
      <c r="W485" s="45"/>
      <c r="X485" s="28"/>
      <c r="Y485" s="28"/>
      <c r="Z485" s="28"/>
      <c r="AA485" s="28"/>
      <c r="AB485" s="28"/>
      <c r="AC485" s="28"/>
    </row>
    <row r="486" spans="1:29" ht="13">
      <c r="A486" s="28"/>
      <c r="B486" s="45"/>
      <c r="C486" s="45"/>
      <c r="D486" s="45"/>
      <c r="E486" s="45"/>
      <c r="F486" s="45"/>
      <c r="G486" s="45"/>
      <c r="H486" s="45"/>
      <c r="I486" s="45"/>
      <c r="J486" s="45"/>
      <c r="K486" s="45"/>
      <c r="L486" s="45"/>
      <c r="M486" s="45"/>
      <c r="N486" s="45"/>
      <c r="O486" s="47"/>
      <c r="P486" s="45"/>
      <c r="Q486" s="45"/>
      <c r="R486" s="45"/>
      <c r="S486" s="45"/>
      <c r="T486" s="45"/>
      <c r="U486" s="45"/>
      <c r="V486" s="45"/>
      <c r="W486" s="45"/>
      <c r="X486" s="28"/>
      <c r="Y486" s="28"/>
      <c r="Z486" s="28"/>
      <c r="AA486" s="28"/>
      <c r="AB486" s="28"/>
      <c r="AC486" s="28"/>
    </row>
    <row r="487" spans="1:29" ht="13">
      <c r="A487" s="28"/>
      <c r="B487" s="45"/>
      <c r="C487" s="45"/>
      <c r="D487" s="45"/>
      <c r="E487" s="45"/>
      <c r="F487" s="45"/>
      <c r="G487" s="45"/>
      <c r="H487" s="45"/>
      <c r="I487" s="45"/>
      <c r="J487" s="45"/>
      <c r="K487" s="45"/>
      <c r="L487" s="45"/>
      <c r="M487" s="45"/>
      <c r="N487" s="45"/>
      <c r="O487" s="47"/>
      <c r="P487" s="45"/>
      <c r="Q487" s="45"/>
      <c r="R487" s="45"/>
      <c r="S487" s="45"/>
      <c r="T487" s="45"/>
      <c r="U487" s="45"/>
      <c r="V487" s="45"/>
      <c r="W487" s="45"/>
      <c r="X487" s="28"/>
      <c r="Y487" s="28"/>
      <c r="Z487" s="28"/>
      <c r="AA487" s="28"/>
      <c r="AB487" s="28"/>
      <c r="AC487" s="28"/>
    </row>
    <row r="488" spans="1:29" ht="13">
      <c r="A488" s="28"/>
      <c r="B488" s="45"/>
      <c r="C488" s="45"/>
      <c r="D488" s="45"/>
      <c r="E488" s="45"/>
      <c r="F488" s="45"/>
      <c r="G488" s="45"/>
      <c r="H488" s="45"/>
      <c r="I488" s="45"/>
      <c r="J488" s="45"/>
      <c r="K488" s="45"/>
      <c r="L488" s="45"/>
      <c r="M488" s="45"/>
      <c r="N488" s="45"/>
      <c r="O488" s="47"/>
      <c r="P488" s="45"/>
      <c r="Q488" s="45"/>
      <c r="R488" s="45"/>
      <c r="S488" s="45"/>
      <c r="T488" s="45"/>
      <c r="U488" s="45"/>
      <c r="V488" s="45"/>
      <c r="W488" s="45"/>
      <c r="X488" s="28"/>
      <c r="Y488" s="28"/>
      <c r="Z488" s="28"/>
      <c r="AA488" s="28"/>
      <c r="AB488" s="28"/>
      <c r="AC488" s="28"/>
    </row>
    <row r="489" spans="1:29" ht="13">
      <c r="A489" s="28"/>
      <c r="B489" s="45"/>
      <c r="C489" s="45"/>
      <c r="D489" s="45"/>
      <c r="E489" s="45"/>
      <c r="F489" s="45"/>
      <c r="G489" s="45"/>
      <c r="H489" s="45"/>
      <c r="I489" s="45"/>
      <c r="J489" s="45"/>
      <c r="K489" s="45"/>
      <c r="L489" s="45"/>
      <c r="M489" s="45"/>
      <c r="N489" s="45"/>
      <c r="O489" s="47"/>
      <c r="P489" s="45"/>
      <c r="Q489" s="45"/>
      <c r="R489" s="45"/>
      <c r="S489" s="45"/>
      <c r="T489" s="45"/>
      <c r="U489" s="45"/>
      <c r="V489" s="45"/>
      <c r="W489" s="45"/>
      <c r="X489" s="28"/>
      <c r="Y489" s="28"/>
      <c r="Z489" s="28"/>
      <c r="AA489" s="28"/>
      <c r="AB489" s="28"/>
      <c r="AC489" s="28"/>
    </row>
    <row r="490" spans="1:29" ht="13">
      <c r="A490" s="28"/>
      <c r="B490" s="45"/>
      <c r="C490" s="45"/>
      <c r="D490" s="45"/>
      <c r="E490" s="45"/>
      <c r="F490" s="45"/>
      <c r="G490" s="45"/>
      <c r="H490" s="45"/>
      <c r="I490" s="45"/>
      <c r="J490" s="45"/>
      <c r="K490" s="45"/>
      <c r="L490" s="45"/>
      <c r="M490" s="45"/>
      <c r="N490" s="45"/>
      <c r="O490" s="47"/>
      <c r="P490" s="45"/>
      <c r="Q490" s="45"/>
      <c r="R490" s="45"/>
      <c r="S490" s="45"/>
      <c r="T490" s="45"/>
      <c r="U490" s="45"/>
      <c r="V490" s="45"/>
      <c r="W490" s="45"/>
      <c r="X490" s="28"/>
      <c r="Y490" s="28"/>
      <c r="Z490" s="28"/>
      <c r="AA490" s="28"/>
      <c r="AB490" s="28"/>
      <c r="AC490" s="28"/>
    </row>
    <row r="491" spans="1:29" ht="13">
      <c r="A491" s="28"/>
      <c r="B491" s="45"/>
      <c r="C491" s="45"/>
      <c r="D491" s="45"/>
      <c r="E491" s="45"/>
      <c r="F491" s="45"/>
      <c r="G491" s="45"/>
      <c r="H491" s="45"/>
      <c r="I491" s="45"/>
      <c r="J491" s="45"/>
      <c r="K491" s="45"/>
      <c r="L491" s="45"/>
      <c r="M491" s="45"/>
      <c r="N491" s="45"/>
      <c r="O491" s="47"/>
      <c r="P491" s="45"/>
      <c r="Q491" s="45"/>
      <c r="R491" s="45"/>
      <c r="S491" s="45"/>
      <c r="T491" s="45"/>
      <c r="U491" s="45"/>
      <c r="V491" s="45"/>
      <c r="W491" s="45"/>
      <c r="X491" s="28"/>
      <c r="Y491" s="28"/>
      <c r="Z491" s="28"/>
      <c r="AA491" s="28"/>
      <c r="AB491" s="28"/>
      <c r="AC491" s="28"/>
    </row>
    <row r="492" spans="1:29" ht="13">
      <c r="A492" s="28"/>
      <c r="B492" s="45"/>
      <c r="C492" s="45"/>
      <c r="D492" s="45"/>
      <c r="E492" s="45"/>
      <c r="F492" s="45"/>
      <c r="G492" s="45"/>
      <c r="H492" s="45"/>
      <c r="I492" s="45"/>
      <c r="J492" s="45"/>
      <c r="K492" s="45"/>
      <c r="L492" s="45"/>
      <c r="M492" s="45"/>
      <c r="N492" s="45"/>
      <c r="O492" s="47"/>
      <c r="P492" s="45"/>
      <c r="Q492" s="45"/>
      <c r="R492" s="45"/>
      <c r="S492" s="45"/>
      <c r="T492" s="45"/>
      <c r="U492" s="45"/>
      <c r="V492" s="45"/>
      <c r="W492" s="45"/>
      <c r="X492" s="28"/>
      <c r="Y492" s="28"/>
      <c r="Z492" s="28"/>
      <c r="AA492" s="28"/>
      <c r="AB492" s="28"/>
      <c r="AC492" s="28"/>
    </row>
    <row r="493" spans="1:29" ht="13">
      <c r="A493" s="28"/>
      <c r="B493" s="45"/>
      <c r="C493" s="45"/>
      <c r="D493" s="45"/>
      <c r="E493" s="45"/>
      <c r="F493" s="45"/>
      <c r="G493" s="45"/>
      <c r="H493" s="45"/>
      <c r="I493" s="45"/>
      <c r="J493" s="45"/>
      <c r="K493" s="45"/>
      <c r="L493" s="45"/>
      <c r="M493" s="45"/>
      <c r="N493" s="45"/>
      <c r="O493" s="47"/>
      <c r="P493" s="45"/>
      <c r="Q493" s="45"/>
      <c r="R493" s="45"/>
      <c r="S493" s="45"/>
      <c r="T493" s="45"/>
      <c r="U493" s="45"/>
      <c r="V493" s="45"/>
      <c r="W493" s="45"/>
      <c r="X493" s="28"/>
      <c r="Y493" s="28"/>
      <c r="Z493" s="28"/>
      <c r="AA493" s="28"/>
      <c r="AB493" s="28"/>
      <c r="AC493" s="28"/>
    </row>
    <row r="494" spans="1:29" ht="13">
      <c r="A494" s="28"/>
      <c r="B494" s="45"/>
      <c r="C494" s="45"/>
      <c r="D494" s="45"/>
      <c r="E494" s="45"/>
      <c r="F494" s="45"/>
      <c r="G494" s="45"/>
      <c r="H494" s="45"/>
      <c r="I494" s="45"/>
      <c r="J494" s="45"/>
      <c r="K494" s="45"/>
      <c r="L494" s="45"/>
      <c r="M494" s="45"/>
      <c r="N494" s="45"/>
      <c r="O494" s="47"/>
      <c r="P494" s="45"/>
      <c r="Q494" s="45"/>
      <c r="R494" s="45"/>
      <c r="S494" s="45"/>
      <c r="T494" s="45"/>
      <c r="U494" s="45"/>
      <c r="V494" s="45"/>
      <c r="W494" s="45"/>
      <c r="X494" s="28"/>
      <c r="Y494" s="28"/>
      <c r="Z494" s="28"/>
      <c r="AA494" s="28"/>
      <c r="AB494" s="28"/>
      <c r="AC494" s="28"/>
    </row>
    <row r="495" spans="1:29" ht="13">
      <c r="A495" s="28"/>
      <c r="B495" s="45"/>
      <c r="C495" s="45"/>
      <c r="D495" s="45"/>
      <c r="E495" s="45"/>
      <c r="F495" s="45"/>
      <c r="G495" s="45"/>
      <c r="H495" s="45"/>
      <c r="I495" s="45"/>
      <c r="J495" s="45"/>
      <c r="K495" s="45"/>
      <c r="L495" s="45"/>
      <c r="M495" s="45"/>
      <c r="N495" s="45"/>
      <c r="O495" s="47"/>
      <c r="P495" s="45"/>
      <c r="Q495" s="45"/>
      <c r="R495" s="45"/>
      <c r="S495" s="45"/>
      <c r="T495" s="45"/>
      <c r="U495" s="45"/>
      <c r="V495" s="45"/>
      <c r="W495" s="45"/>
      <c r="X495" s="28"/>
      <c r="Y495" s="28"/>
      <c r="Z495" s="28"/>
      <c r="AA495" s="28"/>
      <c r="AB495" s="28"/>
      <c r="AC495" s="28"/>
    </row>
    <row r="496" spans="1:29" ht="13">
      <c r="A496" s="28"/>
      <c r="B496" s="45"/>
      <c r="C496" s="45"/>
      <c r="D496" s="45"/>
      <c r="E496" s="45"/>
      <c r="F496" s="45"/>
      <c r="G496" s="45"/>
      <c r="H496" s="45"/>
      <c r="I496" s="45"/>
      <c r="J496" s="45"/>
      <c r="K496" s="45"/>
      <c r="L496" s="45"/>
      <c r="M496" s="45"/>
      <c r="N496" s="45"/>
      <c r="O496" s="47"/>
      <c r="P496" s="45"/>
      <c r="Q496" s="45"/>
      <c r="R496" s="45"/>
      <c r="S496" s="45"/>
      <c r="T496" s="45"/>
      <c r="U496" s="45"/>
      <c r="V496" s="45"/>
      <c r="W496" s="45"/>
      <c r="X496" s="28"/>
      <c r="Y496" s="28"/>
      <c r="Z496" s="28"/>
      <c r="AA496" s="28"/>
      <c r="AB496" s="28"/>
      <c r="AC496" s="28"/>
    </row>
    <row r="497" spans="1:29" ht="13">
      <c r="A497" s="28"/>
      <c r="B497" s="45"/>
      <c r="C497" s="45"/>
      <c r="D497" s="45"/>
      <c r="E497" s="45"/>
      <c r="F497" s="45"/>
      <c r="G497" s="45"/>
      <c r="H497" s="45"/>
      <c r="I497" s="45"/>
      <c r="J497" s="45"/>
      <c r="K497" s="45"/>
      <c r="L497" s="45"/>
      <c r="M497" s="45"/>
      <c r="N497" s="45"/>
      <c r="O497" s="47"/>
      <c r="P497" s="45"/>
      <c r="Q497" s="45"/>
      <c r="R497" s="45"/>
      <c r="S497" s="45"/>
      <c r="T497" s="45"/>
      <c r="U497" s="45"/>
      <c r="V497" s="45"/>
      <c r="W497" s="45"/>
      <c r="X497" s="28"/>
      <c r="Y497" s="28"/>
      <c r="Z497" s="28"/>
      <c r="AA497" s="28"/>
      <c r="AB497" s="28"/>
      <c r="AC497" s="28"/>
    </row>
    <row r="498" spans="1:29" ht="13">
      <c r="A498" s="28"/>
      <c r="B498" s="45"/>
      <c r="C498" s="45"/>
      <c r="D498" s="45"/>
      <c r="E498" s="45"/>
      <c r="F498" s="45"/>
      <c r="G498" s="45"/>
      <c r="H498" s="45"/>
      <c r="I498" s="45"/>
      <c r="J498" s="45"/>
      <c r="K498" s="45"/>
      <c r="L498" s="45"/>
      <c r="M498" s="45"/>
      <c r="N498" s="45"/>
      <c r="O498" s="47"/>
      <c r="P498" s="45"/>
      <c r="Q498" s="45"/>
      <c r="R498" s="45"/>
      <c r="S498" s="45"/>
      <c r="T498" s="45"/>
      <c r="U498" s="45"/>
      <c r="V498" s="45"/>
      <c r="W498" s="45"/>
      <c r="X498" s="28"/>
      <c r="Y498" s="28"/>
      <c r="Z498" s="28"/>
      <c r="AA498" s="28"/>
      <c r="AB498" s="28"/>
      <c r="AC498" s="28"/>
    </row>
    <row r="499" spans="1:29" ht="13">
      <c r="A499" s="28"/>
      <c r="B499" s="45"/>
      <c r="C499" s="45"/>
      <c r="D499" s="45"/>
      <c r="E499" s="45"/>
      <c r="F499" s="45"/>
      <c r="G499" s="45"/>
      <c r="H499" s="45"/>
      <c r="I499" s="45"/>
      <c r="J499" s="45"/>
      <c r="K499" s="45"/>
      <c r="L499" s="45"/>
      <c r="M499" s="45"/>
      <c r="N499" s="45"/>
      <c r="O499" s="47"/>
      <c r="P499" s="45"/>
      <c r="Q499" s="45"/>
      <c r="R499" s="45"/>
      <c r="S499" s="45"/>
      <c r="T499" s="45"/>
      <c r="U499" s="45"/>
      <c r="V499" s="45"/>
      <c r="W499" s="45"/>
      <c r="X499" s="28"/>
      <c r="Y499" s="28"/>
      <c r="Z499" s="28"/>
      <c r="AA499" s="28"/>
      <c r="AB499" s="28"/>
      <c r="AC499" s="28"/>
    </row>
    <row r="500" spans="1:29" ht="13">
      <c r="A500" s="28"/>
      <c r="B500" s="45"/>
      <c r="C500" s="45"/>
      <c r="D500" s="45"/>
      <c r="E500" s="45"/>
      <c r="F500" s="45"/>
      <c r="G500" s="45"/>
      <c r="H500" s="45"/>
      <c r="I500" s="45"/>
      <c r="J500" s="45"/>
      <c r="K500" s="45"/>
      <c r="L500" s="45"/>
      <c r="M500" s="45"/>
      <c r="N500" s="45"/>
      <c r="O500" s="47"/>
      <c r="P500" s="45"/>
      <c r="Q500" s="45"/>
      <c r="R500" s="45"/>
      <c r="S500" s="45"/>
      <c r="T500" s="45"/>
      <c r="U500" s="45"/>
      <c r="V500" s="45"/>
      <c r="W500" s="45"/>
      <c r="X500" s="28"/>
      <c r="Y500" s="28"/>
      <c r="Z500" s="28"/>
      <c r="AA500" s="28"/>
      <c r="AB500" s="28"/>
      <c r="AC500" s="28"/>
    </row>
    <row r="501" spans="1:29" ht="13">
      <c r="A501" s="28"/>
      <c r="B501" s="45"/>
      <c r="C501" s="45"/>
      <c r="D501" s="45"/>
      <c r="E501" s="45"/>
      <c r="F501" s="45"/>
      <c r="G501" s="45"/>
      <c r="H501" s="45"/>
      <c r="I501" s="45"/>
      <c r="J501" s="45"/>
      <c r="K501" s="45"/>
      <c r="L501" s="45"/>
      <c r="M501" s="45"/>
      <c r="N501" s="45"/>
      <c r="O501" s="47"/>
      <c r="P501" s="45"/>
      <c r="Q501" s="45"/>
      <c r="R501" s="45"/>
      <c r="S501" s="45"/>
      <c r="T501" s="45"/>
      <c r="U501" s="45"/>
      <c r="V501" s="45"/>
      <c r="W501" s="45"/>
      <c r="X501" s="28"/>
      <c r="Y501" s="28"/>
      <c r="Z501" s="28"/>
      <c r="AA501" s="28"/>
      <c r="AB501" s="28"/>
      <c r="AC501" s="28"/>
    </row>
    <row r="502" spans="1:29" ht="13">
      <c r="A502" s="28"/>
      <c r="B502" s="45"/>
      <c r="C502" s="45"/>
      <c r="D502" s="45"/>
      <c r="E502" s="45"/>
      <c r="F502" s="45"/>
      <c r="G502" s="45"/>
      <c r="H502" s="45"/>
      <c r="I502" s="45"/>
      <c r="J502" s="45"/>
      <c r="K502" s="45"/>
      <c r="L502" s="45"/>
      <c r="M502" s="45"/>
      <c r="N502" s="45"/>
      <c r="O502" s="47"/>
      <c r="P502" s="45"/>
      <c r="Q502" s="45"/>
      <c r="R502" s="45"/>
      <c r="S502" s="45"/>
      <c r="T502" s="45"/>
      <c r="U502" s="45"/>
      <c r="V502" s="45"/>
      <c r="W502" s="45"/>
      <c r="X502" s="28"/>
      <c r="Y502" s="28"/>
      <c r="Z502" s="28"/>
      <c r="AA502" s="28"/>
      <c r="AB502" s="28"/>
      <c r="AC502" s="28"/>
    </row>
    <row r="503" spans="1:29" ht="13">
      <c r="A503" s="28"/>
      <c r="B503" s="45"/>
      <c r="C503" s="45"/>
      <c r="D503" s="45"/>
      <c r="E503" s="45"/>
      <c r="F503" s="45"/>
      <c r="G503" s="45"/>
      <c r="H503" s="45"/>
      <c r="I503" s="45"/>
      <c r="J503" s="45"/>
      <c r="K503" s="45"/>
      <c r="L503" s="45"/>
      <c r="M503" s="45"/>
      <c r="N503" s="45"/>
      <c r="O503" s="47"/>
      <c r="P503" s="45"/>
      <c r="Q503" s="45"/>
      <c r="R503" s="45"/>
      <c r="S503" s="45"/>
      <c r="T503" s="45"/>
      <c r="U503" s="45"/>
      <c r="V503" s="45"/>
      <c r="W503" s="45"/>
      <c r="X503" s="28"/>
      <c r="Y503" s="28"/>
      <c r="Z503" s="28"/>
      <c r="AA503" s="28"/>
      <c r="AB503" s="28"/>
      <c r="AC503" s="28"/>
    </row>
    <row r="504" spans="1:29" ht="13">
      <c r="A504" s="28"/>
      <c r="B504" s="45"/>
      <c r="C504" s="45"/>
      <c r="D504" s="45"/>
      <c r="E504" s="45"/>
      <c r="F504" s="45"/>
      <c r="G504" s="45"/>
      <c r="H504" s="45"/>
      <c r="I504" s="45"/>
      <c r="J504" s="45"/>
      <c r="K504" s="45"/>
      <c r="L504" s="45"/>
      <c r="M504" s="45"/>
      <c r="N504" s="45"/>
      <c r="O504" s="47"/>
      <c r="P504" s="45"/>
      <c r="Q504" s="45"/>
      <c r="R504" s="45"/>
      <c r="S504" s="45"/>
      <c r="T504" s="45"/>
      <c r="U504" s="45"/>
      <c r="V504" s="45"/>
      <c r="W504" s="45"/>
      <c r="X504" s="28"/>
      <c r="Y504" s="28"/>
      <c r="Z504" s="28"/>
      <c r="AA504" s="28"/>
      <c r="AB504" s="28"/>
      <c r="AC504" s="28"/>
    </row>
    <row r="505" spans="1:29" ht="13">
      <c r="A505" s="28"/>
      <c r="B505" s="45"/>
      <c r="C505" s="45"/>
      <c r="D505" s="45"/>
      <c r="E505" s="45"/>
      <c r="F505" s="45"/>
      <c r="G505" s="45"/>
      <c r="H505" s="45"/>
      <c r="I505" s="45"/>
      <c r="J505" s="45"/>
      <c r="K505" s="45"/>
      <c r="L505" s="45"/>
      <c r="M505" s="45"/>
      <c r="N505" s="45"/>
      <c r="O505" s="47"/>
      <c r="P505" s="45"/>
      <c r="Q505" s="45"/>
      <c r="R505" s="45"/>
      <c r="S505" s="45"/>
      <c r="T505" s="45"/>
      <c r="U505" s="45"/>
      <c r="V505" s="45"/>
      <c r="W505" s="45"/>
      <c r="X505" s="28"/>
      <c r="Y505" s="28"/>
      <c r="Z505" s="28"/>
      <c r="AA505" s="28"/>
      <c r="AB505" s="28"/>
      <c r="AC505" s="28"/>
    </row>
    <row r="506" spans="1:29" ht="13">
      <c r="A506" s="28"/>
      <c r="B506" s="45"/>
      <c r="C506" s="45"/>
      <c r="D506" s="45"/>
      <c r="E506" s="45"/>
      <c r="F506" s="45"/>
      <c r="G506" s="45"/>
      <c r="H506" s="45"/>
      <c r="I506" s="45"/>
      <c r="J506" s="45"/>
      <c r="K506" s="45"/>
      <c r="L506" s="45"/>
      <c r="M506" s="45"/>
      <c r="N506" s="45"/>
      <c r="O506" s="47"/>
      <c r="P506" s="45"/>
      <c r="Q506" s="45"/>
      <c r="R506" s="45"/>
      <c r="S506" s="45"/>
      <c r="T506" s="45"/>
      <c r="U506" s="45"/>
      <c r="V506" s="45"/>
      <c r="W506" s="45"/>
      <c r="X506" s="28"/>
      <c r="Y506" s="28"/>
      <c r="Z506" s="28"/>
      <c r="AA506" s="28"/>
      <c r="AB506" s="28"/>
      <c r="AC506" s="28"/>
    </row>
    <row r="507" spans="1:29" ht="13">
      <c r="A507" s="28"/>
      <c r="B507" s="45"/>
      <c r="C507" s="45"/>
      <c r="D507" s="45"/>
      <c r="E507" s="45"/>
      <c r="F507" s="45"/>
      <c r="G507" s="45"/>
      <c r="H507" s="45"/>
      <c r="I507" s="45"/>
      <c r="J507" s="45"/>
      <c r="K507" s="45"/>
      <c r="L507" s="45"/>
      <c r="M507" s="45"/>
      <c r="N507" s="45"/>
      <c r="O507" s="47"/>
      <c r="P507" s="45"/>
      <c r="Q507" s="45"/>
      <c r="R507" s="45"/>
      <c r="S507" s="45"/>
      <c r="T507" s="45"/>
      <c r="U507" s="45"/>
      <c r="V507" s="45"/>
      <c r="W507" s="45"/>
      <c r="X507" s="28"/>
      <c r="Y507" s="28"/>
      <c r="Z507" s="28"/>
      <c r="AA507" s="28"/>
      <c r="AB507" s="28"/>
      <c r="AC507" s="28"/>
    </row>
    <row r="508" spans="1:29" ht="13">
      <c r="A508" s="28"/>
      <c r="B508" s="45"/>
      <c r="C508" s="45"/>
      <c r="D508" s="45"/>
      <c r="E508" s="45"/>
      <c r="F508" s="45"/>
      <c r="G508" s="45"/>
      <c r="H508" s="45"/>
      <c r="I508" s="45"/>
      <c r="J508" s="45"/>
      <c r="K508" s="45"/>
      <c r="L508" s="45"/>
      <c r="M508" s="45"/>
      <c r="N508" s="45"/>
      <c r="O508" s="47"/>
      <c r="P508" s="45"/>
      <c r="Q508" s="45"/>
      <c r="R508" s="45"/>
      <c r="S508" s="45"/>
      <c r="T508" s="45"/>
      <c r="U508" s="45"/>
      <c r="V508" s="45"/>
      <c r="W508" s="45"/>
      <c r="X508" s="28"/>
      <c r="Y508" s="28"/>
      <c r="Z508" s="28"/>
      <c r="AA508" s="28"/>
      <c r="AB508" s="28"/>
      <c r="AC508" s="28"/>
    </row>
    <row r="509" spans="1:29" ht="13">
      <c r="A509" s="28"/>
      <c r="B509" s="45"/>
      <c r="C509" s="45"/>
      <c r="D509" s="45"/>
      <c r="E509" s="45"/>
      <c r="F509" s="45"/>
      <c r="G509" s="45"/>
      <c r="H509" s="45"/>
      <c r="I509" s="45"/>
      <c r="J509" s="45"/>
      <c r="K509" s="45"/>
      <c r="L509" s="45"/>
      <c r="M509" s="45"/>
      <c r="N509" s="45"/>
      <c r="O509" s="47"/>
      <c r="P509" s="45"/>
      <c r="Q509" s="45"/>
      <c r="R509" s="45"/>
      <c r="S509" s="45"/>
      <c r="T509" s="45"/>
      <c r="U509" s="45"/>
      <c r="V509" s="45"/>
      <c r="W509" s="45"/>
      <c r="X509" s="28"/>
      <c r="Y509" s="28"/>
      <c r="Z509" s="28"/>
      <c r="AA509" s="28"/>
      <c r="AB509" s="28"/>
      <c r="AC509" s="28"/>
    </row>
    <row r="510" spans="1:29" ht="13">
      <c r="A510" s="28"/>
      <c r="B510" s="45"/>
      <c r="C510" s="45"/>
      <c r="D510" s="45"/>
      <c r="E510" s="45"/>
      <c r="F510" s="45"/>
      <c r="G510" s="45"/>
      <c r="H510" s="45"/>
      <c r="I510" s="45"/>
      <c r="J510" s="45"/>
      <c r="K510" s="45"/>
      <c r="L510" s="45"/>
      <c r="M510" s="45"/>
      <c r="N510" s="45"/>
      <c r="O510" s="47"/>
      <c r="P510" s="45"/>
      <c r="Q510" s="45"/>
      <c r="R510" s="45"/>
      <c r="S510" s="45"/>
      <c r="T510" s="45"/>
      <c r="U510" s="45"/>
      <c r="V510" s="45"/>
      <c r="W510" s="45"/>
      <c r="X510" s="28"/>
      <c r="Y510" s="28"/>
      <c r="Z510" s="28"/>
      <c r="AA510" s="28"/>
      <c r="AB510" s="28"/>
      <c r="AC510" s="28"/>
    </row>
    <row r="511" spans="1:29" ht="13">
      <c r="A511" s="28"/>
      <c r="B511" s="45"/>
      <c r="C511" s="45"/>
      <c r="D511" s="45"/>
      <c r="E511" s="45"/>
      <c r="F511" s="45"/>
      <c r="G511" s="45"/>
      <c r="H511" s="45"/>
      <c r="I511" s="45"/>
      <c r="J511" s="45"/>
      <c r="K511" s="45"/>
      <c r="L511" s="45"/>
      <c r="M511" s="45"/>
      <c r="N511" s="45"/>
      <c r="O511" s="47"/>
      <c r="P511" s="45"/>
      <c r="Q511" s="45"/>
      <c r="R511" s="45"/>
      <c r="S511" s="45"/>
      <c r="T511" s="45"/>
      <c r="U511" s="45"/>
      <c r="V511" s="45"/>
      <c r="W511" s="45"/>
      <c r="X511" s="28"/>
      <c r="Y511" s="28"/>
      <c r="Z511" s="28"/>
      <c r="AA511" s="28"/>
      <c r="AB511" s="28"/>
      <c r="AC511" s="28"/>
    </row>
    <row r="512" spans="1:29" ht="13">
      <c r="A512" s="28"/>
      <c r="B512" s="45"/>
      <c r="C512" s="45"/>
      <c r="D512" s="45"/>
      <c r="E512" s="45"/>
      <c r="F512" s="45"/>
      <c r="G512" s="45"/>
      <c r="H512" s="45"/>
      <c r="I512" s="45"/>
      <c r="J512" s="45"/>
      <c r="K512" s="45"/>
      <c r="L512" s="45"/>
      <c r="M512" s="45"/>
      <c r="N512" s="45"/>
      <c r="O512" s="47"/>
      <c r="P512" s="45"/>
      <c r="Q512" s="45"/>
      <c r="R512" s="45"/>
      <c r="S512" s="45"/>
      <c r="T512" s="45"/>
      <c r="U512" s="45"/>
      <c r="V512" s="45"/>
      <c r="W512" s="45"/>
      <c r="X512" s="28"/>
      <c r="Y512" s="28"/>
      <c r="Z512" s="28"/>
      <c r="AA512" s="28"/>
      <c r="AB512" s="28"/>
      <c r="AC512" s="28"/>
    </row>
    <row r="513" spans="1:29" ht="13">
      <c r="A513" s="28"/>
      <c r="B513" s="45"/>
      <c r="C513" s="45"/>
      <c r="D513" s="45"/>
      <c r="E513" s="45"/>
      <c r="F513" s="45"/>
      <c r="G513" s="45"/>
      <c r="H513" s="45"/>
      <c r="I513" s="45"/>
      <c r="J513" s="45"/>
      <c r="K513" s="45"/>
      <c r="L513" s="45"/>
      <c r="M513" s="45"/>
      <c r="N513" s="45"/>
      <c r="O513" s="47"/>
      <c r="P513" s="45"/>
      <c r="Q513" s="45"/>
      <c r="R513" s="45"/>
      <c r="S513" s="45"/>
      <c r="T513" s="45"/>
      <c r="U513" s="45"/>
      <c r="V513" s="45"/>
      <c r="W513" s="45"/>
      <c r="X513" s="28"/>
      <c r="Y513" s="28"/>
      <c r="Z513" s="28"/>
      <c r="AA513" s="28"/>
      <c r="AB513" s="28"/>
      <c r="AC513" s="28"/>
    </row>
    <row r="514" spans="1:29" ht="13">
      <c r="A514" s="28"/>
      <c r="B514" s="45"/>
      <c r="C514" s="45"/>
      <c r="D514" s="45"/>
      <c r="E514" s="45"/>
      <c r="F514" s="45"/>
      <c r="G514" s="45"/>
      <c r="H514" s="45"/>
      <c r="I514" s="45"/>
      <c r="J514" s="45"/>
      <c r="K514" s="45"/>
      <c r="L514" s="45"/>
      <c r="M514" s="45"/>
      <c r="N514" s="45"/>
      <c r="O514" s="47"/>
      <c r="P514" s="45"/>
      <c r="Q514" s="45"/>
      <c r="R514" s="45"/>
      <c r="S514" s="45"/>
      <c r="T514" s="45"/>
      <c r="U514" s="45"/>
      <c r="V514" s="45"/>
      <c r="W514" s="45"/>
      <c r="X514" s="28"/>
      <c r="Y514" s="28"/>
      <c r="Z514" s="28"/>
      <c r="AA514" s="28"/>
      <c r="AB514" s="28"/>
      <c r="AC514" s="28"/>
    </row>
    <row r="515" spans="1:29" ht="13">
      <c r="A515" s="28"/>
      <c r="B515" s="45"/>
      <c r="C515" s="45"/>
      <c r="D515" s="45"/>
      <c r="E515" s="45"/>
      <c r="F515" s="45"/>
      <c r="G515" s="45"/>
      <c r="H515" s="45"/>
      <c r="I515" s="45"/>
      <c r="J515" s="45"/>
      <c r="K515" s="45"/>
      <c r="L515" s="45"/>
      <c r="M515" s="45"/>
      <c r="N515" s="45"/>
      <c r="O515" s="47"/>
      <c r="P515" s="45"/>
      <c r="Q515" s="45"/>
      <c r="R515" s="45"/>
      <c r="S515" s="45"/>
      <c r="T515" s="45"/>
      <c r="U515" s="45"/>
      <c r="V515" s="45"/>
      <c r="W515" s="45"/>
      <c r="X515" s="28"/>
      <c r="Y515" s="28"/>
      <c r="Z515" s="28"/>
      <c r="AA515" s="28"/>
      <c r="AB515" s="28"/>
      <c r="AC515" s="28"/>
    </row>
    <row r="516" spans="1:29" ht="13">
      <c r="A516" s="28"/>
      <c r="B516" s="45"/>
      <c r="C516" s="45"/>
      <c r="D516" s="45"/>
      <c r="E516" s="45"/>
      <c r="F516" s="45"/>
      <c r="G516" s="45"/>
      <c r="H516" s="45"/>
      <c r="I516" s="45"/>
      <c r="J516" s="45"/>
      <c r="K516" s="45"/>
      <c r="L516" s="45"/>
      <c r="M516" s="45"/>
      <c r="N516" s="45"/>
      <c r="O516" s="47"/>
      <c r="P516" s="45"/>
      <c r="Q516" s="45"/>
      <c r="R516" s="45"/>
      <c r="S516" s="45"/>
      <c r="T516" s="45"/>
      <c r="U516" s="45"/>
      <c r="V516" s="45"/>
      <c r="W516" s="45"/>
      <c r="X516" s="28"/>
      <c r="Y516" s="28"/>
      <c r="Z516" s="28"/>
      <c r="AA516" s="28"/>
      <c r="AB516" s="28"/>
      <c r="AC516" s="28"/>
    </row>
    <row r="517" spans="1:29" ht="13">
      <c r="A517" s="28"/>
      <c r="B517" s="45"/>
      <c r="C517" s="45"/>
      <c r="D517" s="45"/>
      <c r="E517" s="45"/>
      <c r="F517" s="45"/>
      <c r="G517" s="45"/>
      <c r="H517" s="45"/>
      <c r="I517" s="45"/>
      <c r="J517" s="45"/>
      <c r="K517" s="45"/>
      <c r="L517" s="45"/>
      <c r="M517" s="45"/>
      <c r="N517" s="45"/>
      <c r="O517" s="47"/>
      <c r="P517" s="45"/>
      <c r="Q517" s="45"/>
      <c r="R517" s="45"/>
      <c r="S517" s="45"/>
      <c r="T517" s="45"/>
      <c r="U517" s="45"/>
      <c r="V517" s="45"/>
      <c r="W517" s="45"/>
      <c r="X517" s="28"/>
      <c r="Y517" s="28"/>
      <c r="Z517" s="28"/>
      <c r="AA517" s="28"/>
      <c r="AB517" s="28"/>
      <c r="AC517" s="28"/>
    </row>
    <row r="518" spans="1:29" ht="13">
      <c r="A518" s="28"/>
      <c r="B518" s="45"/>
      <c r="C518" s="45"/>
      <c r="D518" s="45"/>
      <c r="E518" s="45"/>
      <c r="F518" s="45"/>
      <c r="G518" s="45"/>
      <c r="H518" s="45"/>
      <c r="I518" s="45"/>
      <c r="J518" s="45"/>
      <c r="K518" s="45"/>
      <c r="L518" s="45"/>
      <c r="M518" s="45"/>
      <c r="N518" s="45"/>
      <c r="O518" s="47"/>
      <c r="P518" s="45"/>
      <c r="Q518" s="45"/>
      <c r="R518" s="45"/>
      <c r="S518" s="45"/>
      <c r="T518" s="45"/>
      <c r="U518" s="45"/>
      <c r="V518" s="45"/>
      <c r="W518" s="45"/>
      <c r="X518" s="28"/>
      <c r="Y518" s="28"/>
      <c r="Z518" s="28"/>
      <c r="AA518" s="28"/>
      <c r="AB518" s="28"/>
      <c r="AC518" s="28"/>
    </row>
    <row r="519" spans="1:29" ht="13">
      <c r="A519" s="28"/>
      <c r="B519" s="45"/>
      <c r="C519" s="45"/>
      <c r="D519" s="45"/>
      <c r="E519" s="45"/>
      <c r="F519" s="45"/>
      <c r="G519" s="45"/>
      <c r="H519" s="45"/>
      <c r="I519" s="45"/>
      <c r="J519" s="45"/>
      <c r="K519" s="45"/>
      <c r="L519" s="45"/>
      <c r="M519" s="45"/>
      <c r="N519" s="45"/>
      <c r="O519" s="47"/>
      <c r="P519" s="45"/>
      <c r="Q519" s="45"/>
      <c r="R519" s="45"/>
      <c r="S519" s="45"/>
      <c r="T519" s="45"/>
      <c r="U519" s="45"/>
      <c r="V519" s="45"/>
      <c r="W519" s="45"/>
      <c r="X519" s="28"/>
      <c r="Y519" s="28"/>
      <c r="Z519" s="28"/>
      <c r="AA519" s="28"/>
      <c r="AB519" s="28"/>
      <c r="AC519" s="28"/>
    </row>
    <row r="520" spans="1:29" ht="13">
      <c r="A520" s="28"/>
      <c r="B520" s="45"/>
      <c r="C520" s="45"/>
      <c r="D520" s="45"/>
      <c r="E520" s="45"/>
      <c r="F520" s="45"/>
      <c r="G520" s="45"/>
      <c r="H520" s="45"/>
      <c r="I520" s="45"/>
      <c r="J520" s="45"/>
      <c r="K520" s="45"/>
      <c r="L520" s="45"/>
      <c r="M520" s="45"/>
      <c r="N520" s="45"/>
      <c r="O520" s="47"/>
      <c r="P520" s="45"/>
      <c r="Q520" s="45"/>
      <c r="R520" s="45"/>
      <c r="S520" s="45"/>
      <c r="T520" s="45"/>
      <c r="U520" s="45"/>
      <c r="V520" s="45"/>
      <c r="W520" s="45"/>
      <c r="X520" s="28"/>
      <c r="Y520" s="28"/>
      <c r="Z520" s="28"/>
      <c r="AA520" s="28"/>
      <c r="AB520" s="28"/>
      <c r="AC520" s="28"/>
    </row>
    <row r="521" spans="1:29" ht="13">
      <c r="A521" s="28"/>
      <c r="B521" s="45"/>
      <c r="C521" s="45"/>
      <c r="D521" s="45"/>
      <c r="E521" s="45"/>
      <c r="F521" s="45"/>
      <c r="G521" s="45"/>
      <c r="H521" s="45"/>
      <c r="I521" s="45"/>
      <c r="J521" s="45"/>
      <c r="K521" s="45"/>
      <c r="L521" s="45"/>
      <c r="M521" s="45"/>
      <c r="N521" s="45"/>
      <c r="O521" s="47"/>
      <c r="P521" s="45"/>
      <c r="Q521" s="45"/>
      <c r="R521" s="45"/>
      <c r="S521" s="45"/>
      <c r="T521" s="45"/>
      <c r="U521" s="45"/>
      <c r="V521" s="45"/>
      <c r="W521" s="45"/>
      <c r="X521" s="28"/>
      <c r="Y521" s="28"/>
      <c r="Z521" s="28"/>
      <c r="AA521" s="28"/>
      <c r="AB521" s="28"/>
      <c r="AC521" s="28"/>
    </row>
    <row r="522" spans="1:29" ht="13">
      <c r="A522" s="28"/>
      <c r="B522" s="45"/>
      <c r="C522" s="45"/>
      <c r="D522" s="45"/>
      <c r="E522" s="45"/>
      <c r="F522" s="45"/>
      <c r="G522" s="45"/>
      <c r="H522" s="45"/>
      <c r="I522" s="45"/>
      <c r="J522" s="45"/>
      <c r="K522" s="45"/>
      <c r="L522" s="45"/>
      <c r="M522" s="45"/>
      <c r="N522" s="45"/>
      <c r="O522" s="47"/>
      <c r="P522" s="45"/>
      <c r="Q522" s="45"/>
      <c r="R522" s="45"/>
      <c r="S522" s="45"/>
      <c r="T522" s="45"/>
      <c r="U522" s="45"/>
      <c r="V522" s="45"/>
      <c r="W522" s="45"/>
      <c r="X522" s="28"/>
      <c r="Y522" s="28"/>
      <c r="Z522" s="28"/>
      <c r="AA522" s="28"/>
      <c r="AB522" s="28"/>
      <c r="AC522" s="28"/>
    </row>
    <row r="523" spans="1:29" ht="13">
      <c r="A523" s="28"/>
      <c r="B523" s="45"/>
      <c r="C523" s="45"/>
      <c r="D523" s="45"/>
      <c r="E523" s="45"/>
      <c r="F523" s="45"/>
      <c r="G523" s="45"/>
      <c r="H523" s="45"/>
      <c r="I523" s="45"/>
      <c r="J523" s="45"/>
      <c r="K523" s="45"/>
      <c r="L523" s="45"/>
      <c r="M523" s="45"/>
      <c r="N523" s="45"/>
      <c r="O523" s="47"/>
      <c r="P523" s="45"/>
      <c r="Q523" s="45"/>
      <c r="R523" s="45"/>
      <c r="S523" s="45"/>
      <c r="T523" s="45"/>
      <c r="U523" s="45"/>
      <c r="V523" s="45"/>
      <c r="W523" s="45"/>
      <c r="X523" s="28"/>
      <c r="Y523" s="28"/>
      <c r="Z523" s="28"/>
      <c r="AA523" s="28"/>
      <c r="AB523" s="28"/>
      <c r="AC523" s="28"/>
    </row>
    <row r="524" spans="1:29" ht="13">
      <c r="A524" s="28"/>
      <c r="B524" s="45"/>
      <c r="C524" s="45"/>
      <c r="D524" s="45"/>
      <c r="E524" s="45"/>
      <c r="F524" s="45"/>
      <c r="G524" s="45"/>
      <c r="H524" s="45"/>
      <c r="I524" s="45"/>
      <c r="J524" s="45"/>
      <c r="K524" s="45"/>
      <c r="L524" s="45"/>
      <c r="M524" s="45"/>
      <c r="N524" s="45"/>
      <c r="O524" s="47"/>
      <c r="P524" s="45"/>
      <c r="Q524" s="45"/>
      <c r="R524" s="45"/>
      <c r="S524" s="45"/>
      <c r="T524" s="45"/>
      <c r="U524" s="45"/>
      <c r="V524" s="45"/>
      <c r="W524" s="45"/>
      <c r="X524" s="28"/>
      <c r="Y524" s="28"/>
      <c r="Z524" s="28"/>
      <c r="AA524" s="28"/>
      <c r="AB524" s="28"/>
      <c r="AC524" s="28"/>
    </row>
    <row r="525" spans="1:29" ht="13">
      <c r="A525" s="28"/>
      <c r="B525" s="45"/>
      <c r="C525" s="45"/>
      <c r="D525" s="45"/>
      <c r="E525" s="45"/>
      <c r="F525" s="45"/>
      <c r="G525" s="45"/>
      <c r="H525" s="45"/>
      <c r="I525" s="45"/>
      <c r="J525" s="45"/>
      <c r="K525" s="45"/>
      <c r="L525" s="45"/>
      <c r="M525" s="45"/>
      <c r="N525" s="45"/>
      <c r="O525" s="47"/>
      <c r="P525" s="45"/>
      <c r="Q525" s="45"/>
      <c r="R525" s="45"/>
      <c r="S525" s="45"/>
      <c r="T525" s="45"/>
      <c r="U525" s="45"/>
      <c r="V525" s="45"/>
      <c r="W525" s="45"/>
      <c r="X525" s="28"/>
      <c r="Y525" s="28"/>
      <c r="Z525" s="28"/>
      <c r="AA525" s="28"/>
      <c r="AB525" s="28"/>
      <c r="AC525" s="28"/>
    </row>
    <row r="526" spans="1:29" ht="13">
      <c r="A526" s="28"/>
      <c r="B526" s="45"/>
      <c r="C526" s="45"/>
      <c r="D526" s="45"/>
      <c r="E526" s="45"/>
      <c r="F526" s="45"/>
      <c r="G526" s="45"/>
      <c r="H526" s="45"/>
      <c r="I526" s="45"/>
      <c r="J526" s="45"/>
      <c r="K526" s="45"/>
      <c r="L526" s="45"/>
      <c r="M526" s="45"/>
      <c r="N526" s="45"/>
      <c r="O526" s="47"/>
      <c r="P526" s="45"/>
      <c r="Q526" s="45"/>
      <c r="R526" s="45"/>
      <c r="S526" s="45"/>
      <c r="T526" s="45"/>
      <c r="U526" s="45"/>
      <c r="V526" s="45"/>
      <c r="W526" s="45"/>
      <c r="X526" s="28"/>
      <c r="Y526" s="28"/>
      <c r="Z526" s="28"/>
      <c r="AA526" s="28"/>
      <c r="AB526" s="28"/>
      <c r="AC526" s="28"/>
    </row>
    <row r="527" spans="1:29" ht="13">
      <c r="A527" s="28"/>
      <c r="B527" s="45"/>
      <c r="C527" s="45"/>
      <c r="D527" s="45"/>
      <c r="E527" s="45"/>
      <c r="F527" s="45"/>
      <c r="G527" s="45"/>
      <c r="H527" s="45"/>
      <c r="I527" s="45"/>
      <c r="J527" s="45"/>
      <c r="K527" s="45"/>
      <c r="L527" s="45"/>
      <c r="M527" s="45"/>
      <c r="N527" s="45"/>
      <c r="O527" s="47"/>
      <c r="P527" s="45"/>
      <c r="Q527" s="45"/>
      <c r="R527" s="45"/>
      <c r="S527" s="45"/>
      <c r="T527" s="45"/>
      <c r="U527" s="45"/>
      <c r="V527" s="45"/>
      <c r="W527" s="45"/>
      <c r="X527" s="28"/>
      <c r="Y527" s="28"/>
      <c r="Z527" s="28"/>
      <c r="AA527" s="28"/>
      <c r="AB527" s="28"/>
      <c r="AC527" s="28"/>
    </row>
    <row r="528" spans="1:29" ht="13">
      <c r="A528" s="28"/>
      <c r="B528" s="45"/>
      <c r="C528" s="45"/>
      <c r="D528" s="45"/>
      <c r="E528" s="45"/>
      <c r="F528" s="45"/>
      <c r="G528" s="45"/>
      <c r="H528" s="45"/>
      <c r="I528" s="45"/>
      <c r="J528" s="45"/>
      <c r="K528" s="45"/>
      <c r="L528" s="45"/>
      <c r="M528" s="45"/>
      <c r="N528" s="45"/>
      <c r="O528" s="47"/>
      <c r="P528" s="45"/>
      <c r="Q528" s="45"/>
      <c r="R528" s="45"/>
      <c r="S528" s="45"/>
      <c r="T528" s="45"/>
      <c r="U528" s="45"/>
      <c r="V528" s="45"/>
      <c r="W528" s="45"/>
      <c r="X528" s="28"/>
      <c r="Y528" s="28"/>
      <c r="Z528" s="28"/>
      <c r="AA528" s="28"/>
      <c r="AB528" s="28"/>
      <c r="AC528" s="28"/>
    </row>
    <row r="529" spans="1:29" ht="13">
      <c r="A529" s="28"/>
      <c r="B529" s="45"/>
      <c r="C529" s="45"/>
      <c r="D529" s="45"/>
      <c r="E529" s="45"/>
      <c r="F529" s="45"/>
      <c r="G529" s="45"/>
      <c r="H529" s="45"/>
      <c r="I529" s="45"/>
      <c r="J529" s="45"/>
      <c r="K529" s="45"/>
      <c r="L529" s="45"/>
      <c r="M529" s="45"/>
      <c r="N529" s="45"/>
      <c r="O529" s="47"/>
      <c r="P529" s="45"/>
      <c r="Q529" s="45"/>
      <c r="R529" s="45"/>
      <c r="S529" s="45"/>
      <c r="T529" s="45"/>
      <c r="U529" s="45"/>
      <c r="V529" s="45"/>
      <c r="W529" s="45"/>
      <c r="X529" s="28"/>
      <c r="Y529" s="28"/>
      <c r="Z529" s="28"/>
      <c r="AA529" s="28"/>
      <c r="AB529" s="28"/>
      <c r="AC529" s="28"/>
    </row>
    <row r="530" spans="1:29" ht="13">
      <c r="A530" s="28"/>
      <c r="B530" s="45"/>
      <c r="C530" s="45"/>
      <c r="D530" s="45"/>
      <c r="E530" s="45"/>
      <c r="F530" s="45"/>
      <c r="G530" s="45"/>
      <c r="H530" s="45"/>
      <c r="I530" s="45"/>
      <c r="J530" s="45"/>
      <c r="K530" s="45"/>
      <c r="L530" s="45"/>
      <c r="M530" s="45"/>
      <c r="N530" s="45"/>
      <c r="O530" s="47"/>
      <c r="P530" s="45"/>
      <c r="Q530" s="45"/>
      <c r="R530" s="45"/>
      <c r="S530" s="45"/>
      <c r="T530" s="45"/>
      <c r="U530" s="45"/>
      <c r="V530" s="45"/>
      <c r="W530" s="45"/>
      <c r="X530" s="28"/>
      <c r="Y530" s="28"/>
      <c r="Z530" s="28"/>
      <c r="AA530" s="28"/>
      <c r="AB530" s="28"/>
      <c r="AC530" s="28"/>
    </row>
    <row r="531" spans="1:29" ht="13">
      <c r="A531" s="28"/>
      <c r="B531" s="45"/>
      <c r="C531" s="45"/>
      <c r="D531" s="45"/>
      <c r="E531" s="45"/>
      <c r="F531" s="45"/>
      <c r="G531" s="45"/>
      <c r="H531" s="45"/>
      <c r="I531" s="45"/>
      <c r="J531" s="45"/>
      <c r="K531" s="45"/>
      <c r="L531" s="45"/>
      <c r="M531" s="45"/>
      <c r="N531" s="45"/>
      <c r="O531" s="47"/>
      <c r="P531" s="45"/>
      <c r="Q531" s="45"/>
      <c r="R531" s="45"/>
      <c r="S531" s="45"/>
      <c r="T531" s="45"/>
      <c r="U531" s="45"/>
      <c r="V531" s="45"/>
      <c r="W531" s="45"/>
      <c r="X531" s="28"/>
      <c r="Y531" s="28"/>
      <c r="Z531" s="28"/>
      <c r="AA531" s="28"/>
      <c r="AB531" s="28"/>
      <c r="AC531" s="28"/>
    </row>
    <row r="532" spans="1:29" ht="13">
      <c r="A532" s="28"/>
      <c r="B532" s="45"/>
      <c r="C532" s="45"/>
      <c r="D532" s="45"/>
      <c r="E532" s="45"/>
      <c r="F532" s="45"/>
      <c r="G532" s="45"/>
      <c r="H532" s="45"/>
      <c r="I532" s="45"/>
      <c r="J532" s="45"/>
      <c r="K532" s="45"/>
      <c r="L532" s="45"/>
      <c r="M532" s="45"/>
      <c r="N532" s="45"/>
      <c r="O532" s="47"/>
      <c r="P532" s="45"/>
      <c r="Q532" s="45"/>
      <c r="R532" s="45"/>
      <c r="S532" s="45"/>
      <c r="T532" s="45"/>
      <c r="U532" s="45"/>
      <c r="V532" s="45"/>
      <c r="W532" s="45"/>
      <c r="X532" s="28"/>
      <c r="Y532" s="28"/>
      <c r="Z532" s="28"/>
      <c r="AA532" s="28"/>
      <c r="AB532" s="28"/>
      <c r="AC532" s="28"/>
    </row>
    <row r="533" spans="1:29" ht="13">
      <c r="A533" s="28"/>
      <c r="B533" s="45"/>
      <c r="C533" s="45"/>
      <c r="D533" s="45"/>
      <c r="E533" s="45"/>
      <c r="F533" s="45"/>
      <c r="G533" s="45"/>
      <c r="H533" s="45"/>
      <c r="I533" s="45"/>
      <c r="J533" s="45"/>
      <c r="K533" s="45"/>
      <c r="L533" s="45"/>
      <c r="M533" s="45"/>
      <c r="N533" s="45"/>
      <c r="O533" s="47"/>
      <c r="P533" s="45"/>
      <c r="Q533" s="45"/>
      <c r="R533" s="45"/>
      <c r="S533" s="45"/>
      <c r="T533" s="45"/>
      <c r="U533" s="45"/>
      <c r="V533" s="45"/>
      <c r="W533" s="45"/>
      <c r="X533" s="28"/>
      <c r="Y533" s="28"/>
      <c r="Z533" s="28"/>
      <c r="AA533" s="28"/>
      <c r="AB533" s="28"/>
      <c r="AC533" s="28"/>
    </row>
    <row r="534" spans="1:29" ht="13">
      <c r="A534" s="28"/>
      <c r="B534" s="45"/>
      <c r="C534" s="45"/>
      <c r="D534" s="45"/>
      <c r="E534" s="45"/>
      <c r="F534" s="45"/>
      <c r="G534" s="45"/>
      <c r="H534" s="45"/>
      <c r="I534" s="45"/>
      <c r="J534" s="45"/>
      <c r="K534" s="45"/>
      <c r="L534" s="45"/>
      <c r="M534" s="45"/>
      <c r="N534" s="45"/>
      <c r="O534" s="47"/>
      <c r="P534" s="45"/>
      <c r="Q534" s="45"/>
      <c r="R534" s="45"/>
      <c r="S534" s="45"/>
      <c r="T534" s="45"/>
      <c r="U534" s="45"/>
      <c r="V534" s="45"/>
      <c r="W534" s="45"/>
      <c r="X534" s="28"/>
      <c r="Y534" s="28"/>
      <c r="Z534" s="28"/>
      <c r="AA534" s="28"/>
      <c r="AB534" s="28"/>
      <c r="AC534" s="28"/>
    </row>
    <row r="535" spans="1:29" ht="13">
      <c r="A535" s="28"/>
      <c r="B535" s="45"/>
      <c r="C535" s="45"/>
      <c r="D535" s="45"/>
      <c r="E535" s="45"/>
      <c r="F535" s="45"/>
      <c r="G535" s="45"/>
      <c r="H535" s="45"/>
      <c r="I535" s="45"/>
      <c r="J535" s="45"/>
      <c r="K535" s="45"/>
      <c r="L535" s="45"/>
      <c r="M535" s="45"/>
      <c r="N535" s="45"/>
      <c r="O535" s="47"/>
      <c r="P535" s="45"/>
      <c r="Q535" s="45"/>
      <c r="R535" s="45"/>
      <c r="S535" s="45"/>
      <c r="T535" s="45"/>
      <c r="U535" s="45"/>
      <c r="V535" s="45"/>
      <c r="W535" s="45"/>
      <c r="X535" s="28"/>
      <c r="Y535" s="28"/>
      <c r="Z535" s="28"/>
      <c r="AA535" s="28"/>
      <c r="AB535" s="28"/>
      <c r="AC535" s="28"/>
    </row>
    <row r="536" spans="1:29" ht="13">
      <c r="A536" s="28"/>
      <c r="B536" s="45"/>
      <c r="C536" s="45"/>
      <c r="D536" s="45"/>
      <c r="E536" s="45"/>
      <c r="F536" s="45"/>
      <c r="G536" s="45"/>
      <c r="H536" s="45"/>
      <c r="I536" s="45"/>
      <c r="J536" s="45"/>
      <c r="K536" s="45"/>
      <c r="L536" s="45"/>
      <c r="M536" s="45"/>
      <c r="N536" s="45"/>
      <c r="O536" s="47"/>
      <c r="P536" s="45"/>
      <c r="Q536" s="45"/>
      <c r="R536" s="45"/>
      <c r="S536" s="45"/>
      <c r="T536" s="45"/>
      <c r="U536" s="45"/>
      <c r="V536" s="45"/>
      <c r="W536" s="45"/>
      <c r="X536" s="28"/>
      <c r="Y536" s="28"/>
      <c r="Z536" s="28"/>
      <c r="AA536" s="28"/>
      <c r="AB536" s="28"/>
      <c r="AC536" s="28"/>
    </row>
    <row r="537" spans="1:29" ht="13">
      <c r="A537" s="28"/>
      <c r="B537" s="45"/>
      <c r="C537" s="45"/>
      <c r="D537" s="45"/>
      <c r="E537" s="45"/>
      <c r="F537" s="45"/>
      <c r="G537" s="45"/>
      <c r="H537" s="45"/>
      <c r="I537" s="45"/>
      <c r="J537" s="45"/>
      <c r="K537" s="45"/>
      <c r="L537" s="45"/>
      <c r="M537" s="45"/>
      <c r="N537" s="45"/>
      <c r="O537" s="47"/>
      <c r="P537" s="45"/>
      <c r="Q537" s="45"/>
      <c r="R537" s="45"/>
      <c r="S537" s="45"/>
      <c r="T537" s="45"/>
      <c r="U537" s="45"/>
      <c r="V537" s="45"/>
      <c r="W537" s="45"/>
      <c r="X537" s="28"/>
      <c r="Y537" s="28"/>
      <c r="Z537" s="28"/>
      <c r="AA537" s="28"/>
      <c r="AB537" s="28"/>
      <c r="AC537" s="28"/>
    </row>
    <row r="538" spans="1:29" ht="13">
      <c r="A538" s="28"/>
      <c r="B538" s="45"/>
      <c r="C538" s="45"/>
      <c r="D538" s="45"/>
      <c r="E538" s="45"/>
      <c r="F538" s="45"/>
      <c r="G538" s="45"/>
      <c r="H538" s="45"/>
      <c r="I538" s="45"/>
      <c r="J538" s="45"/>
      <c r="K538" s="45"/>
      <c r="L538" s="45"/>
      <c r="M538" s="45"/>
      <c r="N538" s="45"/>
      <c r="O538" s="47"/>
      <c r="P538" s="45"/>
      <c r="Q538" s="45"/>
      <c r="R538" s="45"/>
      <c r="S538" s="45"/>
      <c r="T538" s="45"/>
      <c r="U538" s="45"/>
      <c r="V538" s="45"/>
      <c r="W538" s="45"/>
      <c r="X538" s="28"/>
      <c r="Y538" s="28"/>
      <c r="Z538" s="28"/>
      <c r="AA538" s="28"/>
      <c r="AB538" s="28"/>
      <c r="AC538" s="28"/>
    </row>
    <row r="539" spans="1:29" ht="13">
      <c r="A539" s="28"/>
      <c r="B539" s="45"/>
      <c r="C539" s="45"/>
      <c r="D539" s="45"/>
      <c r="E539" s="45"/>
      <c r="F539" s="45"/>
      <c r="G539" s="45"/>
      <c r="H539" s="45"/>
      <c r="I539" s="45"/>
      <c r="J539" s="45"/>
      <c r="K539" s="45"/>
      <c r="L539" s="45"/>
      <c r="M539" s="45"/>
      <c r="N539" s="45"/>
      <c r="O539" s="47"/>
      <c r="P539" s="45"/>
      <c r="Q539" s="45"/>
      <c r="R539" s="45"/>
      <c r="S539" s="45"/>
      <c r="T539" s="45"/>
      <c r="U539" s="45"/>
      <c r="V539" s="45"/>
      <c r="W539" s="45"/>
      <c r="X539" s="28"/>
      <c r="Y539" s="28"/>
      <c r="Z539" s="28"/>
      <c r="AA539" s="28"/>
      <c r="AB539" s="28"/>
      <c r="AC539" s="28"/>
    </row>
    <row r="540" spans="1:29" ht="13">
      <c r="A540" s="28"/>
      <c r="B540" s="45"/>
      <c r="C540" s="45"/>
      <c r="D540" s="45"/>
      <c r="E540" s="45"/>
      <c r="F540" s="45"/>
      <c r="G540" s="45"/>
      <c r="H540" s="45"/>
      <c r="I540" s="45"/>
      <c r="J540" s="45"/>
      <c r="K540" s="45"/>
      <c r="L540" s="45"/>
      <c r="M540" s="45"/>
      <c r="N540" s="45"/>
      <c r="O540" s="47"/>
      <c r="P540" s="45"/>
      <c r="Q540" s="45"/>
      <c r="R540" s="45"/>
      <c r="S540" s="45"/>
      <c r="T540" s="45"/>
      <c r="U540" s="45"/>
      <c r="V540" s="45"/>
      <c r="W540" s="45"/>
      <c r="X540" s="28"/>
      <c r="Y540" s="28"/>
      <c r="Z540" s="28"/>
      <c r="AA540" s="28"/>
      <c r="AB540" s="28"/>
      <c r="AC540" s="28"/>
    </row>
    <row r="541" spans="1:29" ht="13">
      <c r="A541" s="28"/>
      <c r="B541" s="45"/>
      <c r="C541" s="45"/>
      <c r="D541" s="45"/>
      <c r="E541" s="45"/>
      <c r="F541" s="45"/>
      <c r="G541" s="45"/>
      <c r="H541" s="45"/>
      <c r="I541" s="45"/>
      <c r="J541" s="45"/>
      <c r="K541" s="45"/>
      <c r="L541" s="45"/>
      <c r="M541" s="45"/>
      <c r="N541" s="45"/>
      <c r="O541" s="47"/>
      <c r="P541" s="45"/>
      <c r="Q541" s="45"/>
      <c r="R541" s="45"/>
      <c r="S541" s="45"/>
      <c r="T541" s="45"/>
      <c r="U541" s="45"/>
      <c r="V541" s="45"/>
      <c r="W541" s="45"/>
      <c r="X541" s="28"/>
      <c r="Y541" s="28"/>
      <c r="Z541" s="28"/>
      <c r="AA541" s="28"/>
      <c r="AB541" s="28"/>
      <c r="AC541" s="28"/>
    </row>
    <row r="542" spans="1:29" ht="13">
      <c r="A542" s="28"/>
      <c r="B542" s="45"/>
      <c r="C542" s="45"/>
      <c r="D542" s="45"/>
      <c r="E542" s="45"/>
      <c r="F542" s="45"/>
      <c r="G542" s="45"/>
      <c r="H542" s="45"/>
      <c r="I542" s="45"/>
      <c r="J542" s="45"/>
      <c r="K542" s="45"/>
      <c r="L542" s="45"/>
      <c r="M542" s="45"/>
      <c r="N542" s="45"/>
      <c r="O542" s="47"/>
      <c r="P542" s="45"/>
      <c r="Q542" s="45"/>
      <c r="R542" s="45"/>
      <c r="S542" s="45"/>
      <c r="T542" s="45"/>
      <c r="U542" s="45"/>
      <c r="V542" s="45"/>
      <c r="W542" s="45"/>
      <c r="X542" s="28"/>
      <c r="Y542" s="28"/>
      <c r="Z542" s="28"/>
      <c r="AA542" s="28"/>
      <c r="AB542" s="28"/>
      <c r="AC542" s="28"/>
    </row>
    <row r="543" spans="1:29" ht="13">
      <c r="A543" s="28"/>
      <c r="B543" s="45"/>
      <c r="C543" s="45"/>
      <c r="D543" s="45"/>
      <c r="E543" s="45"/>
      <c r="F543" s="45"/>
      <c r="G543" s="45"/>
      <c r="H543" s="45"/>
      <c r="I543" s="45"/>
      <c r="J543" s="45"/>
      <c r="K543" s="45"/>
      <c r="L543" s="45"/>
      <c r="M543" s="45"/>
      <c r="N543" s="45"/>
      <c r="O543" s="47"/>
      <c r="P543" s="45"/>
      <c r="Q543" s="45"/>
      <c r="R543" s="45"/>
      <c r="S543" s="45"/>
      <c r="T543" s="45"/>
      <c r="U543" s="45"/>
      <c r="V543" s="45"/>
      <c r="W543" s="45"/>
      <c r="X543" s="28"/>
      <c r="Y543" s="28"/>
      <c r="Z543" s="28"/>
      <c r="AA543" s="28"/>
      <c r="AB543" s="28"/>
      <c r="AC543" s="28"/>
    </row>
    <row r="544" spans="1:29" ht="13">
      <c r="A544" s="28"/>
      <c r="B544" s="45"/>
      <c r="C544" s="45"/>
      <c r="D544" s="45"/>
      <c r="E544" s="45"/>
      <c r="F544" s="45"/>
      <c r="G544" s="45"/>
      <c r="H544" s="45"/>
      <c r="I544" s="45"/>
      <c r="J544" s="45"/>
      <c r="K544" s="45"/>
      <c r="L544" s="45"/>
      <c r="M544" s="45"/>
      <c r="N544" s="45"/>
      <c r="O544" s="47"/>
      <c r="P544" s="45"/>
      <c r="Q544" s="45"/>
      <c r="R544" s="45"/>
      <c r="S544" s="45"/>
      <c r="T544" s="45"/>
      <c r="U544" s="45"/>
      <c r="V544" s="45"/>
      <c r="W544" s="45"/>
      <c r="X544" s="28"/>
      <c r="Y544" s="28"/>
      <c r="Z544" s="28"/>
      <c r="AA544" s="28"/>
      <c r="AB544" s="28"/>
      <c r="AC544" s="28"/>
    </row>
    <row r="545" spans="1:29" ht="13">
      <c r="A545" s="28"/>
      <c r="B545" s="45"/>
      <c r="C545" s="45"/>
      <c r="D545" s="45"/>
      <c r="E545" s="45"/>
      <c r="F545" s="45"/>
      <c r="G545" s="45"/>
      <c r="H545" s="45"/>
      <c r="I545" s="45"/>
      <c r="J545" s="45"/>
      <c r="K545" s="45"/>
      <c r="L545" s="45"/>
      <c r="M545" s="45"/>
      <c r="N545" s="45"/>
      <c r="O545" s="47"/>
      <c r="P545" s="45"/>
      <c r="Q545" s="45"/>
      <c r="R545" s="45"/>
      <c r="S545" s="45"/>
      <c r="T545" s="45"/>
      <c r="U545" s="45"/>
      <c r="V545" s="45"/>
      <c r="W545" s="45"/>
      <c r="X545" s="28"/>
      <c r="Y545" s="28"/>
      <c r="Z545" s="28"/>
      <c r="AA545" s="28"/>
      <c r="AB545" s="28"/>
      <c r="AC545" s="28"/>
    </row>
    <row r="546" spans="1:29" ht="13">
      <c r="A546" s="28"/>
      <c r="B546" s="45"/>
      <c r="C546" s="45"/>
      <c r="D546" s="45"/>
      <c r="E546" s="45"/>
      <c r="F546" s="45"/>
      <c r="G546" s="45"/>
      <c r="H546" s="45"/>
      <c r="I546" s="45"/>
      <c r="J546" s="45"/>
      <c r="K546" s="45"/>
      <c r="L546" s="45"/>
      <c r="M546" s="45"/>
      <c r="N546" s="45"/>
      <c r="O546" s="47"/>
      <c r="P546" s="45"/>
      <c r="Q546" s="45"/>
      <c r="R546" s="45"/>
      <c r="S546" s="45"/>
      <c r="T546" s="45"/>
      <c r="U546" s="45"/>
      <c r="V546" s="45"/>
      <c r="W546" s="45"/>
      <c r="X546" s="28"/>
      <c r="Y546" s="28"/>
      <c r="Z546" s="28"/>
      <c r="AA546" s="28"/>
      <c r="AB546" s="28"/>
      <c r="AC546" s="28"/>
    </row>
    <row r="547" spans="1:29" ht="13">
      <c r="A547" s="28"/>
      <c r="B547" s="45"/>
      <c r="C547" s="45"/>
      <c r="D547" s="45"/>
      <c r="E547" s="45"/>
      <c r="F547" s="45"/>
      <c r="G547" s="45"/>
      <c r="H547" s="45"/>
      <c r="I547" s="45"/>
      <c r="J547" s="45"/>
      <c r="K547" s="45"/>
      <c r="L547" s="45"/>
      <c r="M547" s="45"/>
      <c r="N547" s="45"/>
      <c r="O547" s="47"/>
      <c r="P547" s="45"/>
      <c r="Q547" s="45"/>
      <c r="R547" s="45"/>
      <c r="S547" s="45"/>
      <c r="T547" s="45"/>
      <c r="U547" s="45"/>
      <c r="V547" s="45"/>
      <c r="W547" s="45"/>
      <c r="X547" s="28"/>
      <c r="Y547" s="28"/>
      <c r="Z547" s="28"/>
      <c r="AA547" s="28"/>
      <c r="AB547" s="28"/>
      <c r="AC547" s="28"/>
    </row>
    <row r="548" spans="1:29" ht="13">
      <c r="A548" s="28"/>
      <c r="B548" s="45"/>
      <c r="C548" s="45"/>
      <c r="D548" s="45"/>
      <c r="E548" s="45"/>
      <c r="F548" s="45"/>
      <c r="G548" s="45"/>
      <c r="H548" s="45"/>
      <c r="I548" s="45"/>
      <c r="J548" s="45"/>
      <c r="K548" s="45"/>
      <c r="L548" s="45"/>
      <c r="M548" s="45"/>
      <c r="N548" s="45"/>
      <c r="O548" s="47"/>
      <c r="P548" s="45"/>
      <c r="Q548" s="45"/>
      <c r="R548" s="45"/>
      <c r="S548" s="45"/>
      <c r="T548" s="45"/>
      <c r="U548" s="45"/>
      <c r="V548" s="45"/>
      <c r="W548" s="45"/>
      <c r="X548" s="28"/>
      <c r="Y548" s="28"/>
      <c r="Z548" s="28"/>
      <c r="AA548" s="28"/>
      <c r="AB548" s="28"/>
      <c r="AC548" s="28"/>
    </row>
    <row r="549" spans="1:29" ht="13">
      <c r="A549" s="28"/>
      <c r="B549" s="45"/>
      <c r="C549" s="45"/>
      <c r="D549" s="45"/>
      <c r="E549" s="45"/>
      <c r="F549" s="45"/>
      <c r="G549" s="45"/>
      <c r="H549" s="45"/>
      <c r="I549" s="45"/>
      <c r="J549" s="45"/>
      <c r="K549" s="45"/>
      <c r="L549" s="45"/>
      <c r="M549" s="45"/>
      <c r="N549" s="45"/>
      <c r="O549" s="47"/>
      <c r="P549" s="45"/>
      <c r="Q549" s="45"/>
      <c r="R549" s="45"/>
      <c r="S549" s="45"/>
      <c r="T549" s="45"/>
      <c r="U549" s="45"/>
      <c r="V549" s="45"/>
      <c r="W549" s="45"/>
      <c r="X549" s="28"/>
      <c r="Y549" s="28"/>
      <c r="Z549" s="28"/>
      <c r="AA549" s="28"/>
      <c r="AB549" s="28"/>
      <c r="AC549" s="28"/>
    </row>
    <row r="550" spans="1:29" ht="13">
      <c r="A550" s="28"/>
      <c r="B550" s="45"/>
      <c r="C550" s="45"/>
      <c r="D550" s="45"/>
      <c r="E550" s="45"/>
      <c r="F550" s="45"/>
      <c r="G550" s="45"/>
      <c r="H550" s="45"/>
      <c r="I550" s="45"/>
      <c r="J550" s="45"/>
      <c r="K550" s="45"/>
      <c r="L550" s="45"/>
      <c r="M550" s="45"/>
      <c r="N550" s="45"/>
      <c r="O550" s="47"/>
      <c r="P550" s="45"/>
      <c r="Q550" s="45"/>
      <c r="R550" s="45"/>
      <c r="S550" s="45"/>
      <c r="T550" s="45"/>
      <c r="U550" s="45"/>
      <c r="V550" s="45"/>
      <c r="W550" s="45"/>
      <c r="X550" s="28"/>
      <c r="Y550" s="28"/>
      <c r="Z550" s="28"/>
      <c r="AA550" s="28"/>
      <c r="AB550" s="28"/>
      <c r="AC550" s="28"/>
    </row>
    <row r="551" spans="1:29" ht="13">
      <c r="A551" s="28"/>
      <c r="B551" s="45"/>
      <c r="C551" s="45"/>
      <c r="D551" s="45"/>
      <c r="E551" s="45"/>
      <c r="F551" s="45"/>
      <c r="G551" s="45"/>
      <c r="H551" s="45"/>
      <c r="I551" s="45"/>
      <c r="J551" s="45"/>
      <c r="K551" s="45"/>
      <c r="L551" s="45"/>
      <c r="M551" s="45"/>
      <c r="N551" s="45"/>
      <c r="O551" s="47"/>
      <c r="P551" s="45"/>
      <c r="Q551" s="45"/>
      <c r="R551" s="45"/>
      <c r="S551" s="45"/>
      <c r="T551" s="45"/>
      <c r="U551" s="45"/>
      <c r="V551" s="45"/>
      <c r="W551" s="45"/>
      <c r="X551" s="28"/>
      <c r="Y551" s="28"/>
      <c r="Z551" s="28"/>
      <c r="AA551" s="28"/>
      <c r="AB551" s="28"/>
      <c r="AC551" s="28"/>
    </row>
    <row r="552" spans="1:29" ht="13">
      <c r="A552" s="28"/>
      <c r="B552" s="45"/>
      <c r="C552" s="45"/>
      <c r="D552" s="45"/>
      <c r="E552" s="45"/>
      <c r="F552" s="45"/>
      <c r="G552" s="45"/>
      <c r="H552" s="45"/>
      <c r="I552" s="45"/>
      <c r="J552" s="45"/>
      <c r="K552" s="45"/>
      <c r="L552" s="45"/>
      <c r="M552" s="45"/>
      <c r="N552" s="45"/>
      <c r="O552" s="47"/>
      <c r="P552" s="45"/>
      <c r="Q552" s="45"/>
      <c r="R552" s="45"/>
      <c r="S552" s="45"/>
      <c r="T552" s="45"/>
      <c r="U552" s="45"/>
      <c r="V552" s="45"/>
      <c r="W552" s="45"/>
      <c r="X552" s="28"/>
      <c r="Y552" s="28"/>
      <c r="Z552" s="28"/>
      <c r="AA552" s="28"/>
      <c r="AB552" s="28"/>
      <c r="AC552" s="28"/>
    </row>
    <row r="553" spans="1:29" ht="13">
      <c r="A553" s="28"/>
      <c r="B553" s="45"/>
      <c r="C553" s="45"/>
      <c r="D553" s="45"/>
      <c r="E553" s="45"/>
      <c r="F553" s="45"/>
      <c r="G553" s="45"/>
      <c r="H553" s="45"/>
      <c r="I553" s="45"/>
      <c r="J553" s="45"/>
      <c r="K553" s="45"/>
      <c r="L553" s="45"/>
      <c r="M553" s="45"/>
      <c r="N553" s="45"/>
      <c r="O553" s="47"/>
      <c r="P553" s="45"/>
      <c r="Q553" s="45"/>
      <c r="R553" s="45"/>
      <c r="S553" s="45"/>
      <c r="T553" s="45"/>
      <c r="U553" s="45"/>
      <c r="V553" s="45"/>
      <c r="W553" s="45"/>
      <c r="X553" s="28"/>
      <c r="Y553" s="28"/>
      <c r="Z553" s="28"/>
      <c r="AA553" s="28"/>
      <c r="AB553" s="28"/>
      <c r="AC553" s="28"/>
    </row>
    <row r="554" spans="1:29" ht="13">
      <c r="A554" s="28"/>
      <c r="B554" s="45"/>
      <c r="C554" s="45"/>
      <c r="D554" s="45"/>
      <c r="E554" s="45"/>
      <c r="F554" s="45"/>
      <c r="G554" s="45"/>
      <c r="H554" s="45"/>
      <c r="I554" s="45"/>
      <c r="J554" s="45"/>
      <c r="K554" s="45"/>
      <c r="L554" s="45"/>
      <c r="M554" s="45"/>
      <c r="N554" s="45"/>
      <c r="O554" s="47"/>
      <c r="P554" s="45"/>
      <c r="Q554" s="45"/>
      <c r="R554" s="45"/>
      <c r="S554" s="45"/>
      <c r="T554" s="45"/>
      <c r="U554" s="45"/>
      <c r="V554" s="45"/>
      <c r="W554" s="45"/>
      <c r="X554" s="28"/>
      <c r="Y554" s="28"/>
      <c r="Z554" s="28"/>
      <c r="AA554" s="28"/>
      <c r="AB554" s="28"/>
      <c r="AC554" s="28"/>
    </row>
    <row r="555" spans="1:29" ht="13">
      <c r="A555" s="28"/>
      <c r="B555" s="45"/>
      <c r="C555" s="45"/>
      <c r="D555" s="45"/>
      <c r="E555" s="45"/>
      <c r="F555" s="45"/>
      <c r="G555" s="45"/>
      <c r="H555" s="45"/>
      <c r="I555" s="45"/>
      <c r="J555" s="45"/>
      <c r="K555" s="45"/>
      <c r="L555" s="45"/>
      <c r="M555" s="45"/>
      <c r="N555" s="45"/>
      <c r="O555" s="47"/>
      <c r="P555" s="45"/>
      <c r="Q555" s="45"/>
      <c r="R555" s="45"/>
      <c r="S555" s="45"/>
      <c r="T555" s="45"/>
      <c r="U555" s="45"/>
      <c r="V555" s="45"/>
      <c r="W555" s="45"/>
      <c r="X555" s="28"/>
      <c r="Y555" s="28"/>
      <c r="Z555" s="28"/>
      <c r="AA555" s="28"/>
      <c r="AB555" s="28"/>
      <c r="AC555" s="28"/>
    </row>
    <row r="556" spans="1:29" ht="13">
      <c r="A556" s="28"/>
      <c r="B556" s="45"/>
      <c r="C556" s="45"/>
      <c r="D556" s="45"/>
      <c r="E556" s="45"/>
      <c r="F556" s="45"/>
      <c r="G556" s="45"/>
      <c r="H556" s="45"/>
      <c r="I556" s="45"/>
      <c r="J556" s="45"/>
      <c r="K556" s="45"/>
      <c r="L556" s="45"/>
      <c r="M556" s="45"/>
      <c r="N556" s="45"/>
      <c r="O556" s="47"/>
      <c r="P556" s="45"/>
      <c r="Q556" s="45"/>
      <c r="R556" s="45"/>
      <c r="S556" s="45"/>
      <c r="T556" s="45"/>
      <c r="U556" s="45"/>
      <c r="V556" s="45"/>
      <c r="W556" s="45"/>
      <c r="X556" s="28"/>
      <c r="Y556" s="28"/>
      <c r="Z556" s="28"/>
      <c r="AA556" s="28"/>
      <c r="AB556" s="28"/>
      <c r="AC556" s="28"/>
    </row>
    <row r="557" spans="1:29" ht="13">
      <c r="A557" s="28"/>
      <c r="B557" s="45"/>
      <c r="C557" s="45"/>
      <c r="D557" s="45"/>
      <c r="E557" s="45"/>
      <c r="F557" s="45"/>
      <c r="G557" s="45"/>
      <c r="H557" s="45"/>
      <c r="I557" s="45"/>
      <c r="J557" s="45"/>
      <c r="K557" s="45"/>
      <c r="L557" s="45"/>
      <c r="M557" s="45"/>
      <c r="N557" s="45"/>
      <c r="O557" s="47"/>
      <c r="P557" s="45"/>
      <c r="Q557" s="45"/>
      <c r="R557" s="45"/>
      <c r="S557" s="45"/>
      <c r="T557" s="45"/>
      <c r="U557" s="45"/>
      <c r="V557" s="45"/>
      <c r="W557" s="45"/>
      <c r="X557" s="28"/>
      <c r="Y557" s="28"/>
      <c r="Z557" s="28"/>
      <c r="AA557" s="28"/>
      <c r="AB557" s="28"/>
      <c r="AC557" s="28"/>
    </row>
    <row r="558" spans="1:29" ht="13">
      <c r="A558" s="28"/>
      <c r="B558" s="45"/>
      <c r="C558" s="45"/>
      <c r="D558" s="45"/>
      <c r="E558" s="45"/>
      <c r="F558" s="45"/>
      <c r="G558" s="45"/>
      <c r="H558" s="45"/>
      <c r="I558" s="45"/>
      <c r="J558" s="45"/>
      <c r="K558" s="45"/>
      <c r="L558" s="45"/>
      <c r="M558" s="45"/>
      <c r="N558" s="45"/>
      <c r="O558" s="47"/>
      <c r="P558" s="45"/>
      <c r="Q558" s="45"/>
      <c r="R558" s="45"/>
      <c r="S558" s="45"/>
      <c r="T558" s="45"/>
      <c r="U558" s="45"/>
      <c r="V558" s="45"/>
      <c r="W558" s="45"/>
      <c r="X558" s="28"/>
      <c r="Y558" s="28"/>
      <c r="Z558" s="28"/>
      <c r="AA558" s="28"/>
      <c r="AB558" s="28"/>
      <c r="AC558" s="28"/>
    </row>
    <row r="559" spans="1:29" ht="13">
      <c r="A559" s="28"/>
      <c r="B559" s="45"/>
      <c r="C559" s="45"/>
      <c r="D559" s="45"/>
      <c r="E559" s="45"/>
      <c r="F559" s="45"/>
      <c r="G559" s="45"/>
      <c r="H559" s="45"/>
      <c r="I559" s="45"/>
      <c r="J559" s="45"/>
      <c r="K559" s="45"/>
      <c r="L559" s="45"/>
      <c r="M559" s="45"/>
      <c r="N559" s="45"/>
      <c r="O559" s="47"/>
      <c r="P559" s="45"/>
      <c r="Q559" s="45"/>
      <c r="R559" s="45"/>
      <c r="S559" s="45"/>
      <c r="T559" s="45"/>
      <c r="U559" s="45"/>
      <c r="V559" s="45"/>
      <c r="W559" s="45"/>
      <c r="X559" s="28"/>
      <c r="Y559" s="28"/>
      <c r="Z559" s="28"/>
      <c r="AA559" s="28"/>
      <c r="AB559" s="28"/>
      <c r="AC559" s="28"/>
    </row>
    <row r="560" spans="1:29" ht="13">
      <c r="A560" s="28"/>
      <c r="B560" s="45"/>
      <c r="C560" s="45"/>
      <c r="D560" s="45"/>
      <c r="E560" s="45"/>
      <c r="F560" s="45"/>
      <c r="G560" s="45"/>
      <c r="H560" s="45"/>
      <c r="I560" s="45"/>
      <c r="J560" s="45"/>
      <c r="K560" s="45"/>
      <c r="L560" s="45"/>
      <c r="M560" s="45"/>
      <c r="N560" s="45"/>
      <c r="O560" s="47"/>
      <c r="P560" s="45"/>
      <c r="Q560" s="45"/>
      <c r="R560" s="45"/>
      <c r="S560" s="45"/>
      <c r="T560" s="45"/>
      <c r="U560" s="45"/>
      <c r="V560" s="45"/>
      <c r="W560" s="45"/>
      <c r="X560" s="28"/>
      <c r="Y560" s="28"/>
      <c r="Z560" s="28"/>
      <c r="AA560" s="28"/>
      <c r="AB560" s="28"/>
      <c r="AC560" s="28"/>
    </row>
    <row r="561" spans="1:29" ht="13">
      <c r="A561" s="28"/>
      <c r="B561" s="45"/>
      <c r="C561" s="45"/>
      <c r="D561" s="45"/>
      <c r="E561" s="45"/>
      <c r="F561" s="45"/>
      <c r="G561" s="45"/>
      <c r="H561" s="45"/>
      <c r="I561" s="45"/>
      <c r="J561" s="45"/>
      <c r="K561" s="45"/>
      <c r="L561" s="45"/>
      <c r="M561" s="45"/>
      <c r="N561" s="45"/>
      <c r="O561" s="47"/>
      <c r="P561" s="45"/>
      <c r="Q561" s="45"/>
      <c r="R561" s="45"/>
      <c r="S561" s="45"/>
      <c r="T561" s="45"/>
      <c r="U561" s="45"/>
      <c r="V561" s="45"/>
      <c r="W561" s="45"/>
      <c r="X561" s="28"/>
      <c r="Y561" s="28"/>
      <c r="Z561" s="28"/>
      <c r="AA561" s="28"/>
      <c r="AB561" s="28"/>
      <c r="AC561" s="28"/>
    </row>
    <row r="562" spans="1:29" ht="13">
      <c r="A562" s="28"/>
      <c r="B562" s="45"/>
      <c r="C562" s="45"/>
      <c r="D562" s="45"/>
      <c r="E562" s="45"/>
      <c r="F562" s="45"/>
      <c r="G562" s="45"/>
      <c r="H562" s="45"/>
      <c r="I562" s="45"/>
      <c r="J562" s="45"/>
      <c r="K562" s="45"/>
      <c r="L562" s="45"/>
      <c r="M562" s="45"/>
      <c r="N562" s="45"/>
      <c r="O562" s="47"/>
      <c r="P562" s="45"/>
      <c r="Q562" s="45"/>
      <c r="R562" s="45"/>
      <c r="S562" s="45"/>
      <c r="T562" s="45"/>
      <c r="U562" s="45"/>
      <c r="V562" s="45"/>
      <c r="W562" s="45"/>
      <c r="X562" s="28"/>
      <c r="Y562" s="28"/>
      <c r="Z562" s="28"/>
      <c r="AA562" s="28"/>
      <c r="AB562" s="28"/>
      <c r="AC562" s="28"/>
    </row>
    <row r="563" spans="1:29" ht="13">
      <c r="A563" s="28"/>
      <c r="B563" s="45"/>
      <c r="C563" s="45"/>
      <c r="D563" s="45"/>
      <c r="E563" s="45"/>
      <c r="F563" s="45"/>
      <c r="G563" s="45"/>
      <c r="H563" s="45"/>
      <c r="I563" s="45"/>
      <c r="J563" s="45"/>
      <c r="K563" s="45"/>
      <c r="L563" s="45"/>
      <c r="M563" s="45"/>
      <c r="N563" s="45"/>
      <c r="O563" s="47"/>
      <c r="P563" s="45"/>
      <c r="Q563" s="45"/>
      <c r="R563" s="45"/>
      <c r="S563" s="45"/>
      <c r="T563" s="45"/>
      <c r="U563" s="45"/>
      <c r="V563" s="45"/>
      <c r="W563" s="45"/>
      <c r="X563" s="28"/>
      <c r="Y563" s="28"/>
      <c r="Z563" s="28"/>
      <c r="AA563" s="28"/>
      <c r="AB563" s="28"/>
      <c r="AC563" s="28"/>
    </row>
    <row r="564" spans="1:29" ht="13">
      <c r="A564" s="28"/>
      <c r="B564" s="45"/>
      <c r="C564" s="45"/>
      <c r="D564" s="45"/>
      <c r="E564" s="45"/>
      <c r="F564" s="45"/>
      <c r="G564" s="45"/>
      <c r="H564" s="45"/>
      <c r="I564" s="45"/>
      <c r="J564" s="45"/>
      <c r="K564" s="45"/>
      <c r="L564" s="45"/>
      <c r="M564" s="45"/>
      <c r="N564" s="45"/>
      <c r="O564" s="47"/>
      <c r="P564" s="45"/>
      <c r="Q564" s="45"/>
      <c r="R564" s="45"/>
      <c r="S564" s="45"/>
      <c r="T564" s="45"/>
      <c r="U564" s="45"/>
      <c r="V564" s="45"/>
      <c r="W564" s="45"/>
      <c r="X564" s="28"/>
      <c r="Y564" s="28"/>
      <c r="Z564" s="28"/>
      <c r="AA564" s="28"/>
      <c r="AB564" s="28"/>
      <c r="AC564" s="28"/>
    </row>
    <row r="565" spans="1:29" ht="13">
      <c r="A565" s="28"/>
      <c r="B565" s="45"/>
      <c r="C565" s="45"/>
      <c r="D565" s="45"/>
      <c r="E565" s="45"/>
      <c r="F565" s="45"/>
      <c r="G565" s="45"/>
      <c r="H565" s="45"/>
      <c r="I565" s="45"/>
      <c r="J565" s="45"/>
      <c r="K565" s="45"/>
      <c r="L565" s="45"/>
      <c r="M565" s="45"/>
      <c r="N565" s="45"/>
      <c r="O565" s="47"/>
      <c r="P565" s="45"/>
      <c r="Q565" s="45"/>
      <c r="R565" s="45"/>
      <c r="S565" s="45"/>
      <c r="T565" s="45"/>
      <c r="U565" s="45"/>
      <c r="V565" s="45"/>
      <c r="W565" s="45"/>
      <c r="X565" s="28"/>
      <c r="Y565" s="28"/>
      <c r="Z565" s="28"/>
      <c r="AA565" s="28"/>
      <c r="AB565" s="28"/>
      <c r="AC565" s="28"/>
    </row>
    <row r="566" spans="1:29" ht="13">
      <c r="A566" s="28"/>
      <c r="B566" s="45"/>
      <c r="C566" s="45"/>
      <c r="D566" s="45"/>
      <c r="E566" s="45"/>
      <c r="F566" s="45"/>
      <c r="G566" s="45"/>
      <c r="H566" s="45"/>
      <c r="I566" s="45"/>
      <c r="J566" s="45"/>
      <c r="K566" s="45"/>
      <c r="L566" s="45"/>
      <c r="M566" s="45"/>
      <c r="N566" s="45"/>
      <c r="O566" s="47"/>
      <c r="P566" s="45"/>
      <c r="Q566" s="45"/>
      <c r="R566" s="45"/>
      <c r="S566" s="45"/>
      <c r="T566" s="45"/>
      <c r="U566" s="45"/>
      <c r="V566" s="45"/>
      <c r="W566" s="45"/>
      <c r="X566" s="28"/>
      <c r="Y566" s="28"/>
      <c r="Z566" s="28"/>
      <c r="AA566" s="28"/>
      <c r="AB566" s="28"/>
      <c r="AC566" s="28"/>
    </row>
    <row r="567" spans="1:29" ht="13">
      <c r="A567" s="28"/>
      <c r="B567" s="45"/>
      <c r="C567" s="45"/>
      <c r="D567" s="45"/>
      <c r="E567" s="45"/>
      <c r="F567" s="45"/>
      <c r="G567" s="45"/>
      <c r="H567" s="45"/>
      <c r="I567" s="45"/>
      <c r="J567" s="45"/>
      <c r="K567" s="45"/>
      <c r="L567" s="45"/>
      <c r="M567" s="45"/>
      <c r="N567" s="45"/>
      <c r="O567" s="47"/>
      <c r="P567" s="45"/>
      <c r="Q567" s="45"/>
      <c r="R567" s="45"/>
      <c r="S567" s="45"/>
      <c r="T567" s="45"/>
      <c r="U567" s="45"/>
      <c r="V567" s="45"/>
      <c r="W567" s="45"/>
      <c r="X567" s="28"/>
      <c r="Y567" s="28"/>
      <c r="Z567" s="28"/>
      <c r="AA567" s="28"/>
      <c r="AB567" s="28"/>
      <c r="AC567" s="28"/>
    </row>
    <row r="568" spans="1:29" ht="13">
      <c r="A568" s="28"/>
      <c r="B568" s="45"/>
      <c r="C568" s="45"/>
      <c r="D568" s="45"/>
      <c r="E568" s="45"/>
      <c r="F568" s="45"/>
      <c r="G568" s="45"/>
      <c r="H568" s="45"/>
      <c r="I568" s="45"/>
      <c r="J568" s="45"/>
      <c r="K568" s="45"/>
      <c r="L568" s="45"/>
      <c r="M568" s="45"/>
      <c r="N568" s="45"/>
      <c r="O568" s="47"/>
      <c r="P568" s="45"/>
      <c r="Q568" s="45"/>
      <c r="R568" s="45"/>
      <c r="S568" s="45"/>
      <c r="T568" s="45"/>
      <c r="U568" s="45"/>
      <c r="V568" s="45"/>
      <c r="W568" s="45"/>
      <c r="X568" s="28"/>
      <c r="Y568" s="28"/>
      <c r="Z568" s="28"/>
      <c r="AA568" s="28"/>
      <c r="AB568" s="28"/>
      <c r="AC568" s="28"/>
    </row>
    <row r="569" spans="1:29" ht="13">
      <c r="A569" s="28"/>
      <c r="B569" s="45"/>
      <c r="C569" s="45"/>
      <c r="D569" s="45"/>
      <c r="E569" s="45"/>
      <c r="F569" s="45"/>
      <c r="G569" s="45"/>
      <c r="H569" s="45"/>
      <c r="I569" s="45"/>
      <c r="J569" s="45"/>
      <c r="K569" s="45"/>
      <c r="L569" s="45"/>
      <c r="M569" s="45"/>
      <c r="N569" s="45"/>
      <c r="O569" s="47"/>
      <c r="P569" s="45"/>
      <c r="Q569" s="45"/>
      <c r="R569" s="45"/>
      <c r="S569" s="45"/>
      <c r="T569" s="45"/>
      <c r="U569" s="45"/>
      <c r="V569" s="45"/>
      <c r="W569" s="45"/>
      <c r="X569" s="28"/>
      <c r="Y569" s="28"/>
      <c r="Z569" s="28"/>
      <c r="AA569" s="28"/>
      <c r="AB569" s="28"/>
      <c r="AC569" s="28"/>
    </row>
    <row r="570" spans="1:29" ht="13">
      <c r="A570" s="28"/>
      <c r="B570" s="45"/>
      <c r="C570" s="45"/>
      <c r="D570" s="45"/>
      <c r="E570" s="45"/>
      <c r="F570" s="45"/>
      <c r="G570" s="45"/>
      <c r="H570" s="45"/>
      <c r="I570" s="45"/>
      <c r="J570" s="45"/>
      <c r="K570" s="45"/>
      <c r="L570" s="45"/>
      <c r="M570" s="45"/>
      <c r="N570" s="45"/>
      <c r="O570" s="47"/>
      <c r="P570" s="45"/>
      <c r="Q570" s="45"/>
      <c r="R570" s="45"/>
      <c r="S570" s="45"/>
      <c r="T570" s="45"/>
      <c r="U570" s="45"/>
      <c r="V570" s="45"/>
      <c r="W570" s="45"/>
      <c r="X570" s="28"/>
      <c r="Y570" s="28"/>
      <c r="Z570" s="28"/>
      <c r="AA570" s="28"/>
      <c r="AB570" s="28"/>
      <c r="AC570" s="28"/>
    </row>
    <row r="571" spans="1:29" ht="13">
      <c r="A571" s="28"/>
      <c r="B571" s="45"/>
      <c r="C571" s="45"/>
      <c r="D571" s="45"/>
      <c r="E571" s="45"/>
      <c r="F571" s="45"/>
      <c r="G571" s="45"/>
      <c r="H571" s="45"/>
      <c r="I571" s="45"/>
      <c r="J571" s="45"/>
      <c r="K571" s="45"/>
      <c r="L571" s="45"/>
      <c r="M571" s="45"/>
      <c r="N571" s="45"/>
      <c r="O571" s="47"/>
      <c r="P571" s="45"/>
      <c r="Q571" s="45"/>
      <c r="R571" s="45"/>
      <c r="S571" s="45"/>
      <c r="T571" s="45"/>
      <c r="U571" s="45"/>
      <c r="V571" s="45"/>
      <c r="W571" s="45"/>
      <c r="X571" s="28"/>
      <c r="Y571" s="28"/>
      <c r="Z571" s="28"/>
      <c r="AA571" s="28"/>
      <c r="AB571" s="28"/>
      <c r="AC571" s="28"/>
    </row>
    <row r="572" spans="1:29" ht="13">
      <c r="A572" s="28"/>
      <c r="B572" s="45"/>
      <c r="C572" s="45"/>
      <c r="D572" s="45"/>
      <c r="E572" s="45"/>
      <c r="F572" s="45"/>
      <c r="G572" s="45"/>
      <c r="H572" s="45"/>
      <c r="I572" s="45"/>
      <c r="J572" s="45"/>
      <c r="K572" s="45"/>
      <c r="L572" s="45"/>
      <c r="M572" s="45"/>
      <c r="N572" s="45"/>
      <c r="O572" s="47"/>
      <c r="P572" s="45"/>
      <c r="Q572" s="45"/>
      <c r="R572" s="45"/>
      <c r="S572" s="45"/>
      <c r="T572" s="45"/>
      <c r="U572" s="45"/>
      <c r="V572" s="45"/>
      <c r="W572" s="45"/>
      <c r="X572" s="28"/>
      <c r="Y572" s="28"/>
      <c r="Z572" s="28"/>
      <c r="AA572" s="28"/>
      <c r="AB572" s="28"/>
      <c r="AC572" s="28"/>
    </row>
    <row r="573" spans="1:29" ht="13">
      <c r="A573" s="28"/>
      <c r="B573" s="45"/>
      <c r="C573" s="45"/>
      <c r="D573" s="45"/>
      <c r="E573" s="45"/>
      <c r="F573" s="45"/>
      <c r="G573" s="45"/>
      <c r="H573" s="45"/>
      <c r="I573" s="45"/>
      <c r="J573" s="45"/>
      <c r="K573" s="45"/>
      <c r="L573" s="45"/>
      <c r="M573" s="45"/>
      <c r="N573" s="45"/>
      <c r="O573" s="47"/>
      <c r="P573" s="45"/>
      <c r="Q573" s="45"/>
      <c r="R573" s="45"/>
      <c r="S573" s="45"/>
      <c r="T573" s="45"/>
      <c r="U573" s="45"/>
      <c r="V573" s="45"/>
      <c r="W573" s="45"/>
      <c r="X573" s="28"/>
      <c r="Y573" s="28"/>
      <c r="Z573" s="28"/>
      <c r="AA573" s="28"/>
      <c r="AB573" s="28"/>
      <c r="AC573" s="28"/>
    </row>
    <row r="574" spans="1:29" ht="13">
      <c r="A574" s="28"/>
      <c r="B574" s="45"/>
      <c r="C574" s="45"/>
      <c r="D574" s="45"/>
      <c r="E574" s="45"/>
      <c r="F574" s="45"/>
      <c r="G574" s="45"/>
      <c r="H574" s="45"/>
      <c r="I574" s="45"/>
      <c r="J574" s="45"/>
      <c r="K574" s="45"/>
      <c r="L574" s="45"/>
      <c r="M574" s="45"/>
      <c r="N574" s="45"/>
      <c r="O574" s="47"/>
      <c r="P574" s="45"/>
      <c r="Q574" s="45"/>
      <c r="R574" s="45"/>
      <c r="S574" s="45"/>
      <c r="T574" s="45"/>
      <c r="U574" s="45"/>
      <c r="V574" s="45"/>
      <c r="W574" s="45"/>
      <c r="X574" s="28"/>
      <c r="Y574" s="28"/>
      <c r="Z574" s="28"/>
      <c r="AA574" s="28"/>
      <c r="AB574" s="28"/>
      <c r="AC574" s="28"/>
    </row>
    <row r="575" spans="1:29" ht="13">
      <c r="A575" s="28"/>
      <c r="B575" s="45"/>
      <c r="C575" s="45"/>
      <c r="D575" s="45"/>
      <c r="E575" s="45"/>
      <c r="F575" s="45"/>
      <c r="G575" s="45"/>
      <c r="H575" s="45"/>
      <c r="I575" s="45"/>
      <c r="J575" s="45"/>
      <c r="K575" s="45"/>
      <c r="L575" s="45"/>
      <c r="M575" s="45"/>
      <c r="N575" s="45"/>
      <c r="O575" s="47"/>
      <c r="P575" s="45"/>
      <c r="Q575" s="45"/>
      <c r="R575" s="45"/>
      <c r="S575" s="45"/>
      <c r="T575" s="45"/>
      <c r="U575" s="45"/>
      <c r="V575" s="45"/>
      <c r="W575" s="45"/>
      <c r="X575" s="28"/>
      <c r="Y575" s="28"/>
      <c r="Z575" s="28"/>
      <c r="AA575" s="28"/>
      <c r="AB575" s="28"/>
      <c r="AC575" s="28"/>
    </row>
    <row r="576" spans="1:29" ht="13">
      <c r="A576" s="28"/>
      <c r="B576" s="45"/>
      <c r="C576" s="45"/>
      <c r="D576" s="45"/>
      <c r="E576" s="45"/>
      <c r="F576" s="45"/>
      <c r="G576" s="45"/>
      <c r="H576" s="45"/>
      <c r="I576" s="45"/>
      <c r="J576" s="45"/>
      <c r="K576" s="45"/>
      <c r="L576" s="45"/>
      <c r="M576" s="45"/>
      <c r="N576" s="45"/>
      <c r="O576" s="47"/>
      <c r="P576" s="45"/>
      <c r="Q576" s="45"/>
      <c r="R576" s="45"/>
      <c r="S576" s="45"/>
      <c r="T576" s="45"/>
      <c r="U576" s="45"/>
      <c r="V576" s="45"/>
      <c r="W576" s="45"/>
      <c r="X576" s="28"/>
      <c r="Y576" s="28"/>
      <c r="Z576" s="28"/>
      <c r="AA576" s="28"/>
      <c r="AB576" s="28"/>
      <c r="AC576" s="28"/>
    </row>
    <row r="577" spans="1:29" ht="13">
      <c r="A577" s="28"/>
      <c r="B577" s="45"/>
      <c r="C577" s="45"/>
      <c r="D577" s="45"/>
      <c r="E577" s="45"/>
      <c r="F577" s="45"/>
      <c r="G577" s="45"/>
      <c r="H577" s="45"/>
      <c r="I577" s="45"/>
      <c r="J577" s="45"/>
      <c r="K577" s="45"/>
      <c r="L577" s="45"/>
      <c r="M577" s="45"/>
      <c r="N577" s="45"/>
      <c r="O577" s="47"/>
      <c r="P577" s="45"/>
      <c r="Q577" s="45"/>
      <c r="R577" s="45"/>
      <c r="S577" s="45"/>
      <c r="T577" s="45"/>
      <c r="U577" s="45"/>
      <c r="V577" s="45"/>
      <c r="W577" s="45"/>
      <c r="X577" s="28"/>
      <c r="Y577" s="28"/>
      <c r="Z577" s="28"/>
      <c r="AA577" s="28"/>
      <c r="AB577" s="28"/>
      <c r="AC577" s="28"/>
    </row>
    <row r="578" spans="1:29" ht="13">
      <c r="A578" s="28"/>
      <c r="B578" s="45"/>
      <c r="C578" s="45"/>
      <c r="D578" s="45"/>
      <c r="E578" s="45"/>
      <c r="F578" s="45"/>
      <c r="G578" s="45"/>
      <c r="H578" s="45"/>
      <c r="I578" s="45"/>
      <c r="J578" s="45"/>
      <c r="K578" s="45"/>
      <c r="L578" s="45"/>
      <c r="M578" s="45"/>
      <c r="N578" s="45"/>
      <c r="O578" s="47"/>
      <c r="P578" s="45"/>
      <c r="Q578" s="45"/>
      <c r="R578" s="45"/>
      <c r="S578" s="45"/>
      <c r="T578" s="45"/>
      <c r="U578" s="45"/>
      <c r="V578" s="45"/>
      <c r="W578" s="45"/>
      <c r="X578" s="28"/>
      <c r="Y578" s="28"/>
      <c r="Z578" s="28"/>
      <c r="AA578" s="28"/>
      <c r="AB578" s="28"/>
      <c r="AC578" s="28"/>
    </row>
    <row r="579" spans="1:29" ht="13">
      <c r="A579" s="28"/>
      <c r="B579" s="45"/>
      <c r="C579" s="45"/>
      <c r="D579" s="45"/>
      <c r="E579" s="45"/>
      <c r="F579" s="45"/>
      <c r="G579" s="45"/>
      <c r="H579" s="45"/>
      <c r="I579" s="45"/>
      <c r="J579" s="45"/>
      <c r="K579" s="45"/>
      <c r="L579" s="45"/>
      <c r="M579" s="45"/>
      <c r="N579" s="45"/>
      <c r="O579" s="47"/>
      <c r="P579" s="45"/>
      <c r="Q579" s="45"/>
      <c r="R579" s="45"/>
      <c r="S579" s="45"/>
      <c r="T579" s="45"/>
      <c r="U579" s="45"/>
      <c r="V579" s="45"/>
      <c r="W579" s="45"/>
      <c r="X579" s="28"/>
      <c r="Y579" s="28"/>
      <c r="Z579" s="28"/>
      <c r="AA579" s="28"/>
      <c r="AB579" s="28"/>
      <c r="AC579" s="28"/>
    </row>
    <row r="580" spans="1:29" ht="13">
      <c r="A580" s="28"/>
      <c r="B580" s="45"/>
      <c r="C580" s="45"/>
      <c r="D580" s="45"/>
      <c r="E580" s="45"/>
      <c r="F580" s="45"/>
      <c r="G580" s="45"/>
      <c r="H580" s="45"/>
      <c r="I580" s="45"/>
      <c r="J580" s="45"/>
      <c r="K580" s="45"/>
      <c r="L580" s="45"/>
      <c r="M580" s="45"/>
      <c r="N580" s="45"/>
      <c r="O580" s="47"/>
      <c r="P580" s="45"/>
      <c r="Q580" s="45"/>
      <c r="R580" s="45"/>
      <c r="S580" s="45"/>
      <c r="T580" s="45"/>
      <c r="U580" s="45"/>
      <c r="V580" s="45"/>
      <c r="W580" s="45"/>
      <c r="X580" s="28"/>
      <c r="Y580" s="28"/>
      <c r="Z580" s="28"/>
      <c r="AA580" s="28"/>
      <c r="AB580" s="28"/>
      <c r="AC580" s="28"/>
    </row>
    <row r="581" spans="1:29" ht="13">
      <c r="A581" s="28"/>
      <c r="B581" s="45"/>
      <c r="C581" s="45"/>
      <c r="D581" s="45"/>
      <c r="E581" s="45"/>
      <c r="F581" s="45"/>
      <c r="G581" s="45"/>
      <c r="H581" s="45"/>
      <c r="I581" s="45"/>
      <c r="J581" s="45"/>
      <c r="K581" s="45"/>
      <c r="L581" s="45"/>
      <c r="M581" s="45"/>
      <c r="N581" s="45"/>
      <c r="O581" s="47"/>
      <c r="P581" s="45"/>
      <c r="Q581" s="45"/>
      <c r="R581" s="45"/>
      <c r="S581" s="45"/>
      <c r="T581" s="45"/>
      <c r="U581" s="45"/>
      <c r="V581" s="45"/>
      <c r="W581" s="45"/>
      <c r="X581" s="28"/>
      <c r="Y581" s="28"/>
      <c r="Z581" s="28"/>
      <c r="AA581" s="28"/>
      <c r="AB581" s="28"/>
      <c r="AC581" s="28"/>
    </row>
    <row r="582" spans="1:29" ht="13">
      <c r="A582" s="28"/>
      <c r="B582" s="45"/>
      <c r="C582" s="45"/>
      <c r="D582" s="45"/>
      <c r="E582" s="45"/>
      <c r="F582" s="45"/>
      <c r="G582" s="45"/>
      <c r="H582" s="45"/>
      <c r="I582" s="45"/>
      <c r="J582" s="45"/>
      <c r="K582" s="45"/>
      <c r="L582" s="45"/>
      <c r="M582" s="45"/>
      <c r="N582" s="45"/>
      <c r="O582" s="47"/>
      <c r="P582" s="45"/>
      <c r="Q582" s="45"/>
      <c r="R582" s="45"/>
      <c r="S582" s="45"/>
      <c r="T582" s="45"/>
      <c r="U582" s="45"/>
      <c r="V582" s="45"/>
      <c r="W582" s="45"/>
      <c r="X582" s="28"/>
      <c r="Y582" s="28"/>
      <c r="Z582" s="28"/>
      <c r="AA582" s="28"/>
      <c r="AB582" s="28"/>
      <c r="AC582" s="28"/>
    </row>
    <row r="583" spans="1:29" ht="13">
      <c r="A583" s="28"/>
      <c r="B583" s="45"/>
      <c r="C583" s="45"/>
      <c r="D583" s="45"/>
      <c r="E583" s="45"/>
      <c r="F583" s="45"/>
      <c r="G583" s="45"/>
      <c r="H583" s="45"/>
      <c r="I583" s="45"/>
      <c r="J583" s="45"/>
      <c r="K583" s="45"/>
      <c r="L583" s="45"/>
      <c r="M583" s="45"/>
      <c r="N583" s="45"/>
      <c r="O583" s="47"/>
      <c r="P583" s="45"/>
      <c r="Q583" s="45"/>
      <c r="R583" s="45"/>
      <c r="S583" s="45"/>
      <c r="T583" s="45"/>
      <c r="U583" s="45"/>
      <c r="V583" s="45"/>
      <c r="W583" s="45"/>
      <c r="X583" s="28"/>
      <c r="Y583" s="28"/>
      <c r="Z583" s="28"/>
      <c r="AA583" s="28"/>
      <c r="AB583" s="28"/>
      <c r="AC583" s="28"/>
    </row>
    <row r="584" spans="1:29" ht="13">
      <c r="A584" s="28"/>
      <c r="B584" s="45"/>
      <c r="C584" s="45"/>
      <c r="D584" s="45"/>
      <c r="E584" s="45"/>
      <c r="F584" s="45"/>
      <c r="G584" s="45"/>
      <c r="H584" s="45"/>
      <c r="I584" s="45"/>
      <c r="J584" s="45"/>
      <c r="K584" s="45"/>
      <c r="L584" s="45"/>
      <c r="M584" s="45"/>
      <c r="N584" s="45"/>
      <c r="O584" s="47"/>
      <c r="P584" s="45"/>
      <c r="Q584" s="45"/>
      <c r="R584" s="45"/>
      <c r="S584" s="45"/>
      <c r="T584" s="45"/>
      <c r="U584" s="45"/>
      <c r="V584" s="45"/>
      <c r="W584" s="45"/>
      <c r="X584" s="28"/>
      <c r="Y584" s="28"/>
      <c r="Z584" s="28"/>
      <c r="AA584" s="28"/>
      <c r="AB584" s="28"/>
      <c r="AC584" s="28"/>
    </row>
    <row r="585" spans="1:29" ht="13">
      <c r="A585" s="28"/>
      <c r="B585" s="45"/>
      <c r="C585" s="45"/>
      <c r="D585" s="45"/>
      <c r="E585" s="45"/>
      <c r="F585" s="45"/>
      <c r="G585" s="45"/>
      <c r="H585" s="45"/>
      <c r="I585" s="45"/>
      <c r="J585" s="45"/>
      <c r="K585" s="45"/>
      <c r="L585" s="45"/>
      <c r="M585" s="45"/>
      <c r="N585" s="45"/>
      <c r="O585" s="47"/>
      <c r="P585" s="45"/>
      <c r="Q585" s="45"/>
      <c r="R585" s="45"/>
      <c r="S585" s="45"/>
      <c r="T585" s="45"/>
      <c r="U585" s="45"/>
      <c r="V585" s="45"/>
      <c r="W585" s="45"/>
      <c r="X585" s="28"/>
      <c r="Y585" s="28"/>
      <c r="Z585" s="28"/>
      <c r="AA585" s="28"/>
      <c r="AB585" s="28"/>
      <c r="AC585" s="28"/>
    </row>
    <row r="586" spans="1:29" ht="13">
      <c r="A586" s="28"/>
      <c r="B586" s="45"/>
      <c r="C586" s="45"/>
      <c r="D586" s="45"/>
      <c r="E586" s="45"/>
      <c r="F586" s="45"/>
      <c r="G586" s="45"/>
      <c r="H586" s="45"/>
      <c r="I586" s="45"/>
      <c r="J586" s="45"/>
      <c r="K586" s="45"/>
      <c r="L586" s="45"/>
      <c r="M586" s="45"/>
      <c r="N586" s="45"/>
      <c r="O586" s="47"/>
      <c r="P586" s="45"/>
      <c r="Q586" s="45"/>
      <c r="R586" s="45"/>
      <c r="S586" s="45"/>
      <c r="T586" s="45"/>
      <c r="U586" s="45"/>
      <c r="V586" s="45"/>
      <c r="W586" s="45"/>
      <c r="X586" s="28"/>
      <c r="Y586" s="28"/>
      <c r="Z586" s="28"/>
      <c r="AA586" s="28"/>
      <c r="AB586" s="28"/>
      <c r="AC586" s="28"/>
    </row>
    <row r="587" spans="1:29" ht="13">
      <c r="A587" s="28"/>
      <c r="B587" s="45"/>
      <c r="C587" s="45"/>
      <c r="D587" s="45"/>
      <c r="E587" s="45"/>
      <c r="F587" s="45"/>
      <c r="G587" s="45"/>
      <c r="H587" s="45"/>
      <c r="I587" s="45"/>
      <c r="J587" s="45"/>
      <c r="K587" s="45"/>
      <c r="L587" s="45"/>
      <c r="M587" s="45"/>
      <c r="N587" s="45"/>
      <c r="O587" s="47"/>
      <c r="P587" s="45"/>
      <c r="Q587" s="45"/>
      <c r="R587" s="45"/>
      <c r="S587" s="45"/>
      <c r="T587" s="45"/>
      <c r="U587" s="45"/>
      <c r="V587" s="45"/>
      <c r="W587" s="45"/>
      <c r="X587" s="28"/>
      <c r="Y587" s="28"/>
      <c r="Z587" s="28"/>
      <c r="AA587" s="28"/>
      <c r="AB587" s="28"/>
      <c r="AC587" s="28"/>
    </row>
    <row r="588" spans="1:29" ht="13">
      <c r="A588" s="28"/>
      <c r="B588" s="45"/>
      <c r="C588" s="45"/>
      <c r="D588" s="45"/>
      <c r="E588" s="45"/>
      <c r="F588" s="45"/>
      <c r="G588" s="45"/>
      <c r="H588" s="45"/>
      <c r="I588" s="45"/>
      <c r="J588" s="45"/>
      <c r="K588" s="45"/>
      <c r="L588" s="45"/>
      <c r="M588" s="45"/>
      <c r="N588" s="45"/>
      <c r="O588" s="47"/>
      <c r="P588" s="45"/>
      <c r="Q588" s="45"/>
      <c r="R588" s="45"/>
      <c r="S588" s="45"/>
      <c r="T588" s="45"/>
      <c r="U588" s="45"/>
      <c r="V588" s="45"/>
      <c r="W588" s="45"/>
      <c r="X588" s="28"/>
      <c r="Y588" s="28"/>
      <c r="Z588" s="28"/>
      <c r="AA588" s="28"/>
      <c r="AB588" s="28"/>
      <c r="AC588" s="28"/>
    </row>
    <row r="589" spans="1:29" ht="13">
      <c r="A589" s="28"/>
      <c r="B589" s="45"/>
      <c r="C589" s="45"/>
      <c r="D589" s="45"/>
      <c r="E589" s="45"/>
      <c r="F589" s="45"/>
      <c r="G589" s="45"/>
      <c r="H589" s="45"/>
      <c r="I589" s="45"/>
      <c r="J589" s="45"/>
      <c r="K589" s="45"/>
      <c r="L589" s="45"/>
      <c r="M589" s="45"/>
      <c r="N589" s="45"/>
      <c r="O589" s="47"/>
      <c r="P589" s="45"/>
      <c r="Q589" s="45"/>
      <c r="R589" s="45"/>
      <c r="S589" s="45"/>
      <c r="T589" s="45"/>
      <c r="U589" s="45"/>
      <c r="V589" s="45"/>
      <c r="W589" s="45"/>
      <c r="X589" s="28"/>
      <c r="Y589" s="28"/>
      <c r="Z589" s="28"/>
      <c r="AA589" s="28"/>
      <c r="AB589" s="28"/>
      <c r="AC589" s="28"/>
    </row>
    <row r="590" spans="1:29" ht="13">
      <c r="A590" s="28"/>
      <c r="B590" s="45"/>
      <c r="C590" s="45"/>
      <c r="D590" s="45"/>
      <c r="E590" s="45"/>
      <c r="F590" s="45"/>
      <c r="G590" s="45"/>
      <c r="H590" s="45"/>
      <c r="I590" s="45"/>
      <c r="J590" s="45"/>
      <c r="K590" s="45"/>
      <c r="L590" s="45"/>
      <c r="M590" s="45"/>
      <c r="N590" s="45"/>
      <c r="O590" s="47"/>
      <c r="P590" s="45"/>
      <c r="Q590" s="45"/>
      <c r="R590" s="45"/>
      <c r="S590" s="45"/>
      <c r="T590" s="45"/>
      <c r="U590" s="45"/>
      <c r="V590" s="45"/>
      <c r="W590" s="45"/>
      <c r="X590" s="28"/>
      <c r="Y590" s="28"/>
      <c r="Z590" s="28"/>
      <c r="AA590" s="28"/>
      <c r="AB590" s="28"/>
      <c r="AC590" s="28"/>
    </row>
    <row r="591" spans="1:29" ht="13">
      <c r="A591" s="28"/>
      <c r="B591" s="45"/>
      <c r="C591" s="45"/>
      <c r="D591" s="45"/>
      <c r="E591" s="45"/>
      <c r="F591" s="45"/>
      <c r="G591" s="45"/>
      <c r="H591" s="45"/>
      <c r="I591" s="45"/>
      <c r="J591" s="45"/>
      <c r="K591" s="45"/>
      <c r="L591" s="45"/>
      <c r="M591" s="45"/>
      <c r="N591" s="45"/>
      <c r="O591" s="47"/>
      <c r="P591" s="45"/>
      <c r="Q591" s="45"/>
      <c r="R591" s="45"/>
      <c r="S591" s="45"/>
      <c r="T591" s="45"/>
      <c r="U591" s="45"/>
      <c r="V591" s="45"/>
      <c r="W591" s="45"/>
      <c r="X591" s="28"/>
      <c r="Y591" s="28"/>
      <c r="Z591" s="28"/>
      <c r="AA591" s="28"/>
      <c r="AB591" s="28"/>
      <c r="AC591" s="28"/>
    </row>
    <row r="592" spans="1:29" ht="13">
      <c r="A592" s="28"/>
      <c r="B592" s="45"/>
      <c r="C592" s="45"/>
      <c r="D592" s="45"/>
      <c r="E592" s="45"/>
      <c r="F592" s="45"/>
      <c r="G592" s="45"/>
      <c r="H592" s="45"/>
      <c r="I592" s="45"/>
      <c r="J592" s="45"/>
      <c r="K592" s="45"/>
      <c r="L592" s="45"/>
      <c r="M592" s="45"/>
      <c r="N592" s="45"/>
      <c r="O592" s="47"/>
      <c r="P592" s="45"/>
      <c r="Q592" s="45"/>
      <c r="R592" s="45"/>
      <c r="S592" s="45"/>
      <c r="T592" s="45"/>
      <c r="U592" s="45"/>
      <c r="V592" s="45"/>
      <c r="W592" s="45"/>
      <c r="X592" s="28"/>
      <c r="Y592" s="28"/>
      <c r="Z592" s="28"/>
      <c r="AA592" s="28"/>
      <c r="AB592" s="28"/>
      <c r="AC592" s="28"/>
    </row>
    <row r="593" spans="1:29" ht="13">
      <c r="A593" s="28"/>
      <c r="B593" s="45"/>
      <c r="C593" s="45"/>
      <c r="D593" s="45"/>
      <c r="E593" s="45"/>
      <c r="F593" s="45"/>
      <c r="G593" s="45"/>
      <c r="H593" s="45"/>
      <c r="I593" s="45"/>
      <c r="J593" s="45"/>
      <c r="K593" s="45"/>
      <c r="L593" s="45"/>
      <c r="M593" s="45"/>
      <c r="N593" s="45"/>
      <c r="O593" s="47"/>
      <c r="P593" s="45"/>
      <c r="Q593" s="45"/>
      <c r="R593" s="45"/>
      <c r="S593" s="45"/>
      <c r="T593" s="45"/>
      <c r="U593" s="45"/>
      <c r="V593" s="45"/>
      <c r="W593" s="45"/>
      <c r="X593" s="28"/>
      <c r="Y593" s="28"/>
      <c r="Z593" s="28"/>
      <c r="AA593" s="28"/>
      <c r="AB593" s="28"/>
      <c r="AC593" s="28"/>
    </row>
    <row r="594" spans="1:29" ht="13">
      <c r="A594" s="28"/>
      <c r="B594" s="45"/>
      <c r="C594" s="45"/>
      <c r="D594" s="45"/>
      <c r="E594" s="45"/>
      <c r="F594" s="45"/>
      <c r="G594" s="45"/>
      <c r="H594" s="45"/>
      <c r="I594" s="45"/>
      <c r="J594" s="45"/>
      <c r="K594" s="45"/>
      <c r="L594" s="45"/>
      <c r="M594" s="45"/>
      <c r="N594" s="45"/>
      <c r="O594" s="47"/>
      <c r="P594" s="45"/>
      <c r="Q594" s="45"/>
      <c r="R594" s="45"/>
      <c r="S594" s="45"/>
      <c r="T594" s="45"/>
      <c r="U594" s="45"/>
      <c r="V594" s="45"/>
      <c r="W594" s="45"/>
      <c r="X594" s="28"/>
      <c r="Y594" s="28"/>
      <c r="Z594" s="28"/>
      <c r="AA594" s="28"/>
      <c r="AB594" s="28"/>
      <c r="AC594" s="28"/>
    </row>
    <row r="595" spans="1:29" ht="13">
      <c r="A595" s="28"/>
      <c r="B595" s="45"/>
      <c r="C595" s="45"/>
      <c r="D595" s="45"/>
      <c r="E595" s="45"/>
      <c r="F595" s="45"/>
      <c r="G595" s="45"/>
      <c r="H595" s="45"/>
      <c r="I595" s="45"/>
      <c r="J595" s="45"/>
      <c r="K595" s="45"/>
      <c r="L595" s="45"/>
      <c r="M595" s="45"/>
      <c r="N595" s="45"/>
      <c r="O595" s="47"/>
      <c r="P595" s="45"/>
      <c r="Q595" s="45"/>
      <c r="R595" s="45"/>
      <c r="S595" s="45"/>
      <c r="T595" s="45"/>
      <c r="U595" s="45"/>
      <c r="V595" s="45"/>
      <c r="W595" s="45"/>
      <c r="X595" s="28"/>
      <c r="Y595" s="28"/>
      <c r="Z595" s="28"/>
      <c r="AA595" s="28"/>
      <c r="AB595" s="28"/>
      <c r="AC595" s="28"/>
    </row>
    <row r="596" spans="1:29" ht="13">
      <c r="A596" s="28"/>
      <c r="B596" s="45"/>
      <c r="C596" s="45"/>
      <c r="D596" s="45"/>
      <c r="E596" s="45"/>
      <c r="F596" s="45"/>
      <c r="G596" s="45"/>
      <c r="H596" s="45"/>
      <c r="I596" s="45"/>
      <c r="J596" s="45"/>
      <c r="K596" s="45"/>
      <c r="L596" s="45"/>
      <c r="M596" s="45"/>
      <c r="N596" s="45"/>
      <c r="O596" s="47"/>
      <c r="P596" s="45"/>
      <c r="Q596" s="45"/>
      <c r="R596" s="45"/>
      <c r="S596" s="45"/>
      <c r="T596" s="45"/>
      <c r="U596" s="45"/>
      <c r="V596" s="45"/>
      <c r="W596" s="45"/>
      <c r="X596" s="28"/>
      <c r="Y596" s="28"/>
      <c r="Z596" s="28"/>
      <c r="AA596" s="28"/>
      <c r="AB596" s="28"/>
      <c r="AC596" s="28"/>
    </row>
    <row r="597" spans="1:29" ht="13">
      <c r="A597" s="28"/>
      <c r="B597" s="45"/>
      <c r="C597" s="45"/>
      <c r="D597" s="45"/>
      <c r="E597" s="45"/>
      <c r="F597" s="45"/>
      <c r="G597" s="45"/>
      <c r="H597" s="45"/>
      <c r="I597" s="45"/>
      <c r="J597" s="45"/>
      <c r="K597" s="45"/>
      <c r="L597" s="45"/>
      <c r="M597" s="45"/>
      <c r="N597" s="45"/>
      <c r="O597" s="47"/>
      <c r="P597" s="45"/>
      <c r="Q597" s="45"/>
      <c r="R597" s="45"/>
      <c r="S597" s="45"/>
      <c r="T597" s="45"/>
      <c r="U597" s="45"/>
      <c r="V597" s="45"/>
      <c r="W597" s="45"/>
      <c r="X597" s="28"/>
      <c r="Y597" s="28"/>
      <c r="Z597" s="28"/>
      <c r="AA597" s="28"/>
      <c r="AB597" s="28"/>
      <c r="AC597" s="28"/>
    </row>
    <row r="598" spans="1:29" ht="13">
      <c r="A598" s="28"/>
      <c r="B598" s="45"/>
      <c r="C598" s="45"/>
      <c r="D598" s="45"/>
      <c r="E598" s="45"/>
      <c r="F598" s="45"/>
      <c r="G598" s="45"/>
      <c r="H598" s="45"/>
      <c r="I598" s="45"/>
      <c r="J598" s="45"/>
      <c r="K598" s="45"/>
      <c r="L598" s="45"/>
      <c r="M598" s="45"/>
      <c r="N598" s="45"/>
      <c r="O598" s="47"/>
      <c r="P598" s="45"/>
      <c r="Q598" s="45"/>
      <c r="R598" s="45"/>
      <c r="S598" s="45"/>
      <c r="T598" s="45"/>
      <c r="U598" s="45"/>
      <c r="V598" s="45"/>
      <c r="W598" s="45"/>
      <c r="X598" s="28"/>
      <c r="Y598" s="28"/>
      <c r="Z598" s="28"/>
      <c r="AA598" s="28"/>
      <c r="AB598" s="28"/>
      <c r="AC598" s="28"/>
    </row>
    <row r="599" spans="1:29" ht="13">
      <c r="A599" s="28"/>
      <c r="B599" s="45"/>
      <c r="C599" s="45"/>
      <c r="D599" s="45"/>
      <c r="E599" s="45"/>
      <c r="F599" s="45"/>
      <c r="G599" s="45"/>
      <c r="H599" s="45"/>
      <c r="I599" s="45"/>
      <c r="J599" s="45"/>
      <c r="K599" s="45"/>
      <c r="L599" s="45"/>
      <c r="M599" s="45"/>
      <c r="N599" s="45"/>
      <c r="O599" s="47"/>
      <c r="P599" s="45"/>
      <c r="Q599" s="45"/>
      <c r="R599" s="45"/>
      <c r="S599" s="45"/>
      <c r="T599" s="45"/>
      <c r="U599" s="45"/>
      <c r="V599" s="45"/>
      <c r="W599" s="45"/>
      <c r="X599" s="28"/>
      <c r="Y599" s="28"/>
      <c r="Z599" s="28"/>
      <c r="AA599" s="28"/>
      <c r="AB599" s="28"/>
      <c r="AC599" s="28"/>
    </row>
    <row r="600" spans="1:29" ht="13">
      <c r="A600" s="28"/>
      <c r="B600" s="45"/>
      <c r="C600" s="45"/>
      <c r="D600" s="45"/>
      <c r="E600" s="45"/>
      <c r="F600" s="45"/>
      <c r="G600" s="45"/>
      <c r="H600" s="45"/>
      <c r="I600" s="45"/>
      <c r="J600" s="45"/>
      <c r="K600" s="45"/>
      <c r="L600" s="45"/>
      <c r="M600" s="45"/>
      <c r="N600" s="45"/>
      <c r="O600" s="47"/>
      <c r="P600" s="45"/>
      <c r="Q600" s="45"/>
      <c r="R600" s="45"/>
      <c r="S600" s="45"/>
      <c r="T600" s="45"/>
      <c r="U600" s="45"/>
      <c r="V600" s="45"/>
      <c r="W600" s="45"/>
      <c r="X600" s="28"/>
      <c r="Y600" s="28"/>
      <c r="Z600" s="28"/>
      <c r="AA600" s="28"/>
      <c r="AB600" s="28"/>
      <c r="AC600" s="28"/>
    </row>
    <row r="601" spans="1:29" ht="13">
      <c r="A601" s="28"/>
      <c r="B601" s="45"/>
      <c r="C601" s="45"/>
      <c r="D601" s="45"/>
      <c r="E601" s="45"/>
      <c r="F601" s="45"/>
      <c r="G601" s="45"/>
      <c r="H601" s="45"/>
      <c r="I601" s="45"/>
      <c r="J601" s="45"/>
      <c r="K601" s="45"/>
      <c r="L601" s="45"/>
      <c r="M601" s="45"/>
      <c r="N601" s="45"/>
      <c r="O601" s="47"/>
      <c r="P601" s="45"/>
      <c r="Q601" s="45"/>
      <c r="R601" s="45"/>
      <c r="S601" s="45"/>
      <c r="T601" s="45"/>
      <c r="U601" s="45"/>
      <c r="V601" s="45"/>
      <c r="W601" s="45"/>
      <c r="X601" s="28"/>
      <c r="Y601" s="28"/>
      <c r="Z601" s="28"/>
      <c r="AA601" s="28"/>
      <c r="AB601" s="28"/>
      <c r="AC601" s="28"/>
    </row>
    <row r="602" spans="1:29" ht="13">
      <c r="A602" s="28"/>
      <c r="B602" s="45"/>
      <c r="C602" s="45"/>
      <c r="D602" s="45"/>
      <c r="E602" s="45"/>
      <c r="F602" s="45"/>
      <c r="G602" s="45"/>
      <c r="H602" s="45"/>
      <c r="I602" s="45"/>
      <c r="J602" s="45"/>
      <c r="K602" s="45"/>
      <c r="L602" s="45"/>
      <c r="M602" s="45"/>
      <c r="N602" s="45"/>
      <c r="O602" s="47"/>
      <c r="P602" s="45"/>
      <c r="Q602" s="45"/>
      <c r="R602" s="45"/>
      <c r="S602" s="45"/>
      <c r="T602" s="45"/>
      <c r="U602" s="45"/>
      <c r="V602" s="45"/>
      <c r="W602" s="45"/>
      <c r="X602" s="28"/>
      <c r="Y602" s="28"/>
      <c r="Z602" s="28"/>
      <c r="AA602" s="28"/>
      <c r="AB602" s="28"/>
      <c r="AC602" s="28"/>
    </row>
    <row r="603" spans="1:29" ht="13">
      <c r="A603" s="28"/>
      <c r="B603" s="45"/>
      <c r="C603" s="45"/>
      <c r="D603" s="45"/>
      <c r="E603" s="45"/>
      <c r="F603" s="45"/>
      <c r="G603" s="45"/>
      <c r="H603" s="45"/>
      <c r="I603" s="45"/>
      <c r="J603" s="45"/>
      <c r="K603" s="45"/>
      <c r="L603" s="45"/>
      <c r="M603" s="45"/>
      <c r="N603" s="45"/>
      <c r="O603" s="47"/>
      <c r="P603" s="45"/>
      <c r="Q603" s="45"/>
      <c r="R603" s="45"/>
      <c r="S603" s="45"/>
      <c r="T603" s="45"/>
      <c r="U603" s="45"/>
      <c r="V603" s="45"/>
      <c r="W603" s="45"/>
      <c r="X603" s="28"/>
      <c r="Y603" s="28"/>
      <c r="Z603" s="28"/>
      <c r="AA603" s="28"/>
      <c r="AB603" s="28"/>
      <c r="AC603" s="28"/>
    </row>
    <row r="604" spans="1:29" ht="13">
      <c r="A604" s="28"/>
      <c r="B604" s="45"/>
      <c r="C604" s="45"/>
      <c r="D604" s="45"/>
      <c r="E604" s="45"/>
      <c r="F604" s="45"/>
      <c r="G604" s="45"/>
      <c r="H604" s="45"/>
      <c r="I604" s="45"/>
      <c r="J604" s="45"/>
      <c r="K604" s="45"/>
      <c r="L604" s="45"/>
      <c r="M604" s="45"/>
      <c r="N604" s="45"/>
      <c r="O604" s="47"/>
      <c r="P604" s="45"/>
      <c r="Q604" s="45"/>
      <c r="R604" s="45"/>
      <c r="S604" s="45"/>
      <c r="T604" s="45"/>
      <c r="U604" s="45"/>
      <c r="V604" s="45"/>
      <c r="W604" s="45"/>
      <c r="X604" s="28"/>
      <c r="Y604" s="28"/>
      <c r="Z604" s="28"/>
      <c r="AA604" s="28"/>
      <c r="AB604" s="28"/>
      <c r="AC604" s="28"/>
    </row>
    <row r="605" spans="1:29" ht="13">
      <c r="A605" s="28"/>
      <c r="B605" s="45"/>
      <c r="C605" s="45"/>
      <c r="D605" s="45"/>
      <c r="E605" s="45"/>
      <c r="F605" s="45"/>
      <c r="G605" s="45"/>
      <c r="H605" s="45"/>
      <c r="I605" s="45"/>
      <c r="J605" s="45"/>
      <c r="K605" s="45"/>
      <c r="L605" s="45"/>
      <c r="M605" s="45"/>
      <c r="N605" s="45"/>
      <c r="O605" s="47"/>
      <c r="P605" s="45"/>
      <c r="Q605" s="45"/>
      <c r="R605" s="45"/>
      <c r="S605" s="45"/>
      <c r="T605" s="45"/>
      <c r="U605" s="45"/>
      <c r="V605" s="45"/>
      <c r="W605" s="45"/>
      <c r="X605" s="28"/>
      <c r="Y605" s="28"/>
      <c r="Z605" s="28"/>
      <c r="AA605" s="28"/>
      <c r="AB605" s="28"/>
      <c r="AC605" s="28"/>
    </row>
    <row r="606" spans="1:29" ht="13">
      <c r="A606" s="28"/>
      <c r="B606" s="45"/>
      <c r="C606" s="45"/>
      <c r="D606" s="45"/>
      <c r="E606" s="45"/>
      <c r="F606" s="45"/>
      <c r="G606" s="45"/>
      <c r="H606" s="45"/>
      <c r="I606" s="45"/>
      <c r="J606" s="45"/>
      <c r="K606" s="45"/>
      <c r="L606" s="45"/>
      <c r="M606" s="45"/>
      <c r="N606" s="45"/>
      <c r="O606" s="47"/>
      <c r="P606" s="45"/>
      <c r="Q606" s="45"/>
      <c r="R606" s="45"/>
      <c r="S606" s="45"/>
      <c r="T606" s="45"/>
      <c r="U606" s="45"/>
      <c r="V606" s="45"/>
      <c r="W606" s="45"/>
      <c r="X606" s="28"/>
      <c r="Y606" s="28"/>
      <c r="Z606" s="28"/>
      <c r="AA606" s="28"/>
      <c r="AB606" s="28"/>
      <c r="AC606" s="28"/>
    </row>
    <row r="607" spans="1:29" ht="13">
      <c r="A607" s="28"/>
      <c r="B607" s="45"/>
      <c r="C607" s="45"/>
      <c r="D607" s="45"/>
      <c r="E607" s="45"/>
      <c r="F607" s="45"/>
      <c r="G607" s="45"/>
      <c r="H607" s="45"/>
      <c r="I607" s="45"/>
      <c r="J607" s="45"/>
      <c r="K607" s="45"/>
      <c r="L607" s="45"/>
      <c r="M607" s="45"/>
      <c r="N607" s="45"/>
      <c r="O607" s="47"/>
      <c r="P607" s="45"/>
      <c r="Q607" s="45"/>
      <c r="R607" s="45"/>
      <c r="S607" s="45"/>
      <c r="T607" s="45"/>
      <c r="U607" s="45"/>
      <c r="V607" s="45"/>
      <c r="W607" s="45"/>
      <c r="X607" s="28"/>
      <c r="Y607" s="28"/>
      <c r="Z607" s="28"/>
      <c r="AA607" s="28"/>
      <c r="AB607" s="28"/>
      <c r="AC607" s="28"/>
    </row>
    <row r="608" spans="1:29" ht="13">
      <c r="A608" s="28"/>
      <c r="B608" s="45"/>
      <c r="C608" s="45"/>
      <c r="D608" s="45"/>
      <c r="E608" s="45"/>
      <c r="F608" s="45"/>
      <c r="G608" s="45"/>
      <c r="H608" s="45"/>
      <c r="I608" s="45"/>
      <c r="J608" s="45"/>
      <c r="K608" s="45"/>
      <c r="L608" s="45"/>
      <c r="M608" s="45"/>
      <c r="N608" s="45"/>
      <c r="O608" s="47"/>
      <c r="P608" s="45"/>
      <c r="Q608" s="45"/>
      <c r="R608" s="45"/>
      <c r="S608" s="45"/>
      <c r="T608" s="45"/>
      <c r="U608" s="45"/>
      <c r="V608" s="45"/>
      <c r="W608" s="45"/>
      <c r="X608" s="28"/>
      <c r="Y608" s="28"/>
      <c r="Z608" s="28"/>
      <c r="AA608" s="28"/>
      <c r="AB608" s="28"/>
      <c r="AC608" s="28"/>
    </row>
    <row r="609" spans="1:29" ht="13">
      <c r="A609" s="28"/>
      <c r="B609" s="45"/>
      <c r="C609" s="45"/>
      <c r="D609" s="45"/>
      <c r="E609" s="45"/>
      <c r="F609" s="45"/>
      <c r="G609" s="45"/>
      <c r="H609" s="45"/>
      <c r="I609" s="45"/>
      <c r="J609" s="45"/>
      <c r="K609" s="45"/>
      <c r="L609" s="45"/>
      <c r="M609" s="45"/>
      <c r="N609" s="45"/>
      <c r="O609" s="47"/>
      <c r="P609" s="45"/>
      <c r="Q609" s="45"/>
      <c r="R609" s="45"/>
      <c r="S609" s="45"/>
      <c r="T609" s="45"/>
      <c r="U609" s="45"/>
      <c r="V609" s="45"/>
      <c r="W609" s="45"/>
      <c r="X609" s="28"/>
      <c r="Y609" s="28"/>
      <c r="Z609" s="28"/>
      <c r="AA609" s="28"/>
      <c r="AB609" s="28"/>
      <c r="AC609" s="28"/>
    </row>
    <row r="610" spans="1:29" ht="13">
      <c r="A610" s="28"/>
      <c r="B610" s="45"/>
      <c r="C610" s="45"/>
      <c r="D610" s="45"/>
      <c r="E610" s="45"/>
      <c r="F610" s="45"/>
      <c r="G610" s="45"/>
      <c r="H610" s="45"/>
      <c r="I610" s="45"/>
      <c r="J610" s="45"/>
      <c r="K610" s="45"/>
      <c r="L610" s="45"/>
      <c r="M610" s="45"/>
      <c r="N610" s="45"/>
      <c r="O610" s="47"/>
      <c r="P610" s="45"/>
      <c r="Q610" s="45"/>
      <c r="R610" s="45"/>
      <c r="S610" s="45"/>
      <c r="T610" s="45"/>
      <c r="U610" s="45"/>
      <c r="V610" s="45"/>
      <c r="W610" s="45"/>
      <c r="X610" s="28"/>
      <c r="Y610" s="28"/>
      <c r="Z610" s="28"/>
      <c r="AA610" s="28"/>
      <c r="AB610" s="28"/>
      <c r="AC610" s="28"/>
    </row>
    <row r="611" spans="1:29" ht="13">
      <c r="A611" s="28"/>
      <c r="B611" s="45"/>
      <c r="C611" s="45"/>
      <c r="D611" s="45"/>
      <c r="E611" s="45"/>
      <c r="F611" s="45"/>
      <c r="G611" s="45"/>
      <c r="H611" s="45"/>
      <c r="I611" s="45"/>
      <c r="J611" s="45"/>
      <c r="K611" s="45"/>
      <c r="L611" s="45"/>
      <c r="M611" s="45"/>
      <c r="N611" s="45"/>
      <c r="O611" s="47"/>
      <c r="P611" s="45"/>
      <c r="Q611" s="45"/>
      <c r="R611" s="45"/>
      <c r="S611" s="45"/>
      <c r="T611" s="45"/>
      <c r="U611" s="45"/>
      <c r="V611" s="45"/>
      <c r="W611" s="45"/>
      <c r="X611" s="28"/>
      <c r="Y611" s="28"/>
      <c r="Z611" s="28"/>
      <c r="AA611" s="28"/>
      <c r="AB611" s="28"/>
      <c r="AC611" s="28"/>
    </row>
    <row r="612" spans="1:29" ht="13">
      <c r="A612" s="28"/>
      <c r="B612" s="45"/>
      <c r="C612" s="45"/>
      <c r="D612" s="45"/>
      <c r="E612" s="45"/>
      <c r="F612" s="45"/>
      <c r="G612" s="45"/>
      <c r="H612" s="45"/>
      <c r="I612" s="45"/>
      <c r="J612" s="45"/>
      <c r="K612" s="45"/>
      <c r="L612" s="45"/>
      <c r="M612" s="45"/>
      <c r="N612" s="45"/>
      <c r="O612" s="47"/>
      <c r="P612" s="45"/>
      <c r="Q612" s="45"/>
      <c r="R612" s="45"/>
      <c r="S612" s="45"/>
      <c r="T612" s="45"/>
      <c r="U612" s="45"/>
      <c r="V612" s="45"/>
      <c r="W612" s="45"/>
      <c r="X612" s="28"/>
      <c r="Y612" s="28"/>
      <c r="Z612" s="28"/>
      <c r="AA612" s="28"/>
      <c r="AB612" s="28"/>
      <c r="AC612" s="28"/>
    </row>
    <row r="613" spans="1:29" ht="13">
      <c r="A613" s="28"/>
      <c r="B613" s="45"/>
      <c r="C613" s="45"/>
      <c r="D613" s="45"/>
      <c r="E613" s="45"/>
      <c r="F613" s="45"/>
      <c r="G613" s="45"/>
      <c r="H613" s="45"/>
      <c r="I613" s="45"/>
      <c r="J613" s="45"/>
      <c r="K613" s="45"/>
      <c r="L613" s="45"/>
      <c r="M613" s="45"/>
      <c r="N613" s="45"/>
      <c r="O613" s="47"/>
      <c r="P613" s="45"/>
      <c r="Q613" s="45"/>
      <c r="R613" s="45"/>
      <c r="S613" s="45"/>
      <c r="T613" s="45"/>
      <c r="U613" s="45"/>
      <c r="V613" s="45"/>
      <c r="W613" s="45"/>
      <c r="X613" s="28"/>
      <c r="Y613" s="28"/>
      <c r="Z613" s="28"/>
      <c r="AA613" s="28"/>
      <c r="AB613" s="28"/>
      <c r="AC613" s="28"/>
    </row>
    <row r="614" spans="1:29" ht="13">
      <c r="A614" s="28"/>
      <c r="B614" s="45"/>
      <c r="C614" s="45"/>
      <c r="D614" s="45"/>
      <c r="E614" s="45"/>
      <c r="F614" s="45"/>
      <c r="G614" s="45"/>
      <c r="H614" s="45"/>
      <c r="I614" s="45"/>
      <c r="J614" s="45"/>
      <c r="K614" s="45"/>
      <c r="L614" s="45"/>
      <c r="M614" s="45"/>
      <c r="N614" s="45"/>
      <c r="O614" s="47"/>
      <c r="P614" s="45"/>
      <c r="Q614" s="45"/>
      <c r="R614" s="45"/>
      <c r="S614" s="45"/>
      <c r="T614" s="45"/>
      <c r="U614" s="45"/>
      <c r="V614" s="45"/>
      <c r="W614" s="45"/>
      <c r="X614" s="28"/>
      <c r="Y614" s="28"/>
      <c r="Z614" s="28"/>
      <c r="AA614" s="28"/>
      <c r="AB614" s="28"/>
      <c r="AC614" s="28"/>
    </row>
    <row r="615" spans="1:29" ht="13">
      <c r="A615" s="28"/>
      <c r="B615" s="45"/>
      <c r="C615" s="45"/>
      <c r="D615" s="45"/>
      <c r="E615" s="45"/>
      <c r="F615" s="45"/>
      <c r="G615" s="45"/>
      <c r="H615" s="45"/>
      <c r="I615" s="45"/>
      <c r="J615" s="45"/>
      <c r="K615" s="45"/>
      <c r="L615" s="45"/>
      <c r="M615" s="45"/>
      <c r="N615" s="45"/>
      <c r="O615" s="47"/>
      <c r="P615" s="45"/>
      <c r="Q615" s="45"/>
      <c r="R615" s="45"/>
      <c r="S615" s="45"/>
      <c r="T615" s="45"/>
      <c r="U615" s="45"/>
      <c r="V615" s="45"/>
      <c r="W615" s="45"/>
      <c r="X615" s="28"/>
      <c r="Y615" s="28"/>
      <c r="Z615" s="28"/>
      <c r="AA615" s="28"/>
      <c r="AB615" s="28"/>
      <c r="AC615" s="28"/>
    </row>
    <row r="616" spans="1:29" ht="13">
      <c r="A616" s="28"/>
      <c r="B616" s="45"/>
      <c r="C616" s="45"/>
      <c r="D616" s="45"/>
      <c r="E616" s="45"/>
      <c r="F616" s="45"/>
      <c r="G616" s="45"/>
      <c r="H616" s="45"/>
      <c r="I616" s="45"/>
      <c r="J616" s="45"/>
      <c r="K616" s="45"/>
      <c r="L616" s="45"/>
      <c r="M616" s="45"/>
      <c r="N616" s="45"/>
      <c r="O616" s="47"/>
      <c r="P616" s="45"/>
      <c r="Q616" s="45"/>
      <c r="R616" s="45"/>
      <c r="S616" s="45"/>
      <c r="T616" s="45"/>
      <c r="U616" s="45"/>
      <c r="V616" s="45"/>
      <c r="W616" s="45"/>
      <c r="X616" s="28"/>
      <c r="Y616" s="28"/>
      <c r="Z616" s="28"/>
      <c r="AA616" s="28"/>
      <c r="AB616" s="28"/>
      <c r="AC616" s="28"/>
    </row>
    <row r="617" spans="1:29" ht="13">
      <c r="A617" s="28"/>
      <c r="B617" s="45"/>
      <c r="C617" s="45"/>
      <c r="D617" s="45"/>
      <c r="E617" s="45"/>
      <c r="F617" s="45"/>
      <c r="G617" s="45"/>
      <c r="H617" s="45"/>
      <c r="I617" s="45"/>
      <c r="J617" s="45"/>
      <c r="K617" s="45"/>
      <c r="L617" s="45"/>
      <c r="M617" s="45"/>
      <c r="N617" s="45"/>
      <c r="O617" s="47"/>
      <c r="P617" s="45"/>
      <c r="Q617" s="45"/>
      <c r="R617" s="45"/>
      <c r="S617" s="45"/>
      <c r="T617" s="45"/>
      <c r="U617" s="45"/>
      <c r="V617" s="45"/>
      <c r="W617" s="45"/>
      <c r="X617" s="28"/>
      <c r="Y617" s="28"/>
      <c r="Z617" s="28"/>
      <c r="AA617" s="28"/>
      <c r="AB617" s="28"/>
      <c r="AC617" s="28"/>
    </row>
    <row r="618" spans="1:29" ht="13">
      <c r="A618" s="28"/>
      <c r="B618" s="45"/>
      <c r="C618" s="45"/>
      <c r="D618" s="45"/>
      <c r="E618" s="45"/>
      <c r="F618" s="45"/>
      <c r="G618" s="45"/>
      <c r="H618" s="45"/>
      <c r="I618" s="45"/>
      <c r="J618" s="45"/>
      <c r="K618" s="45"/>
      <c r="L618" s="45"/>
      <c r="M618" s="45"/>
      <c r="N618" s="45"/>
      <c r="O618" s="47"/>
      <c r="P618" s="45"/>
      <c r="Q618" s="45"/>
      <c r="R618" s="45"/>
      <c r="S618" s="45"/>
      <c r="T618" s="45"/>
      <c r="U618" s="45"/>
      <c r="V618" s="45"/>
      <c r="W618" s="45"/>
      <c r="X618" s="28"/>
      <c r="Y618" s="28"/>
      <c r="Z618" s="28"/>
      <c r="AA618" s="28"/>
      <c r="AB618" s="28"/>
      <c r="AC618" s="28"/>
    </row>
    <row r="619" spans="1:29" ht="13">
      <c r="A619" s="28"/>
      <c r="B619" s="45"/>
      <c r="C619" s="45"/>
      <c r="D619" s="45"/>
      <c r="E619" s="45"/>
      <c r="F619" s="45"/>
      <c r="G619" s="45"/>
      <c r="H619" s="45"/>
      <c r="I619" s="45"/>
      <c r="J619" s="45"/>
      <c r="K619" s="45"/>
      <c r="L619" s="45"/>
      <c r="M619" s="45"/>
      <c r="N619" s="45"/>
      <c r="O619" s="47"/>
      <c r="P619" s="45"/>
      <c r="Q619" s="45"/>
      <c r="R619" s="45"/>
      <c r="S619" s="45"/>
      <c r="T619" s="45"/>
      <c r="U619" s="45"/>
      <c r="V619" s="45"/>
      <c r="W619" s="45"/>
      <c r="X619" s="28"/>
      <c r="Y619" s="28"/>
      <c r="Z619" s="28"/>
      <c r="AA619" s="28"/>
      <c r="AB619" s="28"/>
      <c r="AC619" s="28"/>
    </row>
    <row r="620" spans="1:29" ht="13">
      <c r="A620" s="28"/>
      <c r="B620" s="45"/>
      <c r="C620" s="45"/>
      <c r="D620" s="45"/>
      <c r="E620" s="45"/>
      <c r="F620" s="45"/>
      <c r="G620" s="45"/>
      <c r="H620" s="45"/>
      <c r="I620" s="45"/>
      <c r="J620" s="45"/>
      <c r="K620" s="45"/>
      <c r="L620" s="45"/>
      <c r="M620" s="45"/>
      <c r="N620" s="45"/>
      <c r="O620" s="47"/>
      <c r="P620" s="45"/>
      <c r="Q620" s="45"/>
      <c r="R620" s="45"/>
      <c r="S620" s="45"/>
      <c r="T620" s="45"/>
      <c r="U620" s="45"/>
      <c r="V620" s="45"/>
      <c r="W620" s="45"/>
      <c r="X620" s="28"/>
      <c r="Y620" s="28"/>
      <c r="Z620" s="28"/>
      <c r="AA620" s="28"/>
      <c r="AB620" s="28"/>
      <c r="AC620" s="28"/>
    </row>
    <row r="621" spans="1:29" ht="13">
      <c r="A621" s="28"/>
      <c r="B621" s="45"/>
      <c r="C621" s="45"/>
      <c r="D621" s="45"/>
      <c r="E621" s="45"/>
      <c r="F621" s="45"/>
      <c r="G621" s="45"/>
      <c r="H621" s="45"/>
      <c r="I621" s="45"/>
      <c r="J621" s="45"/>
      <c r="K621" s="45"/>
      <c r="L621" s="45"/>
      <c r="M621" s="45"/>
      <c r="N621" s="45"/>
      <c r="O621" s="47"/>
      <c r="P621" s="45"/>
      <c r="Q621" s="45"/>
      <c r="R621" s="45"/>
      <c r="S621" s="45"/>
      <c r="T621" s="45"/>
      <c r="U621" s="45"/>
      <c r="V621" s="45"/>
      <c r="W621" s="45"/>
      <c r="X621" s="28"/>
      <c r="Y621" s="28"/>
      <c r="Z621" s="28"/>
      <c r="AA621" s="28"/>
      <c r="AB621" s="28"/>
      <c r="AC621" s="28"/>
    </row>
    <row r="622" spans="1:29" ht="13">
      <c r="A622" s="28"/>
      <c r="B622" s="45"/>
      <c r="C622" s="45"/>
      <c r="D622" s="45"/>
      <c r="E622" s="45"/>
      <c r="F622" s="45"/>
      <c r="G622" s="45"/>
      <c r="H622" s="45"/>
      <c r="I622" s="45"/>
      <c r="J622" s="45"/>
      <c r="K622" s="45"/>
      <c r="L622" s="45"/>
      <c r="M622" s="45"/>
      <c r="N622" s="45"/>
      <c r="O622" s="47"/>
      <c r="P622" s="45"/>
      <c r="Q622" s="45"/>
      <c r="R622" s="45"/>
      <c r="S622" s="45"/>
      <c r="T622" s="45"/>
      <c r="U622" s="45"/>
      <c r="V622" s="45"/>
      <c r="W622" s="45"/>
      <c r="X622" s="28"/>
      <c r="Y622" s="28"/>
      <c r="Z622" s="28"/>
      <c r="AA622" s="28"/>
      <c r="AB622" s="28"/>
      <c r="AC622" s="28"/>
    </row>
    <row r="623" spans="1:29" ht="13">
      <c r="A623" s="28"/>
      <c r="B623" s="45"/>
      <c r="C623" s="45"/>
      <c r="D623" s="45"/>
      <c r="E623" s="45"/>
      <c r="F623" s="45"/>
      <c r="G623" s="45"/>
      <c r="H623" s="45"/>
      <c r="I623" s="45"/>
      <c r="J623" s="45"/>
      <c r="K623" s="45"/>
      <c r="L623" s="45"/>
      <c r="M623" s="45"/>
      <c r="N623" s="45"/>
      <c r="O623" s="47"/>
      <c r="P623" s="45"/>
      <c r="Q623" s="45"/>
      <c r="R623" s="45"/>
      <c r="S623" s="45"/>
      <c r="T623" s="45"/>
      <c r="U623" s="45"/>
      <c r="V623" s="45"/>
      <c r="W623" s="45"/>
      <c r="X623" s="28"/>
      <c r="Y623" s="28"/>
      <c r="Z623" s="28"/>
      <c r="AA623" s="28"/>
      <c r="AB623" s="28"/>
      <c r="AC623" s="28"/>
    </row>
    <row r="624" spans="1:29" ht="13">
      <c r="A624" s="28"/>
      <c r="B624" s="45"/>
      <c r="C624" s="45"/>
      <c r="D624" s="45"/>
      <c r="E624" s="45"/>
      <c r="F624" s="45"/>
      <c r="G624" s="45"/>
      <c r="H624" s="45"/>
      <c r="I624" s="45"/>
      <c r="J624" s="45"/>
      <c r="K624" s="45"/>
      <c r="L624" s="45"/>
      <c r="M624" s="45"/>
      <c r="N624" s="45"/>
      <c r="O624" s="47"/>
      <c r="P624" s="45"/>
      <c r="Q624" s="45"/>
      <c r="R624" s="45"/>
      <c r="S624" s="45"/>
      <c r="T624" s="45"/>
      <c r="U624" s="45"/>
      <c r="V624" s="45"/>
      <c r="W624" s="45"/>
      <c r="X624" s="28"/>
      <c r="Y624" s="28"/>
      <c r="Z624" s="28"/>
      <c r="AA624" s="28"/>
      <c r="AB624" s="28"/>
      <c r="AC624" s="28"/>
    </row>
    <row r="625" spans="1:29" ht="13">
      <c r="A625" s="28"/>
      <c r="B625" s="45"/>
      <c r="C625" s="45"/>
      <c r="D625" s="45"/>
      <c r="E625" s="45"/>
      <c r="F625" s="45"/>
      <c r="G625" s="45"/>
      <c r="H625" s="45"/>
      <c r="I625" s="45"/>
      <c r="J625" s="45"/>
      <c r="K625" s="45"/>
      <c r="L625" s="45"/>
      <c r="M625" s="45"/>
      <c r="N625" s="45"/>
      <c r="O625" s="47"/>
      <c r="P625" s="45"/>
      <c r="Q625" s="45"/>
      <c r="R625" s="45"/>
      <c r="S625" s="45"/>
      <c r="T625" s="45"/>
      <c r="U625" s="45"/>
      <c r="V625" s="45"/>
      <c r="W625" s="45"/>
      <c r="X625" s="28"/>
      <c r="Y625" s="28"/>
      <c r="Z625" s="28"/>
      <c r="AA625" s="28"/>
      <c r="AB625" s="28"/>
      <c r="AC625" s="28"/>
    </row>
    <row r="626" spans="1:29" ht="13">
      <c r="A626" s="28"/>
      <c r="B626" s="45"/>
      <c r="C626" s="45"/>
      <c r="D626" s="45"/>
      <c r="E626" s="45"/>
      <c r="F626" s="45"/>
      <c r="G626" s="45"/>
      <c r="H626" s="45"/>
      <c r="I626" s="45"/>
      <c r="J626" s="45"/>
      <c r="K626" s="45"/>
      <c r="L626" s="45"/>
      <c r="M626" s="45"/>
      <c r="N626" s="45"/>
      <c r="O626" s="47"/>
      <c r="P626" s="45"/>
      <c r="Q626" s="45"/>
      <c r="R626" s="45"/>
      <c r="S626" s="45"/>
      <c r="T626" s="45"/>
      <c r="U626" s="45"/>
      <c r="V626" s="45"/>
      <c r="W626" s="45"/>
      <c r="X626" s="28"/>
      <c r="Y626" s="28"/>
      <c r="Z626" s="28"/>
      <c r="AA626" s="28"/>
      <c r="AB626" s="28"/>
      <c r="AC626" s="28"/>
    </row>
    <row r="627" spans="1:29" ht="13">
      <c r="A627" s="28"/>
      <c r="B627" s="45"/>
      <c r="C627" s="45"/>
      <c r="D627" s="45"/>
      <c r="E627" s="45"/>
      <c r="F627" s="45"/>
      <c r="G627" s="45"/>
      <c r="H627" s="45"/>
      <c r="I627" s="45"/>
      <c r="J627" s="45"/>
      <c r="K627" s="45"/>
      <c r="L627" s="45"/>
      <c r="M627" s="45"/>
      <c r="N627" s="45"/>
      <c r="O627" s="47"/>
      <c r="P627" s="45"/>
      <c r="Q627" s="45"/>
      <c r="R627" s="45"/>
      <c r="S627" s="45"/>
      <c r="T627" s="45"/>
      <c r="U627" s="45"/>
      <c r="V627" s="45"/>
      <c r="W627" s="45"/>
      <c r="X627" s="28"/>
      <c r="Y627" s="28"/>
      <c r="Z627" s="28"/>
      <c r="AA627" s="28"/>
      <c r="AB627" s="28"/>
      <c r="AC627" s="28"/>
    </row>
    <row r="628" spans="1:29" ht="13">
      <c r="A628" s="28"/>
      <c r="B628" s="45"/>
      <c r="C628" s="45"/>
      <c r="D628" s="45"/>
      <c r="E628" s="45"/>
      <c r="F628" s="45"/>
      <c r="G628" s="45"/>
      <c r="H628" s="45"/>
      <c r="I628" s="45"/>
      <c r="J628" s="45"/>
      <c r="K628" s="45"/>
      <c r="L628" s="45"/>
      <c r="M628" s="45"/>
      <c r="N628" s="45"/>
      <c r="O628" s="47"/>
      <c r="P628" s="45"/>
      <c r="Q628" s="45"/>
      <c r="R628" s="45"/>
      <c r="S628" s="45"/>
      <c r="T628" s="45"/>
      <c r="U628" s="45"/>
      <c r="V628" s="45"/>
      <c r="W628" s="45"/>
      <c r="X628" s="28"/>
      <c r="Y628" s="28"/>
      <c r="Z628" s="28"/>
      <c r="AA628" s="28"/>
      <c r="AB628" s="28"/>
      <c r="AC628" s="28"/>
    </row>
    <row r="629" spans="1:29" ht="13">
      <c r="A629" s="28"/>
      <c r="B629" s="45"/>
      <c r="C629" s="45"/>
      <c r="D629" s="45"/>
      <c r="E629" s="45"/>
      <c r="F629" s="45"/>
      <c r="G629" s="45"/>
      <c r="H629" s="45"/>
      <c r="I629" s="45"/>
      <c r="J629" s="45"/>
      <c r="K629" s="45"/>
      <c r="L629" s="45"/>
      <c r="M629" s="45"/>
      <c r="N629" s="45"/>
      <c r="O629" s="47"/>
      <c r="P629" s="45"/>
      <c r="Q629" s="45"/>
      <c r="R629" s="45"/>
      <c r="S629" s="45"/>
      <c r="T629" s="45"/>
      <c r="U629" s="45"/>
      <c r="V629" s="45"/>
      <c r="W629" s="45"/>
      <c r="X629" s="28"/>
      <c r="Y629" s="28"/>
      <c r="Z629" s="28"/>
      <c r="AA629" s="28"/>
      <c r="AB629" s="28"/>
      <c r="AC629" s="28"/>
    </row>
    <row r="630" spans="1:29" ht="13">
      <c r="A630" s="28"/>
      <c r="B630" s="45"/>
      <c r="C630" s="45"/>
      <c r="D630" s="45"/>
      <c r="E630" s="45"/>
      <c r="F630" s="45"/>
      <c r="G630" s="45"/>
      <c r="H630" s="45"/>
      <c r="I630" s="45"/>
      <c r="J630" s="45"/>
      <c r="K630" s="45"/>
      <c r="L630" s="45"/>
      <c r="M630" s="45"/>
      <c r="N630" s="45"/>
      <c r="O630" s="47"/>
      <c r="P630" s="45"/>
      <c r="Q630" s="45"/>
      <c r="R630" s="45"/>
      <c r="S630" s="45"/>
      <c r="T630" s="45"/>
      <c r="U630" s="45"/>
      <c r="V630" s="45"/>
      <c r="W630" s="45"/>
      <c r="X630" s="28"/>
      <c r="Y630" s="28"/>
      <c r="Z630" s="28"/>
      <c r="AA630" s="28"/>
      <c r="AB630" s="28"/>
      <c r="AC630" s="28"/>
    </row>
    <row r="631" spans="1:29" ht="13">
      <c r="A631" s="28"/>
      <c r="B631" s="45"/>
      <c r="C631" s="45"/>
      <c r="D631" s="45"/>
      <c r="E631" s="45"/>
      <c r="F631" s="45"/>
      <c r="G631" s="45"/>
      <c r="H631" s="45"/>
      <c r="I631" s="45"/>
      <c r="J631" s="45"/>
      <c r="K631" s="45"/>
      <c r="L631" s="45"/>
      <c r="M631" s="45"/>
      <c r="N631" s="45"/>
      <c r="O631" s="47"/>
      <c r="P631" s="45"/>
      <c r="Q631" s="45"/>
      <c r="R631" s="45"/>
      <c r="S631" s="45"/>
      <c r="T631" s="45"/>
      <c r="U631" s="45"/>
      <c r="V631" s="45"/>
      <c r="W631" s="45"/>
      <c r="X631" s="28"/>
      <c r="Y631" s="28"/>
      <c r="Z631" s="28"/>
      <c r="AA631" s="28"/>
      <c r="AB631" s="28"/>
      <c r="AC631" s="28"/>
    </row>
    <row r="632" spans="1:29" ht="13">
      <c r="A632" s="28"/>
      <c r="B632" s="45"/>
      <c r="C632" s="45"/>
      <c r="D632" s="45"/>
      <c r="E632" s="45"/>
      <c r="F632" s="45"/>
      <c r="G632" s="45"/>
      <c r="H632" s="45"/>
      <c r="I632" s="45"/>
      <c r="J632" s="45"/>
      <c r="K632" s="45"/>
      <c r="L632" s="45"/>
      <c r="M632" s="45"/>
      <c r="N632" s="45"/>
      <c r="O632" s="47"/>
      <c r="P632" s="45"/>
      <c r="Q632" s="45"/>
      <c r="R632" s="45"/>
      <c r="S632" s="45"/>
      <c r="T632" s="45"/>
      <c r="U632" s="45"/>
      <c r="V632" s="45"/>
      <c r="W632" s="45"/>
      <c r="X632" s="28"/>
      <c r="Y632" s="28"/>
      <c r="Z632" s="28"/>
      <c r="AA632" s="28"/>
      <c r="AB632" s="28"/>
      <c r="AC632" s="28"/>
    </row>
    <row r="633" spans="1:29" ht="13">
      <c r="A633" s="28"/>
      <c r="B633" s="45"/>
      <c r="C633" s="45"/>
      <c r="D633" s="45"/>
      <c r="E633" s="45"/>
      <c r="F633" s="45"/>
      <c r="G633" s="45"/>
      <c r="H633" s="45"/>
      <c r="I633" s="45"/>
      <c r="J633" s="45"/>
      <c r="K633" s="45"/>
      <c r="L633" s="45"/>
      <c r="M633" s="45"/>
      <c r="N633" s="45"/>
      <c r="O633" s="47"/>
      <c r="P633" s="45"/>
      <c r="Q633" s="45"/>
      <c r="R633" s="45"/>
      <c r="S633" s="45"/>
      <c r="T633" s="45"/>
      <c r="U633" s="45"/>
      <c r="V633" s="45"/>
      <c r="W633" s="45"/>
      <c r="X633" s="28"/>
      <c r="Y633" s="28"/>
      <c r="Z633" s="28"/>
      <c r="AA633" s="28"/>
      <c r="AB633" s="28"/>
      <c r="AC633" s="28"/>
    </row>
    <row r="634" spans="1:29" ht="13">
      <c r="A634" s="28"/>
      <c r="B634" s="45"/>
      <c r="C634" s="45"/>
      <c r="D634" s="45"/>
      <c r="E634" s="45"/>
      <c r="F634" s="45"/>
      <c r="G634" s="45"/>
      <c r="H634" s="45"/>
      <c r="I634" s="45"/>
      <c r="J634" s="45"/>
      <c r="K634" s="45"/>
      <c r="L634" s="45"/>
      <c r="M634" s="45"/>
      <c r="N634" s="45"/>
      <c r="O634" s="47"/>
      <c r="P634" s="45"/>
      <c r="Q634" s="45"/>
      <c r="R634" s="45"/>
      <c r="S634" s="45"/>
      <c r="T634" s="45"/>
      <c r="U634" s="45"/>
      <c r="V634" s="45"/>
      <c r="W634" s="45"/>
      <c r="X634" s="28"/>
      <c r="Y634" s="28"/>
      <c r="Z634" s="28"/>
      <c r="AA634" s="28"/>
      <c r="AB634" s="28"/>
      <c r="AC634" s="28"/>
    </row>
    <row r="635" spans="1:29" ht="13">
      <c r="A635" s="28"/>
      <c r="B635" s="45"/>
      <c r="C635" s="45"/>
      <c r="D635" s="45"/>
      <c r="E635" s="45"/>
      <c r="F635" s="45"/>
      <c r="G635" s="45"/>
      <c r="H635" s="45"/>
      <c r="I635" s="45"/>
      <c r="J635" s="45"/>
      <c r="K635" s="45"/>
      <c r="L635" s="45"/>
      <c r="M635" s="45"/>
      <c r="N635" s="45"/>
      <c r="O635" s="47"/>
      <c r="P635" s="45"/>
      <c r="Q635" s="45"/>
      <c r="R635" s="45"/>
      <c r="S635" s="45"/>
      <c r="T635" s="45"/>
      <c r="U635" s="45"/>
      <c r="V635" s="45"/>
      <c r="W635" s="45"/>
      <c r="X635" s="28"/>
      <c r="Y635" s="28"/>
      <c r="Z635" s="28"/>
      <c r="AA635" s="28"/>
      <c r="AB635" s="28"/>
      <c r="AC635" s="28"/>
    </row>
    <row r="636" spans="1:29" ht="13">
      <c r="A636" s="28"/>
      <c r="B636" s="45"/>
      <c r="C636" s="45"/>
      <c r="D636" s="45"/>
      <c r="E636" s="45"/>
      <c r="F636" s="45"/>
      <c r="G636" s="45"/>
      <c r="H636" s="45"/>
      <c r="I636" s="45"/>
      <c r="J636" s="45"/>
      <c r="K636" s="45"/>
      <c r="L636" s="45"/>
      <c r="M636" s="45"/>
      <c r="N636" s="45"/>
      <c r="O636" s="47"/>
      <c r="P636" s="45"/>
      <c r="Q636" s="45"/>
      <c r="R636" s="45"/>
      <c r="S636" s="45"/>
      <c r="T636" s="45"/>
      <c r="U636" s="45"/>
      <c r="V636" s="45"/>
      <c r="W636" s="45"/>
      <c r="X636" s="28"/>
      <c r="Y636" s="28"/>
      <c r="Z636" s="28"/>
      <c r="AA636" s="28"/>
      <c r="AB636" s="28"/>
      <c r="AC636" s="28"/>
    </row>
    <row r="637" spans="1:29" ht="13">
      <c r="A637" s="28"/>
      <c r="B637" s="45"/>
      <c r="C637" s="45"/>
      <c r="D637" s="45"/>
      <c r="E637" s="45"/>
      <c r="F637" s="45"/>
      <c r="G637" s="45"/>
      <c r="H637" s="45"/>
      <c r="I637" s="45"/>
      <c r="J637" s="45"/>
      <c r="K637" s="45"/>
      <c r="L637" s="45"/>
      <c r="M637" s="45"/>
      <c r="N637" s="45"/>
      <c r="O637" s="47"/>
      <c r="P637" s="45"/>
      <c r="Q637" s="45"/>
      <c r="R637" s="45"/>
      <c r="S637" s="45"/>
      <c r="T637" s="45"/>
      <c r="U637" s="45"/>
      <c r="V637" s="45"/>
      <c r="W637" s="45"/>
      <c r="X637" s="28"/>
      <c r="Y637" s="28"/>
      <c r="Z637" s="28"/>
      <c r="AA637" s="28"/>
      <c r="AB637" s="28"/>
      <c r="AC637" s="28"/>
    </row>
    <row r="638" spans="1:29" ht="13">
      <c r="A638" s="28"/>
      <c r="B638" s="45"/>
      <c r="C638" s="45"/>
      <c r="D638" s="45"/>
      <c r="E638" s="45"/>
      <c r="F638" s="45"/>
      <c r="G638" s="45"/>
      <c r="H638" s="45"/>
      <c r="I638" s="45"/>
      <c r="J638" s="45"/>
      <c r="K638" s="45"/>
      <c r="L638" s="45"/>
      <c r="M638" s="45"/>
      <c r="N638" s="45"/>
      <c r="O638" s="47"/>
      <c r="P638" s="45"/>
      <c r="Q638" s="45"/>
      <c r="R638" s="45"/>
      <c r="S638" s="45"/>
      <c r="T638" s="45"/>
      <c r="U638" s="45"/>
      <c r="V638" s="45"/>
      <c r="W638" s="45"/>
      <c r="X638" s="28"/>
      <c r="Y638" s="28"/>
      <c r="Z638" s="28"/>
      <c r="AA638" s="28"/>
      <c r="AB638" s="28"/>
      <c r="AC638" s="28"/>
    </row>
    <row r="639" spans="1:29" ht="13">
      <c r="A639" s="28"/>
      <c r="B639" s="45"/>
      <c r="C639" s="45"/>
      <c r="D639" s="45"/>
      <c r="E639" s="45"/>
      <c r="F639" s="45"/>
      <c r="G639" s="45"/>
      <c r="H639" s="45"/>
      <c r="I639" s="45"/>
      <c r="J639" s="45"/>
      <c r="K639" s="45"/>
      <c r="L639" s="45"/>
      <c r="M639" s="45"/>
      <c r="N639" s="45"/>
      <c r="O639" s="47"/>
      <c r="P639" s="45"/>
      <c r="Q639" s="45"/>
      <c r="R639" s="45"/>
      <c r="S639" s="45"/>
      <c r="T639" s="45"/>
      <c r="U639" s="45"/>
      <c r="V639" s="45"/>
      <c r="W639" s="45"/>
      <c r="X639" s="28"/>
      <c r="Y639" s="28"/>
      <c r="Z639" s="28"/>
      <c r="AA639" s="28"/>
      <c r="AB639" s="28"/>
      <c r="AC639" s="28"/>
    </row>
    <row r="640" spans="1:29" ht="13">
      <c r="A640" s="28"/>
      <c r="B640" s="45"/>
      <c r="C640" s="45"/>
      <c r="D640" s="45"/>
      <c r="E640" s="45"/>
      <c r="F640" s="45"/>
      <c r="G640" s="45"/>
      <c r="H640" s="45"/>
      <c r="I640" s="45"/>
      <c r="J640" s="45"/>
      <c r="K640" s="45"/>
      <c r="L640" s="45"/>
      <c r="M640" s="45"/>
      <c r="N640" s="45"/>
      <c r="O640" s="47"/>
      <c r="P640" s="45"/>
      <c r="Q640" s="45"/>
      <c r="R640" s="45"/>
      <c r="S640" s="45"/>
      <c r="T640" s="45"/>
      <c r="U640" s="45"/>
      <c r="V640" s="45"/>
      <c r="W640" s="45"/>
      <c r="X640" s="28"/>
      <c r="Y640" s="28"/>
      <c r="Z640" s="28"/>
      <c r="AA640" s="28"/>
      <c r="AB640" s="28"/>
      <c r="AC640" s="28"/>
    </row>
    <row r="641" spans="1:29" ht="13">
      <c r="A641" s="28"/>
      <c r="B641" s="45"/>
      <c r="C641" s="45"/>
      <c r="D641" s="45"/>
      <c r="E641" s="45"/>
      <c r="F641" s="45"/>
      <c r="G641" s="45"/>
      <c r="H641" s="45"/>
      <c r="I641" s="45"/>
      <c r="J641" s="45"/>
      <c r="K641" s="45"/>
      <c r="L641" s="45"/>
      <c r="M641" s="45"/>
      <c r="N641" s="45"/>
      <c r="O641" s="47"/>
      <c r="P641" s="45"/>
      <c r="Q641" s="45"/>
      <c r="R641" s="45"/>
      <c r="S641" s="45"/>
      <c r="T641" s="45"/>
      <c r="U641" s="45"/>
      <c r="V641" s="45"/>
      <c r="W641" s="45"/>
      <c r="X641" s="28"/>
      <c r="Y641" s="28"/>
      <c r="Z641" s="28"/>
      <c r="AA641" s="28"/>
      <c r="AB641" s="28"/>
      <c r="AC641" s="28"/>
    </row>
    <row r="642" spans="1:29" ht="13">
      <c r="A642" s="28"/>
      <c r="B642" s="45"/>
      <c r="C642" s="45"/>
      <c r="D642" s="45"/>
      <c r="E642" s="45"/>
      <c r="F642" s="45"/>
      <c r="G642" s="45"/>
      <c r="H642" s="45"/>
      <c r="I642" s="45"/>
      <c r="J642" s="45"/>
      <c r="K642" s="45"/>
      <c r="L642" s="45"/>
      <c r="M642" s="45"/>
      <c r="N642" s="45"/>
      <c r="O642" s="47"/>
      <c r="P642" s="45"/>
      <c r="Q642" s="45"/>
      <c r="R642" s="45"/>
      <c r="S642" s="45"/>
      <c r="T642" s="45"/>
      <c r="U642" s="45"/>
      <c r="V642" s="45"/>
      <c r="W642" s="45"/>
      <c r="X642" s="28"/>
      <c r="Y642" s="28"/>
      <c r="Z642" s="28"/>
      <c r="AA642" s="28"/>
      <c r="AB642" s="28"/>
      <c r="AC642" s="28"/>
    </row>
    <row r="643" spans="1:29" ht="13">
      <c r="A643" s="28"/>
      <c r="B643" s="45"/>
      <c r="C643" s="45"/>
      <c r="D643" s="45"/>
      <c r="E643" s="45"/>
      <c r="F643" s="45"/>
      <c r="G643" s="45"/>
      <c r="H643" s="45"/>
      <c r="I643" s="45"/>
      <c r="J643" s="45"/>
      <c r="K643" s="45"/>
      <c r="L643" s="45"/>
      <c r="M643" s="45"/>
      <c r="N643" s="45"/>
      <c r="O643" s="47"/>
      <c r="P643" s="45"/>
      <c r="Q643" s="45"/>
      <c r="R643" s="45"/>
      <c r="S643" s="45"/>
      <c r="T643" s="45"/>
      <c r="U643" s="45"/>
      <c r="V643" s="45"/>
      <c r="W643" s="45"/>
      <c r="X643" s="28"/>
      <c r="Y643" s="28"/>
      <c r="Z643" s="28"/>
      <c r="AA643" s="28"/>
      <c r="AB643" s="28"/>
      <c r="AC643" s="28"/>
    </row>
    <row r="644" spans="1:29" ht="13">
      <c r="A644" s="28"/>
      <c r="B644" s="45"/>
      <c r="C644" s="45"/>
      <c r="D644" s="45"/>
      <c r="E644" s="45"/>
      <c r="F644" s="45"/>
      <c r="G644" s="45"/>
      <c r="H644" s="45"/>
      <c r="I644" s="45"/>
      <c r="J644" s="45"/>
      <c r="K644" s="45"/>
      <c r="L644" s="45"/>
      <c r="M644" s="45"/>
      <c r="N644" s="45"/>
      <c r="O644" s="47"/>
      <c r="P644" s="45"/>
      <c r="Q644" s="45"/>
      <c r="R644" s="45"/>
      <c r="S644" s="45"/>
      <c r="T644" s="45"/>
      <c r="U644" s="45"/>
      <c r="V644" s="45"/>
      <c r="W644" s="45"/>
      <c r="X644" s="28"/>
      <c r="Y644" s="28"/>
      <c r="Z644" s="28"/>
      <c r="AA644" s="28"/>
      <c r="AB644" s="28"/>
      <c r="AC644" s="28"/>
    </row>
    <row r="645" spans="1:29" ht="13">
      <c r="A645" s="28"/>
      <c r="B645" s="45"/>
      <c r="C645" s="45"/>
      <c r="D645" s="45"/>
      <c r="E645" s="45"/>
      <c r="F645" s="45"/>
      <c r="G645" s="45"/>
      <c r="H645" s="45"/>
      <c r="I645" s="45"/>
      <c r="J645" s="45"/>
      <c r="K645" s="45"/>
      <c r="L645" s="45"/>
      <c r="M645" s="45"/>
      <c r="N645" s="45"/>
      <c r="O645" s="47"/>
      <c r="P645" s="45"/>
      <c r="Q645" s="45"/>
      <c r="R645" s="45"/>
      <c r="S645" s="45"/>
      <c r="T645" s="45"/>
      <c r="U645" s="45"/>
      <c r="V645" s="45"/>
      <c r="W645" s="45"/>
      <c r="X645" s="28"/>
      <c r="Y645" s="28"/>
      <c r="Z645" s="28"/>
      <c r="AA645" s="28"/>
      <c r="AB645" s="28"/>
      <c r="AC645" s="28"/>
    </row>
    <row r="646" spans="1:29" ht="13">
      <c r="A646" s="28"/>
      <c r="B646" s="45"/>
      <c r="C646" s="45"/>
      <c r="D646" s="45"/>
      <c r="E646" s="45"/>
      <c r="F646" s="45"/>
      <c r="G646" s="45"/>
      <c r="H646" s="45"/>
      <c r="I646" s="45"/>
      <c r="J646" s="45"/>
      <c r="K646" s="45"/>
      <c r="L646" s="45"/>
      <c r="M646" s="45"/>
      <c r="N646" s="45"/>
      <c r="O646" s="47"/>
      <c r="P646" s="45"/>
      <c r="Q646" s="45"/>
      <c r="R646" s="45"/>
      <c r="S646" s="45"/>
      <c r="T646" s="45"/>
      <c r="U646" s="45"/>
      <c r="V646" s="45"/>
      <c r="W646" s="45"/>
      <c r="X646" s="28"/>
      <c r="Y646" s="28"/>
      <c r="Z646" s="28"/>
      <c r="AA646" s="28"/>
      <c r="AB646" s="28"/>
      <c r="AC646" s="28"/>
    </row>
    <row r="647" spans="1:29" ht="13">
      <c r="A647" s="28"/>
      <c r="B647" s="45"/>
      <c r="C647" s="45"/>
      <c r="D647" s="45"/>
      <c r="E647" s="45"/>
      <c r="F647" s="45"/>
      <c r="G647" s="45"/>
      <c r="H647" s="45"/>
      <c r="I647" s="45"/>
      <c r="J647" s="45"/>
      <c r="K647" s="45"/>
      <c r="L647" s="45"/>
      <c r="M647" s="45"/>
      <c r="N647" s="45"/>
      <c r="O647" s="47"/>
      <c r="P647" s="45"/>
      <c r="Q647" s="45"/>
      <c r="R647" s="45"/>
      <c r="S647" s="45"/>
      <c r="T647" s="45"/>
      <c r="U647" s="45"/>
      <c r="V647" s="45"/>
      <c r="W647" s="45"/>
      <c r="X647" s="28"/>
      <c r="Y647" s="28"/>
      <c r="Z647" s="28"/>
      <c r="AA647" s="28"/>
      <c r="AB647" s="28"/>
      <c r="AC647" s="28"/>
    </row>
    <row r="648" spans="1:29" ht="13">
      <c r="A648" s="28"/>
      <c r="B648" s="45"/>
      <c r="C648" s="45"/>
      <c r="D648" s="45"/>
      <c r="E648" s="45"/>
      <c r="F648" s="45"/>
      <c r="G648" s="45"/>
      <c r="H648" s="45"/>
      <c r="I648" s="45"/>
      <c r="J648" s="45"/>
      <c r="K648" s="45"/>
      <c r="L648" s="45"/>
      <c r="M648" s="45"/>
      <c r="N648" s="45"/>
      <c r="O648" s="47"/>
      <c r="P648" s="45"/>
      <c r="Q648" s="45"/>
      <c r="R648" s="45"/>
      <c r="S648" s="45"/>
      <c r="T648" s="45"/>
      <c r="U648" s="45"/>
      <c r="V648" s="45"/>
      <c r="W648" s="45"/>
      <c r="X648" s="28"/>
      <c r="Y648" s="28"/>
      <c r="Z648" s="28"/>
      <c r="AA648" s="28"/>
      <c r="AB648" s="28"/>
      <c r="AC648" s="28"/>
    </row>
    <row r="649" spans="1:29" ht="13">
      <c r="A649" s="28"/>
      <c r="B649" s="45"/>
      <c r="C649" s="45"/>
      <c r="D649" s="45"/>
      <c r="E649" s="45"/>
      <c r="F649" s="45"/>
      <c r="G649" s="45"/>
      <c r="H649" s="45"/>
      <c r="I649" s="45"/>
      <c r="J649" s="45"/>
      <c r="K649" s="45"/>
      <c r="L649" s="45"/>
      <c r="M649" s="45"/>
      <c r="N649" s="45"/>
      <c r="O649" s="47"/>
      <c r="P649" s="45"/>
      <c r="Q649" s="45"/>
      <c r="R649" s="45"/>
      <c r="S649" s="45"/>
      <c r="T649" s="45"/>
      <c r="U649" s="45"/>
      <c r="V649" s="45"/>
      <c r="W649" s="45"/>
      <c r="X649" s="28"/>
      <c r="Y649" s="28"/>
      <c r="Z649" s="28"/>
      <c r="AA649" s="28"/>
      <c r="AB649" s="28"/>
      <c r="AC649" s="28"/>
    </row>
    <row r="650" spans="1:29" ht="13">
      <c r="A650" s="28"/>
      <c r="B650" s="45"/>
      <c r="C650" s="45"/>
      <c r="D650" s="45"/>
      <c r="E650" s="45"/>
      <c r="F650" s="45"/>
      <c r="G650" s="45"/>
      <c r="H650" s="45"/>
      <c r="I650" s="45"/>
      <c r="J650" s="45"/>
      <c r="K650" s="45"/>
      <c r="L650" s="45"/>
      <c r="M650" s="45"/>
      <c r="N650" s="45"/>
      <c r="O650" s="47"/>
      <c r="P650" s="45"/>
      <c r="Q650" s="45"/>
      <c r="R650" s="45"/>
      <c r="S650" s="45"/>
      <c r="T650" s="45"/>
      <c r="U650" s="45"/>
      <c r="V650" s="45"/>
      <c r="W650" s="45"/>
      <c r="X650" s="28"/>
      <c r="Y650" s="28"/>
      <c r="Z650" s="28"/>
      <c r="AA650" s="28"/>
      <c r="AB650" s="28"/>
      <c r="AC650" s="28"/>
    </row>
    <row r="651" spans="1:29" ht="13">
      <c r="A651" s="28"/>
      <c r="B651" s="45"/>
      <c r="C651" s="45"/>
      <c r="D651" s="45"/>
      <c r="E651" s="45"/>
      <c r="F651" s="45"/>
      <c r="G651" s="45"/>
      <c r="H651" s="45"/>
      <c r="I651" s="45"/>
      <c r="J651" s="45"/>
      <c r="K651" s="45"/>
      <c r="L651" s="45"/>
      <c r="M651" s="45"/>
      <c r="N651" s="45"/>
      <c r="O651" s="47"/>
      <c r="P651" s="45"/>
      <c r="Q651" s="45"/>
      <c r="R651" s="45"/>
      <c r="S651" s="45"/>
      <c r="T651" s="45"/>
      <c r="U651" s="45"/>
      <c r="V651" s="45"/>
      <c r="W651" s="45"/>
      <c r="X651" s="28"/>
      <c r="Y651" s="28"/>
      <c r="Z651" s="28"/>
      <c r="AA651" s="28"/>
      <c r="AB651" s="28"/>
      <c r="AC651" s="28"/>
    </row>
    <row r="652" spans="1:29" ht="13">
      <c r="A652" s="28"/>
      <c r="B652" s="45"/>
      <c r="C652" s="45"/>
      <c r="D652" s="45"/>
      <c r="E652" s="45"/>
      <c r="F652" s="45"/>
      <c r="G652" s="45"/>
      <c r="H652" s="45"/>
      <c r="I652" s="45"/>
      <c r="J652" s="45"/>
      <c r="K652" s="45"/>
      <c r="L652" s="45"/>
      <c r="M652" s="45"/>
      <c r="N652" s="45"/>
      <c r="O652" s="47"/>
      <c r="P652" s="45"/>
      <c r="Q652" s="45"/>
      <c r="R652" s="45"/>
      <c r="S652" s="45"/>
      <c r="T652" s="45"/>
      <c r="U652" s="45"/>
      <c r="V652" s="45"/>
      <c r="W652" s="45"/>
      <c r="X652" s="28"/>
      <c r="Y652" s="28"/>
      <c r="Z652" s="28"/>
      <c r="AA652" s="28"/>
      <c r="AB652" s="28"/>
      <c r="AC652" s="28"/>
    </row>
    <row r="653" spans="1:29" ht="13">
      <c r="A653" s="28"/>
      <c r="B653" s="45"/>
      <c r="C653" s="45"/>
      <c r="D653" s="45"/>
      <c r="E653" s="45"/>
      <c r="F653" s="45"/>
      <c r="G653" s="45"/>
      <c r="H653" s="45"/>
      <c r="I653" s="45"/>
      <c r="J653" s="45"/>
      <c r="K653" s="45"/>
      <c r="L653" s="45"/>
      <c r="M653" s="45"/>
      <c r="N653" s="45"/>
      <c r="O653" s="47"/>
      <c r="P653" s="45"/>
      <c r="Q653" s="45"/>
      <c r="R653" s="45"/>
      <c r="S653" s="45"/>
      <c r="T653" s="45"/>
      <c r="U653" s="45"/>
      <c r="V653" s="45"/>
      <c r="W653" s="45"/>
      <c r="X653" s="28"/>
      <c r="Y653" s="28"/>
      <c r="Z653" s="28"/>
      <c r="AA653" s="28"/>
      <c r="AB653" s="28"/>
      <c r="AC653" s="28"/>
    </row>
    <row r="654" spans="1:29" ht="13">
      <c r="A654" s="28"/>
      <c r="B654" s="45"/>
      <c r="C654" s="45"/>
      <c r="D654" s="45"/>
      <c r="E654" s="45"/>
      <c r="F654" s="45"/>
      <c r="G654" s="45"/>
      <c r="H654" s="45"/>
      <c r="I654" s="45"/>
      <c r="J654" s="45"/>
      <c r="K654" s="45"/>
      <c r="L654" s="45"/>
      <c r="M654" s="45"/>
      <c r="N654" s="45"/>
      <c r="O654" s="47"/>
      <c r="P654" s="45"/>
      <c r="Q654" s="45"/>
      <c r="R654" s="45"/>
      <c r="S654" s="45"/>
      <c r="T654" s="45"/>
      <c r="U654" s="45"/>
      <c r="V654" s="45"/>
      <c r="W654" s="45"/>
      <c r="X654" s="28"/>
      <c r="Y654" s="28"/>
      <c r="Z654" s="28"/>
      <c r="AA654" s="28"/>
      <c r="AB654" s="28"/>
      <c r="AC654" s="28"/>
    </row>
    <row r="655" spans="1:29" ht="13">
      <c r="A655" s="28"/>
      <c r="B655" s="45"/>
      <c r="C655" s="45"/>
      <c r="D655" s="45"/>
      <c r="E655" s="45"/>
      <c r="F655" s="45"/>
      <c r="G655" s="45"/>
      <c r="H655" s="45"/>
      <c r="I655" s="45"/>
      <c r="J655" s="45"/>
      <c r="K655" s="45"/>
      <c r="L655" s="45"/>
      <c r="M655" s="45"/>
      <c r="N655" s="45"/>
      <c r="O655" s="47"/>
      <c r="P655" s="45"/>
      <c r="Q655" s="45"/>
      <c r="R655" s="45"/>
      <c r="S655" s="45"/>
      <c r="T655" s="45"/>
      <c r="U655" s="45"/>
      <c r="V655" s="45"/>
      <c r="W655" s="45"/>
      <c r="X655" s="28"/>
      <c r="Y655" s="28"/>
      <c r="Z655" s="28"/>
      <c r="AA655" s="28"/>
      <c r="AB655" s="28"/>
      <c r="AC655" s="28"/>
    </row>
    <row r="656" spans="1:29" ht="13">
      <c r="A656" s="28"/>
      <c r="B656" s="45"/>
      <c r="C656" s="45"/>
      <c r="D656" s="45"/>
      <c r="E656" s="45"/>
      <c r="F656" s="45"/>
      <c r="G656" s="45"/>
      <c r="H656" s="45"/>
      <c r="I656" s="45"/>
      <c r="J656" s="45"/>
      <c r="K656" s="45"/>
      <c r="L656" s="45"/>
      <c r="M656" s="45"/>
      <c r="N656" s="45"/>
      <c r="O656" s="47"/>
      <c r="P656" s="45"/>
      <c r="Q656" s="45"/>
      <c r="R656" s="45"/>
      <c r="S656" s="45"/>
      <c r="T656" s="45"/>
      <c r="U656" s="45"/>
      <c r="V656" s="45"/>
      <c r="W656" s="45"/>
      <c r="X656" s="28"/>
      <c r="Y656" s="28"/>
      <c r="Z656" s="28"/>
      <c r="AA656" s="28"/>
      <c r="AB656" s="28"/>
      <c r="AC656" s="28"/>
    </row>
    <row r="657" spans="1:29" ht="13">
      <c r="A657" s="28"/>
      <c r="B657" s="45"/>
      <c r="C657" s="45"/>
      <c r="D657" s="45"/>
      <c r="E657" s="45"/>
      <c r="F657" s="45"/>
      <c r="G657" s="45"/>
      <c r="H657" s="45"/>
      <c r="I657" s="45"/>
      <c r="J657" s="45"/>
      <c r="K657" s="45"/>
      <c r="L657" s="45"/>
      <c r="M657" s="45"/>
      <c r="N657" s="45"/>
      <c r="O657" s="47"/>
      <c r="P657" s="45"/>
      <c r="Q657" s="45"/>
      <c r="R657" s="45"/>
      <c r="S657" s="45"/>
      <c r="T657" s="45"/>
      <c r="U657" s="45"/>
      <c r="V657" s="45"/>
      <c r="W657" s="45"/>
      <c r="X657" s="28"/>
      <c r="Y657" s="28"/>
      <c r="Z657" s="28"/>
      <c r="AA657" s="28"/>
      <c r="AB657" s="28"/>
      <c r="AC657" s="28"/>
    </row>
    <row r="658" spans="1:29" ht="13">
      <c r="A658" s="28"/>
      <c r="B658" s="45"/>
      <c r="C658" s="45"/>
      <c r="D658" s="45"/>
      <c r="E658" s="45"/>
      <c r="F658" s="45"/>
      <c r="G658" s="45"/>
      <c r="H658" s="45"/>
      <c r="I658" s="45"/>
      <c r="J658" s="45"/>
      <c r="K658" s="45"/>
      <c r="L658" s="45"/>
      <c r="M658" s="45"/>
      <c r="N658" s="45"/>
      <c r="O658" s="47"/>
      <c r="P658" s="45"/>
      <c r="Q658" s="45"/>
      <c r="R658" s="45"/>
      <c r="S658" s="45"/>
      <c r="T658" s="45"/>
      <c r="U658" s="45"/>
      <c r="V658" s="45"/>
      <c r="W658" s="45"/>
      <c r="X658" s="28"/>
      <c r="Y658" s="28"/>
      <c r="Z658" s="28"/>
      <c r="AA658" s="28"/>
      <c r="AB658" s="28"/>
      <c r="AC658" s="28"/>
    </row>
    <row r="659" spans="1:29" ht="13">
      <c r="A659" s="28"/>
      <c r="B659" s="45"/>
      <c r="C659" s="45"/>
      <c r="D659" s="45"/>
      <c r="E659" s="45"/>
      <c r="F659" s="45"/>
      <c r="G659" s="45"/>
      <c r="H659" s="45"/>
      <c r="I659" s="45"/>
      <c r="J659" s="45"/>
      <c r="K659" s="45"/>
      <c r="L659" s="45"/>
      <c r="M659" s="45"/>
      <c r="N659" s="45"/>
      <c r="O659" s="47"/>
      <c r="P659" s="45"/>
      <c r="Q659" s="45"/>
      <c r="R659" s="45"/>
      <c r="S659" s="45"/>
      <c r="T659" s="45"/>
      <c r="U659" s="45"/>
      <c r="V659" s="45"/>
      <c r="W659" s="45"/>
      <c r="X659" s="28"/>
      <c r="Y659" s="28"/>
      <c r="Z659" s="28"/>
      <c r="AA659" s="28"/>
      <c r="AB659" s="28"/>
      <c r="AC659" s="28"/>
    </row>
    <row r="660" spans="1:29" ht="13">
      <c r="A660" s="28"/>
      <c r="B660" s="45"/>
      <c r="C660" s="45"/>
      <c r="D660" s="45"/>
      <c r="E660" s="45"/>
      <c r="F660" s="45"/>
      <c r="G660" s="45"/>
      <c r="H660" s="45"/>
      <c r="I660" s="45"/>
      <c r="J660" s="45"/>
      <c r="K660" s="45"/>
      <c r="L660" s="45"/>
      <c r="M660" s="45"/>
      <c r="N660" s="45"/>
      <c r="O660" s="47"/>
      <c r="P660" s="45"/>
      <c r="Q660" s="45"/>
      <c r="R660" s="45"/>
      <c r="S660" s="45"/>
      <c r="T660" s="45"/>
      <c r="U660" s="45"/>
      <c r="V660" s="45"/>
      <c r="W660" s="45"/>
      <c r="X660" s="28"/>
      <c r="Y660" s="28"/>
      <c r="Z660" s="28"/>
      <c r="AA660" s="28"/>
      <c r="AB660" s="28"/>
      <c r="AC660" s="28"/>
    </row>
    <row r="661" spans="1:29" ht="13">
      <c r="A661" s="28"/>
      <c r="B661" s="45"/>
      <c r="C661" s="45"/>
      <c r="D661" s="45"/>
      <c r="E661" s="45"/>
      <c r="F661" s="45"/>
      <c r="G661" s="45"/>
      <c r="H661" s="45"/>
      <c r="I661" s="45"/>
      <c r="J661" s="45"/>
      <c r="K661" s="45"/>
      <c r="L661" s="45"/>
      <c r="M661" s="45"/>
      <c r="N661" s="45"/>
      <c r="O661" s="47"/>
      <c r="P661" s="45"/>
      <c r="Q661" s="45"/>
      <c r="R661" s="45"/>
      <c r="S661" s="45"/>
      <c r="T661" s="45"/>
      <c r="U661" s="45"/>
      <c r="V661" s="45"/>
      <c r="W661" s="45"/>
      <c r="X661" s="28"/>
      <c r="Y661" s="28"/>
      <c r="Z661" s="28"/>
      <c r="AA661" s="28"/>
      <c r="AB661" s="28"/>
      <c r="AC661" s="28"/>
    </row>
    <row r="662" spans="1:29" ht="13">
      <c r="A662" s="28"/>
      <c r="B662" s="45"/>
      <c r="C662" s="45"/>
      <c r="D662" s="45"/>
      <c r="E662" s="45"/>
      <c r="F662" s="45"/>
      <c r="G662" s="45"/>
      <c r="H662" s="45"/>
      <c r="I662" s="45"/>
      <c r="J662" s="45"/>
      <c r="K662" s="45"/>
      <c r="L662" s="45"/>
      <c r="M662" s="45"/>
      <c r="N662" s="45"/>
      <c r="O662" s="47"/>
      <c r="P662" s="45"/>
      <c r="Q662" s="45"/>
      <c r="R662" s="45"/>
      <c r="S662" s="45"/>
      <c r="T662" s="45"/>
      <c r="U662" s="45"/>
      <c r="V662" s="45"/>
      <c r="W662" s="45"/>
      <c r="X662" s="28"/>
      <c r="Y662" s="28"/>
      <c r="Z662" s="28"/>
      <c r="AA662" s="28"/>
      <c r="AB662" s="28"/>
      <c r="AC662" s="28"/>
    </row>
    <row r="663" spans="1:29" ht="13">
      <c r="A663" s="28"/>
      <c r="B663" s="45"/>
      <c r="C663" s="45"/>
      <c r="D663" s="45"/>
      <c r="E663" s="45"/>
      <c r="F663" s="45"/>
      <c r="G663" s="45"/>
      <c r="H663" s="45"/>
      <c r="I663" s="45"/>
      <c r="J663" s="45"/>
      <c r="K663" s="45"/>
      <c r="L663" s="45"/>
      <c r="M663" s="45"/>
      <c r="N663" s="45"/>
      <c r="O663" s="47"/>
      <c r="P663" s="45"/>
      <c r="Q663" s="45"/>
      <c r="R663" s="45"/>
      <c r="S663" s="45"/>
      <c r="T663" s="45"/>
      <c r="U663" s="45"/>
      <c r="V663" s="45"/>
      <c r="W663" s="45"/>
      <c r="X663" s="28"/>
      <c r="Y663" s="28"/>
      <c r="Z663" s="28"/>
      <c r="AA663" s="28"/>
      <c r="AB663" s="28"/>
      <c r="AC663" s="28"/>
    </row>
    <row r="664" spans="1:29" ht="13">
      <c r="A664" s="28"/>
      <c r="B664" s="45"/>
      <c r="C664" s="45"/>
      <c r="D664" s="45"/>
      <c r="E664" s="45"/>
      <c r="F664" s="45"/>
      <c r="G664" s="45"/>
      <c r="H664" s="45"/>
      <c r="I664" s="45"/>
      <c r="J664" s="45"/>
      <c r="K664" s="45"/>
      <c r="L664" s="45"/>
      <c r="M664" s="45"/>
      <c r="N664" s="45"/>
      <c r="O664" s="47"/>
      <c r="P664" s="45"/>
      <c r="Q664" s="45"/>
      <c r="R664" s="45"/>
      <c r="S664" s="45"/>
      <c r="T664" s="45"/>
      <c r="U664" s="45"/>
      <c r="V664" s="45"/>
      <c r="W664" s="45"/>
      <c r="X664" s="28"/>
      <c r="Y664" s="28"/>
      <c r="Z664" s="28"/>
      <c r="AA664" s="28"/>
      <c r="AB664" s="28"/>
      <c r="AC664" s="28"/>
    </row>
    <row r="665" spans="1:29" ht="13">
      <c r="A665" s="28"/>
      <c r="B665" s="45"/>
      <c r="C665" s="45"/>
      <c r="D665" s="45"/>
      <c r="E665" s="45"/>
      <c r="F665" s="45"/>
      <c r="G665" s="45"/>
      <c r="H665" s="45"/>
      <c r="I665" s="45"/>
      <c r="J665" s="45"/>
      <c r="K665" s="45"/>
      <c r="L665" s="45"/>
      <c r="M665" s="45"/>
      <c r="N665" s="45"/>
      <c r="O665" s="47"/>
      <c r="P665" s="45"/>
      <c r="Q665" s="45"/>
      <c r="R665" s="45"/>
      <c r="S665" s="45"/>
      <c r="T665" s="45"/>
      <c r="U665" s="45"/>
      <c r="V665" s="45"/>
      <c r="W665" s="45"/>
      <c r="X665" s="28"/>
      <c r="Y665" s="28"/>
      <c r="Z665" s="28"/>
      <c r="AA665" s="28"/>
      <c r="AB665" s="28"/>
      <c r="AC665" s="28"/>
    </row>
    <row r="666" spans="1:29" ht="13">
      <c r="A666" s="28"/>
      <c r="B666" s="45"/>
      <c r="C666" s="45"/>
      <c r="D666" s="45"/>
      <c r="E666" s="45"/>
      <c r="F666" s="45"/>
      <c r="G666" s="45"/>
      <c r="H666" s="45"/>
      <c r="I666" s="45"/>
      <c r="J666" s="45"/>
      <c r="K666" s="45"/>
      <c r="L666" s="45"/>
      <c r="M666" s="45"/>
      <c r="N666" s="45"/>
      <c r="O666" s="47"/>
      <c r="P666" s="45"/>
      <c r="Q666" s="45"/>
      <c r="R666" s="45"/>
      <c r="S666" s="45"/>
      <c r="T666" s="45"/>
      <c r="U666" s="45"/>
      <c r="V666" s="45"/>
      <c r="W666" s="45"/>
      <c r="X666" s="28"/>
      <c r="Y666" s="28"/>
      <c r="Z666" s="28"/>
      <c r="AA666" s="28"/>
      <c r="AB666" s="28"/>
      <c r="AC666" s="28"/>
    </row>
    <row r="667" spans="1:29" ht="13">
      <c r="A667" s="28"/>
      <c r="B667" s="45"/>
      <c r="C667" s="45"/>
      <c r="D667" s="45"/>
      <c r="E667" s="45"/>
      <c r="F667" s="45"/>
      <c r="G667" s="45"/>
      <c r="H667" s="45"/>
      <c r="I667" s="45"/>
      <c r="J667" s="45"/>
      <c r="K667" s="45"/>
      <c r="L667" s="45"/>
      <c r="M667" s="45"/>
      <c r="N667" s="45"/>
      <c r="O667" s="47"/>
      <c r="P667" s="45"/>
      <c r="Q667" s="45"/>
      <c r="R667" s="45"/>
      <c r="S667" s="45"/>
      <c r="T667" s="45"/>
      <c r="U667" s="45"/>
      <c r="V667" s="45"/>
      <c r="W667" s="45"/>
      <c r="X667" s="28"/>
      <c r="Y667" s="28"/>
      <c r="Z667" s="28"/>
      <c r="AA667" s="28"/>
      <c r="AB667" s="28"/>
      <c r="AC667" s="28"/>
    </row>
    <row r="668" spans="1:29" ht="13">
      <c r="A668" s="28"/>
      <c r="B668" s="45"/>
      <c r="C668" s="45"/>
      <c r="D668" s="45"/>
      <c r="E668" s="45"/>
      <c r="F668" s="45"/>
      <c r="G668" s="45"/>
      <c r="H668" s="45"/>
      <c r="I668" s="45"/>
      <c r="J668" s="45"/>
      <c r="K668" s="45"/>
      <c r="L668" s="45"/>
      <c r="M668" s="45"/>
      <c r="N668" s="45"/>
      <c r="O668" s="47"/>
      <c r="P668" s="45"/>
      <c r="Q668" s="45"/>
      <c r="R668" s="45"/>
      <c r="S668" s="45"/>
      <c r="T668" s="45"/>
      <c r="U668" s="45"/>
      <c r="V668" s="45"/>
      <c r="W668" s="45"/>
      <c r="X668" s="28"/>
      <c r="Y668" s="28"/>
      <c r="Z668" s="28"/>
      <c r="AA668" s="28"/>
      <c r="AB668" s="28"/>
      <c r="AC668" s="28"/>
    </row>
    <row r="669" spans="1:29" ht="13">
      <c r="A669" s="28"/>
      <c r="B669" s="45"/>
      <c r="C669" s="45"/>
      <c r="D669" s="45"/>
      <c r="E669" s="45"/>
      <c r="F669" s="45"/>
      <c r="G669" s="45"/>
      <c r="H669" s="45"/>
      <c r="I669" s="45"/>
      <c r="J669" s="45"/>
      <c r="K669" s="45"/>
      <c r="L669" s="45"/>
      <c r="M669" s="45"/>
      <c r="N669" s="45"/>
      <c r="O669" s="47"/>
      <c r="P669" s="45"/>
      <c r="Q669" s="45"/>
      <c r="R669" s="45"/>
      <c r="S669" s="45"/>
      <c r="T669" s="45"/>
      <c r="U669" s="45"/>
      <c r="V669" s="45"/>
      <c r="W669" s="45"/>
      <c r="X669" s="28"/>
      <c r="Y669" s="28"/>
      <c r="Z669" s="28"/>
      <c r="AA669" s="28"/>
      <c r="AB669" s="28"/>
      <c r="AC669" s="28"/>
    </row>
    <row r="670" spans="1:29" ht="13">
      <c r="A670" s="28"/>
      <c r="B670" s="45"/>
      <c r="C670" s="45"/>
      <c r="D670" s="45"/>
      <c r="E670" s="45"/>
      <c r="F670" s="45"/>
      <c r="G670" s="45"/>
      <c r="H670" s="45"/>
      <c r="I670" s="45"/>
      <c r="J670" s="45"/>
      <c r="K670" s="45"/>
      <c r="L670" s="45"/>
      <c r="M670" s="45"/>
      <c r="N670" s="45"/>
      <c r="O670" s="47"/>
      <c r="P670" s="45"/>
      <c r="Q670" s="45"/>
      <c r="R670" s="45"/>
      <c r="S670" s="45"/>
      <c r="T670" s="45"/>
      <c r="U670" s="45"/>
      <c r="V670" s="45"/>
      <c r="W670" s="45"/>
      <c r="X670" s="28"/>
      <c r="Y670" s="28"/>
      <c r="Z670" s="28"/>
      <c r="AA670" s="28"/>
      <c r="AB670" s="28"/>
      <c r="AC670" s="28"/>
    </row>
    <row r="671" spans="1:29" ht="13">
      <c r="A671" s="28"/>
      <c r="B671" s="45"/>
      <c r="C671" s="45"/>
      <c r="D671" s="45"/>
      <c r="E671" s="45"/>
      <c r="F671" s="45"/>
      <c r="G671" s="45"/>
      <c r="H671" s="45"/>
      <c r="I671" s="45"/>
      <c r="J671" s="45"/>
      <c r="K671" s="45"/>
      <c r="L671" s="45"/>
      <c r="M671" s="45"/>
      <c r="N671" s="45"/>
      <c r="O671" s="47"/>
      <c r="P671" s="45"/>
      <c r="Q671" s="45"/>
      <c r="R671" s="45"/>
      <c r="S671" s="45"/>
      <c r="T671" s="45"/>
      <c r="U671" s="45"/>
      <c r="V671" s="45"/>
      <c r="W671" s="45"/>
      <c r="X671" s="28"/>
      <c r="Y671" s="28"/>
      <c r="Z671" s="28"/>
      <c r="AA671" s="28"/>
      <c r="AB671" s="28"/>
      <c r="AC671" s="28"/>
    </row>
    <row r="672" spans="1:29" ht="13">
      <c r="A672" s="28"/>
      <c r="B672" s="45"/>
      <c r="C672" s="45"/>
      <c r="D672" s="45"/>
      <c r="E672" s="45"/>
      <c r="F672" s="45"/>
      <c r="G672" s="45"/>
      <c r="H672" s="45"/>
      <c r="I672" s="45"/>
      <c r="J672" s="45"/>
      <c r="K672" s="45"/>
      <c r="L672" s="45"/>
      <c r="M672" s="45"/>
      <c r="N672" s="45"/>
      <c r="O672" s="47"/>
      <c r="P672" s="45"/>
      <c r="Q672" s="45"/>
      <c r="R672" s="45"/>
      <c r="S672" s="45"/>
      <c r="T672" s="45"/>
      <c r="U672" s="45"/>
      <c r="V672" s="45"/>
      <c r="W672" s="45"/>
      <c r="X672" s="28"/>
      <c r="Y672" s="28"/>
      <c r="Z672" s="28"/>
      <c r="AA672" s="28"/>
      <c r="AB672" s="28"/>
      <c r="AC672" s="28"/>
    </row>
    <row r="673" spans="1:29" ht="13">
      <c r="A673" s="28"/>
      <c r="B673" s="45"/>
      <c r="C673" s="45"/>
      <c r="D673" s="45"/>
      <c r="E673" s="45"/>
      <c r="F673" s="45"/>
      <c r="G673" s="45"/>
      <c r="H673" s="45"/>
      <c r="I673" s="45"/>
      <c r="J673" s="45"/>
      <c r="K673" s="45"/>
      <c r="L673" s="45"/>
      <c r="M673" s="45"/>
      <c r="N673" s="45"/>
      <c r="O673" s="47"/>
      <c r="P673" s="45"/>
      <c r="Q673" s="45"/>
      <c r="R673" s="45"/>
      <c r="S673" s="45"/>
      <c r="T673" s="45"/>
      <c r="U673" s="45"/>
      <c r="V673" s="45"/>
      <c r="W673" s="45"/>
      <c r="X673" s="28"/>
      <c r="Y673" s="28"/>
      <c r="Z673" s="28"/>
      <c r="AA673" s="28"/>
      <c r="AB673" s="28"/>
      <c r="AC673" s="28"/>
    </row>
    <row r="674" spans="1:29" ht="13">
      <c r="A674" s="28"/>
      <c r="B674" s="45"/>
      <c r="C674" s="45"/>
      <c r="D674" s="45"/>
      <c r="E674" s="45"/>
      <c r="F674" s="45"/>
      <c r="G674" s="45"/>
      <c r="H674" s="45"/>
      <c r="I674" s="45"/>
      <c r="J674" s="45"/>
      <c r="K674" s="45"/>
      <c r="L674" s="45"/>
      <c r="M674" s="45"/>
      <c r="N674" s="45"/>
      <c r="O674" s="47"/>
      <c r="P674" s="45"/>
      <c r="Q674" s="45"/>
      <c r="R674" s="45"/>
      <c r="S674" s="45"/>
      <c r="T674" s="45"/>
      <c r="U674" s="45"/>
      <c r="V674" s="45"/>
      <c r="W674" s="45"/>
      <c r="X674" s="28"/>
      <c r="Y674" s="28"/>
      <c r="Z674" s="28"/>
      <c r="AA674" s="28"/>
      <c r="AB674" s="28"/>
      <c r="AC674" s="28"/>
    </row>
    <row r="675" spans="1:29" ht="13">
      <c r="A675" s="28"/>
      <c r="B675" s="45"/>
      <c r="C675" s="45"/>
      <c r="D675" s="45"/>
      <c r="E675" s="45"/>
      <c r="F675" s="45"/>
      <c r="G675" s="45"/>
      <c r="H675" s="45"/>
      <c r="I675" s="45"/>
      <c r="J675" s="45"/>
      <c r="K675" s="45"/>
      <c r="L675" s="45"/>
      <c r="M675" s="45"/>
      <c r="N675" s="45"/>
      <c r="O675" s="47"/>
      <c r="P675" s="45"/>
      <c r="Q675" s="45"/>
      <c r="R675" s="45"/>
      <c r="S675" s="45"/>
      <c r="T675" s="45"/>
      <c r="U675" s="45"/>
      <c r="V675" s="45"/>
      <c r="W675" s="45"/>
      <c r="X675" s="28"/>
      <c r="Y675" s="28"/>
      <c r="Z675" s="28"/>
      <c r="AA675" s="28"/>
      <c r="AB675" s="28"/>
      <c r="AC675" s="28"/>
    </row>
    <row r="676" spans="1:29" ht="13">
      <c r="A676" s="28"/>
      <c r="B676" s="45"/>
      <c r="C676" s="45"/>
      <c r="D676" s="45"/>
      <c r="E676" s="45"/>
      <c r="F676" s="45"/>
      <c r="G676" s="45"/>
      <c r="H676" s="45"/>
      <c r="I676" s="45"/>
      <c r="J676" s="45"/>
      <c r="K676" s="45"/>
      <c r="L676" s="45"/>
      <c r="M676" s="45"/>
      <c r="N676" s="45"/>
      <c r="O676" s="47"/>
      <c r="P676" s="45"/>
      <c r="Q676" s="45"/>
      <c r="R676" s="45"/>
      <c r="S676" s="45"/>
      <c r="T676" s="45"/>
      <c r="U676" s="45"/>
      <c r="V676" s="45"/>
      <c r="W676" s="45"/>
      <c r="X676" s="28"/>
      <c r="Y676" s="28"/>
      <c r="Z676" s="28"/>
      <c r="AA676" s="28"/>
      <c r="AB676" s="28"/>
      <c r="AC676" s="28"/>
    </row>
    <row r="677" spans="1:29" ht="13">
      <c r="A677" s="28"/>
      <c r="B677" s="45"/>
      <c r="C677" s="45"/>
      <c r="D677" s="45"/>
      <c r="E677" s="45"/>
      <c r="F677" s="45"/>
      <c r="G677" s="45"/>
      <c r="H677" s="45"/>
      <c r="I677" s="45"/>
      <c r="J677" s="45"/>
      <c r="K677" s="45"/>
      <c r="L677" s="45"/>
      <c r="M677" s="45"/>
      <c r="N677" s="45"/>
      <c r="O677" s="47"/>
      <c r="P677" s="45"/>
      <c r="Q677" s="45"/>
      <c r="R677" s="45"/>
      <c r="S677" s="45"/>
      <c r="T677" s="45"/>
      <c r="U677" s="45"/>
      <c r="V677" s="45"/>
      <c r="W677" s="45"/>
      <c r="X677" s="28"/>
      <c r="Y677" s="28"/>
      <c r="Z677" s="28"/>
      <c r="AA677" s="28"/>
      <c r="AB677" s="28"/>
      <c r="AC677" s="28"/>
    </row>
    <row r="678" spans="1:29" ht="13">
      <c r="A678" s="28"/>
      <c r="B678" s="45"/>
      <c r="C678" s="45"/>
      <c r="D678" s="45"/>
      <c r="E678" s="45"/>
      <c r="F678" s="45"/>
      <c r="G678" s="45"/>
      <c r="H678" s="45"/>
      <c r="I678" s="45"/>
      <c r="J678" s="45"/>
      <c r="K678" s="45"/>
      <c r="L678" s="45"/>
      <c r="M678" s="45"/>
      <c r="N678" s="45"/>
      <c r="O678" s="47"/>
      <c r="P678" s="45"/>
      <c r="Q678" s="45"/>
      <c r="R678" s="45"/>
      <c r="S678" s="45"/>
      <c r="T678" s="45"/>
      <c r="U678" s="45"/>
      <c r="V678" s="45"/>
      <c r="W678" s="45"/>
      <c r="X678" s="28"/>
      <c r="Y678" s="28"/>
      <c r="Z678" s="28"/>
      <c r="AA678" s="28"/>
      <c r="AB678" s="28"/>
      <c r="AC678" s="28"/>
    </row>
    <row r="679" spans="1:29" ht="13">
      <c r="A679" s="28"/>
      <c r="B679" s="45"/>
      <c r="C679" s="45"/>
      <c r="D679" s="45"/>
      <c r="E679" s="45"/>
      <c r="F679" s="45"/>
      <c r="G679" s="45"/>
      <c r="H679" s="45"/>
      <c r="I679" s="45"/>
      <c r="J679" s="45"/>
      <c r="K679" s="45"/>
      <c r="L679" s="45"/>
      <c r="M679" s="45"/>
      <c r="N679" s="45"/>
      <c r="O679" s="47"/>
      <c r="P679" s="45"/>
      <c r="Q679" s="45"/>
      <c r="R679" s="45"/>
      <c r="S679" s="45"/>
      <c r="T679" s="45"/>
      <c r="U679" s="45"/>
      <c r="V679" s="45"/>
      <c r="W679" s="45"/>
      <c r="X679" s="28"/>
      <c r="Y679" s="28"/>
      <c r="Z679" s="28"/>
      <c r="AA679" s="28"/>
      <c r="AB679" s="28"/>
      <c r="AC679" s="28"/>
    </row>
    <row r="680" spans="1:29" ht="13">
      <c r="A680" s="28"/>
      <c r="B680" s="45"/>
      <c r="C680" s="45"/>
      <c r="D680" s="45"/>
      <c r="E680" s="45"/>
      <c r="F680" s="45"/>
      <c r="G680" s="45"/>
      <c r="H680" s="45"/>
      <c r="I680" s="45"/>
      <c r="J680" s="45"/>
      <c r="K680" s="45"/>
      <c r="L680" s="45"/>
      <c r="M680" s="45"/>
      <c r="N680" s="45"/>
      <c r="O680" s="47"/>
      <c r="P680" s="45"/>
      <c r="Q680" s="45"/>
      <c r="R680" s="45"/>
      <c r="S680" s="45"/>
      <c r="T680" s="45"/>
      <c r="U680" s="45"/>
      <c r="V680" s="45"/>
      <c r="W680" s="45"/>
      <c r="X680" s="28"/>
      <c r="Y680" s="28"/>
      <c r="Z680" s="28"/>
      <c r="AA680" s="28"/>
      <c r="AB680" s="28"/>
      <c r="AC680" s="28"/>
    </row>
    <row r="681" spans="1:29" ht="13">
      <c r="A681" s="28"/>
      <c r="B681" s="45"/>
      <c r="C681" s="45"/>
      <c r="D681" s="45"/>
      <c r="E681" s="45"/>
      <c r="F681" s="45"/>
      <c r="G681" s="45"/>
      <c r="H681" s="45"/>
      <c r="I681" s="45"/>
      <c r="J681" s="45"/>
      <c r="K681" s="45"/>
      <c r="L681" s="45"/>
      <c r="M681" s="45"/>
      <c r="N681" s="45"/>
      <c r="O681" s="47"/>
      <c r="P681" s="45"/>
      <c r="Q681" s="45"/>
      <c r="R681" s="45"/>
      <c r="S681" s="45"/>
      <c r="T681" s="45"/>
      <c r="U681" s="45"/>
      <c r="V681" s="45"/>
      <c r="W681" s="45"/>
      <c r="X681" s="28"/>
      <c r="Y681" s="28"/>
      <c r="Z681" s="28"/>
      <c r="AA681" s="28"/>
      <c r="AB681" s="28"/>
      <c r="AC681" s="28"/>
    </row>
    <row r="682" spans="1:29" ht="13">
      <c r="A682" s="28"/>
      <c r="B682" s="45"/>
      <c r="C682" s="45"/>
      <c r="D682" s="45"/>
      <c r="E682" s="45"/>
      <c r="F682" s="45"/>
      <c r="G682" s="45"/>
      <c r="H682" s="45"/>
      <c r="I682" s="45"/>
      <c r="J682" s="45"/>
      <c r="K682" s="45"/>
      <c r="L682" s="45"/>
      <c r="M682" s="45"/>
      <c r="N682" s="45"/>
      <c r="O682" s="47"/>
      <c r="P682" s="45"/>
      <c r="Q682" s="45"/>
      <c r="R682" s="45"/>
      <c r="S682" s="45"/>
      <c r="T682" s="45"/>
      <c r="U682" s="45"/>
      <c r="V682" s="45"/>
      <c r="W682" s="45"/>
      <c r="X682" s="28"/>
      <c r="Y682" s="28"/>
      <c r="Z682" s="28"/>
      <c r="AA682" s="28"/>
      <c r="AB682" s="28"/>
      <c r="AC682" s="28"/>
    </row>
    <row r="683" spans="1:29" ht="13">
      <c r="A683" s="28"/>
      <c r="B683" s="45"/>
      <c r="C683" s="45"/>
      <c r="D683" s="45"/>
      <c r="E683" s="45"/>
      <c r="F683" s="45"/>
      <c r="G683" s="45"/>
      <c r="H683" s="45"/>
      <c r="I683" s="45"/>
      <c r="J683" s="45"/>
      <c r="K683" s="45"/>
      <c r="L683" s="45"/>
      <c r="M683" s="45"/>
      <c r="N683" s="45"/>
      <c r="O683" s="47"/>
      <c r="P683" s="45"/>
      <c r="Q683" s="45"/>
      <c r="R683" s="45"/>
      <c r="S683" s="45"/>
      <c r="T683" s="45"/>
      <c r="U683" s="45"/>
      <c r="V683" s="45"/>
      <c r="W683" s="45"/>
      <c r="X683" s="28"/>
      <c r="Y683" s="28"/>
      <c r="Z683" s="28"/>
      <c r="AA683" s="28"/>
      <c r="AB683" s="28"/>
      <c r="AC683" s="28"/>
    </row>
    <row r="684" spans="1:29" ht="13">
      <c r="A684" s="28"/>
      <c r="B684" s="45"/>
      <c r="C684" s="45"/>
      <c r="D684" s="45"/>
      <c r="E684" s="45"/>
      <c r="F684" s="45"/>
      <c r="G684" s="45"/>
      <c r="H684" s="45"/>
      <c r="I684" s="45"/>
      <c r="J684" s="45"/>
      <c r="K684" s="45"/>
      <c r="L684" s="45"/>
      <c r="M684" s="45"/>
      <c r="N684" s="45"/>
      <c r="O684" s="47"/>
      <c r="P684" s="45"/>
      <c r="Q684" s="45"/>
      <c r="R684" s="45"/>
      <c r="S684" s="45"/>
      <c r="T684" s="45"/>
      <c r="U684" s="45"/>
      <c r="V684" s="45"/>
      <c r="W684" s="45"/>
      <c r="X684" s="28"/>
      <c r="Y684" s="28"/>
      <c r="Z684" s="28"/>
      <c r="AA684" s="28"/>
      <c r="AB684" s="28"/>
      <c r="AC684" s="28"/>
    </row>
    <row r="685" spans="1:29" ht="13">
      <c r="A685" s="28"/>
      <c r="B685" s="45"/>
      <c r="C685" s="45"/>
      <c r="D685" s="45"/>
      <c r="E685" s="45"/>
      <c r="F685" s="45"/>
      <c r="G685" s="45"/>
      <c r="H685" s="45"/>
      <c r="I685" s="45"/>
      <c r="J685" s="45"/>
      <c r="K685" s="45"/>
      <c r="L685" s="45"/>
      <c r="M685" s="45"/>
      <c r="N685" s="45"/>
      <c r="O685" s="47"/>
      <c r="P685" s="45"/>
      <c r="Q685" s="45"/>
      <c r="R685" s="45"/>
      <c r="S685" s="45"/>
      <c r="T685" s="45"/>
      <c r="U685" s="45"/>
      <c r="V685" s="45"/>
      <c r="W685" s="45"/>
      <c r="X685" s="28"/>
      <c r="Y685" s="28"/>
      <c r="Z685" s="28"/>
      <c r="AA685" s="28"/>
      <c r="AB685" s="28"/>
      <c r="AC685" s="28"/>
    </row>
    <row r="686" spans="1:29" ht="13">
      <c r="A686" s="28"/>
      <c r="B686" s="45"/>
      <c r="C686" s="45"/>
      <c r="D686" s="45"/>
      <c r="E686" s="45"/>
      <c r="F686" s="45"/>
      <c r="G686" s="45"/>
      <c r="H686" s="45"/>
      <c r="I686" s="45"/>
      <c r="J686" s="45"/>
      <c r="K686" s="45"/>
      <c r="L686" s="45"/>
      <c r="M686" s="45"/>
      <c r="N686" s="45"/>
      <c r="O686" s="47"/>
      <c r="P686" s="45"/>
      <c r="Q686" s="45"/>
      <c r="R686" s="45"/>
      <c r="S686" s="45"/>
      <c r="T686" s="45"/>
      <c r="U686" s="45"/>
      <c r="V686" s="45"/>
      <c r="W686" s="45"/>
      <c r="X686" s="28"/>
      <c r="Y686" s="28"/>
      <c r="Z686" s="28"/>
      <c r="AA686" s="28"/>
      <c r="AB686" s="28"/>
      <c r="AC686" s="28"/>
    </row>
    <row r="687" spans="1:29" ht="13">
      <c r="A687" s="28"/>
      <c r="B687" s="45"/>
      <c r="C687" s="45"/>
      <c r="D687" s="45"/>
      <c r="E687" s="45"/>
      <c r="F687" s="45"/>
      <c r="G687" s="45"/>
      <c r="H687" s="45"/>
      <c r="I687" s="45"/>
      <c r="J687" s="45"/>
      <c r="K687" s="45"/>
      <c r="L687" s="45"/>
      <c r="M687" s="45"/>
      <c r="N687" s="45"/>
      <c r="O687" s="47"/>
      <c r="P687" s="45"/>
      <c r="Q687" s="45"/>
      <c r="R687" s="45"/>
      <c r="S687" s="45"/>
      <c r="T687" s="45"/>
      <c r="U687" s="45"/>
      <c r="V687" s="45"/>
      <c r="W687" s="45"/>
      <c r="X687" s="28"/>
      <c r="Y687" s="28"/>
      <c r="Z687" s="28"/>
      <c r="AA687" s="28"/>
      <c r="AB687" s="28"/>
      <c r="AC687" s="28"/>
    </row>
    <row r="688" spans="1:29" ht="13">
      <c r="A688" s="28"/>
      <c r="B688" s="45"/>
      <c r="C688" s="45"/>
      <c r="D688" s="45"/>
      <c r="E688" s="45"/>
      <c r="F688" s="45"/>
      <c r="G688" s="45"/>
      <c r="H688" s="45"/>
      <c r="I688" s="45"/>
      <c r="J688" s="45"/>
      <c r="K688" s="45"/>
      <c r="L688" s="45"/>
      <c r="M688" s="45"/>
      <c r="N688" s="45"/>
      <c r="O688" s="47"/>
      <c r="P688" s="45"/>
      <c r="Q688" s="45"/>
      <c r="R688" s="45"/>
      <c r="S688" s="45"/>
      <c r="T688" s="45"/>
      <c r="U688" s="45"/>
      <c r="V688" s="45"/>
      <c r="W688" s="45"/>
      <c r="X688" s="28"/>
      <c r="Y688" s="28"/>
      <c r="Z688" s="28"/>
      <c r="AA688" s="28"/>
      <c r="AB688" s="28"/>
      <c r="AC688" s="28"/>
    </row>
    <row r="689" spans="1:29" ht="13">
      <c r="A689" s="28"/>
      <c r="B689" s="45"/>
      <c r="C689" s="45"/>
      <c r="D689" s="45"/>
      <c r="E689" s="45"/>
      <c r="F689" s="45"/>
      <c r="G689" s="45"/>
      <c r="H689" s="45"/>
      <c r="I689" s="45"/>
      <c r="J689" s="45"/>
      <c r="K689" s="45"/>
      <c r="L689" s="45"/>
      <c r="M689" s="45"/>
      <c r="N689" s="45"/>
      <c r="O689" s="47"/>
      <c r="P689" s="45"/>
      <c r="Q689" s="45"/>
      <c r="R689" s="45"/>
      <c r="S689" s="45"/>
      <c r="T689" s="45"/>
      <c r="U689" s="45"/>
      <c r="V689" s="45"/>
      <c r="W689" s="45"/>
      <c r="X689" s="28"/>
      <c r="Y689" s="28"/>
      <c r="Z689" s="28"/>
      <c r="AA689" s="28"/>
      <c r="AB689" s="28"/>
      <c r="AC689" s="28"/>
    </row>
    <row r="690" spans="1:29" ht="13">
      <c r="A690" s="28"/>
      <c r="B690" s="45"/>
      <c r="C690" s="45"/>
      <c r="D690" s="45"/>
      <c r="E690" s="45"/>
      <c r="F690" s="45"/>
      <c r="G690" s="45"/>
      <c r="H690" s="45"/>
      <c r="I690" s="45"/>
      <c r="J690" s="45"/>
      <c r="K690" s="45"/>
      <c r="L690" s="45"/>
      <c r="M690" s="45"/>
      <c r="N690" s="45"/>
      <c r="O690" s="47"/>
      <c r="P690" s="45"/>
      <c r="Q690" s="45"/>
      <c r="R690" s="45"/>
      <c r="S690" s="45"/>
      <c r="T690" s="45"/>
      <c r="U690" s="45"/>
      <c r="V690" s="45"/>
      <c r="W690" s="45"/>
      <c r="X690" s="28"/>
      <c r="Y690" s="28"/>
      <c r="Z690" s="28"/>
      <c r="AA690" s="28"/>
      <c r="AB690" s="28"/>
      <c r="AC690" s="28"/>
    </row>
    <row r="691" spans="1:29" ht="13">
      <c r="A691" s="28"/>
      <c r="B691" s="45"/>
      <c r="C691" s="45"/>
      <c r="D691" s="45"/>
      <c r="E691" s="45"/>
      <c r="F691" s="45"/>
      <c r="G691" s="45"/>
      <c r="H691" s="45"/>
      <c r="I691" s="45"/>
      <c r="J691" s="45"/>
      <c r="K691" s="45"/>
      <c r="L691" s="45"/>
      <c r="M691" s="45"/>
      <c r="N691" s="45"/>
      <c r="O691" s="47"/>
      <c r="P691" s="45"/>
      <c r="Q691" s="45"/>
      <c r="R691" s="45"/>
      <c r="S691" s="45"/>
      <c r="T691" s="45"/>
      <c r="U691" s="45"/>
      <c r="V691" s="45"/>
      <c r="W691" s="45"/>
      <c r="X691" s="28"/>
      <c r="Y691" s="28"/>
      <c r="Z691" s="28"/>
      <c r="AA691" s="28"/>
      <c r="AB691" s="28"/>
      <c r="AC691" s="28"/>
    </row>
    <row r="692" spans="1:29" ht="13">
      <c r="A692" s="28"/>
      <c r="B692" s="45"/>
      <c r="C692" s="45"/>
      <c r="D692" s="45"/>
      <c r="E692" s="45"/>
      <c r="F692" s="45"/>
      <c r="G692" s="45"/>
      <c r="H692" s="45"/>
      <c r="I692" s="45"/>
      <c r="J692" s="45"/>
      <c r="K692" s="45"/>
      <c r="L692" s="45"/>
      <c r="M692" s="45"/>
      <c r="N692" s="45"/>
      <c r="O692" s="47"/>
      <c r="P692" s="45"/>
      <c r="Q692" s="45"/>
      <c r="R692" s="45"/>
      <c r="S692" s="45"/>
      <c r="T692" s="45"/>
      <c r="U692" s="45"/>
      <c r="V692" s="45"/>
      <c r="W692" s="45"/>
      <c r="X692" s="28"/>
      <c r="Y692" s="28"/>
      <c r="Z692" s="28"/>
      <c r="AA692" s="28"/>
      <c r="AB692" s="28"/>
      <c r="AC692" s="28"/>
    </row>
    <row r="693" spans="1:29" ht="13">
      <c r="A693" s="28"/>
      <c r="B693" s="45"/>
      <c r="C693" s="45"/>
      <c r="D693" s="45"/>
      <c r="E693" s="45"/>
      <c r="F693" s="45"/>
      <c r="G693" s="45"/>
      <c r="H693" s="45"/>
      <c r="I693" s="45"/>
      <c r="J693" s="45"/>
      <c r="K693" s="45"/>
      <c r="L693" s="45"/>
      <c r="M693" s="45"/>
      <c r="N693" s="45"/>
      <c r="O693" s="47"/>
      <c r="P693" s="45"/>
      <c r="Q693" s="45"/>
      <c r="R693" s="45"/>
      <c r="S693" s="45"/>
      <c r="T693" s="45"/>
      <c r="U693" s="45"/>
      <c r="V693" s="45"/>
      <c r="W693" s="45"/>
      <c r="X693" s="28"/>
      <c r="Y693" s="28"/>
      <c r="Z693" s="28"/>
      <c r="AA693" s="28"/>
      <c r="AB693" s="28"/>
      <c r="AC693" s="28"/>
    </row>
    <row r="694" spans="1:29" ht="13">
      <c r="A694" s="28"/>
      <c r="B694" s="45"/>
      <c r="C694" s="45"/>
      <c r="D694" s="45"/>
      <c r="E694" s="45"/>
      <c r="F694" s="45"/>
      <c r="G694" s="45"/>
      <c r="H694" s="45"/>
      <c r="I694" s="45"/>
      <c r="J694" s="45"/>
      <c r="K694" s="45"/>
      <c r="L694" s="45"/>
      <c r="M694" s="45"/>
      <c r="N694" s="45"/>
      <c r="O694" s="47"/>
      <c r="P694" s="45"/>
      <c r="Q694" s="45"/>
      <c r="R694" s="45"/>
      <c r="S694" s="45"/>
      <c r="T694" s="45"/>
      <c r="U694" s="45"/>
      <c r="V694" s="45"/>
      <c r="W694" s="45"/>
      <c r="X694" s="28"/>
      <c r="Y694" s="28"/>
      <c r="Z694" s="28"/>
      <c r="AA694" s="28"/>
      <c r="AB694" s="28"/>
      <c r="AC694" s="28"/>
    </row>
    <row r="695" spans="1:29" ht="13">
      <c r="A695" s="28"/>
      <c r="B695" s="45"/>
      <c r="C695" s="45"/>
      <c r="D695" s="45"/>
      <c r="E695" s="45"/>
      <c r="F695" s="45"/>
      <c r="G695" s="45"/>
      <c r="H695" s="45"/>
      <c r="I695" s="45"/>
      <c r="J695" s="45"/>
      <c r="K695" s="45"/>
      <c r="L695" s="45"/>
      <c r="M695" s="45"/>
      <c r="N695" s="45"/>
      <c r="O695" s="47"/>
      <c r="P695" s="45"/>
      <c r="Q695" s="45"/>
      <c r="R695" s="45"/>
      <c r="S695" s="45"/>
      <c r="T695" s="45"/>
      <c r="U695" s="45"/>
      <c r="V695" s="45"/>
      <c r="W695" s="45"/>
      <c r="X695" s="28"/>
      <c r="Y695" s="28"/>
      <c r="Z695" s="28"/>
      <c r="AA695" s="28"/>
      <c r="AB695" s="28"/>
      <c r="AC695" s="28"/>
    </row>
    <row r="696" spans="1:29" ht="13">
      <c r="A696" s="28"/>
      <c r="B696" s="45"/>
      <c r="C696" s="45"/>
      <c r="D696" s="45"/>
      <c r="E696" s="45"/>
      <c r="F696" s="45"/>
      <c r="G696" s="45"/>
      <c r="H696" s="45"/>
      <c r="I696" s="45"/>
      <c r="J696" s="45"/>
      <c r="K696" s="45"/>
      <c r="L696" s="45"/>
      <c r="M696" s="45"/>
      <c r="N696" s="45"/>
      <c r="O696" s="47"/>
      <c r="P696" s="45"/>
      <c r="Q696" s="45"/>
      <c r="R696" s="45"/>
      <c r="S696" s="45"/>
      <c r="T696" s="45"/>
      <c r="U696" s="45"/>
      <c r="V696" s="45"/>
      <c r="W696" s="45"/>
      <c r="X696" s="28"/>
      <c r="Y696" s="28"/>
      <c r="Z696" s="28"/>
      <c r="AA696" s="28"/>
      <c r="AB696" s="28"/>
      <c r="AC696" s="28"/>
    </row>
    <row r="697" spans="1:29" ht="13">
      <c r="A697" s="28"/>
      <c r="B697" s="45"/>
      <c r="C697" s="45"/>
      <c r="D697" s="45"/>
      <c r="E697" s="45"/>
      <c r="F697" s="45"/>
      <c r="G697" s="45"/>
      <c r="H697" s="45"/>
      <c r="I697" s="45"/>
      <c r="J697" s="45"/>
      <c r="K697" s="45"/>
      <c r="L697" s="45"/>
      <c r="M697" s="45"/>
      <c r="N697" s="45"/>
      <c r="O697" s="47"/>
      <c r="P697" s="45"/>
      <c r="Q697" s="45"/>
      <c r="R697" s="45"/>
      <c r="S697" s="45"/>
      <c r="T697" s="45"/>
      <c r="U697" s="45"/>
      <c r="V697" s="45"/>
      <c r="W697" s="45"/>
      <c r="X697" s="28"/>
      <c r="Y697" s="28"/>
      <c r="Z697" s="28"/>
      <c r="AA697" s="28"/>
      <c r="AB697" s="28"/>
      <c r="AC697" s="28"/>
    </row>
    <row r="698" spans="1:29" ht="13">
      <c r="A698" s="28"/>
      <c r="B698" s="45"/>
      <c r="C698" s="45"/>
      <c r="D698" s="45"/>
      <c r="E698" s="45"/>
      <c r="F698" s="45"/>
      <c r="G698" s="45"/>
      <c r="H698" s="45"/>
      <c r="I698" s="45"/>
      <c r="J698" s="45"/>
      <c r="K698" s="45"/>
      <c r="L698" s="45"/>
      <c r="M698" s="45"/>
      <c r="N698" s="45"/>
      <c r="O698" s="47"/>
      <c r="P698" s="45"/>
      <c r="Q698" s="45"/>
      <c r="R698" s="45"/>
      <c r="S698" s="45"/>
      <c r="T698" s="45"/>
      <c r="U698" s="45"/>
      <c r="V698" s="45"/>
      <c r="W698" s="45"/>
      <c r="X698" s="28"/>
      <c r="Y698" s="28"/>
      <c r="Z698" s="28"/>
      <c r="AA698" s="28"/>
      <c r="AB698" s="28"/>
      <c r="AC698" s="28"/>
    </row>
    <row r="699" spans="1:29" ht="13">
      <c r="A699" s="28"/>
      <c r="B699" s="45"/>
      <c r="C699" s="45"/>
      <c r="D699" s="45"/>
      <c r="E699" s="45"/>
      <c r="F699" s="45"/>
      <c r="G699" s="45"/>
      <c r="H699" s="45"/>
      <c r="I699" s="45"/>
      <c r="J699" s="45"/>
      <c r="K699" s="45"/>
      <c r="L699" s="45"/>
      <c r="M699" s="45"/>
      <c r="N699" s="45"/>
      <c r="O699" s="47"/>
      <c r="P699" s="45"/>
      <c r="Q699" s="45"/>
      <c r="R699" s="45"/>
      <c r="S699" s="45"/>
      <c r="T699" s="45"/>
      <c r="U699" s="45"/>
      <c r="V699" s="45"/>
      <c r="W699" s="45"/>
      <c r="X699" s="28"/>
      <c r="Y699" s="28"/>
      <c r="Z699" s="28"/>
      <c r="AA699" s="28"/>
      <c r="AB699" s="28"/>
      <c r="AC699" s="28"/>
    </row>
    <row r="700" spans="1:29" ht="13">
      <c r="A700" s="28"/>
      <c r="B700" s="45"/>
      <c r="C700" s="45"/>
      <c r="D700" s="45"/>
      <c r="E700" s="45"/>
      <c r="F700" s="45"/>
      <c r="G700" s="45"/>
      <c r="H700" s="45"/>
      <c r="I700" s="45"/>
      <c r="J700" s="45"/>
      <c r="K700" s="45"/>
      <c r="L700" s="45"/>
      <c r="M700" s="45"/>
      <c r="N700" s="45"/>
      <c r="O700" s="47"/>
      <c r="P700" s="45"/>
      <c r="Q700" s="45"/>
      <c r="R700" s="45"/>
      <c r="S700" s="45"/>
      <c r="T700" s="45"/>
      <c r="U700" s="45"/>
      <c r="V700" s="45"/>
      <c r="W700" s="45"/>
      <c r="X700" s="28"/>
      <c r="Y700" s="28"/>
      <c r="Z700" s="28"/>
      <c r="AA700" s="28"/>
      <c r="AB700" s="28"/>
      <c r="AC700" s="28"/>
    </row>
    <row r="701" spans="1:29" ht="13">
      <c r="A701" s="28"/>
      <c r="B701" s="45"/>
      <c r="C701" s="45"/>
      <c r="D701" s="45"/>
      <c r="E701" s="45"/>
      <c r="F701" s="45"/>
      <c r="G701" s="45"/>
      <c r="H701" s="45"/>
      <c r="I701" s="45"/>
      <c r="J701" s="45"/>
      <c r="K701" s="45"/>
      <c r="L701" s="45"/>
      <c r="M701" s="45"/>
      <c r="N701" s="45"/>
      <c r="O701" s="47"/>
      <c r="P701" s="45"/>
      <c r="Q701" s="45"/>
      <c r="R701" s="45"/>
      <c r="S701" s="45"/>
      <c r="T701" s="45"/>
      <c r="U701" s="45"/>
      <c r="V701" s="45"/>
      <c r="W701" s="45"/>
      <c r="X701" s="28"/>
      <c r="Y701" s="28"/>
      <c r="Z701" s="28"/>
      <c r="AA701" s="28"/>
      <c r="AB701" s="28"/>
      <c r="AC701" s="28"/>
    </row>
    <row r="702" spans="1:29" ht="13">
      <c r="A702" s="28"/>
      <c r="B702" s="45"/>
      <c r="C702" s="45"/>
      <c r="D702" s="45"/>
      <c r="E702" s="45"/>
      <c r="F702" s="45"/>
      <c r="G702" s="45"/>
      <c r="H702" s="45"/>
      <c r="I702" s="45"/>
      <c r="J702" s="45"/>
      <c r="K702" s="45"/>
      <c r="L702" s="45"/>
      <c r="M702" s="45"/>
      <c r="N702" s="45"/>
      <c r="O702" s="47"/>
      <c r="P702" s="45"/>
      <c r="Q702" s="45"/>
      <c r="R702" s="45"/>
      <c r="S702" s="45"/>
      <c r="T702" s="45"/>
      <c r="U702" s="45"/>
      <c r="V702" s="45"/>
      <c r="W702" s="45"/>
      <c r="X702" s="28"/>
      <c r="Y702" s="28"/>
      <c r="Z702" s="28"/>
      <c r="AA702" s="28"/>
      <c r="AB702" s="28"/>
      <c r="AC702" s="28"/>
    </row>
    <row r="703" spans="1:29" ht="13">
      <c r="A703" s="28"/>
      <c r="B703" s="45"/>
      <c r="C703" s="45"/>
      <c r="D703" s="45"/>
      <c r="E703" s="45"/>
      <c r="F703" s="45"/>
      <c r="G703" s="45"/>
      <c r="H703" s="45"/>
      <c r="I703" s="45"/>
      <c r="J703" s="45"/>
      <c r="K703" s="45"/>
      <c r="L703" s="45"/>
      <c r="M703" s="45"/>
      <c r="N703" s="45"/>
      <c r="O703" s="47"/>
      <c r="P703" s="45"/>
      <c r="Q703" s="45"/>
      <c r="R703" s="45"/>
      <c r="S703" s="45"/>
      <c r="T703" s="45"/>
      <c r="U703" s="45"/>
      <c r="V703" s="45"/>
      <c r="W703" s="45"/>
      <c r="X703" s="28"/>
      <c r="Y703" s="28"/>
      <c r="Z703" s="28"/>
      <c r="AA703" s="28"/>
      <c r="AB703" s="28"/>
      <c r="AC703" s="28"/>
    </row>
    <row r="704" spans="1:29" ht="13">
      <c r="A704" s="28"/>
      <c r="B704" s="45"/>
      <c r="C704" s="45"/>
      <c r="D704" s="45"/>
      <c r="E704" s="45"/>
      <c r="F704" s="45"/>
      <c r="G704" s="45"/>
      <c r="H704" s="45"/>
      <c r="I704" s="45"/>
      <c r="J704" s="45"/>
      <c r="K704" s="45"/>
      <c r="L704" s="45"/>
      <c r="M704" s="45"/>
      <c r="N704" s="45"/>
      <c r="O704" s="47"/>
      <c r="P704" s="45"/>
      <c r="Q704" s="45"/>
      <c r="R704" s="45"/>
      <c r="S704" s="45"/>
      <c r="T704" s="45"/>
      <c r="U704" s="45"/>
      <c r="V704" s="45"/>
      <c r="W704" s="45"/>
      <c r="X704" s="28"/>
      <c r="Y704" s="28"/>
      <c r="Z704" s="28"/>
      <c r="AA704" s="28"/>
      <c r="AB704" s="28"/>
      <c r="AC704" s="28"/>
    </row>
    <row r="705" spans="1:29" ht="13">
      <c r="A705" s="28"/>
      <c r="B705" s="45"/>
      <c r="C705" s="45"/>
      <c r="D705" s="45"/>
      <c r="E705" s="45"/>
      <c r="F705" s="45"/>
      <c r="G705" s="45"/>
      <c r="H705" s="45"/>
      <c r="I705" s="45"/>
      <c r="J705" s="45"/>
      <c r="K705" s="45"/>
      <c r="L705" s="45"/>
      <c r="M705" s="45"/>
      <c r="N705" s="45"/>
      <c r="O705" s="47"/>
      <c r="P705" s="45"/>
      <c r="Q705" s="45"/>
      <c r="R705" s="45"/>
      <c r="S705" s="45"/>
      <c r="T705" s="45"/>
      <c r="U705" s="45"/>
      <c r="V705" s="45"/>
      <c r="W705" s="45"/>
      <c r="X705" s="28"/>
      <c r="Y705" s="28"/>
      <c r="Z705" s="28"/>
      <c r="AA705" s="28"/>
      <c r="AB705" s="28"/>
      <c r="AC705" s="28"/>
    </row>
    <row r="706" spans="1:29" ht="13">
      <c r="A706" s="28"/>
      <c r="B706" s="45"/>
      <c r="C706" s="45"/>
      <c r="D706" s="45"/>
      <c r="E706" s="45"/>
      <c r="F706" s="45"/>
      <c r="G706" s="45"/>
      <c r="H706" s="45"/>
      <c r="I706" s="45"/>
      <c r="J706" s="45"/>
      <c r="K706" s="45"/>
      <c r="L706" s="45"/>
      <c r="M706" s="45"/>
      <c r="N706" s="45"/>
      <c r="O706" s="47"/>
      <c r="P706" s="45"/>
      <c r="Q706" s="45"/>
      <c r="R706" s="45"/>
      <c r="S706" s="45"/>
      <c r="T706" s="45"/>
      <c r="U706" s="45"/>
      <c r="V706" s="45"/>
      <c r="W706" s="45"/>
      <c r="X706" s="28"/>
      <c r="Y706" s="28"/>
      <c r="Z706" s="28"/>
      <c r="AA706" s="28"/>
      <c r="AB706" s="28"/>
      <c r="AC706" s="28"/>
    </row>
    <row r="707" spans="1:29" ht="13">
      <c r="A707" s="28"/>
      <c r="B707" s="45"/>
      <c r="C707" s="45"/>
      <c r="D707" s="45"/>
      <c r="E707" s="45"/>
      <c r="F707" s="45"/>
      <c r="G707" s="45"/>
      <c r="H707" s="45"/>
      <c r="I707" s="45"/>
      <c r="J707" s="45"/>
      <c r="K707" s="45"/>
      <c r="L707" s="45"/>
      <c r="M707" s="45"/>
      <c r="N707" s="45"/>
      <c r="O707" s="47"/>
      <c r="P707" s="45"/>
      <c r="Q707" s="45"/>
      <c r="R707" s="45"/>
      <c r="S707" s="45"/>
      <c r="T707" s="45"/>
      <c r="U707" s="45"/>
      <c r="V707" s="45"/>
      <c r="W707" s="45"/>
      <c r="X707" s="28"/>
      <c r="Y707" s="28"/>
      <c r="Z707" s="28"/>
      <c r="AA707" s="28"/>
      <c r="AB707" s="28"/>
      <c r="AC707" s="28"/>
    </row>
    <row r="708" spans="1:29" ht="13">
      <c r="A708" s="28"/>
      <c r="B708" s="45"/>
      <c r="C708" s="45"/>
      <c r="D708" s="45"/>
      <c r="E708" s="45"/>
      <c r="F708" s="45"/>
      <c r="G708" s="45"/>
      <c r="H708" s="45"/>
      <c r="I708" s="45"/>
      <c r="J708" s="45"/>
      <c r="K708" s="45"/>
      <c r="L708" s="45"/>
      <c r="M708" s="45"/>
      <c r="N708" s="45"/>
      <c r="O708" s="47"/>
      <c r="P708" s="45"/>
      <c r="Q708" s="45"/>
      <c r="R708" s="45"/>
      <c r="S708" s="45"/>
      <c r="T708" s="45"/>
      <c r="U708" s="45"/>
      <c r="V708" s="45"/>
      <c r="W708" s="45"/>
      <c r="X708" s="28"/>
      <c r="Y708" s="28"/>
      <c r="Z708" s="28"/>
      <c r="AA708" s="28"/>
      <c r="AB708" s="28"/>
      <c r="AC708" s="28"/>
    </row>
    <row r="709" spans="1:29" ht="13">
      <c r="A709" s="28"/>
      <c r="B709" s="45"/>
      <c r="C709" s="45"/>
      <c r="D709" s="45"/>
      <c r="E709" s="45"/>
      <c r="F709" s="45"/>
      <c r="G709" s="45"/>
      <c r="H709" s="45"/>
      <c r="I709" s="45"/>
      <c r="J709" s="45"/>
      <c r="K709" s="45"/>
      <c r="L709" s="45"/>
      <c r="M709" s="45"/>
      <c r="N709" s="45"/>
      <c r="O709" s="47"/>
      <c r="P709" s="45"/>
      <c r="Q709" s="45"/>
      <c r="R709" s="45"/>
      <c r="S709" s="45"/>
      <c r="T709" s="45"/>
      <c r="U709" s="45"/>
      <c r="V709" s="45"/>
      <c r="W709" s="45"/>
      <c r="X709" s="28"/>
      <c r="Y709" s="28"/>
      <c r="Z709" s="28"/>
      <c r="AA709" s="28"/>
      <c r="AB709" s="28"/>
      <c r="AC709" s="28"/>
    </row>
    <row r="710" spans="1:29" ht="13">
      <c r="A710" s="28"/>
      <c r="B710" s="45"/>
      <c r="C710" s="45"/>
      <c r="D710" s="45"/>
      <c r="E710" s="45"/>
      <c r="F710" s="45"/>
      <c r="G710" s="45"/>
      <c r="H710" s="45"/>
      <c r="I710" s="45"/>
      <c r="J710" s="45"/>
      <c r="K710" s="45"/>
      <c r="L710" s="45"/>
      <c r="M710" s="45"/>
      <c r="N710" s="45"/>
      <c r="O710" s="47"/>
      <c r="P710" s="45"/>
      <c r="Q710" s="45"/>
      <c r="R710" s="45"/>
      <c r="S710" s="45"/>
      <c r="T710" s="45"/>
      <c r="U710" s="45"/>
      <c r="V710" s="45"/>
      <c r="W710" s="45"/>
      <c r="X710" s="28"/>
      <c r="Y710" s="28"/>
      <c r="Z710" s="28"/>
      <c r="AA710" s="28"/>
      <c r="AB710" s="28"/>
      <c r="AC710" s="28"/>
    </row>
    <row r="711" spans="1:29" ht="13">
      <c r="A711" s="28"/>
      <c r="B711" s="45"/>
      <c r="C711" s="45"/>
      <c r="D711" s="45"/>
      <c r="E711" s="45"/>
      <c r="F711" s="45"/>
      <c r="G711" s="45"/>
      <c r="H711" s="45"/>
      <c r="I711" s="45"/>
      <c r="J711" s="45"/>
      <c r="K711" s="45"/>
      <c r="L711" s="45"/>
      <c r="M711" s="45"/>
      <c r="N711" s="45"/>
      <c r="O711" s="47"/>
      <c r="P711" s="45"/>
      <c r="Q711" s="45"/>
      <c r="R711" s="45"/>
      <c r="S711" s="45"/>
      <c r="T711" s="45"/>
      <c r="U711" s="45"/>
      <c r="V711" s="45"/>
      <c r="W711" s="45"/>
      <c r="X711" s="28"/>
      <c r="Y711" s="28"/>
      <c r="Z711" s="28"/>
      <c r="AA711" s="28"/>
      <c r="AB711" s="28"/>
      <c r="AC711" s="28"/>
    </row>
    <row r="712" spans="1:29" ht="13">
      <c r="A712" s="28"/>
      <c r="B712" s="45"/>
      <c r="C712" s="45"/>
      <c r="D712" s="45"/>
      <c r="E712" s="45"/>
      <c r="F712" s="45"/>
      <c r="G712" s="45"/>
      <c r="H712" s="45"/>
      <c r="I712" s="45"/>
      <c r="J712" s="45"/>
      <c r="K712" s="45"/>
      <c r="L712" s="45"/>
      <c r="M712" s="45"/>
      <c r="N712" s="45"/>
      <c r="O712" s="47"/>
      <c r="P712" s="45"/>
      <c r="Q712" s="45"/>
      <c r="R712" s="45"/>
      <c r="S712" s="45"/>
      <c r="T712" s="45"/>
      <c r="U712" s="45"/>
      <c r="V712" s="45"/>
      <c r="W712" s="45"/>
      <c r="X712" s="28"/>
      <c r="Y712" s="28"/>
      <c r="Z712" s="28"/>
      <c r="AA712" s="28"/>
      <c r="AB712" s="28"/>
      <c r="AC712" s="28"/>
    </row>
    <row r="713" spans="1:29" ht="13">
      <c r="A713" s="28"/>
      <c r="B713" s="45"/>
      <c r="C713" s="45"/>
      <c r="D713" s="45"/>
      <c r="E713" s="45"/>
      <c r="F713" s="45"/>
      <c r="G713" s="45"/>
      <c r="H713" s="45"/>
      <c r="I713" s="45"/>
      <c r="J713" s="45"/>
      <c r="K713" s="45"/>
      <c r="L713" s="45"/>
      <c r="M713" s="45"/>
      <c r="N713" s="45"/>
      <c r="O713" s="47"/>
      <c r="P713" s="45"/>
      <c r="Q713" s="45"/>
      <c r="R713" s="45"/>
      <c r="S713" s="45"/>
      <c r="T713" s="45"/>
      <c r="U713" s="45"/>
      <c r="V713" s="45"/>
      <c r="W713" s="45"/>
      <c r="X713" s="28"/>
      <c r="Y713" s="28"/>
      <c r="Z713" s="28"/>
      <c r="AA713" s="28"/>
      <c r="AB713" s="28"/>
      <c r="AC713" s="28"/>
    </row>
    <row r="714" spans="1:29" ht="13">
      <c r="A714" s="28"/>
      <c r="B714" s="45"/>
      <c r="C714" s="45"/>
      <c r="D714" s="45"/>
      <c r="E714" s="45"/>
      <c r="F714" s="45"/>
      <c r="G714" s="45"/>
      <c r="H714" s="45"/>
      <c r="I714" s="45"/>
      <c r="J714" s="45"/>
      <c r="K714" s="45"/>
      <c r="L714" s="45"/>
      <c r="M714" s="45"/>
      <c r="N714" s="45"/>
      <c r="O714" s="47"/>
      <c r="P714" s="45"/>
      <c r="Q714" s="45"/>
      <c r="R714" s="45"/>
      <c r="S714" s="45"/>
      <c r="T714" s="45"/>
      <c r="U714" s="45"/>
      <c r="V714" s="45"/>
      <c r="W714" s="45"/>
      <c r="X714" s="28"/>
      <c r="Y714" s="28"/>
      <c r="Z714" s="28"/>
      <c r="AA714" s="28"/>
      <c r="AB714" s="28"/>
      <c r="AC714" s="28"/>
    </row>
    <row r="715" spans="1:29" ht="13">
      <c r="A715" s="28"/>
      <c r="B715" s="45"/>
      <c r="C715" s="45"/>
      <c r="D715" s="45"/>
      <c r="E715" s="45"/>
      <c r="F715" s="45"/>
      <c r="G715" s="45"/>
      <c r="H715" s="45"/>
      <c r="I715" s="45"/>
      <c r="J715" s="45"/>
      <c r="K715" s="45"/>
      <c r="L715" s="45"/>
      <c r="M715" s="45"/>
      <c r="N715" s="45"/>
      <c r="O715" s="47"/>
      <c r="P715" s="45"/>
      <c r="Q715" s="45"/>
      <c r="R715" s="45"/>
      <c r="S715" s="45"/>
      <c r="T715" s="45"/>
      <c r="U715" s="45"/>
      <c r="V715" s="45"/>
      <c r="W715" s="45"/>
      <c r="X715" s="28"/>
      <c r="Y715" s="28"/>
      <c r="Z715" s="28"/>
      <c r="AA715" s="28"/>
      <c r="AB715" s="28"/>
      <c r="AC715" s="28"/>
    </row>
    <row r="716" spans="1:29" ht="13">
      <c r="A716" s="28"/>
      <c r="B716" s="45"/>
      <c r="C716" s="45"/>
      <c r="D716" s="45"/>
      <c r="E716" s="45"/>
      <c r="F716" s="45"/>
      <c r="G716" s="45"/>
      <c r="H716" s="45"/>
      <c r="I716" s="45"/>
      <c r="J716" s="45"/>
      <c r="K716" s="45"/>
      <c r="L716" s="45"/>
      <c r="M716" s="45"/>
      <c r="N716" s="45"/>
      <c r="O716" s="47"/>
      <c r="P716" s="45"/>
      <c r="Q716" s="45"/>
      <c r="R716" s="45"/>
      <c r="S716" s="45"/>
      <c r="T716" s="45"/>
      <c r="U716" s="45"/>
      <c r="V716" s="45"/>
      <c r="W716" s="45"/>
      <c r="X716" s="28"/>
      <c r="Y716" s="28"/>
      <c r="Z716" s="28"/>
      <c r="AA716" s="28"/>
      <c r="AB716" s="28"/>
      <c r="AC716" s="28"/>
    </row>
    <row r="717" spans="1:29" ht="13">
      <c r="A717" s="28"/>
      <c r="B717" s="45"/>
      <c r="C717" s="45"/>
      <c r="D717" s="45"/>
      <c r="E717" s="45"/>
      <c r="F717" s="45"/>
      <c r="G717" s="45"/>
      <c r="H717" s="45"/>
      <c r="I717" s="45"/>
      <c r="J717" s="45"/>
      <c r="K717" s="45"/>
      <c r="L717" s="45"/>
      <c r="M717" s="45"/>
      <c r="N717" s="45"/>
      <c r="O717" s="47"/>
      <c r="P717" s="45"/>
      <c r="Q717" s="45"/>
      <c r="R717" s="45"/>
      <c r="S717" s="45"/>
      <c r="T717" s="45"/>
      <c r="U717" s="45"/>
      <c r="V717" s="45"/>
      <c r="W717" s="45"/>
      <c r="X717" s="28"/>
      <c r="Y717" s="28"/>
      <c r="Z717" s="28"/>
      <c r="AA717" s="28"/>
      <c r="AB717" s="28"/>
      <c r="AC717" s="28"/>
    </row>
    <row r="718" spans="1:29" ht="13">
      <c r="A718" s="28"/>
      <c r="B718" s="45"/>
      <c r="C718" s="45"/>
      <c r="D718" s="45"/>
      <c r="E718" s="45"/>
      <c r="F718" s="45"/>
      <c r="G718" s="45"/>
      <c r="H718" s="45"/>
      <c r="I718" s="45"/>
      <c r="J718" s="45"/>
      <c r="K718" s="45"/>
      <c r="L718" s="45"/>
      <c r="M718" s="45"/>
      <c r="N718" s="45"/>
      <c r="O718" s="47"/>
      <c r="P718" s="45"/>
      <c r="Q718" s="45"/>
      <c r="R718" s="45"/>
      <c r="S718" s="45"/>
      <c r="T718" s="45"/>
      <c r="U718" s="45"/>
      <c r="V718" s="45"/>
      <c r="W718" s="45"/>
      <c r="X718" s="28"/>
      <c r="Y718" s="28"/>
      <c r="Z718" s="28"/>
      <c r="AA718" s="28"/>
      <c r="AB718" s="28"/>
      <c r="AC718" s="28"/>
    </row>
    <row r="719" spans="1:29" ht="13">
      <c r="A719" s="28"/>
      <c r="B719" s="45"/>
      <c r="C719" s="45"/>
      <c r="D719" s="45"/>
      <c r="E719" s="45"/>
      <c r="F719" s="45"/>
      <c r="G719" s="45"/>
      <c r="H719" s="45"/>
      <c r="I719" s="45"/>
      <c r="J719" s="45"/>
      <c r="K719" s="45"/>
      <c r="L719" s="45"/>
      <c r="M719" s="45"/>
      <c r="N719" s="45"/>
      <c r="O719" s="47"/>
      <c r="P719" s="45"/>
      <c r="Q719" s="45"/>
      <c r="R719" s="45"/>
      <c r="S719" s="45"/>
      <c r="T719" s="45"/>
      <c r="U719" s="45"/>
      <c r="V719" s="45"/>
      <c r="W719" s="45"/>
      <c r="X719" s="28"/>
      <c r="Y719" s="28"/>
      <c r="Z719" s="28"/>
      <c r="AA719" s="28"/>
      <c r="AB719" s="28"/>
      <c r="AC719" s="28"/>
    </row>
    <row r="720" spans="1:29" ht="13">
      <c r="A720" s="28"/>
      <c r="B720" s="45"/>
      <c r="C720" s="45"/>
      <c r="D720" s="45"/>
      <c r="E720" s="45"/>
      <c r="F720" s="45"/>
      <c r="G720" s="45"/>
      <c r="H720" s="45"/>
      <c r="I720" s="45"/>
      <c r="J720" s="45"/>
      <c r="K720" s="45"/>
      <c r="L720" s="45"/>
      <c r="M720" s="45"/>
      <c r="N720" s="45"/>
      <c r="O720" s="47"/>
      <c r="P720" s="45"/>
      <c r="Q720" s="45"/>
      <c r="R720" s="45"/>
      <c r="S720" s="45"/>
      <c r="T720" s="45"/>
      <c r="U720" s="45"/>
      <c r="V720" s="45"/>
      <c r="W720" s="45"/>
      <c r="X720" s="28"/>
      <c r="Y720" s="28"/>
      <c r="Z720" s="28"/>
      <c r="AA720" s="28"/>
      <c r="AB720" s="28"/>
      <c r="AC720" s="28"/>
    </row>
    <row r="721" spans="1:29" ht="13">
      <c r="A721" s="28"/>
      <c r="B721" s="45"/>
      <c r="C721" s="45"/>
      <c r="D721" s="45"/>
      <c r="E721" s="45"/>
      <c r="F721" s="45"/>
      <c r="G721" s="45"/>
      <c r="H721" s="45"/>
      <c r="I721" s="45"/>
      <c r="J721" s="45"/>
      <c r="K721" s="45"/>
      <c r="L721" s="45"/>
      <c r="M721" s="45"/>
      <c r="N721" s="45"/>
      <c r="O721" s="47"/>
      <c r="P721" s="45"/>
      <c r="Q721" s="45"/>
      <c r="R721" s="45"/>
      <c r="S721" s="45"/>
      <c r="T721" s="45"/>
      <c r="U721" s="45"/>
      <c r="V721" s="45"/>
      <c r="W721" s="45"/>
      <c r="X721" s="28"/>
      <c r="Y721" s="28"/>
      <c r="Z721" s="28"/>
      <c r="AA721" s="28"/>
      <c r="AB721" s="28"/>
      <c r="AC721" s="28"/>
    </row>
    <row r="722" spans="1:29" ht="13">
      <c r="A722" s="28"/>
      <c r="B722" s="45"/>
      <c r="C722" s="45"/>
      <c r="D722" s="45"/>
      <c r="E722" s="45"/>
      <c r="F722" s="45"/>
      <c r="G722" s="45"/>
      <c r="H722" s="45"/>
      <c r="I722" s="45"/>
      <c r="J722" s="45"/>
      <c r="K722" s="45"/>
      <c r="L722" s="45"/>
      <c r="M722" s="45"/>
      <c r="N722" s="45"/>
      <c r="O722" s="47"/>
      <c r="P722" s="45"/>
      <c r="Q722" s="45"/>
      <c r="R722" s="45"/>
      <c r="S722" s="45"/>
      <c r="T722" s="45"/>
      <c r="U722" s="45"/>
      <c r="V722" s="45"/>
      <c r="W722" s="45"/>
      <c r="X722" s="28"/>
      <c r="Y722" s="28"/>
      <c r="Z722" s="28"/>
      <c r="AA722" s="28"/>
      <c r="AB722" s="28"/>
      <c r="AC722" s="28"/>
    </row>
    <row r="723" spans="1:29" ht="13">
      <c r="A723" s="28"/>
      <c r="B723" s="45"/>
      <c r="C723" s="45"/>
      <c r="D723" s="45"/>
      <c r="E723" s="45"/>
      <c r="F723" s="45"/>
      <c r="G723" s="45"/>
      <c r="H723" s="45"/>
      <c r="I723" s="45"/>
      <c r="J723" s="45"/>
      <c r="K723" s="45"/>
      <c r="L723" s="45"/>
      <c r="M723" s="45"/>
      <c r="N723" s="45"/>
      <c r="O723" s="47"/>
      <c r="P723" s="45"/>
      <c r="Q723" s="45"/>
      <c r="R723" s="45"/>
      <c r="S723" s="45"/>
      <c r="T723" s="45"/>
      <c r="U723" s="45"/>
      <c r="V723" s="45"/>
      <c r="W723" s="45"/>
      <c r="X723" s="28"/>
      <c r="Y723" s="28"/>
      <c r="Z723" s="28"/>
      <c r="AA723" s="28"/>
      <c r="AB723" s="28"/>
      <c r="AC723" s="28"/>
    </row>
    <row r="724" spans="1:29" ht="13">
      <c r="A724" s="28"/>
      <c r="B724" s="45"/>
      <c r="C724" s="45"/>
      <c r="D724" s="45"/>
      <c r="E724" s="45"/>
      <c r="F724" s="45"/>
      <c r="G724" s="45"/>
      <c r="H724" s="45"/>
      <c r="I724" s="45"/>
      <c r="J724" s="45"/>
      <c r="K724" s="45"/>
      <c r="L724" s="45"/>
      <c r="M724" s="45"/>
      <c r="N724" s="45"/>
      <c r="O724" s="47"/>
      <c r="P724" s="45"/>
      <c r="Q724" s="45"/>
      <c r="R724" s="45"/>
      <c r="S724" s="45"/>
      <c r="T724" s="45"/>
      <c r="U724" s="45"/>
      <c r="V724" s="45"/>
      <c r="W724" s="45"/>
      <c r="X724" s="28"/>
      <c r="Y724" s="28"/>
      <c r="Z724" s="28"/>
      <c r="AA724" s="28"/>
      <c r="AB724" s="28"/>
      <c r="AC724" s="28"/>
    </row>
    <row r="725" spans="1:29" ht="13">
      <c r="A725" s="28"/>
      <c r="B725" s="45"/>
      <c r="C725" s="45"/>
      <c r="D725" s="45"/>
      <c r="E725" s="45"/>
      <c r="F725" s="45"/>
      <c r="G725" s="45"/>
      <c r="H725" s="45"/>
      <c r="I725" s="45"/>
      <c r="J725" s="45"/>
      <c r="K725" s="45"/>
      <c r="L725" s="45"/>
      <c r="M725" s="45"/>
      <c r="N725" s="45"/>
      <c r="O725" s="47"/>
      <c r="P725" s="45"/>
      <c r="Q725" s="45"/>
      <c r="R725" s="45"/>
      <c r="S725" s="45"/>
      <c r="T725" s="45"/>
      <c r="U725" s="45"/>
      <c r="V725" s="45"/>
      <c r="W725" s="45"/>
      <c r="X725" s="28"/>
      <c r="Y725" s="28"/>
      <c r="Z725" s="28"/>
      <c r="AA725" s="28"/>
      <c r="AB725" s="28"/>
      <c r="AC725" s="28"/>
    </row>
    <row r="726" spans="1:29" ht="13">
      <c r="A726" s="28"/>
      <c r="B726" s="45"/>
      <c r="C726" s="45"/>
      <c r="D726" s="45"/>
      <c r="E726" s="45"/>
      <c r="F726" s="45"/>
      <c r="G726" s="45"/>
      <c r="H726" s="45"/>
      <c r="I726" s="45"/>
      <c r="J726" s="45"/>
      <c r="K726" s="45"/>
      <c r="L726" s="45"/>
      <c r="M726" s="45"/>
      <c r="N726" s="45"/>
      <c r="O726" s="47"/>
      <c r="P726" s="45"/>
      <c r="Q726" s="45"/>
      <c r="R726" s="45"/>
      <c r="S726" s="45"/>
      <c r="T726" s="45"/>
      <c r="U726" s="45"/>
      <c r="V726" s="45"/>
      <c r="W726" s="45"/>
      <c r="X726" s="28"/>
      <c r="Y726" s="28"/>
      <c r="Z726" s="28"/>
      <c r="AA726" s="28"/>
      <c r="AB726" s="28"/>
      <c r="AC726" s="28"/>
    </row>
    <row r="727" spans="1:29" ht="13">
      <c r="A727" s="28"/>
      <c r="B727" s="45"/>
      <c r="C727" s="45"/>
      <c r="D727" s="45"/>
      <c r="E727" s="45"/>
      <c r="F727" s="45"/>
      <c r="G727" s="45"/>
      <c r="H727" s="45"/>
      <c r="I727" s="45"/>
      <c r="J727" s="45"/>
      <c r="K727" s="45"/>
      <c r="L727" s="45"/>
      <c r="M727" s="45"/>
      <c r="N727" s="45"/>
      <c r="O727" s="47"/>
      <c r="P727" s="45"/>
      <c r="Q727" s="45"/>
      <c r="R727" s="45"/>
      <c r="S727" s="45"/>
      <c r="T727" s="45"/>
      <c r="U727" s="45"/>
      <c r="V727" s="45"/>
      <c r="W727" s="45"/>
      <c r="X727" s="28"/>
      <c r="Y727" s="28"/>
      <c r="Z727" s="28"/>
      <c r="AA727" s="28"/>
      <c r="AB727" s="28"/>
      <c r="AC727" s="28"/>
    </row>
    <row r="728" spans="1:29" ht="13">
      <c r="A728" s="28"/>
      <c r="B728" s="45"/>
      <c r="C728" s="45"/>
      <c r="D728" s="45"/>
      <c r="E728" s="45"/>
      <c r="F728" s="45"/>
      <c r="G728" s="45"/>
      <c r="H728" s="45"/>
      <c r="I728" s="45"/>
      <c r="J728" s="45"/>
      <c r="K728" s="45"/>
      <c r="L728" s="45"/>
      <c r="M728" s="45"/>
      <c r="N728" s="45"/>
      <c r="O728" s="47"/>
      <c r="P728" s="45"/>
      <c r="Q728" s="45"/>
      <c r="R728" s="45"/>
      <c r="S728" s="45"/>
      <c r="T728" s="45"/>
      <c r="U728" s="45"/>
      <c r="V728" s="45"/>
      <c r="W728" s="45"/>
      <c r="X728" s="28"/>
      <c r="Y728" s="28"/>
      <c r="Z728" s="28"/>
      <c r="AA728" s="28"/>
      <c r="AB728" s="28"/>
      <c r="AC728" s="28"/>
    </row>
    <row r="729" spans="1:29" ht="13">
      <c r="A729" s="28"/>
      <c r="B729" s="45"/>
      <c r="C729" s="45"/>
      <c r="D729" s="45"/>
      <c r="E729" s="45"/>
      <c r="F729" s="45"/>
      <c r="G729" s="45"/>
      <c r="H729" s="45"/>
      <c r="I729" s="45"/>
      <c r="J729" s="45"/>
      <c r="K729" s="45"/>
      <c r="L729" s="45"/>
      <c r="M729" s="45"/>
      <c r="N729" s="45"/>
      <c r="O729" s="47"/>
      <c r="P729" s="45"/>
      <c r="Q729" s="45"/>
      <c r="R729" s="45"/>
      <c r="S729" s="45"/>
      <c r="T729" s="45"/>
      <c r="U729" s="45"/>
      <c r="V729" s="45"/>
      <c r="W729" s="45"/>
      <c r="X729" s="28"/>
      <c r="Y729" s="28"/>
      <c r="Z729" s="28"/>
      <c r="AA729" s="28"/>
      <c r="AB729" s="28"/>
      <c r="AC729" s="28"/>
    </row>
    <row r="730" spans="1:29" ht="13">
      <c r="A730" s="28"/>
      <c r="B730" s="45"/>
      <c r="C730" s="45"/>
      <c r="D730" s="45"/>
      <c r="E730" s="45"/>
      <c r="F730" s="45"/>
      <c r="G730" s="45"/>
      <c r="H730" s="45"/>
      <c r="I730" s="45"/>
      <c r="J730" s="45"/>
      <c r="K730" s="45"/>
      <c r="L730" s="45"/>
      <c r="M730" s="45"/>
      <c r="N730" s="45"/>
      <c r="O730" s="47"/>
      <c r="P730" s="45"/>
      <c r="Q730" s="45"/>
      <c r="R730" s="45"/>
      <c r="S730" s="45"/>
      <c r="T730" s="45"/>
      <c r="U730" s="45"/>
      <c r="V730" s="45"/>
      <c r="W730" s="45"/>
      <c r="X730" s="28"/>
      <c r="Y730" s="28"/>
      <c r="Z730" s="28"/>
      <c r="AA730" s="28"/>
      <c r="AB730" s="28"/>
      <c r="AC730" s="28"/>
    </row>
    <row r="731" spans="1:29" ht="13">
      <c r="A731" s="28"/>
      <c r="B731" s="45"/>
      <c r="C731" s="45"/>
      <c r="D731" s="45"/>
      <c r="E731" s="45"/>
      <c r="F731" s="45"/>
      <c r="G731" s="45"/>
      <c r="H731" s="45"/>
      <c r="I731" s="45"/>
      <c r="J731" s="45"/>
      <c r="K731" s="45"/>
      <c r="L731" s="45"/>
      <c r="M731" s="45"/>
      <c r="N731" s="45"/>
      <c r="O731" s="47"/>
      <c r="P731" s="45"/>
      <c r="Q731" s="45"/>
      <c r="R731" s="45"/>
      <c r="S731" s="45"/>
      <c r="T731" s="45"/>
      <c r="U731" s="45"/>
      <c r="V731" s="45"/>
      <c r="W731" s="45"/>
      <c r="X731" s="28"/>
      <c r="Y731" s="28"/>
      <c r="Z731" s="28"/>
      <c r="AA731" s="28"/>
      <c r="AB731" s="28"/>
      <c r="AC731" s="28"/>
    </row>
    <row r="732" spans="1:29" ht="13">
      <c r="A732" s="28"/>
      <c r="B732" s="45"/>
      <c r="C732" s="45"/>
      <c r="D732" s="45"/>
      <c r="E732" s="45"/>
      <c r="F732" s="45"/>
      <c r="G732" s="45"/>
      <c r="H732" s="45"/>
      <c r="I732" s="45"/>
      <c r="J732" s="45"/>
      <c r="K732" s="45"/>
      <c r="L732" s="45"/>
      <c r="M732" s="45"/>
      <c r="N732" s="45"/>
      <c r="O732" s="47"/>
      <c r="P732" s="45"/>
      <c r="Q732" s="45"/>
      <c r="R732" s="45"/>
      <c r="S732" s="45"/>
      <c r="T732" s="45"/>
      <c r="U732" s="45"/>
      <c r="V732" s="45"/>
      <c r="W732" s="45"/>
      <c r="X732" s="28"/>
      <c r="Y732" s="28"/>
      <c r="Z732" s="28"/>
      <c r="AA732" s="28"/>
      <c r="AB732" s="28"/>
      <c r="AC732" s="28"/>
    </row>
    <row r="733" spans="1:29" ht="13">
      <c r="A733" s="28"/>
      <c r="B733" s="45"/>
      <c r="C733" s="45"/>
      <c r="D733" s="45"/>
      <c r="E733" s="45"/>
      <c r="F733" s="45"/>
      <c r="G733" s="45"/>
      <c r="H733" s="45"/>
      <c r="I733" s="45"/>
      <c r="J733" s="45"/>
      <c r="K733" s="45"/>
      <c r="L733" s="45"/>
      <c r="M733" s="45"/>
      <c r="N733" s="45"/>
      <c r="O733" s="47"/>
      <c r="P733" s="45"/>
      <c r="Q733" s="45"/>
      <c r="R733" s="45"/>
      <c r="S733" s="45"/>
      <c r="T733" s="45"/>
      <c r="U733" s="45"/>
      <c r="V733" s="45"/>
      <c r="W733" s="45"/>
      <c r="X733" s="28"/>
      <c r="Y733" s="28"/>
      <c r="Z733" s="28"/>
      <c r="AA733" s="28"/>
      <c r="AB733" s="28"/>
      <c r="AC733" s="28"/>
    </row>
    <row r="734" spans="1:29" ht="13">
      <c r="A734" s="28"/>
      <c r="B734" s="45"/>
      <c r="C734" s="45"/>
      <c r="D734" s="45"/>
      <c r="E734" s="45"/>
      <c r="F734" s="45"/>
      <c r="G734" s="45"/>
      <c r="H734" s="45"/>
      <c r="I734" s="45"/>
      <c r="J734" s="45"/>
      <c r="K734" s="45"/>
      <c r="L734" s="45"/>
      <c r="M734" s="45"/>
      <c r="N734" s="45"/>
      <c r="O734" s="47"/>
      <c r="P734" s="45"/>
      <c r="Q734" s="45"/>
      <c r="R734" s="45"/>
      <c r="S734" s="45"/>
      <c r="T734" s="45"/>
      <c r="U734" s="45"/>
      <c r="V734" s="45"/>
      <c r="W734" s="45"/>
      <c r="X734" s="28"/>
      <c r="Y734" s="28"/>
      <c r="Z734" s="28"/>
      <c r="AA734" s="28"/>
      <c r="AB734" s="28"/>
      <c r="AC734" s="28"/>
    </row>
    <row r="735" spans="1:29" ht="13">
      <c r="A735" s="28"/>
      <c r="B735" s="45"/>
      <c r="C735" s="45"/>
      <c r="D735" s="45"/>
      <c r="E735" s="45"/>
      <c r="F735" s="45"/>
      <c r="G735" s="45"/>
      <c r="H735" s="45"/>
      <c r="I735" s="45"/>
      <c r="J735" s="45"/>
      <c r="K735" s="45"/>
      <c r="L735" s="45"/>
      <c r="M735" s="45"/>
      <c r="N735" s="45"/>
      <c r="O735" s="47"/>
      <c r="P735" s="45"/>
      <c r="Q735" s="45"/>
      <c r="R735" s="45"/>
      <c r="S735" s="45"/>
      <c r="T735" s="45"/>
      <c r="U735" s="45"/>
      <c r="V735" s="45"/>
      <c r="W735" s="45"/>
      <c r="X735" s="28"/>
      <c r="Y735" s="28"/>
      <c r="Z735" s="28"/>
      <c r="AA735" s="28"/>
      <c r="AB735" s="28"/>
      <c r="AC735" s="28"/>
    </row>
    <row r="736" spans="1:29" ht="13">
      <c r="A736" s="28"/>
      <c r="B736" s="45"/>
      <c r="C736" s="45"/>
      <c r="D736" s="45"/>
      <c r="E736" s="45"/>
      <c r="F736" s="45"/>
      <c r="G736" s="45"/>
      <c r="H736" s="45"/>
      <c r="I736" s="45"/>
      <c r="J736" s="45"/>
      <c r="K736" s="45"/>
      <c r="L736" s="45"/>
      <c r="M736" s="45"/>
      <c r="N736" s="45"/>
      <c r="O736" s="47"/>
      <c r="P736" s="45"/>
      <c r="Q736" s="45"/>
      <c r="R736" s="45"/>
      <c r="S736" s="45"/>
      <c r="T736" s="45"/>
      <c r="U736" s="45"/>
      <c r="V736" s="45"/>
      <c r="W736" s="45"/>
      <c r="X736" s="28"/>
      <c r="Y736" s="28"/>
      <c r="Z736" s="28"/>
      <c r="AA736" s="28"/>
      <c r="AB736" s="28"/>
      <c r="AC736" s="28"/>
    </row>
    <row r="737" spans="1:29" ht="13">
      <c r="A737" s="28"/>
      <c r="B737" s="45"/>
      <c r="C737" s="45"/>
      <c r="D737" s="45"/>
      <c r="E737" s="45"/>
      <c r="F737" s="45"/>
      <c r="G737" s="45"/>
      <c r="H737" s="45"/>
      <c r="I737" s="45"/>
      <c r="J737" s="45"/>
      <c r="K737" s="45"/>
      <c r="L737" s="45"/>
      <c r="M737" s="45"/>
      <c r="N737" s="45"/>
      <c r="O737" s="47"/>
      <c r="P737" s="45"/>
      <c r="Q737" s="45"/>
      <c r="R737" s="45"/>
      <c r="S737" s="45"/>
      <c r="T737" s="45"/>
      <c r="U737" s="45"/>
      <c r="V737" s="45"/>
      <c r="W737" s="45"/>
      <c r="X737" s="28"/>
      <c r="Y737" s="28"/>
      <c r="Z737" s="28"/>
      <c r="AA737" s="28"/>
      <c r="AB737" s="28"/>
      <c r="AC737" s="28"/>
    </row>
    <row r="738" spans="1:29" ht="13">
      <c r="A738" s="28"/>
      <c r="B738" s="45"/>
      <c r="C738" s="45"/>
      <c r="D738" s="45"/>
      <c r="E738" s="45"/>
      <c r="F738" s="45"/>
      <c r="G738" s="45"/>
      <c r="H738" s="45"/>
      <c r="I738" s="45"/>
      <c r="J738" s="45"/>
      <c r="K738" s="45"/>
      <c r="L738" s="45"/>
      <c r="M738" s="45"/>
      <c r="N738" s="45"/>
      <c r="O738" s="47"/>
      <c r="P738" s="45"/>
      <c r="Q738" s="45"/>
      <c r="R738" s="45"/>
      <c r="S738" s="45"/>
      <c r="T738" s="45"/>
      <c r="U738" s="45"/>
      <c r="V738" s="45"/>
      <c r="W738" s="45"/>
      <c r="X738" s="28"/>
      <c r="Y738" s="28"/>
      <c r="Z738" s="28"/>
      <c r="AA738" s="28"/>
      <c r="AB738" s="28"/>
      <c r="AC738" s="28"/>
    </row>
    <row r="739" spans="1:29" ht="13">
      <c r="A739" s="28"/>
      <c r="B739" s="45"/>
      <c r="C739" s="45"/>
      <c r="D739" s="45"/>
      <c r="E739" s="45"/>
      <c r="F739" s="45"/>
      <c r="G739" s="45"/>
      <c r="H739" s="45"/>
      <c r="I739" s="45"/>
      <c r="J739" s="45"/>
      <c r="K739" s="45"/>
      <c r="L739" s="45"/>
      <c r="M739" s="45"/>
      <c r="N739" s="45"/>
      <c r="O739" s="47"/>
      <c r="P739" s="45"/>
      <c r="Q739" s="45"/>
      <c r="R739" s="45"/>
      <c r="S739" s="45"/>
      <c r="T739" s="45"/>
      <c r="U739" s="45"/>
      <c r="V739" s="45"/>
      <c r="W739" s="45"/>
      <c r="X739" s="28"/>
      <c r="Y739" s="28"/>
      <c r="Z739" s="28"/>
      <c r="AA739" s="28"/>
      <c r="AB739" s="28"/>
      <c r="AC739" s="28"/>
    </row>
    <row r="740" spans="1:29" ht="13">
      <c r="A740" s="28"/>
      <c r="B740" s="45"/>
      <c r="C740" s="45"/>
      <c r="D740" s="45"/>
      <c r="E740" s="45"/>
      <c r="F740" s="45"/>
      <c r="G740" s="45"/>
      <c r="H740" s="45"/>
      <c r="I740" s="45"/>
      <c r="J740" s="45"/>
      <c r="K740" s="45"/>
      <c r="L740" s="45"/>
      <c r="M740" s="45"/>
      <c r="N740" s="45"/>
      <c r="O740" s="47"/>
      <c r="P740" s="45"/>
      <c r="Q740" s="45"/>
      <c r="R740" s="45"/>
      <c r="S740" s="45"/>
      <c r="T740" s="45"/>
      <c r="U740" s="45"/>
      <c r="V740" s="45"/>
      <c r="W740" s="45"/>
      <c r="X740" s="28"/>
      <c r="Y740" s="28"/>
      <c r="Z740" s="28"/>
      <c r="AA740" s="28"/>
      <c r="AB740" s="28"/>
      <c r="AC740" s="28"/>
    </row>
    <row r="741" spans="1:29" ht="13">
      <c r="A741" s="28"/>
      <c r="B741" s="45"/>
      <c r="C741" s="45"/>
      <c r="D741" s="45"/>
      <c r="E741" s="45"/>
      <c r="F741" s="45"/>
      <c r="G741" s="45"/>
      <c r="H741" s="45"/>
      <c r="I741" s="45"/>
      <c r="J741" s="45"/>
      <c r="K741" s="45"/>
      <c r="L741" s="45"/>
      <c r="M741" s="45"/>
      <c r="N741" s="45"/>
      <c r="O741" s="47"/>
      <c r="P741" s="45"/>
      <c r="Q741" s="45"/>
      <c r="R741" s="45"/>
      <c r="S741" s="45"/>
      <c r="T741" s="45"/>
      <c r="U741" s="45"/>
      <c r="V741" s="45"/>
      <c r="W741" s="45"/>
      <c r="X741" s="28"/>
      <c r="Y741" s="28"/>
      <c r="Z741" s="28"/>
      <c r="AA741" s="28"/>
      <c r="AB741" s="28"/>
      <c r="AC741" s="28"/>
    </row>
    <row r="742" spans="1:29" ht="13">
      <c r="A742" s="28"/>
      <c r="B742" s="45"/>
      <c r="C742" s="45"/>
      <c r="D742" s="45"/>
      <c r="E742" s="45"/>
      <c r="F742" s="45"/>
      <c r="G742" s="45"/>
      <c r="H742" s="45"/>
      <c r="I742" s="45"/>
      <c r="J742" s="45"/>
      <c r="K742" s="45"/>
      <c r="L742" s="45"/>
      <c r="M742" s="45"/>
      <c r="N742" s="45"/>
      <c r="O742" s="47"/>
      <c r="P742" s="45"/>
      <c r="Q742" s="45"/>
      <c r="R742" s="45"/>
      <c r="S742" s="45"/>
      <c r="T742" s="45"/>
      <c r="U742" s="45"/>
      <c r="V742" s="45"/>
      <c r="W742" s="45"/>
      <c r="X742" s="28"/>
      <c r="Y742" s="28"/>
      <c r="Z742" s="28"/>
      <c r="AA742" s="28"/>
      <c r="AB742" s="28"/>
      <c r="AC742" s="28"/>
    </row>
    <row r="743" spans="1:29" ht="13">
      <c r="A743" s="28"/>
      <c r="B743" s="45"/>
      <c r="C743" s="45"/>
      <c r="D743" s="45"/>
      <c r="E743" s="45"/>
      <c r="F743" s="45"/>
      <c r="G743" s="45"/>
      <c r="H743" s="45"/>
      <c r="I743" s="45"/>
      <c r="J743" s="45"/>
      <c r="K743" s="45"/>
      <c r="L743" s="45"/>
      <c r="M743" s="45"/>
      <c r="N743" s="45"/>
      <c r="O743" s="47"/>
      <c r="P743" s="45"/>
      <c r="Q743" s="45"/>
      <c r="R743" s="45"/>
      <c r="S743" s="45"/>
      <c r="T743" s="45"/>
      <c r="U743" s="45"/>
      <c r="V743" s="45"/>
      <c r="W743" s="45"/>
      <c r="X743" s="28"/>
      <c r="Y743" s="28"/>
      <c r="Z743" s="28"/>
      <c r="AA743" s="28"/>
      <c r="AB743" s="28"/>
      <c r="AC743" s="28"/>
    </row>
    <row r="744" spans="1:29" ht="13">
      <c r="A744" s="28"/>
      <c r="B744" s="45"/>
      <c r="C744" s="45"/>
      <c r="D744" s="45"/>
      <c r="E744" s="45"/>
      <c r="F744" s="45"/>
      <c r="G744" s="45"/>
      <c r="H744" s="45"/>
      <c r="I744" s="45"/>
      <c r="J744" s="45"/>
      <c r="K744" s="45"/>
      <c r="L744" s="45"/>
      <c r="M744" s="45"/>
      <c r="N744" s="45"/>
      <c r="O744" s="47"/>
      <c r="P744" s="45"/>
      <c r="Q744" s="45"/>
      <c r="R744" s="45"/>
      <c r="S744" s="45"/>
      <c r="T744" s="45"/>
      <c r="U744" s="45"/>
      <c r="V744" s="45"/>
      <c r="W744" s="45"/>
      <c r="X744" s="28"/>
      <c r="Y744" s="28"/>
      <c r="Z744" s="28"/>
      <c r="AA744" s="28"/>
      <c r="AB744" s="28"/>
      <c r="AC744" s="28"/>
    </row>
    <row r="745" spans="1:29" ht="13">
      <c r="A745" s="28"/>
      <c r="B745" s="45"/>
      <c r="C745" s="45"/>
      <c r="D745" s="45"/>
      <c r="E745" s="45"/>
      <c r="F745" s="45"/>
      <c r="G745" s="45"/>
      <c r="H745" s="45"/>
      <c r="I745" s="45"/>
      <c r="J745" s="45"/>
      <c r="K745" s="45"/>
      <c r="L745" s="45"/>
      <c r="M745" s="45"/>
      <c r="N745" s="45"/>
      <c r="O745" s="47"/>
      <c r="P745" s="45"/>
      <c r="Q745" s="45"/>
      <c r="R745" s="45"/>
      <c r="S745" s="45"/>
      <c r="T745" s="45"/>
      <c r="U745" s="45"/>
      <c r="V745" s="45"/>
      <c r="W745" s="45"/>
      <c r="X745" s="28"/>
      <c r="Y745" s="28"/>
      <c r="Z745" s="28"/>
      <c r="AA745" s="28"/>
      <c r="AB745" s="28"/>
      <c r="AC745" s="28"/>
    </row>
    <row r="746" spans="1:29" ht="13">
      <c r="A746" s="28"/>
      <c r="B746" s="45"/>
      <c r="C746" s="45"/>
      <c r="D746" s="45"/>
      <c r="E746" s="45"/>
      <c r="F746" s="45"/>
      <c r="G746" s="45"/>
      <c r="H746" s="45"/>
      <c r="I746" s="45"/>
      <c r="J746" s="45"/>
      <c r="K746" s="45"/>
      <c r="L746" s="45"/>
      <c r="M746" s="45"/>
      <c r="N746" s="45"/>
      <c r="O746" s="47"/>
      <c r="P746" s="45"/>
      <c r="Q746" s="45"/>
      <c r="R746" s="45"/>
      <c r="S746" s="45"/>
      <c r="T746" s="45"/>
      <c r="U746" s="45"/>
      <c r="V746" s="45"/>
      <c r="W746" s="45"/>
      <c r="X746" s="28"/>
      <c r="Y746" s="28"/>
      <c r="Z746" s="28"/>
      <c r="AA746" s="28"/>
      <c r="AB746" s="28"/>
      <c r="AC746" s="28"/>
    </row>
    <row r="747" spans="1:29" ht="13">
      <c r="A747" s="28"/>
      <c r="B747" s="45"/>
      <c r="C747" s="45"/>
      <c r="D747" s="45"/>
      <c r="E747" s="45"/>
      <c r="F747" s="45"/>
      <c r="G747" s="45"/>
      <c r="H747" s="45"/>
      <c r="I747" s="45"/>
      <c r="J747" s="45"/>
      <c r="K747" s="45"/>
      <c r="L747" s="45"/>
      <c r="M747" s="45"/>
      <c r="N747" s="45"/>
      <c r="O747" s="47"/>
      <c r="P747" s="45"/>
      <c r="Q747" s="45"/>
      <c r="R747" s="45"/>
      <c r="S747" s="45"/>
      <c r="T747" s="45"/>
      <c r="U747" s="45"/>
      <c r="V747" s="45"/>
      <c r="W747" s="45"/>
      <c r="X747" s="28"/>
      <c r="Y747" s="28"/>
      <c r="Z747" s="28"/>
      <c r="AA747" s="28"/>
      <c r="AB747" s="28"/>
      <c r="AC747" s="28"/>
    </row>
    <row r="748" spans="1:29" ht="13">
      <c r="A748" s="28"/>
      <c r="B748" s="45"/>
      <c r="C748" s="45"/>
      <c r="D748" s="45"/>
      <c r="E748" s="45"/>
      <c r="F748" s="45"/>
      <c r="G748" s="45"/>
      <c r="H748" s="45"/>
      <c r="I748" s="45"/>
      <c r="J748" s="45"/>
      <c r="K748" s="45"/>
      <c r="L748" s="45"/>
      <c r="M748" s="45"/>
      <c r="N748" s="45"/>
      <c r="O748" s="47"/>
      <c r="P748" s="45"/>
      <c r="Q748" s="45"/>
      <c r="R748" s="45"/>
      <c r="S748" s="45"/>
      <c r="T748" s="45"/>
      <c r="U748" s="45"/>
      <c r="V748" s="45"/>
      <c r="W748" s="45"/>
      <c r="X748" s="28"/>
      <c r="Y748" s="28"/>
      <c r="Z748" s="28"/>
      <c r="AA748" s="28"/>
      <c r="AB748" s="28"/>
      <c r="AC748" s="28"/>
    </row>
    <row r="749" spans="1:29" ht="13">
      <c r="A749" s="28"/>
      <c r="B749" s="45"/>
      <c r="C749" s="45"/>
      <c r="D749" s="45"/>
      <c r="E749" s="45"/>
      <c r="F749" s="45"/>
      <c r="G749" s="45"/>
      <c r="H749" s="45"/>
      <c r="I749" s="45"/>
      <c r="J749" s="45"/>
      <c r="K749" s="45"/>
      <c r="L749" s="45"/>
      <c r="M749" s="45"/>
      <c r="N749" s="45"/>
      <c r="O749" s="47"/>
      <c r="P749" s="45"/>
      <c r="Q749" s="45"/>
      <c r="R749" s="45"/>
      <c r="S749" s="45"/>
      <c r="T749" s="45"/>
      <c r="U749" s="45"/>
      <c r="V749" s="45"/>
      <c r="W749" s="45"/>
      <c r="X749" s="28"/>
      <c r="Y749" s="28"/>
      <c r="Z749" s="28"/>
      <c r="AA749" s="28"/>
      <c r="AB749" s="28"/>
      <c r="AC749" s="28"/>
    </row>
    <row r="750" spans="1:29" ht="13">
      <c r="A750" s="28"/>
      <c r="B750" s="45"/>
      <c r="C750" s="45"/>
      <c r="D750" s="45"/>
      <c r="E750" s="45"/>
      <c r="F750" s="45"/>
      <c r="G750" s="45"/>
      <c r="H750" s="45"/>
      <c r="I750" s="45"/>
      <c r="J750" s="45"/>
      <c r="K750" s="45"/>
      <c r="L750" s="45"/>
      <c r="M750" s="45"/>
      <c r="N750" s="45"/>
      <c r="O750" s="47"/>
      <c r="P750" s="45"/>
      <c r="Q750" s="45"/>
      <c r="R750" s="45"/>
      <c r="S750" s="45"/>
      <c r="T750" s="45"/>
      <c r="U750" s="45"/>
      <c r="V750" s="45"/>
      <c r="W750" s="45"/>
      <c r="X750" s="28"/>
      <c r="Y750" s="28"/>
      <c r="Z750" s="28"/>
      <c r="AA750" s="28"/>
      <c r="AB750" s="28"/>
      <c r="AC750" s="28"/>
    </row>
    <row r="751" spans="1:29" ht="13">
      <c r="A751" s="28"/>
      <c r="B751" s="45"/>
      <c r="C751" s="45"/>
      <c r="D751" s="45"/>
      <c r="E751" s="45"/>
      <c r="F751" s="45"/>
      <c r="G751" s="45"/>
      <c r="H751" s="45"/>
      <c r="I751" s="45"/>
      <c r="J751" s="45"/>
      <c r="K751" s="45"/>
      <c r="L751" s="45"/>
      <c r="M751" s="45"/>
      <c r="N751" s="45"/>
      <c r="O751" s="47"/>
      <c r="P751" s="45"/>
      <c r="Q751" s="45"/>
      <c r="R751" s="45"/>
      <c r="S751" s="45"/>
      <c r="T751" s="45"/>
      <c r="U751" s="45"/>
      <c r="V751" s="45"/>
      <c r="W751" s="45"/>
      <c r="X751" s="28"/>
      <c r="Y751" s="28"/>
      <c r="Z751" s="28"/>
      <c r="AA751" s="28"/>
      <c r="AB751" s="28"/>
      <c r="AC751" s="28"/>
    </row>
    <row r="752" spans="1:29" ht="13">
      <c r="A752" s="28"/>
      <c r="B752" s="45"/>
      <c r="C752" s="45"/>
      <c r="D752" s="45"/>
      <c r="E752" s="45"/>
      <c r="F752" s="45"/>
      <c r="G752" s="45"/>
      <c r="H752" s="45"/>
      <c r="I752" s="45"/>
      <c r="J752" s="45"/>
      <c r="K752" s="45"/>
      <c r="L752" s="45"/>
      <c r="M752" s="45"/>
      <c r="N752" s="45"/>
      <c r="O752" s="47"/>
      <c r="P752" s="45"/>
      <c r="Q752" s="45"/>
      <c r="R752" s="45"/>
      <c r="S752" s="45"/>
      <c r="T752" s="45"/>
      <c r="U752" s="45"/>
      <c r="V752" s="45"/>
      <c r="W752" s="45"/>
      <c r="X752" s="28"/>
      <c r="Y752" s="28"/>
      <c r="Z752" s="28"/>
      <c r="AA752" s="28"/>
      <c r="AB752" s="28"/>
      <c r="AC752" s="28"/>
    </row>
    <row r="753" spans="1:29" ht="13">
      <c r="A753" s="28"/>
      <c r="B753" s="45"/>
      <c r="C753" s="45"/>
      <c r="D753" s="45"/>
      <c r="E753" s="45"/>
      <c r="F753" s="45"/>
      <c r="G753" s="45"/>
      <c r="H753" s="45"/>
      <c r="I753" s="45"/>
      <c r="J753" s="45"/>
      <c r="K753" s="45"/>
      <c r="L753" s="45"/>
      <c r="M753" s="45"/>
      <c r="N753" s="45"/>
      <c r="O753" s="47"/>
      <c r="P753" s="45"/>
      <c r="Q753" s="45"/>
      <c r="R753" s="45"/>
      <c r="S753" s="45"/>
      <c r="T753" s="45"/>
      <c r="U753" s="45"/>
      <c r="V753" s="45"/>
      <c r="W753" s="45"/>
      <c r="X753" s="28"/>
      <c r="Y753" s="28"/>
      <c r="Z753" s="28"/>
      <c r="AA753" s="28"/>
      <c r="AB753" s="28"/>
      <c r="AC753" s="28"/>
    </row>
    <row r="754" spans="1:29" ht="13">
      <c r="A754" s="28"/>
      <c r="B754" s="45"/>
      <c r="C754" s="45"/>
      <c r="D754" s="45"/>
      <c r="E754" s="45"/>
      <c r="F754" s="45"/>
      <c r="G754" s="45"/>
      <c r="H754" s="45"/>
      <c r="I754" s="45"/>
      <c r="J754" s="45"/>
      <c r="K754" s="45"/>
      <c r="L754" s="45"/>
      <c r="M754" s="45"/>
      <c r="N754" s="45"/>
      <c r="O754" s="47"/>
      <c r="P754" s="45"/>
      <c r="Q754" s="45"/>
      <c r="R754" s="45"/>
      <c r="S754" s="45"/>
      <c r="T754" s="45"/>
      <c r="U754" s="45"/>
      <c r="V754" s="45"/>
      <c r="W754" s="45"/>
      <c r="X754" s="28"/>
      <c r="Y754" s="28"/>
      <c r="Z754" s="28"/>
      <c r="AA754" s="28"/>
      <c r="AB754" s="28"/>
      <c r="AC754" s="28"/>
    </row>
    <row r="755" spans="1:29" ht="13">
      <c r="A755" s="28"/>
      <c r="B755" s="45"/>
      <c r="C755" s="45"/>
      <c r="D755" s="45"/>
      <c r="E755" s="45"/>
      <c r="F755" s="45"/>
      <c r="G755" s="45"/>
      <c r="H755" s="45"/>
      <c r="I755" s="45"/>
      <c r="J755" s="45"/>
      <c r="K755" s="45"/>
      <c r="L755" s="45"/>
      <c r="M755" s="45"/>
      <c r="N755" s="45"/>
      <c r="O755" s="47"/>
      <c r="P755" s="45"/>
      <c r="Q755" s="45"/>
      <c r="R755" s="45"/>
      <c r="S755" s="45"/>
      <c r="T755" s="45"/>
      <c r="U755" s="45"/>
      <c r="V755" s="45"/>
      <c r="W755" s="45"/>
      <c r="X755" s="28"/>
      <c r="Y755" s="28"/>
      <c r="Z755" s="28"/>
      <c r="AA755" s="28"/>
      <c r="AB755" s="28"/>
      <c r="AC755" s="28"/>
    </row>
    <row r="756" spans="1:29" ht="13">
      <c r="A756" s="28"/>
      <c r="B756" s="45"/>
      <c r="C756" s="45"/>
      <c r="D756" s="45"/>
      <c r="E756" s="45"/>
      <c r="F756" s="45"/>
      <c r="G756" s="45"/>
      <c r="H756" s="45"/>
      <c r="I756" s="45"/>
      <c r="J756" s="45"/>
      <c r="K756" s="45"/>
      <c r="L756" s="45"/>
      <c r="M756" s="45"/>
      <c r="N756" s="45"/>
      <c r="O756" s="47"/>
      <c r="P756" s="45"/>
      <c r="Q756" s="45"/>
      <c r="R756" s="45"/>
      <c r="S756" s="45"/>
      <c r="T756" s="45"/>
      <c r="U756" s="45"/>
      <c r="V756" s="45"/>
      <c r="W756" s="45"/>
      <c r="X756" s="28"/>
      <c r="Y756" s="28"/>
      <c r="Z756" s="28"/>
      <c r="AA756" s="28"/>
      <c r="AB756" s="28"/>
      <c r="AC756" s="28"/>
    </row>
    <row r="757" spans="1:29" ht="13">
      <c r="A757" s="28"/>
      <c r="B757" s="45"/>
      <c r="C757" s="45"/>
      <c r="D757" s="45"/>
      <c r="E757" s="45"/>
      <c r="F757" s="45"/>
      <c r="G757" s="45"/>
      <c r="H757" s="45"/>
      <c r="I757" s="45"/>
      <c r="J757" s="45"/>
      <c r="K757" s="45"/>
      <c r="L757" s="45"/>
      <c r="M757" s="45"/>
      <c r="N757" s="45"/>
      <c r="O757" s="47"/>
      <c r="P757" s="45"/>
      <c r="Q757" s="45"/>
      <c r="R757" s="45"/>
      <c r="S757" s="45"/>
      <c r="T757" s="45"/>
      <c r="U757" s="45"/>
      <c r="V757" s="45"/>
      <c r="W757" s="45"/>
      <c r="X757" s="28"/>
      <c r="Y757" s="28"/>
      <c r="Z757" s="28"/>
      <c r="AA757" s="28"/>
      <c r="AB757" s="28"/>
      <c r="AC757" s="28"/>
    </row>
    <row r="758" spans="1:29" ht="13">
      <c r="A758" s="28"/>
      <c r="B758" s="45"/>
      <c r="C758" s="45"/>
      <c r="D758" s="45"/>
      <c r="E758" s="45"/>
      <c r="F758" s="45"/>
      <c r="G758" s="45"/>
      <c r="H758" s="45"/>
      <c r="I758" s="45"/>
      <c r="J758" s="45"/>
      <c r="K758" s="45"/>
      <c r="L758" s="45"/>
      <c r="M758" s="45"/>
      <c r="N758" s="45"/>
      <c r="O758" s="47"/>
      <c r="P758" s="45"/>
      <c r="Q758" s="45"/>
      <c r="R758" s="45"/>
      <c r="S758" s="45"/>
      <c r="T758" s="45"/>
      <c r="U758" s="45"/>
      <c r="V758" s="45"/>
      <c r="W758" s="45"/>
      <c r="X758" s="28"/>
      <c r="Y758" s="28"/>
      <c r="Z758" s="28"/>
      <c r="AA758" s="28"/>
      <c r="AB758" s="28"/>
      <c r="AC758" s="28"/>
    </row>
    <row r="759" spans="1:29" ht="13">
      <c r="A759" s="28"/>
      <c r="B759" s="45"/>
      <c r="C759" s="45"/>
      <c r="D759" s="45"/>
      <c r="E759" s="45"/>
      <c r="F759" s="45"/>
      <c r="G759" s="45"/>
      <c r="H759" s="45"/>
      <c r="I759" s="45"/>
      <c r="J759" s="45"/>
      <c r="K759" s="45"/>
      <c r="L759" s="45"/>
      <c r="M759" s="45"/>
      <c r="N759" s="45"/>
      <c r="O759" s="47"/>
      <c r="P759" s="45"/>
      <c r="Q759" s="45"/>
      <c r="R759" s="45"/>
      <c r="S759" s="45"/>
      <c r="T759" s="45"/>
      <c r="U759" s="45"/>
      <c r="V759" s="45"/>
      <c r="W759" s="45"/>
      <c r="X759" s="28"/>
      <c r="Y759" s="28"/>
      <c r="Z759" s="28"/>
      <c r="AA759" s="28"/>
      <c r="AB759" s="28"/>
      <c r="AC759" s="28"/>
    </row>
    <row r="760" spans="1:29" ht="13">
      <c r="A760" s="28"/>
      <c r="B760" s="45"/>
      <c r="C760" s="45"/>
      <c r="D760" s="45"/>
      <c r="E760" s="45"/>
      <c r="F760" s="45"/>
      <c r="G760" s="45"/>
      <c r="H760" s="45"/>
      <c r="I760" s="45"/>
      <c r="J760" s="45"/>
      <c r="K760" s="45"/>
      <c r="L760" s="45"/>
      <c r="M760" s="45"/>
      <c r="N760" s="45"/>
      <c r="O760" s="47"/>
      <c r="P760" s="45"/>
      <c r="Q760" s="45"/>
      <c r="R760" s="45"/>
      <c r="S760" s="45"/>
      <c r="T760" s="45"/>
      <c r="U760" s="45"/>
      <c r="V760" s="45"/>
      <c r="W760" s="45"/>
      <c r="X760" s="28"/>
      <c r="Y760" s="28"/>
      <c r="Z760" s="28"/>
      <c r="AA760" s="28"/>
      <c r="AB760" s="28"/>
      <c r="AC760" s="28"/>
    </row>
    <row r="761" spans="1:29" ht="13">
      <c r="A761" s="28"/>
      <c r="B761" s="45"/>
      <c r="C761" s="45"/>
      <c r="D761" s="45"/>
      <c r="E761" s="45"/>
      <c r="F761" s="45"/>
      <c r="G761" s="45"/>
      <c r="H761" s="45"/>
      <c r="I761" s="45"/>
      <c r="J761" s="45"/>
      <c r="K761" s="45"/>
      <c r="L761" s="45"/>
      <c r="M761" s="45"/>
      <c r="N761" s="45"/>
      <c r="O761" s="47"/>
      <c r="P761" s="45"/>
      <c r="Q761" s="45"/>
      <c r="R761" s="45"/>
      <c r="S761" s="45"/>
      <c r="T761" s="45"/>
      <c r="U761" s="45"/>
      <c r="V761" s="45"/>
      <c r="W761" s="45"/>
      <c r="X761" s="28"/>
      <c r="Y761" s="28"/>
      <c r="Z761" s="28"/>
      <c r="AA761" s="28"/>
      <c r="AB761" s="28"/>
      <c r="AC761" s="28"/>
    </row>
    <row r="762" spans="1:29" ht="13">
      <c r="A762" s="28"/>
      <c r="B762" s="45"/>
      <c r="C762" s="45"/>
      <c r="D762" s="45"/>
      <c r="E762" s="45"/>
      <c r="F762" s="45"/>
      <c r="G762" s="45"/>
      <c r="H762" s="45"/>
      <c r="I762" s="45"/>
      <c r="J762" s="45"/>
      <c r="K762" s="45"/>
      <c r="L762" s="45"/>
      <c r="M762" s="45"/>
      <c r="N762" s="45"/>
      <c r="O762" s="47"/>
      <c r="P762" s="45"/>
      <c r="Q762" s="45"/>
      <c r="R762" s="45"/>
      <c r="S762" s="45"/>
      <c r="T762" s="45"/>
      <c r="U762" s="45"/>
      <c r="V762" s="45"/>
      <c r="W762" s="45"/>
      <c r="X762" s="28"/>
      <c r="Y762" s="28"/>
      <c r="Z762" s="28"/>
      <c r="AA762" s="28"/>
      <c r="AB762" s="28"/>
      <c r="AC762" s="28"/>
    </row>
    <row r="763" spans="1:29" ht="13">
      <c r="A763" s="28"/>
      <c r="B763" s="45"/>
      <c r="C763" s="45"/>
      <c r="D763" s="45"/>
      <c r="E763" s="45"/>
      <c r="F763" s="45"/>
      <c r="G763" s="45"/>
      <c r="H763" s="45"/>
      <c r="I763" s="45"/>
      <c r="J763" s="45"/>
      <c r="K763" s="45"/>
      <c r="L763" s="45"/>
      <c r="M763" s="45"/>
      <c r="N763" s="45"/>
      <c r="O763" s="47"/>
      <c r="P763" s="45"/>
      <c r="Q763" s="45"/>
      <c r="R763" s="45"/>
      <c r="S763" s="45"/>
      <c r="T763" s="45"/>
      <c r="U763" s="45"/>
      <c r="V763" s="45"/>
      <c r="W763" s="45"/>
      <c r="X763" s="28"/>
      <c r="Y763" s="28"/>
      <c r="Z763" s="28"/>
      <c r="AA763" s="28"/>
      <c r="AB763" s="28"/>
      <c r="AC763" s="28"/>
    </row>
    <row r="764" spans="1:29" ht="13">
      <c r="A764" s="28"/>
      <c r="B764" s="45"/>
      <c r="C764" s="45"/>
      <c r="D764" s="45"/>
      <c r="E764" s="45"/>
      <c r="F764" s="45"/>
      <c r="G764" s="45"/>
      <c r="H764" s="45"/>
      <c r="I764" s="45"/>
      <c r="J764" s="45"/>
      <c r="K764" s="45"/>
      <c r="L764" s="45"/>
      <c r="M764" s="45"/>
      <c r="N764" s="45"/>
      <c r="O764" s="47"/>
      <c r="P764" s="45"/>
      <c r="Q764" s="45"/>
      <c r="R764" s="45"/>
      <c r="S764" s="45"/>
      <c r="T764" s="45"/>
      <c r="U764" s="45"/>
      <c r="V764" s="45"/>
      <c r="W764" s="45"/>
      <c r="X764" s="28"/>
      <c r="Y764" s="28"/>
      <c r="Z764" s="28"/>
      <c r="AA764" s="28"/>
      <c r="AB764" s="28"/>
      <c r="AC764" s="28"/>
    </row>
    <row r="765" spans="1:29" ht="13">
      <c r="A765" s="28"/>
      <c r="B765" s="45"/>
      <c r="C765" s="45"/>
      <c r="D765" s="45"/>
      <c r="E765" s="45"/>
      <c r="F765" s="45"/>
      <c r="G765" s="45"/>
      <c r="H765" s="45"/>
      <c r="I765" s="45"/>
      <c r="J765" s="45"/>
      <c r="K765" s="45"/>
      <c r="L765" s="45"/>
      <c r="M765" s="45"/>
      <c r="N765" s="45"/>
      <c r="O765" s="47"/>
      <c r="P765" s="45"/>
      <c r="Q765" s="45"/>
      <c r="R765" s="45"/>
      <c r="S765" s="45"/>
      <c r="T765" s="45"/>
      <c r="U765" s="45"/>
      <c r="V765" s="45"/>
      <c r="W765" s="45"/>
      <c r="X765" s="28"/>
      <c r="Y765" s="28"/>
      <c r="Z765" s="28"/>
      <c r="AA765" s="28"/>
      <c r="AB765" s="28"/>
      <c r="AC765" s="28"/>
    </row>
    <row r="766" spans="1:29" ht="13">
      <c r="A766" s="28"/>
      <c r="B766" s="45"/>
      <c r="C766" s="45"/>
      <c r="D766" s="45"/>
      <c r="E766" s="45"/>
      <c r="F766" s="45"/>
      <c r="G766" s="45"/>
      <c r="H766" s="45"/>
      <c r="I766" s="45"/>
      <c r="J766" s="45"/>
      <c r="K766" s="45"/>
      <c r="L766" s="45"/>
      <c r="M766" s="45"/>
      <c r="N766" s="45"/>
      <c r="O766" s="47"/>
      <c r="P766" s="45"/>
      <c r="Q766" s="45"/>
      <c r="R766" s="45"/>
      <c r="S766" s="45"/>
      <c r="T766" s="45"/>
      <c r="U766" s="45"/>
      <c r="V766" s="45"/>
      <c r="W766" s="45"/>
      <c r="X766" s="28"/>
      <c r="Y766" s="28"/>
      <c r="Z766" s="28"/>
      <c r="AA766" s="28"/>
      <c r="AB766" s="28"/>
      <c r="AC766" s="28"/>
    </row>
    <row r="767" spans="1:29" ht="13">
      <c r="A767" s="28"/>
      <c r="B767" s="45"/>
      <c r="C767" s="45"/>
      <c r="D767" s="45"/>
      <c r="E767" s="45"/>
      <c r="F767" s="45"/>
      <c r="G767" s="45"/>
      <c r="H767" s="45"/>
      <c r="I767" s="45"/>
      <c r="J767" s="45"/>
      <c r="K767" s="45"/>
      <c r="L767" s="45"/>
      <c r="M767" s="45"/>
      <c r="N767" s="45"/>
      <c r="O767" s="47"/>
      <c r="P767" s="45"/>
      <c r="Q767" s="45"/>
      <c r="R767" s="45"/>
      <c r="S767" s="45"/>
      <c r="T767" s="45"/>
      <c r="U767" s="45"/>
      <c r="V767" s="45"/>
      <c r="W767" s="45"/>
      <c r="X767" s="28"/>
      <c r="Y767" s="28"/>
      <c r="Z767" s="28"/>
      <c r="AA767" s="28"/>
      <c r="AB767" s="28"/>
      <c r="AC767" s="28"/>
    </row>
    <row r="768" spans="1:29" ht="13">
      <c r="A768" s="28"/>
      <c r="B768" s="45"/>
      <c r="C768" s="45"/>
      <c r="D768" s="45"/>
      <c r="E768" s="45"/>
      <c r="F768" s="45"/>
      <c r="G768" s="45"/>
      <c r="H768" s="45"/>
      <c r="I768" s="45"/>
      <c r="J768" s="45"/>
      <c r="K768" s="45"/>
      <c r="L768" s="45"/>
      <c r="M768" s="45"/>
      <c r="N768" s="45"/>
      <c r="O768" s="47"/>
      <c r="P768" s="45"/>
      <c r="Q768" s="45"/>
      <c r="R768" s="45"/>
      <c r="S768" s="45"/>
      <c r="T768" s="45"/>
      <c r="U768" s="45"/>
      <c r="V768" s="45"/>
      <c r="W768" s="45"/>
      <c r="X768" s="28"/>
      <c r="Y768" s="28"/>
      <c r="Z768" s="28"/>
      <c r="AA768" s="28"/>
      <c r="AB768" s="28"/>
      <c r="AC768" s="28"/>
    </row>
    <row r="769" spans="1:29" ht="13">
      <c r="A769" s="28"/>
      <c r="B769" s="45"/>
      <c r="C769" s="45"/>
      <c r="D769" s="45"/>
      <c r="E769" s="45"/>
      <c r="F769" s="45"/>
      <c r="G769" s="45"/>
      <c r="H769" s="45"/>
      <c r="I769" s="45"/>
      <c r="J769" s="45"/>
      <c r="K769" s="45"/>
      <c r="L769" s="45"/>
      <c r="M769" s="45"/>
      <c r="N769" s="45"/>
      <c r="O769" s="47"/>
      <c r="P769" s="45"/>
      <c r="Q769" s="45"/>
      <c r="R769" s="45"/>
      <c r="S769" s="45"/>
      <c r="T769" s="45"/>
      <c r="U769" s="45"/>
      <c r="V769" s="45"/>
      <c r="W769" s="45"/>
      <c r="X769" s="28"/>
      <c r="Y769" s="28"/>
      <c r="Z769" s="28"/>
      <c r="AA769" s="28"/>
      <c r="AB769" s="28"/>
      <c r="AC769" s="28"/>
    </row>
    <row r="770" spans="1:29" ht="13">
      <c r="A770" s="28"/>
      <c r="B770" s="45"/>
      <c r="C770" s="45"/>
      <c r="D770" s="45"/>
      <c r="E770" s="45"/>
      <c r="F770" s="45"/>
      <c r="G770" s="45"/>
      <c r="H770" s="45"/>
      <c r="I770" s="45"/>
      <c r="J770" s="45"/>
      <c r="K770" s="45"/>
      <c r="L770" s="45"/>
      <c r="M770" s="45"/>
      <c r="N770" s="45"/>
      <c r="O770" s="47"/>
      <c r="P770" s="45"/>
      <c r="Q770" s="45"/>
      <c r="R770" s="45"/>
      <c r="S770" s="45"/>
      <c r="T770" s="45"/>
      <c r="U770" s="45"/>
      <c r="V770" s="45"/>
      <c r="W770" s="45"/>
      <c r="X770" s="28"/>
      <c r="Y770" s="28"/>
      <c r="Z770" s="28"/>
      <c r="AA770" s="28"/>
      <c r="AB770" s="28"/>
      <c r="AC770" s="28"/>
    </row>
    <row r="771" spans="1:29" ht="13">
      <c r="A771" s="28"/>
      <c r="B771" s="45"/>
      <c r="C771" s="45"/>
      <c r="D771" s="45"/>
      <c r="E771" s="45"/>
      <c r="F771" s="45"/>
      <c r="G771" s="45"/>
      <c r="H771" s="45"/>
      <c r="I771" s="45"/>
      <c r="J771" s="45"/>
      <c r="K771" s="45"/>
      <c r="L771" s="45"/>
      <c r="M771" s="45"/>
      <c r="N771" s="45"/>
      <c r="O771" s="47"/>
      <c r="P771" s="45"/>
      <c r="Q771" s="45"/>
      <c r="R771" s="45"/>
      <c r="S771" s="45"/>
      <c r="T771" s="45"/>
      <c r="U771" s="45"/>
      <c r="V771" s="45"/>
      <c r="W771" s="45"/>
      <c r="X771" s="28"/>
      <c r="Y771" s="28"/>
      <c r="Z771" s="28"/>
      <c r="AA771" s="28"/>
      <c r="AB771" s="28"/>
      <c r="AC771" s="28"/>
    </row>
    <row r="772" spans="1:29" ht="13">
      <c r="A772" s="28"/>
      <c r="B772" s="45"/>
      <c r="C772" s="45"/>
      <c r="D772" s="45"/>
      <c r="E772" s="45"/>
      <c r="F772" s="45"/>
      <c r="G772" s="45"/>
      <c r="H772" s="45"/>
      <c r="I772" s="45"/>
      <c r="J772" s="45"/>
      <c r="K772" s="45"/>
      <c r="L772" s="45"/>
      <c r="M772" s="45"/>
      <c r="N772" s="45"/>
      <c r="O772" s="47"/>
      <c r="P772" s="45"/>
      <c r="Q772" s="45"/>
      <c r="R772" s="45"/>
      <c r="S772" s="45"/>
      <c r="T772" s="45"/>
      <c r="U772" s="45"/>
      <c r="V772" s="45"/>
      <c r="W772" s="45"/>
      <c r="X772" s="28"/>
      <c r="Y772" s="28"/>
      <c r="Z772" s="28"/>
      <c r="AA772" s="28"/>
      <c r="AB772" s="28"/>
      <c r="AC772" s="28"/>
    </row>
    <row r="773" spans="1:29" ht="13">
      <c r="A773" s="28"/>
      <c r="B773" s="45"/>
      <c r="C773" s="45"/>
      <c r="D773" s="45"/>
      <c r="E773" s="45"/>
      <c r="F773" s="45"/>
      <c r="G773" s="45"/>
      <c r="H773" s="45"/>
      <c r="I773" s="45"/>
      <c r="J773" s="45"/>
      <c r="K773" s="45"/>
      <c r="L773" s="45"/>
      <c r="M773" s="45"/>
      <c r="N773" s="45"/>
      <c r="O773" s="47"/>
      <c r="P773" s="45"/>
      <c r="Q773" s="45"/>
      <c r="R773" s="45"/>
      <c r="S773" s="45"/>
      <c r="T773" s="45"/>
      <c r="U773" s="45"/>
      <c r="V773" s="45"/>
      <c r="W773" s="45"/>
      <c r="X773" s="28"/>
      <c r="Y773" s="28"/>
      <c r="Z773" s="28"/>
      <c r="AA773" s="28"/>
      <c r="AB773" s="28"/>
      <c r="AC773" s="28"/>
    </row>
    <row r="774" spans="1:29" ht="13">
      <c r="A774" s="28"/>
      <c r="B774" s="45"/>
      <c r="C774" s="45"/>
      <c r="D774" s="45"/>
      <c r="E774" s="45"/>
      <c r="F774" s="45"/>
      <c r="G774" s="45"/>
      <c r="H774" s="45"/>
      <c r="I774" s="45"/>
      <c r="J774" s="45"/>
      <c r="K774" s="45"/>
      <c r="L774" s="45"/>
      <c r="M774" s="45"/>
      <c r="N774" s="45"/>
      <c r="O774" s="47"/>
      <c r="P774" s="45"/>
      <c r="Q774" s="45"/>
      <c r="R774" s="45"/>
      <c r="S774" s="45"/>
      <c r="T774" s="45"/>
      <c r="U774" s="45"/>
      <c r="V774" s="45"/>
      <c r="W774" s="45"/>
      <c r="X774" s="28"/>
      <c r="Y774" s="28"/>
      <c r="Z774" s="28"/>
      <c r="AA774" s="28"/>
      <c r="AB774" s="28"/>
      <c r="AC774" s="28"/>
    </row>
    <row r="775" spans="1:29" ht="13">
      <c r="A775" s="28"/>
      <c r="B775" s="45"/>
      <c r="C775" s="45"/>
      <c r="D775" s="45"/>
      <c r="E775" s="45"/>
      <c r="F775" s="45"/>
      <c r="G775" s="45"/>
      <c r="H775" s="45"/>
      <c r="I775" s="45"/>
      <c r="J775" s="45"/>
      <c r="K775" s="45"/>
      <c r="L775" s="45"/>
      <c r="M775" s="45"/>
      <c r="N775" s="45"/>
      <c r="O775" s="47"/>
      <c r="P775" s="45"/>
      <c r="Q775" s="45"/>
      <c r="R775" s="45"/>
      <c r="S775" s="45"/>
      <c r="T775" s="45"/>
      <c r="U775" s="45"/>
      <c r="V775" s="45"/>
      <c r="W775" s="45"/>
      <c r="X775" s="28"/>
      <c r="Y775" s="28"/>
      <c r="Z775" s="28"/>
      <c r="AA775" s="28"/>
      <c r="AB775" s="28"/>
      <c r="AC775" s="28"/>
    </row>
    <row r="776" spans="1:29" ht="13">
      <c r="A776" s="28"/>
      <c r="B776" s="45"/>
      <c r="C776" s="45"/>
      <c r="D776" s="45"/>
      <c r="E776" s="45"/>
      <c r="F776" s="45"/>
      <c r="G776" s="45"/>
      <c r="H776" s="45"/>
      <c r="I776" s="45"/>
      <c r="J776" s="45"/>
      <c r="K776" s="45"/>
      <c r="L776" s="45"/>
      <c r="M776" s="45"/>
      <c r="N776" s="45"/>
      <c r="O776" s="47"/>
      <c r="P776" s="45"/>
      <c r="Q776" s="45"/>
      <c r="R776" s="45"/>
      <c r="S776" s="45"/>
      <c r="T776" s="45"/>
      <c r="U776" s="45"/>
      <c r="V776" s="45"/>
      <c r="W776" s="45"/>
      <c r="X776" s="28"/>
      <c r="Y776" s="28"/>
      <c r="Z776" s="28"/>
      <c r="AA776" s="28"/>
      <c r="AB776" s="28"/>
      <c r="AC776" s="28"/>
    </row>
    <row r="777" spans="1:29" ht="13">
      <c r="A777" s="28"/>
      <c r="B777" s="45"/>
      <c r="C777" s="45"/>
      <c r="D777" s="45"/>
      <c r="E777" s="45"/>
      <c r="F777" s="45"/>
      <c r="G777" s="45"/>
      <c r="H777" s="45"/>
      <c r="I777" s="45"/>
      <c r="J777" s="45"/>
      <c r="K777" s="45"/>
      <c r="L777" s="45"/>
      <c r="M777" s="45"/>
      <c r="N777" s="45"/>
      <c r="O777" s="47"/>
      <c r="P777" s="45"/>
      <c r="Q777" s="45"/>
      <c r="R777" s="45"/>
      <c r="S777" s="45"/>
      <c r="T777" s="45"/>
      <c r="U777" s="45"/>
      <c r="V777" s="45"/>
      <c r="W777" s="45"/>
      <c r="X777" s="28"/>
      <c r="Y777" s="28"/>
      <c r="Z777" s="28"/>
      <c r="AA777" s="28"/>
      <c r="AB777" s="28"/>
      <c r="AC777" s="28"/>
    </row>
    <row r="778" spans="1:29" ht="13">
      <c r="A778" s="28"/>
      <c r="B778" s="45"/>
      <c r="C778" s="45"/>
      <c r="D778" s="45"/>
      <c r="E778" s="45"/>
      <c r="F778" s="45"/>
      <c r="G778" s="45"/>
      <c r="H778" s="45"/>
      <c r="I778" s="45"/>
      <c r="J778" s="45"/>
      <c r="K778" s="45"/>
      <c r="L778" s="45"/>
      <c r="M778" s="45"/>
      <c r="N778" s="45"/>
      <c r="O778" s="47"/>
      <c r="P778" s="45"/>
      <c r="Q778" s="45"/>
      <c r="R778" s="45"/>
      <c r="S778" s="45"/>
      <c r="T778" s="45"/>
      <c r="U778" s="45"/>
      <c r="V778" s="45"/>
      <c r="W778" s="45"/>
      <c r="X778" s="28"/>
      <c r="Y778" s="28"/>
      <c r="Z778" s="28"/>
      <c r="AA778" s="28"/>
      <c r="AB778" s="28"/>
      <c r="AC778" s="28"/>
    </row>
    <row r="779" spans="1:29" ht="13">
      <c r="A779" s="28"/>
      <c r="B779" s="45"/>
      <c r="C779" s="45"/>
      <c r="D779" s="45"/>
      <c r="E779" s="45"/>
      <c r="F779" s="45"/>
      <c r="G779" s="45"/>
      <c r="H779" s="45"/>
      <c r="I779" s="45"/>
      <c r="J779" s="45"/>
      <c r="K779" s="45"/>
      <c r="L779" s="45"/>
      <c r="M779" s="45"/>
      <c r="N779" s="45"/>
      <c r="O779" s="47"/>
      <c r="P779" s="45"/>
      <c r="Q779" s="45"/>
      <c r="R779" s="45"/>
      <c r="S779" s="45"/>
      <c r="T779" s="45"/>
      <c r="U779" s="45"/>
      <c r="V779" s="45"/>
      <c r="W779" s="45"/>
      <c r="X779" s="28"/>
      <c r="Y779" s="28"/>
      <c r="Z779" s="28"/>
      <c r="AA779" s="28"/>
      <c r="AB779" s="28"/>
      <c r="AC779" s="28"/>
    </row>
    <row r="780" spans="1:29" ht="13">
      <c r="A780" s="28"/>
      <c r="B780" s="45"/>
      <c r="C780" s="45"/>
      <c r="D780" s="45"/>
      <c r="E780" s="45"/>
      <c r="F780" s="45"/>
      <c r="G780" s="45"/>
      <c r="H780" s="45"/>
      <c r="I780" s="45"/>
      <c r="J780" s="45"/>
      <c r="K780" s="45"/>
      <c r="L780" s="45"/>
      <c r="M780" s="45"/>
      <c r="N780" s="45"/>
      <c r="O780" s="47"/>
      <c r="P780" s="45"/>
      <c r="Q780" s="45"/>
      <c r="R780" s="45"/>
      <c r="S780" s="45"/>
      <c r="T780" s="45"/>
      <c r="U780" s="45"/>
      <c r="V780" s="45"/>
      <c r="W780" s="45"/>
      <c r="X780" s="28"/>
      <c r="Y780" s="28"/>
      <c r="Z780" s="28"/>
      <c r="AA780" s="28"/>
      <c r="AB780" s="28"/>
      <c r="AC780" s="28"/>
    </row>
    <row r="781" spans="1:29" ht="13">
      <c r="A781" s="28"/>
      <c r="B781" s="45"/>
      <c r="C781" s="45"/>
      <c r="D781" s="45"/>
      <c r="E781" s="45"/>
      <c r="F781" s="45"/>
      <c r="G781" s="45"/>
      <c r="H781" s="45"/>
      <c r="I781" s="45"/>
      <c r="J781" s="45"/>
      <c r="K781" s="45"/>
      <c r="L781" s="45"/>
      <c r="M781" s="45"/>
      <c r="N781" s="45"/>
      <c r="O781" s="47"/>
      <c r="P781" s="45"/>
      <c r="Q781" s="45"/>
      <c r="R781" s="45"/>
      <c r="S781" s="45"/>
      <c r="T781" s="45"/>
      <c r="U781" s="45"/>
      <c r="V781" s="45"/>
      <c r="W781" s="45"/>
      <c r="X781" s="28"/>
      <c r="Y781" s="28"/>
      <c r="Z781" s="28"/>
      <c r="AA781" s="28"/>
      <c r="AB781" s="28"/>
      <c r="AC781" s="28"/>
    </row>
    <row r="782" spans="1:29" ht="13">
      <c r="A782" s="28"/>
      <c r="B782" s="45"/>
      <c r="C782" s="45"/>
      <c r="D782" s="45"/>
      <c r="E782" s="45"/>
      <c r="F782" s="45"/>
      <c r="G782" s="45"/>
      <c r="H782" s="45"/>
      <c r="I782" s="45"/>
      <c r="J782" s="45"/>
      <c r="K782" s="45"/>
      <c r="L782" s="45"/>
      <c r="M782" s="45"/>
      <c r="N782" s="45"/>
      <c r="O782" s="47"/>
      <c r="P782" s="45"/>
      <c r="Q782" s="45"/>
      <c r="R782" s="45"/>
      <c r="S782" s="45"/>
      <c r="T782" s="45"/>
      <c r="U782" s="45"/>
      <c r="V782" s="45"/>
      <c r="W782" s="45"/>
      <c r="X782" s="28"/>
      <c r="Y782" s="28"/>
      <c r="Z782" s="28"/>
      <c r="AA782" s="28"/>
      <c r="AB782" s="28"/>
      <c r="AC782" s="28"/>
    </row>
    <row r="783" spans="1:29" ht="13">
      <c r="A783" s="28"/>
      <c r="B783" s="45"/>
      <c r="C783" s="45"/>
      <c r="D783" s="45"/>
      <c r="E783" s="45"/>
      <c r="F783" s="45"/>
      <c r="G783" s="45"/>
      <c r="H783" s="45"/>
      <c r="I783" s="45"/>
      <c r="J783" s="45"/>
      <c r="K783" s="45"/>
      <c r="L783" s="45"/>
      <c r="M783" s="45"/>
      <c r="N783" s="45"/>
      <c r="O783" s="47"/>
      <c r="P783" s="45"/>
      <c r="Q783" s="45"/>
      <c r="R783" s="45"/>
      <c r="S783" s="45"/>
      <c r="T783" s="45"/>
      <c r="U783" s="45"/>
      <c r="V783" s="45"/>
      <c r="W783" s="45"/>
      <c r="X783" s="28"/>
      <c r="Y783" s="28"/>
      <c r="Z783" s="28"/>
      <c r="AA783" s="28"/>
      <c r="AB783" s="28"/>
      <c r="AC783" s="28"/>
    </row>
    <row r="784" spans="1:29" ht="13">
      <c r="A784" s="28"/>
      <c r="B784" s="45"/>
      <c r="C784" s="45"/>
      <c r="D784" s="45"/>
      <c r="E784" s="45"/>
      <c r="F784" s="45"/>
      <c r="G784" s="45"/>
      <c r="H784" s="45"/>
      <c r="I784" s="45"/>
      <c r="J784" s="45"/>
      <c r="K784" s="45"/>
      <c r="L784" s="45"/>
      <c r="M784" s="45"/>
      <c r="N784" s="45"/>
      <c r="O784" s="47"/>
      <c r="P784" s="45"/>
      <c r="Q784" s="45"/>
      <c r="R784" s="45"/>
      <c r="S784" s="45"/>
      <c r="T784" s="45"/>
      <c r="U784" s="45"/>
      <c r="V784" s="45"/>
      <c r="W784" s="45"/>
      <c r="X784" s="28"/>
      <c r="Y784" s="28"/>
      <c r="Z784" s="28"/>
      <c r="AA784" s="28"/>
      <c r="AB784" s="28"/>
      <c r="AC784" s="28"/>
    </row>
    <row r="785" spans="1:29" ht="13">
      <c r="A785" s="28"/>
      <c r="B785" s="45"/>
      <c r="C785" s="45"/>
      <c r="D785" s="45"/>
      <c r="E785" s="45"/>
      <c r="F785" s="45"/>
      <c r="G785" s="45"/>
      <c r="H785" s="45"/>
      <c r="I785" s="45"/>
      <c r="J785" s="45"/>
      <c r="K785" s="45"/>
      <c r="L785" s="45"/>
      <c r="M785" s="45"/>
      <c r="N785" s="45"/>
      <c r="O785" s="47"/>
      <c r="P785" s="45"/>
      <c r="Q785" s="45"/>
      <c r="R785" s="45"/>
      <c r="S785" s="45"/>
      <c r="T785" s="45"/>
      <c r="U785" s="45"/>
      <c r="V785" s="45"/>
      <c r="W785" s="45"/>
      <c r="X785" s="28"/>
      <c r="Y785" s="28"/>
      <c r="Z785" s="28"/>
      <c r="AA785" s="28"/>
      <c r="AB785" s="28"/>
      <c r="AC785" s="28"/>
    </row>
    <row r="786" spans="1:29" ht="13">
      <c r="A786" s="28"/>
      <c r="B786" s="45"/>
      <c r="C786" s="45"/>
      <c r="D786" s="45"/>
      <c r="E786" s="45"/>
      <c r="F786" s="45"/>
      <c r="G786" s="45"/>
      <c r="H786" s="45"/>
      <c r="I786" s="45"/>
      <c r="J786" s="45"/>
      <c r="K786" s="45"/>
      <c r="L786" s="45"/>
      <c r="M786" s="45"/>
      <c r="N786" s="45"/>
      <c r="O786" s="47"/>
      <c r="P786" s="45"/>
      <c r="Q786" s="45"/>
      <c r="R786" s="45"/>
      <c r="S786" s="45"/>
      <c r="T786" s="45"/>
      <c r="U786" s="45"/>
      <c r="V786" s="45"/>
      <c r="W786" s="45"/>
      <c r="X786" s="28"/>
      <c r="Y786" s="28"/>
      <c r="Z786" s="28"/>
      <c r="AA786" s="28"/>
      <c r="AB786" s="28"/>
      <c r="AC786" s="28"/>
    </row>
    <row r="787" spans="1:29" ht="13">
      <c r="A787" s="28"/>
      <c r="B787" s="45"/>
      <c r="C787" s="45"/>
      <c r="D787" s="45"/>
      <c r="E787" s="45"/>
      <c r="F787" s="45"/>
      <c r="G787" s="45"/>
      <c r="H787" s="45"/>
      <c r="I787" s="45"/>
      <c r="J787" s="45"/>
      <c r="K787" s="45"/>
      <c r="L787" s="45"/>
      <c r="M787" s="45"/>
      <c r="N787" s="45"/>
      <c r="O787" s="47"/>
      <c r="P787" s="45"/>
      <c r="Q787" s="45"/>
      <c r="R787" s="45"/>
      <c r="S787" s="45"/>
      <c r="T787" s="45"/>
      <c r="U787" s="45"/>
      <c r="V787" s="45"/>
      <c r="W787" s="45"/>
      <c r="X787" s="28"/>
      <c r="Y787" s="28"/>
      <c r="Z787" s="28"/>
      <c r="AA787" s="28"/>
      <c r="AB787" s="28"/>
      <c r="AC787" s="28"/>
    </row>
    <row r="788" spans="1:29" ht="13">
      <c r="A788" s="28"/>
      <c r="B788" s="45"/>
      <c r="C788" s="45"/>
      <c r="D788" s="45"/>
      <c r="E788" s="45"/>
      <c r="F788" s="45"/>
      <c r="G788" s="45"/>
      <c r="H788" s="45"/>
      <c r="I788" s="45"/>
      <c r="J788" s="45"/>
      <c r="K788" s="45"/>
      <c r="L788" s="45"/>
      <c r="M788" s="45"/>
      <c r="N788" s="45"/>
      <c r="O788" s="47"/>
      <c r="P788" s="45"/>
      <c r="Q788" s="45"/>
      <c r="R788" s="45"/>
      <c r="S788" s="45"/>
      <c r="T788" s="45"/>
      <c r="U788" s="45"/>
      <c r="V788" s="45"/>
      <c r="W788" s="45"/>
      <c r="X788" s="28"/>
      <c r="Y788" s="28"/>
      <c r="Z788" s="28"/>
      <c r="AA788" s="28"/>
      <c r="AB788" s="28"/>
      <c r="AC788" s="28"/>
    </row>
    <row r="789" spans="1:29" ht="13">
      <c r="A789" s="28"/>
      <c r="B789" s="45"/>
      <c r="C789" s="45"/>
      <c r="D789" s="45"/>
      <c r="E789" s="45"/>
      <c r="F789" s="45"/>
      <c r="G789" s="45"/>
      <c r="H789" s="45"/>
      <c r="I789" s="45"/>
      <c r="J789" s="45"/>
      <c r="K789" s="45"/>
      <c r="L789" s="45"/>
      <c r="M789" s="45"/>
      <c r="N789" s="45"/>
      <c r="O789" s="47"/>
      <c r="P789" s="45"/>
      <c r="Q789" s="45"/>
      <c r="R789" s="45"/>
      <c r="S789" s="45"/>
      <c r="T789" s="45"/>
      <c r="U789" s="45"/>
      <c r="V789" s="45"/>
      <c r="W789" s="45"/>
      <c r="X789" s="28"/>
      <c r="Y789" s="28"/>
      <c r="Z789" s="28"/>
      <c r="AA789" s="28"/>
      <c r="AB789" s="28"/>
      <c r="AC789" s="28"/>
    </row>
    <row r="790" spans="1:29" ht="13">
      <c r="A790" s="28"/>
      <c r="B790" s="45"/>
      <c r="C790" s="45"/>
      <c r="D790" s="45"/>
      <c r="E790" s="45"/>
      <c r="F790" s="45"/>
      <c r="G790" s="45"/>
      <c r="H790" s="45"/>
      <c r="I790" s="45"/>
      <c r="J790" s="45"/>
      <c r="K790" s="45"/>
      <c r="L790" s="45"/>
      <c r="M790" s="45"/>
      <c r="N790" s="45"/>
      <c r="O790" s="47"/>
      <c r="P790" s="45"/>
      <c r="Q790" s="45"/>
      <c r="R790" s="45"/>
      <c r="S790" s="45"/>
      <c r="T790" s="45"/>
      <c r="U790" s="45"/>
      <c r="V790" s="45"/>
      <c r="W790" s="45"/>
      <c r="X790" s="28"/>
      <c r="Y790" s="28"/>
      <c r="Z790" s="28"/>
      <c r="AA790" s="28"/>
      <c r="AB790" s="28"/>
      <c r="AC790" s="28"/>
    </row>
    <row r="791" spans="1:29" ht="13">
      <c r="A791" s="28"/>
      <c r="B791" s="45"/>
      <c r="C791" s="45"/>
      <c r="D791" s="45"/>
      <c r="E791" s="45"/>
      <c r="F791" s="45"/>
      <c r="G791" s="45"/>
      <c r="H791" s="45"/>
      <c r="I791" s="45"/>
      <c r="J791" s="45"/>
      <c r="K791" s="45"/>
      <c r="L791" s="45"/>
      <c r="M791" s="45"/>
      <c r="N791" s="45"/>
      <c r="O791" s="47"/>
      <c r="P791" s="45"/>
      <c r="Q791" s="45"/>
      <c r="R791" s="45"/>
      <c r="S791" s="45"/>
      <c r="T791" s="45"/>
      <c r="U791" s="45"/>
      <c r="V791" s="45"/>
      <c r="W791" s="45"/>
      <c r="X791" s="28"/>
      <c r="Y791" s="28"/>
      <c r="Z791" s="28"/>
      <c r="AA791" s="28"/>
      <c r="AB791" s="28"/>
      <c r="AC791" s="28"/>
    </row>
    <row r="792" spans="1:29" ht="13">
      <c r="A792" s="28"/>
      <c r="B792" s="45"/>
      <c r="C792" s="45"/>
      <c r="D792" s="45"/>
      <c r="E792" s="45"/>
      <c r="F792" s="45"/>
      <c r="G792" s="45"/>
      <c r="H792" s="45"/>
      <c r="I792" s="45"/>
      <c r="J792" s="45"/>
      <c r="K792" s="45"/>
      <c r="L792" s="45"/>
      <c r="M792" s="45"/>
      <c r="N792" s="45"/>
      <c r="O792" s="47"/>
      <c r="P792" s="45"/>
      <c r="Q792" s="45"/>
      <c r="R792" s="45"/>
      <c r="S792" s="45"/>
      <c r="T792" s="45"/>
      <c r="U792" s="45"/>
      <c r="V792" s="45"/>
      <c r="W792" s="45"/>
      <c r="X792" s="28"/>
      <c r="Y792" s="28"/>
      <c r="Z792" s="28"/>
      <c r="AA792" s="28"/>
      <c r="AB792" s="28"/>
      <c r="AC792" s="28"/>
    </row>
    <row r="793" spans="1:29" ht="13">
      <c r="A793" s="28"/>
      <c r="B793" s="45"/>
      <c r="C793" s="45"/>
      <c r="D793" s="45"/>
      <c r="E793" s="45"/>
      <c r="F793" s="45"/>
      <c r="G793" s="45"/>
      <c r="H793" s="45"/>
      <c r="I793" s="45"/>
      <c r="J793" s="45"/>
      <c r="K793" s="45"/>
      <c r="L793" s="45"/>
      <c r="M793" s="45"/>
      <c r="N793" s="45"/>
      <c r="O793" s="47"/>
      <c r="P793" s="45"/>
      <c r="Q793" s="45"/>
      <c r="R793" s="45"/>
      <c r="S793" s="45"/>
      <c r="T793" s="45"/>
      <c r="U793" s="45"/>
      <c r="V793" s="45"/>
      <c r="W793" s="45"/>
      <c r="X793" s="28"/>
      <c r="Y793" s="28"/>
      <c r="Z793" s="28"/>
      <c r="AA793" s="28"/>
      <c r="AB793" s="28"/>
      <c r="AC793" s="28"/>
    </row>
    <row r="794" spans="1:29" ht="13">
      <c r="A794" s="28"/>
      <c r="B794" s="45"/>
      <c r="C794" s="45"/>
      <c r="D794" s="45"/>
      <c r="E794" s="45"/>
      <c r="F794" s="45"/>
      <c r="G794" s="45"/>
      <c r="H794" s="45"/>
      <c r="I794" s="45"/>
      <c r="J794" s="45"/>
      <c r="K794" s="45"/>
      <c r="L794" s="45"/>
      <c r="M794" s="45"/>
      <c r="N794" s="45"/>
      <c r="O794" s="47"/>
      <c r="P794" s="45"/>
      <c r="Q794" s="45"/>
      <c r="R794" s="45"/>
      <c r="S794" s="45"/>
      <c r="T794" s="45"/>
      <c r="U794" s="45"/>
      <c r="V794" s="45"/>
      <c r="W794" s="45"/>
      <c r="X794" s="28"/>
      <c r="Y794" s="28"/>
      <c r="Z794" s="28"/>
      <c r="AA794" s="28"/>
      <c r="AB794" s="28"/>
      <c r="AC794" s="28"/>
    </row>
    <row r="795" spans="1:29" ht="13">
      <c r="A795" s="28"/>
      <c r="B795" s="45"/>
      <c r="C795" s="45"/>
      <c r="D795" s="45"/>
      <c r="E795" s="45"/>
      <c r="F795" s="45"/>
      <c r="G795" s="45"/>
      <c r="H795" s="45"/>
      <c r="I795" s="45"/>
      <c r="J795" s="45"/>
      <c r="K795" s="45"/>
      <c r="L795" s="45"/>
      <c r="M795" s="45"/>
      <c r="N795" s="45"/>
      <c r="O795" s="47"/>
      <c r="P795" s="45"/>
      <c r="Q795" s="45"/>
      <c r="R795" s="45"/>
      <c r="S795" s="45"/>
      <c r="T795" s="45"/>
      <c r="U795" s="45"/>
      <c r="V795" s="45"/>
      <c r="W795" s="45"/>
      <c r="X795" s="28"/>
      <c r="Y795" s="28"/>
      <c r="Z795" s="28"/>
      <c r="AA795" s="28"/>
      <c r="AB795" s="28"/>
      <c r="AC795" s="28"/>
    </row>
    <row r="796" spans="1:29" ht="13">
      <c r="A796" s="28"/>
      <c r="B796" s="45"/>
      <c r="C796" s="45"/>
      <c r="D796" s="45"/>
      <c r="E796" s="45"/>
      <c r="F796" s="45"/>
      <c r="G796" s="45"/>
      <c r="H796" s="45"/>
      <c r="I796" s="45"/>
      <c r="J796" s="45"/>
      <c r="K796" s="45"/>
      <c r="L796" s="45"/>
      <c r="M796" s="45"/>
      <c r="N796" s="45"/>
      <c r="O796" s="47"/>
      <c r="P796" s="45"/>
      <c r="Q796" s="45"/>
      <c r="R796" s="45"/>
      <c r="S796" s="45"/>
      <c r="T796" s="45"/>
      <c r="U796" s="45"/>
      <c r="V796" s="45"/>
      <c r="W796" s="45"/>
      <c r="X796" s="28"/>
      <c r="Y796" s="28"/>
      <c r="Z796" s="28"/>
      <c r="AA796" s="28"/>
      <c r="AB796" s="28"/>
      <c r="AC796" s="28"/>
    </row>
    <row r="797" spans="1:29" ht="13">
      <c r="A797" s="28"/>
      <c r="B797" s="45"/>
      <c r="C797" s="45"/>
      <c r="D797" s="45"/>
      <c r="E797" s="45"/>
      <c r="F797" s="45"/>
      <c r="G797" s="45"/>
      <c r="H797" s="45"/>
      <c r="I797" s="45"/>
      <c r="J797" s="45"/>
      <c r="K797" s="45"/>
      <c r="L797" s="45"/>
      <c r="M797" s="45"/>
      <c r="N797" s="45"/>
      <c r="O797" s="47"/>
      <c r="P797" s="45"/>
      <c r="Q797" s="45"/>
      <c r="R797" s="45"/>
      <c r="S797" s="45"/>
      <c r="T797" s="45"/>
      <c r="U797" s="45"/>
      <c r="V797" s="45"/>
      <c r="W797" s="45"/>
      <c r="X797" s="28"/>
      <c r="Y797" s="28"/>
      <c r="Z797" s="28"/>
      <c r="AA797" s="28"/>
      <c r="AB797" s="28"/>
      <c r="AC797" s="28"/>
    </row>
    <row r="798" spans="1:29" ht="13">
      <c r="A798" s="28"/>
      <c r="B798" s="45"/>
      <c r="C798" s="45"/>
      <c r="D798" s="45"/>
      <c r="E798" s="45"/>
      <c r="F798" s="45"/>
      <c r="G798" s="45"/>
      <c r="H798" s="45"/>
      <c r="I798" s="45"/>
      <c r="J798" s="45"/>
      <c r="K798" s="45"/>
      <c r="L798" s="45"/>
      <c r="M798" s="45"/>
      <c r="N798" s="45"/>
      <c r="O798" s="47"/>
      <c r="P798" s="45"/>
      <c r="Q798" s="45"/>
      <c r="R798" s="45"/>
      <c r="S798" s="45"/>
      <c r="T798" s="45"/>
      <c r="U798" s="45"/>
      <c r="V798" s="45"/>
      <c r="W798" s="45"/>
      <c r="X798" s="28"/>
      <c r="Y798" s="28"/>
      <c r="Z798" s="28"/>
      <c r="AA798" s="28"/>
      <c r="AB798" s="28"/>
      <c r="AC798" s="28"/>
    </row>
    <row r="799" spans="1:29" ht="13">
      <c r="A799" s="28"/>
      <c r="B799" s="45"/>
      <c r="C799" s="45"/>
      <c r="D799" s="45"/>
      <c r="E799" s="45"/>
      <c r="F799" s="45"/>
      <c r="G799" s="45"/>
      <c r="H799" s="45"/>
      <c r="I799" s="45"/>
      <c r="J799" s="45"/>
      <c r="K799" s="45"/>
      <c r="L799" s="45"/>
      <c r="M799" s="45"/>
      <c r="N799" s="45"/>
      <c r="O799" s="47"/>
      <c r="P799" s="45"/>
      <c r="Q799" s="45"/>
      <c r="R799" s="45"/>
      <c r="S799" s="45"/>
      <c r="T799" s="45"/>
      <c r="U799" s="45"/>
      <c r="V799" s="45"/>
      <c r="W799" s="45"/>
      <c r="X799" s="28"/>
      <c r="Y799" s="28"/>
      <c r="Z799" s="28"/>
      <c r="AA799" s="28"/>
      <c r="AB799" s="28"/>
      <c r="AC799" s="28"/>
    </row>
    <row r="800" spans="1:29" ht="13">
      <c r="A800" s="28"/>
      <c r="B800" s="45"/>
      <c r="C800" s="45"/>
      <c r="D800" s="45"/>
      <c r="E800" s="45"/>
      <c r="F800" s="45"/>
      <c r="G800" s="45"/>
      <c r="H800" s="45"/>
      <c r="I800" s="45"/>
      <c r="J800" s="45"/>
      <c r="K800" s="45"/>
      <c r="L800" s="45"/>
      <c r="M800" s="45"/>
      <c r="N800" s="45"/>
      <c r="O800" s="47"/>
      <c r="P800" s="45"/>
      <c r="Q800" s="45"/>
      <c r="R800" s="45"/>
      <c r="S800" s="45"/>
      <c r="T800" s="45"/>
      <c r="U800" s="45"/>
      <c r="V800" s="45"/>
      <c r="W800" s="45"/>
      <c r="X800" s="28"/>
      <c r="Y800" s="28"/>
      <c r="Z800" s="28"/>
      <c r="AA800" s="28"/>
      <c r="AB800" s="28"/>
      <c r="AC800" s="28"/>
    </row>
    <row r="801" spans="1:29" ht="13">
      <c r="A801" s="28"/>
      <c r="B801" s="45"/>
      <c r="C801" s="45"/>
      <c r="D801" s="45"/>
      <c r="E801" s="45"/>
      <c r="F801" s="45"/>
      <c r="G801" s="45"/>
      <c r="H801" s="45"/>
      <c r="I801" s="45"/>
      <c r="J801" s="45"/>
      <c r="K801" s="45"/>
      <c r="L801" s="45"/>
      <c r="M801" s="45"/>
      <c r="N801" s="45"/>
      <c r="O801" s="47"/>
      <c r="P801" s="45"/>
      <c r="Q801" s="45"/>
      <c r="R801" s="45"/>
      <c r="S801" s="45"/>
      <c r="T801" s="45"/>
      <c r="U801" s="45"/>
      <c r="V801" s="45"/>
      <c r="W801" s="45"/>
      <c r="X801" s="28"/>
      <c r="Y801" s="28"/>
      <c r="Z801" s="28"/>
      <c r="AA801" s="28"/>
      <c r="AB801" s="28"/>
      <c r="AC801" s="28"/>
    </row>
    <row r="802" spans="1:29" ht="13">
      <c r="A802" s="28"/>
      <c r="B802" s="45"/>
      <c r="C802" s="45"/>
      <c r="D802" s="45"/>
      <c r="E802" s="45"/>
      <c r="F802" s="45"/>
      <c r="G802" s="45"/>
      <c r="H802" s="45"/>
      <c r="I802" s="45"/>
      <c r="J802" s="45"/>
      <c r="K802" s="45"/>
      <c r="L802" s="45"/>
      <c r="M802" s="45"/>
      <c r="N802" s="45"/>
      <c r="O802" s="47"/>
      <c r="P802" s="45"/>
      <c r="Q802" s="45"/>
      <c r="R802" s="45"/>
      <c r="S802" s="45"/>
      <c r="T802" s="45"/>
      <c r="U802" s="45"/>
      <c r="V802" s="45"/>
      <c r="W802" s="45"/>
      <c r="X802" s="28"/>
      <c r="Y802" s="28"/>
      <c r="Z802" s="28"/>
      <c r="AA802" s="28"/>
      <c r="AB802" s="28"/>
      <c r="AC802" s="28"/>
    </row>
    <row r="803" spans="1:29" ht="13">
      <c r="A803" s="28"/>
      <c r="B803" s="45"/>
      <c r="C803" s="45"/>
      <c r="D803" s="45"/>
      <c r="E803" s="45"/>
      <c r="F803" s="45"/>
      <c r="G803" s="45"/>
      <c r="H803" s="45"/>
      <c r="I803" s="45"/>
      <c r="J803" s="45"/>
      <c r="K803" s="45"/>
      <c r="L803" s="45"/>
      <c r="M803" s="45"/>
      <c r="N803" s="45"/>
      <c r="O803" s="47"/>
      <c r="P803" s="45"/>
      <c r="Q803" s="45"/>
      <c r="R803" s="45"/>
      <c r="S803" s="45"/>
      <c r="T803" s="45"/>
      <c r="U803" s="45"/>
      <c r="V803" s="45"/>
      <c r="W803" s="45"/>
      <c r="X803" s="28"/>
      <c r="Y803" s="28"/>
      <c r="Z803" s="28"/>
      <c r="AA803" s="28"/>
      <c r="AB803" s="28"/>
      <c r="AC803" s="28"/>
    </row>
    <row r="804" spans="1:29" ht="13">
      <c r="A804" s="28"/>
      <c r="B804" s="45"/>
      <c r="C804" s="45"/>
      <c r="D804" s="45"/>
      <c r="E804" s="45"/>
      <c r="F804" s="45"/>
      <c r="G804" s="45"/>
      <c r="H804" s="45"/>
      <c r="I804" s="45"/>
      <c r="J804" s="45"/>
      <c r="K804" s="45"/>
      <c r="L804" s="45"/>
      <c r="M804" s="45"/>
      <c r="N804" s="45"/>
      <c r="O804" s="47"/>
      <c r="P804" s="45"/>
      <c r="Q804" s="45"/>
      <c r="R804" s="45"/>
      <c r="S804" s="45"/>
      <c r="T804" s="45"/>
      <c r="U804" s="45"/>
      <c r="V804" s="45"/>
      <c r="W804" s="45"/>
      <c r="X804" s="28"/>
      <c r="Y804" s="28"/>
      <c r="Z804" s="28"/>
      <c r="AA804" s="28"/>
      <c r="AB804" s="28"/>
      <c r="AC804" s="28"/>
    </row>
    <row r="805" spans="1:29" ht="13">
      <c r="A805" s="28"/>
      <c r="B805" s="45"/>
      <c r="C805" s="45"/>
      <c r="D805" s="45"/>
      <c r="E805" s="45"/>
      <c r="F805" s="45"/>
      <c r="G805" s="45"/>
      <c r="H805" s="45"/>
      <c r="I805" s="45"/>
      <c r="J805" s="45"/>
      <c r="K805" s="45"/>
      <c r="L805" s="45"/>
      <c r="M805" s="45"/>
      <c r="N805" s="45"/>
      <c r="O805" s="47"/>
      <c r="P805" s="45"/>
      <c r="Q805" s="45"/>
      <c r="R805" s="45"/>
      <c r="S805" s="45"/>
      <c r="T805" s="45"/>
      <c r="U805" s="45"/>
      <c r="V805" s="45"/>
      <c r="W805" s="45"/>
      <c r="X805" s="28"/>
      <c r="Y805" s="28"/>
      <c r="Z805" s="28"/>
      <c r="AA805" s="28"/>
      <c r="AB805" s="28"/>
      <c r="AC805" s="28"/>
    </row>
    <row r="806" spans="1:29" ht="13">
      <c r="A806" s="28"/>
      <c r="B806" s="45"/>
      <c r="C806" s="45"/>
      <c r="D806" s="45"/>
      <c r="E806" s="45"/>
      <c r="F806" s="45"/>
      <c r="G806" s="45"/>
      <c r="H806" s="45"/>
      <c r="I806" s="45"/>
      <c r="J806" s="45"/>
      <c r="K806" s="45"/>
      <c r="L806" s="45"/>
      <c r="M806" s="45"/>
      <c r="N806" s="45"/>
      <c r="O806" s="47"/>
      <c r="P806" s="45"/>
      <c r="Q806" s="45"/>
      <c r="R806" s="45"/>
      <c r="S806" s="45"/>
      <c r="T806" s="45"/>
      <c r="U806" s="45"/>
      <c r="V806" s="45"/>
      <c r="W806" s="45"/>
      <c r="X806" s="28"/>
      <c r="Y806" s="28"/>
      <c r="Z806" s="28"/>
      <c r="AA806" s="28"/>
      <c r="AB806" s="28"/>
      <c r="AC806" s="28"/>
    </row>
    <row r="807" spans="1:29" ht="13">
      <c r="A807" s="28"/>
      <c r="B807" s="45"/>
      <c r="C807" s="45"/>
      <c r="D807" s="45"/>
      <c r="E807" s="45"/>
      <c r="F807" s="45"/>
      <c r="G807" s="45"/>
      <c r="H807" s="45"/>
      <c r="I807" s="45"/>
      <c r="J807" s="45"/>
      <c r="K807" s="45"/>
      <c r="L807" s="45"/>
      <c r="M807" s="45"/>
      <c r="N807" s="45"/>
      <c r="O807" s="47"/>
      <c r="P807" s="45"/>
      <c r="Q807" s="45"/>
      <c r="R807" s="45"/>
      <c r="S807" s="45"/>
      <c r="T807" s="45"/>
      <c r="U807" s="45"/>
      <c r="V807" s="45"/>
      <c r="W807" s="45"/>
      <c r="X807" s="28"/>
      <c r="Y807" s="28"/>
      <c r="Z807" s="28"/>
      <c r="AA807" s="28"/>
      <c r="AB807" s="28"/>
      <c r="AC807" s="28"/>
    </row>
    <row r="808" spans="1:29" ht="13">
      <c r="A808" s="28"/>
      <c r="B808" s="45"/>
      <c r="C808" s="45"/>
      <c r="D808" s="45"/>
      <c r="E808" s="45"/>
      <c r="F808" s="45"/>
      <c r="G808" s="45"/>
      <c r="H808" s="45"/>
      <c r="I808" s="45"/>
      <c r="J808" s="45"/>
      <c r="K808" s="45"/>
      <c r="L808" s="45"/>
      <c r="M808" s="45"/>
      <c r="N808" s="45"/>
      <c r="O808" s="47"/>
      <c r="P808" s="45"/>
      <c r="Q808" s="45"/>
      <c r="R808" s="45"/>
      <c r="S808" s="45"/>
      <c r="T808" s="45"/>
      <c r="U808" s="45"/>
      <c r="V808" s="45"/>
      <c r="W808" s="45"/>
      <c r="X808" s="28"/>
      <c r="Y808" s="28"/>
      <c r="Z808" s="28"/>
      <c r="AA808" s="28"/>
      <c r="AB808" s="28"/>
      <c r="AC808" s="28"/>
    </row>
    <row r="809" spans="1:29" ht="13">
      <c r="A809" s="28"/>
      <c r="B809" s="45"/>
      <c r="C809" s="45"/>
      <c r="D809" s="45"/>
      <c r="E809" s="45"/>
      <c r="F809" s="45"/>
      <c r="G809" s="45"/>
      <c r="H809" s="45"/>
      <c r="I809" s="45"/>
      <c r="J809" s="45"/>
      <c r="K809" s="45"/>
      <c r="L809" s="45"/>
      <c r="M809" s="45"/>
      <c r="N809" s="45"/>
      <c r="O809" s="47"/>
      <c r="P809" s="45"/>
      <c r="Q809" s="45"/>
      <c r="R809" s="45"/>
      <c r="S809" s="45"/>
      <c r="T809" s="45"/>
      <c r="U809" s="45"/>
      <c r="V809" s="45"/>
      <c r="W809" s="45"/>
      <c r="X809" s="28"/>
      <c r="Y809" s="28"/>
      <c r="Z809" s="28"/>
      <c r="AA809" s="28"/>
      <c r="AB809" s="28"/>
      <c r="AC809" s="28"/>
    </row>
    <row r="810" spans="1:29" ht="13">
      <c r="A810" s="28"/>
      <c r="B810" s="45"/>
      <c r="C810" s="45"/>
      <c r="D810" s="45"/>
      <c r="E810" s="45"/>
      <c r="F810" s="45"/>
      <c r="G810" s="45"/>
      <c r="H810" s="45"/>
      <c r="I810" s="45"/>
      <c r="J810" s="45"/>
      <c r="K810" s="45"/>
      <c r="L810" s="45"/>
      <c r="M810" s="45"/>
      <c r="N810" s="45"/>
      <c r="O810" s="47"/>
      <c r="P810" s="45"/>
      <c r="Q810" s="45"/>
      <c r="R810" s="45"/>
      <c r="S810" s="45"/>
      <c r="T810" s="45"/>
      <c r="U810" s="45"/>
      <c r="V810" s="45"/>
      <c r="W810" s="45"/>
      <c r="X810" s="28"/>
      <c r="Y810" s="28"/>
      <c r="Z810" s="28"/>
      <c r="AA810" s="28"/>
      <c r="AB810" s="28"/>
      <c r="AC810" s="28"/>
    </row>
    <row r="811" spans="1:29" ht="13">
      <c r="A811" s="28"/>
      <c r="B811" s="45"/>
      <c r="C811" s="45"/>
      <c r="D811" s="45"/>
      <c r="E811" s="45"/>
      <c r="F811" s="45"/>
      <c r="G811" s="45"/>
      <c r="H811" s="45"/>
      <c r="I811" s="45"/>
      <c r="J811" s="45"/>
      <c r="K811" s="45"/>
      <c r="L811" s="45"/>
      <c r="M811" s="45"/>
      <c r="N811" s="45"/>
      <c r="O811" s="47"/>
      <c r="P811" s="45"/>
      <c r="Q811" s="45"/>
      <c r="R811" s="45"/>
      <c r="S811" s="45"/>
      <c r="T811" s="45"/>
      <c r="U811" s="45"/>
      <c r="V811" s="45"/>
      <c r="W811" s="45"/>
      <c r="X811" s="28"/>
      <c r="Y811" s="28"/>
      <c r="Z811" s="28"/>
      <c r="AA811" s="28"/>
      <c r="AB811" s="28"/>
      <c r="AC811" s="28"/>
    </row>
    <row r="812" spans="1:29" ht="13">
      <c r="A812" s="28"/>
      <c r="B812" s="45"/>
      <c r="C812" s="45"/>
      <c r="D812" s="45"/>
      <c r="E812" s="45"/>
      <c r="F812" s="45"/>
      <c r="G812" s="45"/>
      <c r="H812" s="45"/>
      <c r="I812" s="45"/>
      <c r="J812" s="45"/>
      <c r="K812" s="45"/>
      <c r="L812" s="45"/>
      <c r="M812" s="45"/>
      <c r="N812" s="45"/>
      <c r="O812" s="47"/>
      <c r="P812" s="45"/>
      <c r="Q812" s="45"/>
      <c r="R812" s="45"/>
      <c r="S812" s="45"/>
      <c r="T812" s="45"/>
      <c r="U812" s="45"/>
      <c r="V812" s="45"/>
      <c r="W812" s="45"/>
      <c r="X812" s="28"/>
      <c r="Y812" s="28"/>
      <c r="Z812" s="28"/>
      <c r="AA812" s="28"/>
      <c r="AB812" s="28"/>
      <c r="AC812" s="28"/>
    </row>
    <row r="813" spans="1:29" ht="13">
      <c r="A813" s="28"/>
      <c r="B813" s="45"/>
      <c r="C813" s="45"/>
      <c r="D813" s="45"/>
      <c r="E813" s="45"/>
      <c r="F813" s="45"/>
      <c r="G813" s="45"/>
      <c r="H813" s="45"/>
      <c r="I813" s="45"/>
      <c r="J813" s="45"/>
      <c r="K813" s="45"/>
      <c r="L813" s="45"/>
      <c r="M813" s="45"/>
      <c r="N813" s="45"/>
      <c r="O813" s="47"/>
      <c r="P813" s="45"/>
      <c r="Q813" s="45"/>
      <c r="R813" s="45"/>
      <c r="S813" s="45"/>
      <c r="T813" s="45"/>
      <c r="U813" s="45"/>
      <c r="V813" s="45"/>
      <c r="W813" s="45"/>
      <c r="X813" s="28"/>
      <c r="Y813" s="28"/>
      <c r="Z813" s="28"/>
      <c r="AA813" s="28"/>
      <c r="AB813" s="28"/>
      <c r="AC813" s="28"/>
    </row>
    <row r="814" spans="1:29" ht="13">
      <c r="A814" s="28"/>
      <c r="B814" s="45"/>
      <c r="C814" s="45"/>
      <c r="D814" s="45"/>
      <c r="E814" s="45"/>
      <c r="F814" s="45"/>
      <c r="G814" s="45"/>
      <c r="H814" s="45"/>
      <c r="I814" s="45"/>
      <c r="J814" s="45"/>
      <c r="K814" s="45"/>
      <c r="L814" s="45"/>
      <c r="M814" s="45"/>
      <c r="N814" s="45"/>
      <c r="O814" s="47"/>
      <c r="P814" s="45"/>
      <c r="Q814" s="45"/>
      <c r="R814" s="45"/>
      <c r="S814" s="45"/>
      <c r="T814" s="45"/>
      <c r="U814" s="45"/>
      <c r="V814" s="45"/>
      <c r="W814" s="45"/>
      <c r="X814" s="28"/>
      <c r="Y814" s="28"/>
      <c r="Z814" s="28"/>
      <c r="AA814" s="28"/>
      <c r="AB814" s="28"/>
      <c r="AC814" s="28"/>
    </row>
    <row r="815" spans="1:29" ht="13">
      <c r="A815" s="28"/>
      <c r="B815" s="45"/>
      <c r="C815" s="45"/>
      <c r="D815" s="45"/>
      <c r="E815" s="45"/>
      <c r="F815" s="45"/>
      <c r="G815" s="45"/>
      <c r="H815" s="45"/>
      <c r="I815" s="45"/>
      <c r="J815" s="45"/>
      <c r="K815" s="45"/>
      <c r="L815" s="45"/>
      <c r="M815" s="45"/>
      <c r="N815" s="45"/>
      <c r="O815" s="47"/>
      <c r="P815" s="45"/>
      <c r="Q815" s="45"/>
      <c r="R815" s="45"/>
      <c r="S815" s="45"/>
      <c r="T815" s="45"/>
      <c r="U815" s="45"/>
      <c r="V815" s="45"/>
      <c r="W815" s="45"/>
      <c r="X815" s="28"/>
      <c r="Y815" s="28"/>
      <c r="Z815" s="28"/>
      <c r="AA815" s="28"/>
      <c r="AB815" s="28"/>
      <c r="AC815" s="28"/>
    </row>
    <row r="816" spans="1:29" ht="13">
      <c r="A816" s="28"/>
      <c r="B816" s="45"/>
      <c r="C816" s="45"/>
      <c r="D816" s="45"/>
      <c r="E816" s="45"/>
      <c r="F816" s="45"/>
      <c r="G816" s="45"/>
      <c r="H816" s="45"/>
      <c r="I816" s="45"/>
      <c r="J816" s="45"/>
      <c r="K816" s="45"/>
      <c r="L816" s="45"/>
      <c r="M816" s="45"/>
      <c r="N816" s="45"/>
      <c r="O816" s="47"/>
      <c r="P816" s="45"/>
      <c r="Q816" s="45"/>
      <c r="R816" s="45"/>
      <c r="S816" s="45"/>
      <c r="T816" s="45"/>
      <c r="U816" s="45"/>
      <c r="V816" s="45"/>
      <c r="W816" s="45"/>
      <c r="X816" s="28"/>
      <c r="Y816" s="28"/>
      <c r="Z816" s="28"/>
      <c r="AA816" s="28"/>
      <c r="AB816" s="28"/>
      <c r="AC816" s="28"/>
    </row>
    <row r="817" spans="1:29" ht="13">
      <c r="A817" s="28"/>
      <c r="B817" s="45"/>
      <c r="C817" s="45"/>
      <c r="D817" s="45"/>
      <c r="E817" s="45"/>
      <c r="F817" s="45"/>
      <c r="G817" s="45"/>
      <c r="H817" s="45"/>
      <c r="I817" s="45"/>
      <c r="J817" s="45"/>
      <c r="K817" s="45"/>
      <c r="L817" s="45"/>
      <c r="M817" s="45"/>
      <c r="N817" s="45"/>
      <c r="O817" s="47"/>
      <c r="P817" s="45"/>
      <c r="Q817" s="45"/>
      <c r="R817" s="45"/>
      <c r="S817" s="45"/>
      <c r="T817" s="45"/>
      <c r="U817" s="45"/>
      <c r="V817" s="45"/>
      <c r="W817" s="45"/>
      <c r="X817" s="28"/>
      <c r="Y817" s="28"/>
      <c r="Z817" s="28"/>
      <c r="AA817" s="28"/>
      <c r="AB817" s="28"/>
      <c r="AC817" s="28"/>
    </row>
    <row r="818" spans="1:29" ht="13">
      <c r="A818" s="28"/>
      <c r="B818" s="45"/>
      <c r="C818" s="45"/>
      <c r="D818" s="45"/>
      <c r="E818" s="45"/>
      <c r="F818" s="45"/>
      <c r="G818" s="45"/>
      <c r="H818" s="45"/>
      <c r="I818" s="45"/>
      <c r="J818" s="45"/>
      <c r="K818" s="45"/>
      <c r="L818" s="45"/>
      <c r="M818" s="45"/>
      <c r="N818" s="45"/>
      <c r="O818" s="47"/>
      <c r="P818" s="45"/>
      <c r="Q818" s="45"/>
      <c r="R818" s="45"/>
      <c r="S818" s="45"/>
      <c r="T818" s="45"/>
      <c r="U818" s="45"/>
      <c r="V818" s="45"/>
      <c r="W818" s="45"/>
      <c r="X818" s="28"/>
      <c r="Y818" s="28"/>
      <c r="Z818" s="28"/>
      <c r="AA818" s="28"/>
      <c r="AB818" s="28"/>
      <c r="AC818" s="28"/>
    </row>
    <row r="819" spans="1:29" ht="13">
      <c r="A819" s="28"/>
      <c r="B819" s="45"/>
      <c r="C819" s="45"/>
      <c r="D819" s="45"/>
      <c r="E819" s="45"/>
      <c r="F819" s="45"/>
      <c r="G819" s="45"/>
      <c r="H819" s="45"/>
      <c r="I819" s="45"/>
      <c r="J819" s="45"/>
      <c r="K819" s="45"/>
      <c r="L819" s="45"/>
      <c r="M819" s="45"/>
      <c r="N819" s="45"/>
      <c r="O819" s="47"/>
      <c r="P819" s="45"/>
      <c r="Q819" s="45"/>
      <c r="R819" s="45"/>
      <c r="S819" s="45"/>
      <c r="T819" s="45"/>
      <c r="U819" s="45"/>
      <c r="V819" s="45"/>
      <c r="W819" s="45"/>
      <c r="X819" s="28"/>
      <c r="Y819" s="28"/>
      <c r="Z819" s="28"/>
      <c r="AA819" s="28"/>
      <c r="AB819" s="28"/>
      <c r="AC819" s="28"/>
    </row>
    <row r="820" spans="1:29" ht="13">
      <c r="A820" s="28"/>
      <c r="B820" s="45"/>
      <c r="C820" s="45"/>
      <c r="D820" s="45"/>
      <c r="E820" s="45"/>
      <c r="F820" s="45"/>
      <c r="G820" s="45"/>
      <c r="H820" s="45"/>
      <c r="I820" s="45"/>
      <c r="J820" s="45"/>
      <c r="K820" s="45"/>
      <c r="L820" s="45"/>
      <c r="M820" s="45"/>
      <c r="N820" s="45"/>
      <c r="O820" s="47"/>
      <c r="P820" s="45"/>
      <c r="Q820" s="45"/>
      <c r="R820" s="45"/>
      <c r="S820" s="45"/>
      <c r="T820" s="45"/>
      <c r="U820" s="45"/>
      <c r="V820" s="45"/>
      <c r="W820" s="45"/>
      <c r="X820" s="28"/>
      <c r="Y820" s="28"/>
      <c r="Z820" s="28"/>
      <c r="AA820" s="28"/>
      <c r="AB820" s="28"/>
      <c r="AC820" s="28"/>
    </row>
    <row r="821" spans="1:29" ht="13">
      <c r="A821" s="28"/>
      <c r="B821" s="45"/>
      <c r="C821" s="45"/>
      <c r="D821" s="45"/>
      <c r="E821" s="45"/>
      <c r="F821" s="45"/>
      <c r="G821" s="45"/>
      <c r="H821" s="45"/>
      <c r="I821" s="45"/>
      <c r="J821" s="45"/>
      <c r="K821" s="45"/>
      <c r="L821" s="45"/>
      <c r="M821" s="45"/>
      <c r="N821" s="45"/>
      <c r="O821" s="47"/>
      <c r="P821" s="45"/>
      <c r="Q821" s="45"/>
      <c r="R821" s="45"/>
      <c r="S821" s="45"/>
      <c r="T821" s="45"/>
      <c r="U821" s="45"/>
      <c r="V821" s="45"/>
      <c r="W821" s="45"/>
      <c r="X821" s="28"/>
      <c r="Y821" s="28"/>
      <c r="Z821" s="28"/>
      <c r="AA821" s="28"/>
      <c r="AB821" s="28"/>
      <c r="AC821" s="28"/>
    </row>
    <row r="822" spans="1:29" ht="13">
      <c r="A822" s="28"/>
      <c r="B822" s="45"/>
      <c r="C822" s="45"/>
      <c r="D822" s="45"/>
      <c r="E822" s="45"/>
      <c r="F822" s="45"/>
      <c r="G822" s="45"/>
      <c r="H822" s="45"/>
      <c r="I822" s="45"/>
      <c r="J822" s="45"/>
      <c r="K822" s="45"/>
      <c r="L822" s="45"/>
      <c r="M822" s="45"/>
      <c r="N822" s="45"/>
      <c r="O822" s="47"/>
      <c r="P822" s="45"/>
      <c r="Q822" s="45"/>
      <c r="R822" s="45"/>
      <c r="S822" s="45"/>
      <c r="T822" s="45"/>
      <c r="U822" s="45"/>
      <c r="V822" s="45"/>
      <c r="W822" s="45"/>
      <c r="X822" s="28"/>
      <c r="Y822" s="28"/>
      <c r="Z822" s="28"/>
      <c r="AA822" s="28"/>
      <c r="AB822" s="28"/>
      <c r="AC822" s="28"/>
    </row>
    <row r="823" spans="1:29" ht="13">
      <c r="A823" s="28"/>
      <c r="B823" s="45"/>
      <c r="C823" s="45"/>
      <c r="D823" s="45"/>
      <c r="E823" s="45"/>
      <c r="F823" s="45"/>
      <c r="G823" s="45"/>
      <c r="H823" s="45"/>
      <c r="I823" s="45"/>
      <c r="J823" s="45"/>
      <c r="K823" s="45"/>
      <c r="L823" s="45"/>
      <c r="M823" s="45"/>
      <c r="N823" s="45"/>
      <c r="O823" s="47"/>
      <c r="P823" s="45"/>
      <c r="Q823" s="45"/>
      <c r="R823" s="45"/>
      <c r="S823" s="45"/>
      <c r="T823" s="45"/>
      <c r="U823" s="45"/>
      <c r="V823" s="45"/>
      <c r="W823" s="45"/>
      <c r="X823" s="28"/>
      <c r="Y823" s="28"/>
      <c r="Z823" s="28"/>
      <c r="AA823" s="28"/>
      <c r="AB823" s="28"/>
      <c r="AC823" s="28"/>
    </row>
    <row r="824" spans="1:29" ht="13">
      <c r="A824" s="28"/>
      <c r="B824" s="45"/>
      <c r="C824" s="45"/>
      <c r="D824" s="45"/>
      <c r="E824" s="45"/>
      <c r="F824" s="45"/>
      <c r="G824" s="45"/>
      <c r="H824" s="45"/>
      <c r="I824" s="45"/>
      <c r="J824" s="45"/>
      <c r="K824" s="45"/>
      <c r="L824" s="45"/>
      <c r="M824" s="45"/>
      <c r="N824" s="45"/>
      <c r="O824" s="47"/>
      <c r="P824" s="45"/>
      <c r="Q824" s="45"/>
      <c r="R824" s="45"/>
      <c r="S824" s="45"/>
      <c r="T824" s="45"/>
      <c r="U824" s="45"/>
      <c r="V824" s="45"/>
      <c r="W824" s="45"/>
      <c r="X824" s="28"/>
      <c r="Y824" s="28"/>
      <c r="Z824" s="28"/>
      <c r="AA824" s="28"/>
      <c r="AB824" s="28"/>
      <c r="AC824" s="28"/>
    </row>
    <row r="825" spans="1:29" ht="13">
      <c r="A825" s="28"/>
      <c r="B825" s="45"/>
      <c r="C825" s="45"/>
      <c r="D825" s="45"/>
      <c r="E825" s="45"/>
      <c r="F825" s="45"/>
      <c r="G825" s="45"/>
      <c r="H825" s="45"/>
      <c r="I825" s="45"/>
      <c r="J825" s="45"/>
      <c r="K825" s="45"/>
      <c r="L825" s="45"/>
      <c r="M825" s="45"/>
      <c r="N825" s="45"/>
      <c r="O825" s="47"/>
      <c r="P825" s="45"/>
      <c r="Q825" s="45"/>
      <c r="R825" s="45"/>
      <c r="S825" s="45"/>
      <c r="T825" s="45"/>
      <c r="U825" s="45"/>
      <c r="V825" s="45"/>
      <c r="W825" s="45"/>
      <c r="X825" s="28"/>
      <c r="Y825" s="28"/>
      <c r="Z825" s="28"/>
      <c r="AA825" s="28"/>
      <c r="AB825" s="28"/>
      <c r="AC825" s="28"/>
    </row>
    <row r="826" spans="1:29" ht="13">
      <c r="A826" s="28"/>
      <c r="B826" s="45"/>
      <c r="C826" s="45"/>
      <c r="D826" s="45"/>
      <c r="E826" s="45"/>
      <c r="F826" s="45"/>
      <c r="G826" s="45"/>
      <c r="H826" s="45"/>
      <c r="I826" s="45"/>
      <c r="J826" s="45"/>
      <c r="K826" s="45"/>
      <c r="L826" s="45"/>
      <c r="M826" s="45"/>
      <c r="N826" s="45"/>
      <c r="O826" s="47"/>
      <c r="P826" s="45"/>
      <c r="Q826" s="45"/>
      <c r="R826" s="45"/>
      <c r="S826" s="45"/>
      <c r="T826" s="45"/>
      <c r="U826" s="45"/>
      <c r="V826" s="45"/>
      <c r="W826" s="45"/>
      <c r="X826" s="28"/>
      <c r="Y826" s="28"/>
      <c r="Z826" s="28"/>
      <c r="AA826" s="28"/>
      <c r="AB826" s="28"/>
      <c r="AC826" s="28"/>
    </row>
    <row r="827" spans="1:29" ht="13">
      <c r="A827" s="28"/>
      <c r="B827" s="45"/>
      <c r="C827" s="45"/>
      <c r="D827" s="45"/>
      <c r="E827" s="45"/>
      <c r="F827" s="45"/>
      <c r="G827" s="45"/>
      <c r="H827" s="45"/>
      <c r="I827" s="45"/>
      <c r="J827" s="45"/>
      <c r="K827" s="45"/>
      <c r="L827" s="45"/>
      <c r="M827" s="45"/>
      <c r="N827" s="45"/>
      <c r="O827" s="47"/>
      <c r="P827" s="45"/>
      <c r="Q827" s="45"/>
      <c r="R827" s="45"/>
      <c r="S827" s="45"/>
      <c r="T827" s="45"/>
      <c r="U827" s="45"/>
      <c r="V827" s="45"/>
      <c r="W827" s="45"/>
      <c r="X827" s="28"/>
      <c r="Y827" s="28"/>
      <c r="Z827" s="28"/>
      <c r="AA827" s="28"/>
      <c r="AB827" s="28"/>
      <c r="AC827" s="28"/>
    </row>
    <row r="828" spans="1:29" ht="13">
      <c r="A828" s="28"/>
      <c r="B828" s="45"/>
      <c r="C828" s="45"/>
      <c r="D828" s="45"/>
      <c r="E828" s="45"/>
      <c r="F828" s="45"/>
      <c r="G828" s="45"/>
      <c r="H828" s="45"/>
      <c r="I828" s="45"/>
      <c r="J828" s="45"/>
      <c r="K828" s="45"/>
      <c r="L828" s="45"/>
      <c r="M828" s="45"/>
      <c r="N828" s="45"/>
      <c r="O828" s="47"/>
      <c r="P828" s="45"/>
      <c r="Q828" s="45"/>
      <c r="R828" s="45"/>
      <c r="S828" s="45"/>
      <c r="T828" s="45"/>
      <c r="U828" s="45"/>
      <c r="V828" s="45"/>
      <c r="W828" s="45"/>
      <c r="X828" s="28"/>
      <c r="Y828" s="28"/>
      <c r="Z828" s="28"/>
      <c r="AA828" s="28"/>
      <c r="AB828" s="28"/>
      <c r="AC828" s="28"/>
    </row>
    <row r="829" spans="1:29" ht="13">
      <c r="A829" s="28"/>
      <c r="B829" s="45"/>
      <c r="C829" s="45"/>
      <c r="D829" s="45"/>
      <c r="E829" s="45"/>
      <c r="F829" s="45"/>
      <c r="G829" s="45"/>
      <c r="H829" s="45"/>
      <c r="I829" s="45"/>
      <c r="J829" s="45"/>
      <c r="K829" s="45"/>
      <c r="L829" s="45"/>
      <c r="M829" s="45"/>
      <c r="N829" s="45"/>
      <c r="O829" s="47"/>
      <c r="P829" s="45"/>
      <c r="Q829" s="45"/>
      <c r="R829" s="45"/>
      <c r="S829" s="45"/>
      <c r="T829" s="45"/>
      <c r="U829" s="45"/>
      <c r="V829" s="45"/>
      <c r="W829" s="45"/>
      <c r="X829" s="28"/>
      <c r="Y829" s="28"/>
      <c r="Z829" s="28"/>
      <c r="AA829" s="28"/>
      <c r="AB829" s="28"/>
      <c r="AC829" s="28"/>
    </row>
    <row r="830" spans="1:29" ht="13">
      <c r="A830" s="28"/>
      <c r="B830" s="45"/>
      <c r="C830" s="45"/>
      <c r="D830" s="45"/>
      <c r="E830" s="45"/>
      <c r="F830" s="45"/>
      <c r="G830" s="45"/>
      <c r="H830" s="45"/>
      <c r="I830" s="45"/>
      <c r="J830" s="45"/>
      <c r="K830" s="45"/>
      <c r="L830" s="45"/>
      <c r="M830" s="45"/>
      <c r="N830" s="45"/>
      <c r="O830" s="47"/>
      <c r="P830" s="45"/>
      <c r="Q830" s="45"/>
      <c r="R830" s="45"/>
      <c r="S830" s="45"/>
      <c r="T830" s="45"/>
      <c r="U830" s="45"/>
      <c r="V830" s="45"/>
      <c r="W830" s="45"/>
      <c r="X830" s="28"/>
      <c r="Y830" s="28"/>
      <c r="Z830" s="28"/>
      <c r="AA830" s="28"/>
      <c r="AB830" s="28"/>
      <c r="AC830" s="28"/>
    </row>
    <row r="831" spans="1:29" ht="13">
      <c r="A831" s="28"/>
      <c r="B831" s="45"/>
      <c r="C831" s="45"/>
      <c r="D831" s="45"/>
      <c r="E831" s="45"/>
      <c r="F831" s="45"/>
      <c r="G831" s="45"/>
      <c r="H831" s="45"/>
      <c r="I831" s="45"/>
      <c r="J831" s="45"/>
      <c r="K831" s="45"/>
      <c r="L831" s="45"/>
      <c r="M831" s="45"/>
      <c r="N831" s="45"/>
      <c r="O831" s="47"/>
      <c r="P831" s="45"/>
      <c r="Q831" s="45"/>
      <c r="R831" s="45"/>
      <c r="S831" s="45"/>
      <c r="T831" s="45"/>
      <c r="U831" s="45"/>
      <c r="V831" s="45"/>
      <c r="W831" s="45"/>
      <c r="X831" s="28"/>
      <c r="Y831" s="28"/>
      <c r="Z831" s="28"/>
      <c r="AA831" s="28"/>
      <c r="AB831" s="28"/>
      <c r="AC831" s="28"/>
    </row>
    <row r="832" spans="1:29" ht="13">
      <c r="A832" s="28"/>
      <c r="B832" s="45"/>
      <c r="C832" s="45"/>
      <c r="D832" s="45"/>
      <c r="E832" s="45"/>
      <c r="F832" s="45"/>
      <c r="G832" s="45"/>
      <c r="H832" s="45"/>
      <c r="I832" s="45"/>
      <c r="J832" s="45"/>
      <c r="K832" s="45"/>
      <c r="L832" s="45"/>
      <c r="M832" s="45"/>
      <c r="N832" s="45"/>
      <c r="O832" s="47"/>
      <c r="P832" s="45"/>
      <c r="Q832" s="45"/>
      <c r="R832" s="45"/>
      <c r="S832" s="45"/>
      <c r="T832" s="45"/>
      <c r="U832" s="45"/>
      <c r="V832" s="45"/>
      <c r="W832" s="45"/>
      <c r="X832" s="28"/>
      <c r="Y832" s="28"/>
      <c r="Z832" s="28"/>
      <c r="AA832" s="28"/>
      <c r="AB832" s="28"/>
      <c r="AC832" s="28"/>
    </row>
    <row r="833" spans="1:29" ht="13">
      <c r="A833" s="28"/>
      <c r="B833" s="45"/>
      <c r="C833" s="45"/>
      <c r="D833" s="45"/>
      <c r="E833" s="45"/>
      <c r="F833" s="45"/>
      <c r="G833" s="45"/>
      <c r="H833" s="45"/>
      <c r="I833" s="45"/>
      <c r="J833" s="45"/>
      <c r="K833" s="45"/>
      <c r="L833" s="45"/>
      <c r="M833" s="45"/>
      <c r="N833" s="45"/>
      <c r="O833" s="47"/>
      <c r="P833" s="45"/>
      <c r="Q833" s="45"/>
      <c r="R833" s="45"/>
      <c r="S833" s="45"/>
      <c r="T833" s="45"/>
      <c r="U833" s="45"/>
      <c r="V833" s="45"/>
      <c r="W833" s="45"/>
      <c r="X833" s="28"/>
      <c r="Y833" s="28"/>
      <c r="Z833" s="28"/>
      <c r="AA833" s="28"/>
      <c r="AB833" s="28"/>
      <c r="AC833" s="28"/>
    </row>
    <row r="834" spans="1:29" ht="13">
      <c r="A834" s="28"/>
      <c r="B834" s="45"/>
      <c r="C834" s="45"/>
      <c r="D834" s="45"/>
      <c r="E834" s="45"/>
      <c r="F834" s="45"/>
      <c r="G834" s="45"/>
      <c r="H834" s="45"/>
      <c r="I834" s="45"/>
      <c r="J834" s="45"/>
      <c r="K834" s="45"/>
      <c r="L834" s="45"/>
      <c r="M834" s="45"/>
      <c r="N834" s="45"/>
      <c r="O834" s="47"/>
      <c r="P834" s="45"/>
      <c r="Q834" s="45"/>
      <c r="R834" s="45"/>
      <c r="S834" s="45"/>
      <c r="T834" s="45"/>
      <c r="U834" s="45"/>
      <c r="V834" s="45"/>
      <c r="W834" s="45"/>
      <c r="X834" s="28"/>
      <c r="Y834" s="28"/>
      <c r="Z834" s="28"/>
      <c r="AA834" s="28"/>
      <c r="AB834" s="28"/>
      <c r="AC834" s="28"/>
    </row>
    <row r="835" spans="1:29" ht="13">
      <c r="A835" s="28"/>
      <c r="B835" s="45"/>
      <c r="C835" s="45"/>
      <c r="D835" s="45"/>
      <c r="E835" s="45"/>
      <c r="F835" s="45"/>
      <c r="G835" s="45"/>
      <c r="H835" s="45"/>
      <c r="I835" s="45"/>
      <c r="J835" s="45"/>
      <c r="K835" s="45"/>
      <c r="L835" s="45"/>
      <c r="M835" s="45"/>
      <c r="N835" s="45"/>
      <c r="O835" s="47"/>
      <c r="P835" s="45"/>
      <c r="Q835" s="45"/>
      <c r="R835" s="45"/>
      <c r="S835" s="45"/>
      <c r="T835" s="45"/>
      <c r="U835" s="45"/>
      <c r="V835" s="45"/>
      <c r="W835" s="45"/>
      <c r="X835" s="28"/>
      <c r="Y835" s="28"/>
      <c r="Z835" s="28"/>
      <c r="AA835" s="28"/>
      <c r="AB835" s="28"/>
      <c r="AC835" s="28"/>
    </row>
    <row r="836" spans="1:29" ht="13">
      <c r="A836" s="28"/>
      <c r="B836" s="45"/>
      <c r="C836" s="45"/>
      <c r="D836" s="45"/>
      <c r="E836" s="45"/>
      <c r="F836" s="45"/>
      <c r="G836" s="45"/>
      <c r="H836" s="45"/>
      <c r="I836" s="45"/>
      <c r="J836" s="45"/>
      <c r="K836" s="45"/>
      <c r="L836" s="45"/>
      <c r="M836" s="45"/>
      <c r="N836" s="45"/>
      <c r="O836" s="47"/>
      <c r="P836" s="45"/>
      <c r="Q836" s="45"/>
      <c r="R836" s="45"/>
      <c r="S836" s="45"/>
      <c r="T836" s="45"/>
      <c r="U836" s="45"/>
      <c r="V836" s="45"/>
      <c r="W836" s="45"/>
      <c r="X836" s="28"/>
      <c r="Y836" s="28"/>
      <c r="Z836" s="28"/>
      <c r="AA836" s="28"/>
      <c r="AB836" s="28"/>
      <c r="AC836" s="28"/>
    </row>
    <row r="837" spans="1:29" ht="13">
      <c r="A837" s="28"/>
      <c r="B837" s="45"/>
      <c r="C837" s="45"/>
      <c r="D837" s="45"/>
      <c r="E837" s="45"/>
      <c r="F837" s="45"/>
      <c r="G837" s="45"/>
      <c r="H837" s="45"/>
      <c r="I837" s="45"/>
      <c r="J837" s="45"/>
      <c r="K837" s="45"/>
      <c r="L837" s="45"/>
      <c r="M837" s="45"/>
      <c r="N837" s="45"/>
      <c r="O837" s="47"/>
      <c r="P837" s="45"/>
      <c r="Q837" s="45"/>
      <c r="R837" s="45"/>
      <c r="S837" s="45"/>
      <c r="T837" s="45"/>
      <c r="U837" s="45"/>
      <c r="V837" s="45"/>
      <c r="W837" s="45"/>
      <c r="X837" s="28"/>
      <c r="Y837" s="28"/>
      <c r="Z837" s="28"/>
      <c r="AA837" s="28"/>
      <c r="AB837" s="28"/>
      <c r="AC837" s="28"/>
    </row>
    <row r="838" spans="1:29" ht="13">
      <c r="A838" s="28"/>
      <c r="B838" s="45"/>
      <c r="C838" s="45"/>
      <c r="D838" s="45"/>
      <c r="E838" s="45"/>
      <c r="F838" s="45"/>
      <c r="G838" s="45"/>
      <c r="H838" s="45"/>
      <c r="I838" s="45"/>
      <c r="J838" s="45"/>
      <c r="K838" s="45"/>
      <c r="L838" s="45"/>
      <c r="M838" s="45"/>
      <c r="N838" s="45"/>
      <c r="O838" s="47"/>
      <c r="P838" s="45"/>
      <c r="Q838" s="45"/>
      <c r="R838" s="45"/>
      <c r="S838" s="45"/>
      <c r="T838" s="45"/>
      <c r="U838" s="45"/>
      <c r="V838" s="45"/>
      <c r="W838" s="45"/>
      <c r="X838" s="28"/>
      <c r="Y838" s="28"/>
      <c r="Z838" s="28"/>
      <c r="AA838" s="28"/>
      <c r="AB838" s="28"/>
      <c r="AC838" s="28"/>
    </row>
    <row r="839" spans="1:29" ht="13">
      <c r="A839" s="28"/>
      <c r="B839" s="45"/>
      <c r="C839" s="45"/>
      <c r="D839" s="45"/>
      <c r="E839" s="45"/>
      <c r="F839" s="45"/>
      <c r="G839" s="45"/>
      <c r="H839" s="45"/>
      <c r="I839" s="45"/>
      <c r="J839" s="45"/>
      <c r="K839" s="45"/>
      <c r="L839" s="45"/>
      <c r="M839" s="45"/>
      <c r="N839" s="45"/>
      <c r="O839" s="47"/>
      <c r="P839" s="45"/>
      <c r="Q839" s="45"/>
      <c r="R839" s="45"/>
      <c r="S839" s="45"/>
      <c r="T839" s="45"/>
      <c r="U839" s="45"/>
      <c r="V839" s="45"/>
      <c r="W839" s="45"/>
      <c r="X839" s="28"/>
      <c r="Y839" s="28"/>
      <c r="Z839" s="28"/>
      <c r="AA839" s="28"/>
      <c r="AB839" s="28"/>
      <c r="AC839" s="28"/>
    </row>
    <row r="840" spans="1:29" ht="13">
      <c r="A840" s="28"/>
      <c r="B840" s="45"/>
      <c r="C840" s="45"/>
      <c r="D840" s="45"/>
      <c r="E840" s="45"/>
      <c r="F840" s="45"/>
      <c r="G840" s="45"/>
      <c r="H840" s="45"/>
      <c r="I840" s="45"/>
      <c r="J840" s="45"/>
      <c r="K840" s="45"/>
      <c r="L840" s="45"/>
      <c r="M840" s="45"/>
      <c r="N840" s="45"/>
      <c r="O840" s="47"/>
      <c r="P840" s="45"/>
      <c r="Q840" s="45"/>
      <c r="R840" s="45"/>
      <c r="S840" s="45"/>
      <c r="T840" s="45"/>
      <c r="U840" s="45"/>
      <c r="V840" s="45"/>
      <c r="W840" s="45"/>
      <c r="X840" s="28"/>
      <c r="Y840" s="28"/>
      <c r="Z840" s="28"/>
      <c r="AA840" s="28"/>
      <c r="AB840" s="28"/>
      <c r="AC840" s="28"/>
    </row>
    <row r="841" spans="1:29" ht="13">
      <c r="A841" s="28"/>
      <c r="B841" s="45"/>
      <c r="C841" s="45"/>
      <c r="D841" s="45"/>
      <c r="E841" s="45"/>
      <c r="F841" s="45"/>
      <c r="G841" s="45"/>
      <c r="H841" s="45"/>
      <c r="I841" s="45"/>
      <c r="J841" s="45"/>
      <c r="K841" s="45"/>
      <c r="L841" s="45"/>
      <c r="M841" s="45"/>
      <c r="N841" s="45"/>
      <c r="O841" s="47"/>
      <c r="P841" s="45"/>
      <c r="Q841" s="45"/>
      <c r="R841" s="45"/>
      <c r="S841" s="45"/>
      <c r="T841" s="45"/>
      <c r="U841" s="45"/>
      <c r="V841" s="45"/>
      <c r="W841" s="45"/>
      <c r="X841" s="28"/>
      <c r="Y841" s="28"/>
      <c r="Z841" s="28"/>
      <c r="AA841" s="28"/>
      <c r="AB841" s="28"/>
      <c r="AC841" s="28"/>
    </row>
    <row r="842" spans="1:29" ht="13">
      <c r="A842" s="28"/>
      <c r="B842" s="45"/>
      <c r="C842" s="45"/>
      <c r="D842" s="45"/>
      <c r="E842" s="45"/>
      <c r="F842" s="45"/>
      <c r="G842" s="45"/>
      <c r="H842" s="45"/>
      <c r="I842" s="45"/>
      <c r="J842" s="45"/>
      <c r="K842" s="45"/>
      <c r="L842" s="45"/>
      <c r="M842" s="45"/>
      <c r="N842" s="45"/>
      <c r="O842" s="47"/>
      <c r="P842" s="45"/>
      <c r="Q842" s="45"/>
      <c r="R842" s="45"/>
      <c r="S842" s="45"/>
      <c r="T842" s="45"/>
      <c r="U842" s="45"/>
      <c r="V842" s="45"/>
      <c r="W842" s="45"/>
      <c r="X842" s="28"/>
      <c r="Y842" s="28"/>
      <c r="Z842" s="28"/>
      <c r="AA842" s="28"/>
      <c r="AB842" s="28"/>
      <c r="AC842" s="28"/>
    </row>
    <row r="843" spans="1:29" ht="13">
      <c r="A843" s="28"/>
      <c r="B843" s="45"/>
      <c r="C843" s="45"/>
      <c r="D843" s="45"/>
      <c r="E843" s="45"/>
      <c r="F843" s="45"/>
      <c r="G843" s="45"/>
      <c r="H843" s="45"/>
      <c r="I843" s="45"/>
      <c r="J843" s="45"/>
      <c r="K843" s="45"/>
      <c r="L843" s="45"/>
      <c r="M843" s="45"/>
      <c r="N843" s="45"/>
      <c r="O843" s="47"/>
      <c r="P843" s="45"/>
      <c r="Q843" s="45"/>
      <c r="R843" s="45"/>
      <c r="S843" s="45"/>
      <c r="T843" s="45"/>
      <c r="U843" s="45"/>
      <c r="V843" s="45"/>
      <c r="W843" s="45"/>
      <c r="X843" s="28"/>
      <c r="Y843" s="28"/>
      <c r="Z843" s="28"/>
      <c r="AA843" s="28"/>
      <c r="AB843" s="28"/>
      <c r="AC843" s="28"/>
    </row>
    <row r="844" spans="1:29" ht="13">
      <c r="A844" s="28"/>
      <c r="B844" s="45"/>
      <c r="C844" s="45"/>
      <c r="D844" s="45"/>
      <c r="E844" s="45"/>
      <c r="F844" s="45"/>
      <c r="G844" s="45"/>
      <c r="H844" s="45"/>
      <c r="I844" s="45"/>
      <c r="J844" s="45"/>
      <c r="K844" s="45"/>
      <c r="L844" s="45"/>
      <c r="M844" s="45"/>
      <c r="N844" s="45"/>
      <c r="O844" s="47"/>
      <c r="P844" s="45"/>
      <c r="Q844" s="45"/>
      <c r="R844" s="45"/>
      <c r="S844" s="45"/>
      <c r="T844" s="45"/>
      <c r="U844" s="45"/>
      <c r="V844" s="45"/>
      <c r="W844" s="45"/>
      <c r="X844" s="28"/>
      <c r="Y844" s="28"/>
      <c r="Z844" s="28"/>
      <c r="AA844" s="28"/>
      <c r="AB844" s="28"/>
      <c r="AC844" s="28"/>
    </row>
    <row r="845" spans="1:29" ht="13">
      <c r="A845" s="28"/>
      <c r="B845" s="45"/>
      <c r="C845" s="45"/>
      <c r="D845" s="45"/>
      <c r="E845" s="45"/>
      <c r="F845" s="45"/>
      <c r="G845" s="45"/>
      <c r="H845" s="45"/>
      <c r="I845" s="45"/>
      <c r="J845" s="45"/>
      <c r="K845" s="45"/>
      <c r="L845" s="45"/>
      <c r="M845" s="45"/>
      <c r="N845" s="45"/>
      <c r="O845" s="47"/>
      <c r="P845" s="45"/>
      <c r="Q845" s="45"/>
      <c r="R845" s="45"/>
      <c r="S845" s="45"/>
      <c r="T845" s="45"/>
      <c r="U845" s="45"/>
      <c r="V845" s="45"/>
      <c r="W845" s="45"/>
      <c r="X845" s="28"/>
      <c r="Y845" s="28"/>
      <c r="Z845" s="28"/>
      <c r="AA845" s="28"/>
      <c r="AB845" s="28"/>
      <c r="AC845" s="28"/>
    </row>
    <row r="846" spans="1:29" ht="13">
      <c r="A846" s="28"/>
      <c r="B846" s="45"/>
      <c r="C846" s="45"/>
      <c r="D846" s="45"/>
      <c r="E846" s="45"/>
      <c r="F846" s="45"/>
      <c r="G846" s="45"/>
      <c r="H846" s="45"/>
      <c r="I846" s="45"/>
      <c r="J846" s="45"/>
      <c r="K846" s="45"/>
      <c r="L846" s="45"/>
      <c r="M846" s="45"/>
      <c r="N846" s="45"/>
      <c r="O846" s="47"/>
      <c r="P846" s="45"/>
      <c r="Q846" s="45"/>
      <c r="R846" s="45"/>
      <c r="S846" s="45"/>
      <c r="T846" s="45"/>
      <c r="U846" s="45"/>
      <c r="V846" s="45"/>
      <c r="W846" s="45"/>
      <c r="X846" s="28"/>
      <c r="Y846" s="28"/>
      <c r="Z846" s="28"/>
      <c r="AA846" s="28"/>
      <c r="AB846" s="28"/>
      <c r="AC846" s="28"/>
    </row>
    <row r="847" spans="1:29" ht="13">
      <c r="A847" s="28"/>
      <c r="B847" s="45"/>
      <c r="C847" s="45"/>
      <c r="D847" s="45"/>
      <c r="E847" s="45"/>
      <c r="F847" s="45"/>
      <c r="G847" s="45"/>
      <c r="H847" s="45"/>
      <c r="I847" s="45"/>
      <c r="J847" s="45"/>
      <c r="K847" s="45"/>
      <c r="L847" s="45"/>
      <c r="M847" s="45"/>
      <c r="N847" s="45"/>
      <c r="O847" s="47"/>
      <c r="P847" s="45"/>
      <c r="Q847" s="45"/>
      <c r="R847" s="45"/>
      <c r="S847" s="45"/>
      <c r="T847" s="45"/>
      <c r="U847" s="45"/>
      <c r="V847" s="45"/>
      <c r="W847" s="45"/>
      <c r="X847" s="28"/>
      <c r="Y847" s="28"/>
      <c r="Z847" s="28"/>
      <c r="AA847" s="28"/>
      <c r="AB847" s="28"/>
      <c r="AC847" s="28"/>
    </row>
    <row r="848" spans="1:29" ht="13">
      <c r="A848" s="28"/>
      <c r="B848" s="45"/>
      <c r="C848" s="45"/>
      <c r="D848" s="45"/>
      <c r="E848" s="45"/>
      <c r="F848" s="45"/>
      <c r="G848" s="45"/>
      <c r="H848" s="45"/>
      <c r="I848" s="45"/>
      <c r="J848" s="45"/>
      <c r="K848" s="45"/>
      <c r="L848" s="45"/>
      <c r="M848" s="45"/>
      <c r="N848" s="45"/>
      <c r="O848" s="47"/>
      <c r="P848" s="45"/>
      <c r="Q848" s="45"/>
      <c r="R848" s="45"/>
      <c r="S848" s="45"/>
      <c r="T848" s="45"/>
      <c r="U848" s="45"/>
      <c r="V848" s="45"/>
      <c r="W848" s="45"/>
      <c r="X848" s="28"/>
      <c r="Y848" s="28"/>
      <c r="Z848" s="28"/>
      <c r="AA848" s="28"/>
      <c r="AB848" s="28"/>
      <c r="AC848" s="28"/>
    </row>
    <row r="849" spans="1:29" ht="13">
      <c r="A849" s="28"/>
      <c r="B849" s="45"/>
      <c r="C849" s="45"/>
      <c r="D849" s="45"/>
      <c r="E849" s="45"/>
      <c r="F849" s="45"/>
      <c r="G849" s="45"/>
      <c r="H849" s="45"/>
      <c r="I849" s="45"/>
      <c r="J849" s="45"/>
      <c r="K849" s="45"/>
      <c r="L849" s="45"/>
      <c r="M849" s="45"/>
      <c r="N849" s="45"/>
      <c r="O849" s="47"/>
      <c r="P849" s="45"/>
      <c r="Q849" s="45"/>
      <c r="R849" s="45"/>
      <c r="S849" s="45"/>
      <c r="T849" s="45"/>
      <c r="U849" s="45"/>
      <c r="V849" s="45"/>
      <c r="W849" s="45"/>
      <c r="X849" s="28"/>
      <c r="Y849" s="28"/>
      <c r="Z849" s="28"/>
      <c r="AA849" s="28"/>
      <c r="AB849" s="28"/>
      <c r="AC849" s="28"/>
    </row>
    <row r="850" spans="1:29" ht="13">
      <c r="A850" s="28"/>
      <c r="B850" s="45"/>
      <c r="C850" s="45"/>
      <c r="D850" s="45"/>
      <c r="E850" s="45"/>
      <c r="F850" s="45"/>
      <c r="G850" s="45"/>
      <c r="H850" s="45"/>
      <c r="I850" s="45"/>
      <c r="J850" s="45"/>
      <c r="K850" s="45"/>
      <c r="L850" s="45"/>
      <c r="M850" s="45"/>
      <c r="N850" s="45"/>
      <c r="O850" s="47"/>
      <c r="P850" s="45"/>
      <c r="Q850" s="45"/>
      <c r="R850" s="45"/>
      <c r="S850" s="45"/>
      <c r="T850" s="45"/>
      <c r="U850" s="45"/>
      <c r="V850" s="45"/>
      <c r="W850" s="45"/>
      <c r="X850" s="28"/>
      <c r="Y850" s="28"/>
      <c r="Z850" s="28"/>
      <c r="AA850" s="28"/>
      <c r="AB850" s="28"/>
      <c r="AC850" s="28"/>
    </row>
    <row r="851" spans="1:29" ht="13">
      <c r="A851" s="28"/>
      <c r="B851" s="45"/>
      <c r="C851" s="45"/>
      <c r="D851" s="45"/>
      <c r="E851" s="45"/>
      <c r="F851" s="45"/>
      <c r="G851" s="45"/>
      <c r="H851" s="45"/>
      <c r="I851" s="45"/>
      <c r="J851" s="45"/>
      <c r="K851" s="45"/>
      <c r="L851" s="45"/>
      <c r="M851" s="45"/>
      <c r="N851" s="45"/>
      <c r="O851" s="47"/>
      <c r="P851" s="45"/>
      <c r="Q851" s="45"/>
      <c r="R851" s="45"/>
      <c r="S851" s="45"/>
      <c r="T851" s="45"/>
      <c r="U851" s="45"/>
      <c r="V851" s="45"/>
      <c r="W851" s="45"/>
      <c r="X851" s="28"/>
      <c r="Y851" s="28"/>
      <c r="Z851" s="28"/>
      <c r="AA851" s="28"/>
      <c r="AB851" s="28"/>
      <c r="AC851" s="28"/>
    </row>
    <row r="852" spans="1:29" ht="13">
      <c r="A852" s="28"/>
      <c r="B852" s="45"/>
      <c r="C852" s="45"/>
      <c r="D852" s="45"/>
      <c r="E852" s="45"/>
      <c r="F852" s="45"/>
      <c r="G852" s="45"/>
      <c r="H852" s="45"/>
      <c r="I852" s="45"/>
      <c r="J852" s="45"/>
      <c r="K852" s="45"/>
      <c r="L852" s="45"/>
      <c r="M852" s="45"/>
      <c r="N852" s="45"/>
      <c r="O852" s="47"/>
      <c r="P852" s="45"/>
      <c r="Q852" s="45"/>
      <c r="R852" s="45"/>
      <c r="S852" s="45"/>
      <c r="T852" s="45"/>
      <c r="U852" s="45"/>
      <c r="V852" s="45"/>
      <c r="W852" s="45"/>
      <c r="X852" s="28"/>
      <c r="Y852" s="28"/>
      <c r="Z852" s="28"/>
      <c r="AA852" s="28"/>
      <c r="AB852" s="28"/>
      <c r="AC852" s="28"/>
    </row>
    <row r="853" spans="1:29" ht="13">
      <c r="A853" s="28"/>
      <c r="B853" s="45"/>
      <c r="C853" s="45"/>
      <c r="D853" s="45"/>
      <c r="E853" s="45"/>
      <c r="F853" s="45"/>
      <c r="G853" s="45"/>
      <c r="H853" s="45"/>
      <c r="I853" s="45"/>
      <c r="J853" s="45"/>
      <c r="K853" s="45"/>
      <c r="L853" s="45"/>
      <c r="M853" s="45"/>
      <c r="N853" s="45"/>
      <c r="O853" s="47"/>
      <c r="P853" s="45"/>
      <c r="Q853" s="45"/>
      <c r="R853" s="45"/>
      <c r="S853" s="45"/>
      <c r="T853" s="45"/>
      <c r="U853" s="45"/>
      <c r="V853" s="45"/>
      <c r="W853" s="45"/>
      <c r="X853" s="28"/>
      <c r="Y853" s="28"/>
      <c r="Z853" s="28"/>
      <c r="AA853" s="28"/>
      <c r="AB853" s="28"/>
      <c r="AC853" s="28"/>
    </row>
    <row r="854" spans="1:29" ht="13">
      <c r="A854" s="28"/>
      <c r="B854" s="45"/>
      <c r="C854" s="45"/>
      <c r="D854" s="45"/>
      <c r="E854" s="45"/>
      <c r="F854" s="45"/>
      <c r="G854" s="45"/>
      <c r="H854" s="45"/>
      <c r="I854" s="45"/>
      <c r="J854" s="45"/>
      <c r="K854" s="45"/>
      <c r="L854" s="45"/>
      <c r="M854" s="45"/>
      <c r="N854" s="45"/>
      <c r="O854" s="47"/>
      <c r="P854" s="45"/>
      <c r="Q854" s="45"/>
      <c r="R854" s="45"/>
      <c r="S854" s="45"/>
      <c r="T854" s="45"/>
      <c r="U854" s="45"/>
      <c r="V854" s="45"/>
      <c r="W854" s="45"/>
      <c r="X854" s="28"/>
      <c r="Y854" s="28"/>
      <c r="Z854" s="28"/>
      <c r="AA854" s="28"/>
      <c r="AB854" s="28"/>
      <c r="AC854" s="28"/>
    </row>
    <row r="855" spans="1:29" ht="13">
      <c r="A855" s="28"/>
      <c r="B855" s="45"/>
      <c r="C855" s="45"/>
      <c r="D855" s="45"/>
      <c r="E855" s="45"/>
      <c r="F855" s="45"/>
      <c r="G855" s="45"/>
      <c r="H855" s="45"/>
      <c r="I855" s="45"/>
      <c r="J855" s="45"/>
      <c r="K855" s="45"/>
      <c r="L855" s="45"/>
      <c r="M855" s="45"/>
      <c r="N855" s="45"/>
      <c r="O855" s="47"/>
      <c r="P855" s="45"/>
      <c r="Q855" s="45"/>
      <c r="R855" s="45"/>
      <c r="S855" s="45"/>
      <c r="T855" s="45"/>
      <c r="U855" s="45"/>
      <c r="V855" s="45"/>
      <c r="W855" s="45"/>
      <c r="X855" s="28"/>
      <c r="Y855" s="28"/>
      <c r="Z855" s="28"/>
      <c r="AA855" s="28"/>
      <c r="AB855" s="28"/>
      <c r="AC855" s="28"/>
    </row>
    <row r="856" spans="1:29" ht="13">
      <c r="A856" s="28"/>
      <c r="B856" s="45"/>
      <c r="C856" s="45"/>
      <c r="D856" s="45"/>
      <c r="E856" s="45"/>
      <c r="F856" s="45"/>
      <c r="G856" s="45"/>
      <c r="H856" s="45"/>
      <c r="I856" s="45"/>
      <c r="J856" s="45"/>
      <c r="K856" s="45"/>
      <c r="L856" s="45"/>
      <c r="M856" s="45"/>
      <c r="N856" s="45"/>
      <c r="O856" s="47"/>
      <c r="P856" s="45"/>
      <c r="Q856" s="45"/>
      <c r="R856" s="45"/>
      <c r="S856" s="45"/>
      <c r="T856" s="45"/>
      <c r="U856" s="45"/>
      <c r="V856" s="45"/>
      <c r="W856" s="45"/>
      <c r="X856" s="28"/>
      <c r="Y856" s="28"/>
      <c r="Z856" s="28"/>
      <c r="AA856" s="28"/>
      <c r="AB856" s="28"/>
      <c r="AC856" s="28"/>
    </row>
    <row r="857" spans="1:29" ht="13">
      <c r="A857" s="28"/>
      <c r="B857" s="45"/>
      <c r="C857" s="45"/>
      <c r="D857" s="45"/>
      <c r="E857" s="45"/>
      <c r="F857" s="45"/>
      <c r="G857" s="45"/>
      <c r="H857" s="45"/>
      <c r="I857" s="45"/>
      <c r="J857" s="45"/>
      <c r="K857" s="45"/>
      <c r="L857" s="45"/>
      <c r="M857" s="45"/>
      <c r="N857" s="45"/>
      <c r="O857" s="47"/>
      <c r="P857" s="45"/>
      <c r="Q857" s="45"/>
      <c r="R857" s="45"/>
      <c r="S857" s="45"/>
      <c r="T857" s="45"/>
      <c r="U857" s="45"/>
      <c r="V857" s="45"/>
      <c r="W857" s="45"/>
      <c r="X857" s="28"/>
      <c r="Y857" s="28"/>
      <c r="Z857" s="28"/>
      <c r="AA857" s="28"/>
      <c r="AB857" s="28"/>
      <c r="AC857" s="28"/>
    </row>
    <row r="858" spans="1:29" ht="13">
      <c r="A858" s="28"/>
      <c r="B858" s="45"/>
      <c r="C858" s="45"/>
      <c r="D858" s="45"/>
      <c r="E858" s="45"/>
      <c r="F858" s="45"/>
      <c r="G858" s="45"/>
      <c r="H858" s="45"/>
      <c r="I858" s="45"/>
      <c r="J858" s="45"/>
      <c r="K858" s="45"/>
      <c r="L858" s="45"/>
      <c r="M858" s="45"/>
      <c r="N858" s="45"/>
      <c r="O858" s="47"/>
      <c r="P858" s="45"/>
      <c r="Q858" s="45"/>
      <c r="R858" s="45"/>
      <c r="S858" s="45"/>
      <c r="T858" s="45"/>
      <c r="U858" s="45"/>
      <c r="V858" s="45"/>
      <c r="W858" s="45"/>
      <c r="X858" s="28"/>
      <c r="Y858" s="28"/>
      <c r="Z858" s="28"/>
      <c r="AA858" s="28"/>
      <c r="AB858" s="28"/>
      <c r="AC858" s="28"/>
    </row>
    <row r="859" spans="1:29" ht="13">
      <c r="A859" s="28"/>
      <c r="B859" s="45"/>
      <c r="C859" s="45"/>
      <c r="D859" s="45"/>
      <c r="E859" s="45"/>
      <c r="F859" s="45"/>
      <c r="G859" s="45"/>
      <c r="H859" s="45"/>
      <c r="I859" s="45"/>
      <c r="J859" s="45"/>
      <c r="K859" s="45"/>
      <c r="L859" s="45"/>
      <c r="M859" s="45"/>
      <c r="N859" s="45"/>
      <c r="O859" s="47"/>
      <c r="P859" s="45"/>
      <c r="Q859" s="45"/>
      <c r="R859" s="45"/>
      <c r="S859" s="45"/>
      <c r="T859" s="45"/>
      <c r="U859" s="45"/>
      <c r="V859" s="45"/>
      <c r="W859" s="45"/>
      <c r="X859" s="28"/>
      <c r="Y859" s="28"/>
      <c r="Z859" s="28"/>
      <c r="AA859" s="28"/>
      <c r="AB859" s="28"/>
      <c r="AC859" s="28"/>
    </row>
    <row r="860" spans="1:29" ht="13">
      <c r="A860" s="28"/>
      <c r="B860" s="45"/>
      <c r="C860" s="45"/>
      <c r="D860" s="45"/>
      <c r="E860" s="45"/>
      <c r="F860" s="45"/>
      <c r="G860" s="45"/>
      <c r="H860" s="45"/>
      <c r="I860" s="45"/>
      <c r="J860" s="45"/>
      <c r="K860" s="45"/>
      <c r="L860" s="45"/>
      <c r="M860" s="45"/>
      <c r="N860" s="45"/>
      <c r="O860" s="47"/>
      <c r="P860" s="45"/>
      <c r="Q860" s="45"/>
      <c r="R860" s="45"/>
      <c r="S860" s="45"/>
      <c r="T860" s="45"/>
      <c r="U860" s="45"/>
      <c r="V860" s="45"/>
      <c r="W860" s="45"/>
      <c r="X860" s="28"/>
      <c r="Y860" s="28"/>
      <c r="Z860" s="28"/>
      <c r="AA860" s="28"/>
      <c r="AB860" s="28"/>
      <c r="AC860" s="28"/>
    </row>
    <row r="861" spans="1:29" ht="13">
      <c r="A861" s="28"/>
      <c r="B861" s="45"/>
      <c r="C861" s="45"/>
      <c r="D861" s="45"/>
      <c r="E861" s="45"/>
      <c r="F861" s="45"/>
      <c r="G861" s="45"/>
      <c r="H861" s="45"/>
      <c r="I861" s="45"/>
      <c r="J861" s="45"/>
      <c r="K861" s="45"/>
      <c r="L861" s="45"/>
      <c r="M861" s="45"/>
      <c r="N861" s="45"/>
      <c r="O861" s="47"/>
      <c r="P861" s="45"/>
      <c r="Q861" s="45"/>
      <c r="R861" s="45"/>
      <c r="S861" s="45"/>
      <c r="T861" s="45"/>
      <c r="U861" s="45"/>
      <c r="V861" s="45"/>
      <c r="W861" s="45"/>
      <c r="X861" s="28"/>
      <c r="Y861" s="28"/>
      <c r="Z861" s="28"/>
      <c r="AA861" s="28"/>
      <c r="AB861" s="28"/>
      <c r="AC861" s="28"/>
    </row>
    <row r="862" spans="1:29" ht="13">
      <c r="A862" s="28"/>
      <c r="B862" s="45"/>
      <c r="C862" s="45"/>
      <c r="D862" s="45"/>
      <c r="E862" s="45"/>
      <c r="F862" s="45"/>
      <c r="G862" s="45"/>
      <c r="H862" s="45"/>
      <c r="I862" s="45"/>
      <c r="J862" s="45"/>
      <c r="K862" s="45"/>
      <c r="L862" s="45"/>
      <c r="M862" s="45"/>
      <c r="N862" s="45"/>
      <c r="O862" s="47"/>
      <c r="P862" s="45"/>
      <c r="Q862" s="45"/>
      <c r="R862" s="45"/>
      <c r="S862" s="45"/>
      <c r="T862" s="45"/>
      <c r="U862" s="45"/>
      <c r="V862" s="45"/>
      <c r="W862" s="45"/>
      <c r="X862" s="28"/>
      <c r="Y862" s="28"/>
      <c r="Z862" s="28"/>
      <c r="AA862" s="28"/>
      <c r="AB862" s="28"/>
      <c r="AC862" s="28"/>
    </row>
    <row r="863" spans="1:29" ht="13">
      <c r="A863" s="28"/>
      <c r="B863" s="45"/>
      <c r="C863" s="45"/>
      <c r="D863" s="45"/>
      <c r="E863" s="45"/>
      <c r="F863" s="45"/>
      <c r="G863" s="45"/>
      <c r="H863" s="45"/>
      <c r="I863" s="45"/>
      <c r="J863" s="45"/>
      <c r="K863" s="45"/>
      <c r="L863" s="45"/>
      <c r="M863" s="45"/>
      <c r="N863" s="45"/>
      <c r="O863" s="47"/>
      <c r="P863" s="45"/>
      <c r="Q863" s="45"/>
      <c r="R863" s="45"/>
      <c r="S863" s="45"/>
      <c r="T863" s="45"/>
      <c r="U863" s="45"/>
      <c r="V863" s="45"/>
      <c r="W863" s="45"/>
      <c r="X863" s="28"/>
      <c r="Y863" s="28"/>
      <c r="Z863" s="28"/>
      <c r="AA863" s="28"/>
      <c r="AB863" s="28"/>
      <c r="AC863" s="28"/>
    </row>
    <row r="864" spans="1:29" ht="13">
      <c r="A864" s="28"/>
      <c r="B864" s="45"/>
      <c r="C864" s="45"/>
      <c r="D864" s="45"/>
      <c r="E864" s="45"/>
      <c r="F864" s="45"/>
      <c r="G864" s="45"/>
      <c r="H864" s="45"/>
      <c r="I864" s="45"/>
      <c r="J864" s="45"/>
      <c r="K864" s="45"/>
      <c r="L864" s="45"/>
      <c r="M864" s="45"/>
      <c r="N864" s="45"/>
      <c r="O864" s="47"/>
      <c r="P864" s="45"/>
      <c r="Q864" s="45"/>
      <c r="R864" s="45"/>
      <c r="S864" s="45"/>
      <c r="T864" s="45"/>
      <c r="U864" s="45"/>
      <c r="V864" s="45"/>
      <c r="W864" s="45"/>
      <c r="X864" s="28"/>
      <c r="Y864" s="28"/>
      <c r="Z864" s="28"/>
      <c r="AA864" s="28"/>
      <c r="AB864" s="28"/>
      <c r="AC864" s="28"/>
    </row>
    <row r="865" spans="1:29" ht="13">
      <c r="A865" s="28"/>
      <c r="B865" s="45"/>
      <c r="C865" s="45"/>
      <c r="D865" s="45"/>
      <c r="E865" s="45"/>
      <c r="F865" s="45"/>
      <c r="G865" s="45"/>
      <c r="H865" s="45"/>
      <c r="I865" s="45"/>
      <c r="J865" s="45"/>
      <c r="K865" s="45"/>
      <c r="L865" s="45"/>
      <c r="M865" s="45"/>
      <c r="N865" s="45"/>
      <c r="O865" s="47"/>
      <c r="P865" s="45"/>
      <c r="Q865" s="45"/>
      <c r="R865" s="45"/>
      <c r="S865" s="45"/>
      <c r="T865" s="45"/>
      <c r="U865" s="45"/>
      <c r="V865" s="45"/>
      <c r="W865" s="45"/>
      <c r="X865" s="28"/>
      <c r="Y865" s="28"/>
      <c r="Z865" s="28"/>
      <c r="AA865" s="28"/>
      <c r="AB865" s="28"/>
      <c r="AC865" s="28"/>
    </row>
    <row r="866" spans="1:29" ht="13">
      <c r="A866" s="28"/>
      <c r="B866" s="45"/>
      <c r="C866" s="45"/>
      <c r="D866" s="45"/>
      <c r="E866" s="45"/>
      <c r="F866" s="45"/>
      <c r="G866" s="45"/>
      <c r="H866" s="45"/>
      <c r="I866" s="45"/>
      <c r="J866" s="45"/>
      <c r="K866" s="45"/>
      <c r="L866" s="45"/>
      <c r="M866" s="45"/>
      <c r="N866" s="45"/>
      <c r="O866" s="47"/>
      <c r="P866" s="45"/>
      <c r="Q866" s="45"/>
      <c r="R866" s="45"/>
      <c r="S866" s="45"/>
      <c r="T866" s="45"/>
      <c r="U866" s="45"/>
      <c r="V866" s="45"/>
      <c r="W866" s="45"/>
      <c r="X866" s="28"/>
      <c r="Y866" s="28"/>
      <c r="Z866" s="28"/>
      <c r="AA866" s="28"/>
      <c r="AB866" s="28"/>
      <c r="AC866" s="28"/>
    </row>
    <row r="867" spans="1:29" ht="13">
      <c r="A867" s="28"/>
      <c r="B867" s="45"/>
      <c r="C867" s="45"/>
      <c r="D867" s="45"/>
      <c r="E867" s="45"/>
      <c r="F867" s="45"/>
      <c r="G867" s="45"/>
      <c r="H867" s="45"/>
      <c r="I867" s="45"/>
      <c r="J867" s="45"/>
      <c r="K867" s="45"/>
      <c r="L867" s="45"/>
      <c r="M867" s="45"/>
      <c r="N867" s="45"/>
      <c r="O867" s="47"/>
      <c r="P867" s="45"/>
      <c r="Q867" s="45"/>
      <c r="R867" s="45"/>
      <c r="S867" s="45"/>
      <c r="T867" s="45"/>
      <c r="U867" s="45"/>
      <c r="V867" s="45"/>
      <c r="W867" s="45"/>
      <c r="X867" s="28"/>
      <c r="Y867" s="28"/>
      <c r="Z867" s="28"/>
      <c r="AA867" s="28"/>
      <c r="AB867" s="28"/>
      <c r="AC867" s="28"/>
    </row>
    <row r="868" spans="1:29" ht="13">
      <c r="A868" s="28"/>
      <c r="B868" s="45"/>
      <c r="C868" s="45"/>
      <c r="D868" s="45"/>
      <c r="E868" s="45"/>
      <c r="F868" s="45"/>
      <c r="G868" s="45"/>
      <c r="H868" s="45"/>
      <c r="I868" s="45"/>
      <c r="J868" s="45"/>
      <c r="K868" s="45"/>
      <c r="L868" s="45"/>
      <c r="M868" s="45"/>
      <c r="N868" s="45"/>
      <c r="O868" s="47"/>
      <c r="P868" s="45"/>
      <c r="Q868" s="45"/>
      <c r="R868" s="45"/>
      <c r="S868" s="45"/>
      <c r="T868" s="45"/>
      <c r="U868" s="45"/>
      <c r="V868" s="45"/>
      <c r="W868" s="45"/>
      <c r="X868" s="28"/>
      <c r="Y868" s="28"/>
      <c r="Z868" s="28"/>
      <c r="AA868" s="28"/>
      <c r="AB868" s="28"/>
      <c r="AC868" s="28"/>
    </row>
    <row r="869" spans="1:29" ht="13">
      <c r="A869" s="28"/>
      <c r="B869" s="45"/>
      <c r="C869" s="45"/>
      <c r="D869" s="45"/>
      <c r="E869" s="45"/>
      <c r="F869" s="45"/>
      <c r="G869" s="45"/>
      <c r="H869" s="45"/>
      <c r="I869" s="45"/>
      <c r="J869" s="45"/>
      <c r="K869" s="45"/>
      <c r="L869" s="45"/>
      <c r="M869" s="45"/>
      <c r="N869" s="45"/>
      <c r="O869" s="47"/>
      <c r="P869" s="45"/>
      <c r="Q869" s="45"/>
      <c r="R869" s="45"/>
      <c r="S869" s="45"/>
      <c r="T869" s="45"/>
      <c r="U869" s="45"/>
      <c r="V869" s="45"/>
      <c r="W869" s="45"/>
      <c r="X869" s="28"/>
      <c r="Y869" s="28"/>
      <c r="Z869" s="28"/>
      <c r="AA869" s="28"/>
      <c r="AB869" s="28"/>
      <c r="AC869" s="28"/>
    </row>
    <row r="870" spans="1:29" ht="13">
      <c r="A870" s="28"/>
      <c r="B870" s="45"/>
      <c r="C870" s="45"/>
      <c r="D870" s="45"/>
      <c r="E870" s="45"/>
      <c r="F870" s="45"/>
      <c r="G870" s="45"/>
      <c r="H870" s="45"/>
      <c r="I870" s="45"/>
      <c r="J870" s="45"/>
      <c r="K870" s="45"/>
      <c r="L870" s="45"/>
      <c r="M870" s="45"/>
      <c r="N870" s="45"/>
      <c r="O870" s="47"/>
      <c r="P870" s="45"/>
      <c r="Q870" s="45"/>
      <c r="R870" s="45"/>
      <c r="S870" s="45"/>
      <c r="T870" s="45"/>
      <c r="U870" s="45"/>
      <c r="V870" s="45"/>
      <c r="W870" s="45"/>
      <c r="X870" s="28"/>
      <c r="Y870" s="28"/>
      <c r="Z870" s="28"/>
      <c r="AA870" s="28"/>
      <c r="AB870" s="28"/>
      <c r="AC870" s="28"/>
    </row>
    <row r="871" spans="1:29" ht="13">
      <c r="A871" s="28"/>
      <c r="B871" s="45"/>
      <c r="C871" s="45"/>
      <c r="D871" s="45"/>
      <c r="E871" s="45"/>
      <c r="F871" s="45"/>
      <c r="G871" s="45"/>
      <c r="H871" s="45"/>
      <c r="I871" s="45"/>
      <c r="J871" s="45"/>
      <c r="K871" s="45"/>
      <c r="L871" s="45"/>
      <c r="M871" s="45"/>
      <c r="N871" s="45"/>
      <c r="O871" s="47"/>
      <c r="P871" s="45"/>
      <c r="Q871" s="45"/>
      <c r="R871" s="45"/>
      <c r="S871" s="45"/>
      <c r="T871" s="45"/>
      <c r="U871" s="45"/>
      <c r="V871" s="45"/>
      <c r="W871" s="45"/>
      <c r="X871" s="28"/>
      <c r="Y871" s="28"/>
      <c r="Z871" s="28"/>
      <c r="AA871" s="28"/>
      <c r="AB871" s="28"/>
      <c r="AC871" s="28"/>
    </row>
    <row r="872" spans="1:29" ht="13">
      <c r="A872" s="28"/>
      <c r="B872" s="45"/>
      <c r="C872" s="45"/>
      <c r="D872" s="45"/>
      <c r="E872" s="45"/>
      <c r="F872" s="45"/>
      <c r="G872" s="45"/>
      <c r="H872" s="45"/>
      <c r="I872" s="45"/>
      <c r="J872" s="45"/>
      <c r="K872" s="45"/>
      <c r="L872" s="45"/>
      <c r="M872" s="45"/>
      <c r="N872" s="45"/>
      <c r="O872" s="47"/>
      <c r="P872" s="45"/>
      <c r="Q872" s="45"/>
      <c r="R872" s="45"/>
      <c r="S872" s="45"/>
      <c r="T872" s="45"/>
      <c r="U872" s="45"/>
      <c r="V872" s="45"/>
      <c r="W872" s="45"/>
      <c r="X872" s="28"/>
      <c r="Y872" s="28"/>
      <c r="Z872" s="28"/>
      <c r="AA872" s="28"/>
      <c r="AB872" s="28"/>
      <c r="AC872" s="28"/>
    </row>
    <row r="873" spans="1:29" ht="13">
      <c r="A873" s="28"/>
      <c r="B873" s="45"/>
      <c r="C873" s="45"/>
      <c r="D873" s="45"/>
      <c r="E873" s="45"/>
      <c r="F873" s="45"/>
      <c r="G873" s="45"/>
      <c r="H873" s="45"/>
      <c r="I873" s="45"/>
      <c r="J873" s="45"/>
      <c r="K873" s="45"/>
      <c r="L873" s="45"/>
      <c r="M873" s="45"/>
      <c r="N873" s="45"/>
      <c r="O873" s="47"/>
      <c r="P873" s="45"/>
      <c r="Q873" s="45"/>
      <c r="R873" s="45"/>
      <c r="S873" s="45"/>
      <c r="T873" s="45"/>
      <c r="U873" s="45"/>
      <c r="V873" s="45"/>
      <c r="W873" s="45"/>
      <c r="X873" s="28"/>
      <c r="Y873" s="28"/>
      <c r="Z873" s="28"/>
      <c r="AA873" s="28"/>
      <c r="AB873" s="28"/>
      <c r="AC873" s="28"/>
    </row>
    <row r="874" spans="1:29" ht="13">
      <c r="A874" s="28"/>
      <c r="B874" s="45"/>
      <c r="C874" s="45"/>
      <c r="D874" s="45"/>
      <c r="E874" s="45"/>
      <c r="F874" s="45"/>
      <c r="G874" s="45"/>
      <c r="H874" s="45"/>
      <c r="I874" s="45"/>
      <c r="J874" s="45"/>
      <c r="K874" s="45"/>
      <c r="L874" s="45"/>
      <c r="M874" s="45"/>
      <c r="N874" s="45"/>
      <c r="O874" s="47"/>
      <c r="P874" s="45"/>
      <c r="Q874" s="45"/>
      <c r="R874" s="45"/>
      <c r="S874" s="45"/>
      <c r="T874" s="45"/>
      <c r="U874" s="45"/>
      <c r="V874" s="45"/>
      <c r="W874" s="45"/>
      <c r="X874" s="28"/>
      <c r="Y874" s="28"/>
      <c r="Z874" s="28"/>
      <c r="AA874" s="28"/>
      <c r="AB874" s="28"/>
      <c r="AC874" s="28"/>
    </row>
    <row r="875" spans="1:29" ht="13">
      <c r="A875" s="28"/>
      <c r="B875" s="45"/>
      <c r="C875" s="45"/>
      <c r="D875" s="45"/>
      <c r="E875" s="45"/>
      <c r="F875" s="45"/>
      <c r="G875" s="45"/>
      <c r="H875" s="45"/>
      <c r="I875" s="45"/>
      <c r="J875" s="45"/>
      <c r="K875" s="45"/>
      <c r="L875" s="45"/>
      <c r="M875" s="45"/>
      <c r="N875" s="45"/>
      <c r="O875" s="47"/>
      <c r="P875" s="45"/>
      <c r="Q875" s="45"/>
      <c r="R875" s="45"/>
      <c r="S875" s="45"/>
      <c r="T875" s="45"/>
      <c r="U875" s="45"/>
      <c r="V875" s="45"/>
      <c r="W875" s="45"/>
      <c r="X875" s="28"/>
      <c r="Y875" s="28"/>
      <c r="Z875" s="28"/>
      <c r="AA875" s="28"/>
      <c r="AB875" s="28"/>
      <c r="AC875" s="28"/>
    </row>
    <row r="876" spans="1:29" ht="13">
      <c r="A876" s="28"/>
      <c r="B876" s="45"/>
      <c r="C876" s="45"/>
      <c r="D876" s="45"/>
      <c r="E876" s="45"/>
      <c r="F876" s="45"/>
      <c r="G876" s="45"/>
      <c r="H876" s="45"/>
      <c r="I876" s="45"/>
      <c r="J876" s="45"/>
      <c r="K876" s="45"/>
      <c r="L876" s="45"/>
      <c r="M876" s="45"/>
      <c r="N876" s="45"/>
      <c r="O876" s="47"/>
      <c r="P876" s="45"/>
      <c r="Q876" s="45"/>
      <c r="R876" s="45"/>
      <c r="S876" s="45"/>
      <c r="T876" s="45"/>
      <c r="U876" s="45"/>
      <c r="V876" s="45"/>
      <c r="W876" s="45"/>
      <c r="X876" s="28"/>
      <c r="Y876" s="28"/>
      <c r="Z876" s="28"/>
      <c r="AA876" s="28"/>
      <c r="AB876" s="28"/>
      <c r="AC876" s="28"/>
    </row>
    <row r="877" spans="1:29" ht="13">
      <c r="A877" s="28"/>
      <c r="B877" s="45"/>
      <c r="C877" s="45"/>
      <c r="D877" s="45"/>
      <c r="E877" s="45"/>
      <c r="F877" s="45"/>
      <c r="G877" s="45"/>
      <c r="H877" s="45"/>
      <c r="I877" s="45"/>
      <c r="J877" s="45"/>
      <c r="K877" s="45"/>
      <c r="L877" s="45"/>
      <c r="M877" s="45"/>
      <c r="N877" s="45"/>
      <c r="O877" s="47"/>
      <c r="P877" s="45"/>
      <c r="Q877" s="45"/>
      <c r="R877" s="45"/>
      <c r="S877" s="45"/>
      <c r="T877" s="45"/>
      <c r="U877" s="45"/>
      <c r="V877" s="45"/>
      <c r="W877" s="45"/>
      <c r="X877" s="28"/>
      <c r="Y877" s="28"/>
      <c r="Z877" s="28"/>
      <c r="AA877" s="28"/>
      <c r="AB877" s="28"/>
      <c r="AC877" s="28"/>
    </row>
    <row r="878" spans="1:29" ht="13">
      <c r="A878" s="28"/>
      <c r="B878" s="45"/>
      <c r="C878" s="45"/>
      <c r="D878" s="45"/>
      <c r="E878" s="45"/>
      <c r="F878" s="45"/>
      <c r="G878" s="45"/>
      <c r="H878" s="45"/>
      <c r="I878" s="45"/>
      <c r="J878" s="45"/>
      <c r="K878" s="45"/>
      <c r="L878" s="45"/>
      <c r="M878" s="45"/>
      <c r="N878" s="45"/>
      <c r="O878" s="47"/>
      <c r="P878" s="45"/>
      <c r="Q878" s="45"/>
      <c r="R878" s="45"/>
      <c r="S878" s="45"/>
      <c r="T878" s="45"/>
      <c r="U878" s="45"/>
      <c r="V878" s="45"/>
      <c r="W878" s="45"/>
      <c r="X878" s="28"/>
      <c r="Y878" s="28"/>
      <c r="Z878" s="28"/>
      <c r="AA878" s="28"/>
      <c r="AB878" s="28"/>
      <c r="AC878" s="28"/>
    </row>
    <row r="879" spans="1:29" ht="13">
      <c r="A879" s="28"/>
      <c r="B879" s="45"/>
      <c r="C879" s="45"/>
      <c r="D879" s="45"/>
      <c r="E879" s="45"/>
      <c r="F879" s="45"/>
      <c r="G879" s="45"/>
      <c r="H879" s="45"/>
      <c r="I879" s="45"/>
      <c r="J879" s="45"/>
      <c r="K879" s="45"/>
      <c r="L879" s="45"/>
      <c r="M879" s="45"/>
      <c r="N879" s="45"/>
      <c r="O879" s="47"/>
      <c r="P879" s="45"/>
      <c r="Q879" s="45"/>
      <c r="R879" s="45"/>
      <c r="S879" s="45"/>
      <c r="T879" s="45"/>
      <c r="U879" s="45"/>
      <c r="V879" s="45"/>
      <c r="W879" s="45"/>
      <c r="X879" s="28"/>
      <c r="Y879" s="28"/>
      <c r="Z879" s="28"/>
      <c r="AA879" s="28"/>
      <c r="AB879" s="28"/>
      <c r="AC879" s="28"/>
    </row>
    <row r="880" spans="1:29" ht="13">
      <c r="A880" s="28"/>
      <c r="B880" s="45"/>
      <c r="C880" s="45"/>
      <c r="D880" s="45"/>
      <c r="E880" s="45"/>
      <c r="F880" s="45"/>
      <c r="G880" s="45"/>
      <c r="H880" s="45"/>
      <c r="I880" s="45"/>
      <c r="J880" s="45"/>
      <c r="K880" s="45"/>
      <c r="L880" s="45"/>
      <c r="M880" s="45"/>
      <c r="N880" s="45"/>
      <c r="O880" s="47"/>
      <c r="P880" s="45"/>
      <c r="Q880" s="45"/>
      <c r="R880" s="45"/>
      <c r="S880" s="45"/>
      <c r="T880" s="45"/>
      <c r="U880" s="45"/>
      <c r="V880" s="45"/>
      <c r="W880" s="45"/>
      <c r="X880" s="28"/>
      <c r="Y880" s="28"/>
      <c r="Z880" s="28"/>
      <c r="AA880" s="28"/>
      <c r="AB880" s="28"/>
      <c r="AC880" s="28"/>
    </row>
    <row r="881" spans="1:29" ht="13">
      <c r="A881" s="28"/>
      <c r="B881" s="45"/>
      <c r="C881" s="45"/>
      <c r="D881" s="45"/>
      <c r="E881" s="45"/>
      <c r="F881" s="45"/>
      <c r="G881" s="45"/>
      <c r="H881" s="45"/>
      <c r="I881" s="45"/>
      <c r="J881" s="45"/>
      <c r="K881" s="45"/>
      <c r="L881" s="45"/>
      <c r="M881" s="45"/>
      <c r="N881" s="45"/>
      <c r="O881" s="47"/>
      <c r="P881" s="45"/>
      <c r="Q881" s="45"/>
      <c r="R881" s="45"/>
      <c r="S881" s="45"/>
      <c r="T881" s="45"/>
      <c r="U881" s="45"/>
      <c r="V881" s="45"/>
      <c r="W881" s="45"/>
      <c r="X881" s="28"/>
      <c r="Y881" s="28"/>
      <c r="Z881" s="28"/>
      <c r="AA881" s="28"/>
      <c r="AB881" s="28"/>
      <c r="AC881" s="28"/>
    </row>
    <row r="882" spans="1:29" ht="13">
      <c r="A882" s="28"/>
      <c r="B882" s="45"/>
      <c r="C882" s="45"/>
      <c r="D882" s="45"/>
      <c r="E882" s="45"/>
      <c r="F882" s="45"/>
      <c r="G882" s="45"/>
      <c r="H882" s="45"/>
      <c r="I882" s="45"/>
      <c r="J882" s="45"/>
      <c r="K882" s="45"/>
      <c r="L882" s="45"/>
      <c r="M882" s="45"/>
      <c r="N882" s="45"/>
      <c r="O882" s="47"/>
      <c r="P882" s="45"/>
      <c r="Q882" s="45"/>
      <c r="R882" s="45"/>
      <c r="S882" s="45"/>
      <c r="T882" s="45"/>
      <c r="U882" s="45"/>
      <c r="V882" s="45"/>
      <c r="W882" s="45"/>
      <c r="X882" s="28"/>
      <c r="Y882" s="28"/>
      <c r="Z882" s="28"/>
      <c r="AA882" s="28"/>
      <c r="AB882" s="28"/>
      <c r="AC882" s="28"/>
    </row>
    <row r="883" spans="1:29" ht="13">
      <c r="A883" s="28"/>
      <c r="B883" s="45"/>
      <c r="C883" s="45"/>
      <c r="D883" s="45"/>
      <c r="E883" s="45"/>
      <c r="F883" s="45"/>
      <c r="G883" s="45"/>
      <c r="H883" s="45"/>
      <c r="I883" s="45"/>
      <c r="J883" s="45"/>
      <c r="K883" s="45"/>
      <c r="L883" s="45"/>
      <c r="M883" s="45"/>
      <c r="N883" s="45"/>
      <c r="O883" s="47"/>
      <c r="P883" s="45"/>
      <c r="Q883" s="45"/>
      <c r="R883" s="45"/>
      <c r="S883" s="45"/>
      <c r="T883" s="45"/>
      <c r="U883" s="45"/>
      <c r="V883" s="45"/>
      <c r="W883" s="45"/>
      <c r="X883" s="28"/>
      <c r="Y883" s="28"/>
      <c r="Z883" s="28"/>
      <c r="AA883" s="28"/>
      <c r="AB883" s="28"/>
      <c r="AC883" s="28"/>
    </row>
    <row r="884" spans="1:29" ht="13">
      <c r="A884" s="28"/>
      <c r="B884" s="45"/>
      <c r="C884" s="45"/>
      <c r="D884" s="45"/>
      <c r="E884" s="45"/>
      <c r="F884" s="45"/>
      <c r="G884" s="45"/>
      <c r="H884" s="45"/>
      <c r="I884" s="45"/>
      <c r="J884" s="45"/>
      <c r="K884" s="45"/>
      <c r="L884" s="45"/>
      <c r="M884" s="45"/>
      <c r="N884" s="45"/>
      <c r="O884" s="47"/>
      <c r="P884" s="45"/>
      <c r="Q884" s="45"/>
      <c r="R884" s="45"/>
      <c r="S884" s="45"/>
      <c r="T884" s="45"/>
      <c r="U884" s="45"/>
      <c r="V884" s="45"/>
      <c r="W884" s="45"/>
      <c r="X884" s="28"/>
      <c r="Y884" s="28"/>
      <c r="Z884" s="28"/>
      <c r="AA884" s="28"/>
      <c r="AB884" s="28"/>
      <c r="AC884" s="28"/>
    </row>
    <row r="885" spans="1:29" ht="13">
      <c r="A885" s="28"/>
      <c r="B885" s="45"/>
      <c r="C885" s="45"/>
      <c r="D885" s="45"/>
      <c r="E885" s="45"/>
      <c r="F885" s="45"/>
      <c r="G885" s="45"/>
      <c r="H885" s="45"/>
      <c r="I885" s="45"/>
      <c r="J885" s="45"/>
      <c r="K885" s="45"/>
      <c r="L885" s="45"/>
      <c r="M885" s="45"/>
      <c r="N885" s="45"/>
      <c r="O885" s="47"/>
      <c r="P885" s="45"/>
      <c r="Q885" s="45"/>
      <c r="R885" s="45"/>
      <c r="S885" s="45"/>
      <c r="T885" s="45"/>
      <c r="U885" s="45"/>
      <c r="V885" s="45"/>
      <c r="W885" s="45"/>
      <c r="X885" s="28"/>
      <c r="Y885" s="28"/>
      <c r="Z885" s="28"/>
      <c r="AA885" s="28"/>
      <c r="AB885" s="28"/>
      <c r="AC885" s="28"/>
    </row>
    <row r="886" spans="1:29" ht="13">
      <c r="A886" s="28"/>
      <c r="B886" s="45"/>
      <c r="C886" s="45"/>
      <c r="D886" s="45"/>
      <c r="E886" s="45"/>
      <c r="F886" s="45"/>
      <c r="G886" s="45"/>
      <c r="H886" s="45"/>
      <c r="I886" s="45"/>
      <c r="J886" s="45"/>
      <c r="K886" s="45"/>
      <c r="L886" s="45"/>
      <c r="M886" s="45"/>
      <c r="N886" s="45"/>
      <c r="O886" s="47"/>
      <c r="P886" s="45"/>
      <c r="Q886" s="45"/>
      <c r="R886" s="45"/>
      <c r="S886" s="45"/>
      <c r="T886" s="45"/>
      <c r="U886" s="45"/>
      <c r="V886" s="45"/>
      <c r="W886" s="45"/>
      <c r="X886" s="28"/>
      <c r="Y886" s="28"/>
      <c r="Z886" s="28"/>
      <c r="AA886" s="28"/>
      <c r="AB886" s="28"/>
      <c r="AC886" s="28"/>
    </row>
    <row r="887" spans="1:29" ht="13">
      <c r="A887" s="28"/>
      <c r="B887" s="45"/>
      <c r="C887" s="45"/>
      <c r="D887" s="45"/>
      <c r="E887" s="45"/>
      <c r="F887" s="45"/>
      <c r="G887" s="45"/>
      <c r="H887" s="45"/>
      <c r="I887" s="45"/>
      <c r="J887" s="45"/>
      <c r="K887" s="45"/>
      <c r="L887" s="45"/>
      <c r="M887" s="45"/>
      <c r="N887" s="45"/>
      <c r="O887" s="47"/>
      <c r="P887" s="45"/>
      <c r="Q887" s="45"/>
      <c r="R887" s="45"/>
      <c r="S887" s="45"/>
      <c r="T887" s="45"/>
      <c r="U887" s="45"/>
      <c r="V887" s="45"/>
      <c r="W887" s="45"/>
      <c r="X887" s="28"/>
      <c r="Y887" s="28"/>
      <c r="Z887" s="28"/>
      <c r="AA887" s="28"/>
      <c r="AB887" s="28"/>
      <c r="AC887" s="28"/>
    </row>
    <row r="888" spans="1:29" ht="13">
      <c r="A888" s="28"/>
      <c r="B888" s="45"/>
      <c r="C888" s="45"/>
      <c r="D888" s="45"/>
      <c r="E888" s="45"/>
      <c r="F888" s="45"/>
      <c r="G888" s="45"/>
      <c r="H888" s="45"/>
      <c r="I888" s="45"/>
      <c r="J888" s="45"/>
      <c r="K888" s="45"/>
      <c r="L888" s="45"/>
      <c r="M888" s="45"/>
      <c r="N888" s="45"/>
      <c r="O888" s="47"/>
      <c r="P888" s="45"/>
      <c r="Q888" s="45"/>
      <c r="R888" s="45"/>
      <c r="S888" s="45"/>
      <c r="T888" s="45"/>
      <c r="U888" s="45"/>
      <c r="V888" s="45"/>
      <c r="W888" s="45"/>
      <c r="X888" s="28"/>
      <c r="Y888" s="28"/>
      <c r="Z888" s="28"/>
      <c r="AA888" s="28"/>
      <c r="AB888" s="28"/>
      <c r="AC888" s="28"/>
    </row>
    <row r="889" spans="1:29" ht="13">
      <c r="A889" s="28"/>
      <c r="B889" s="45"/>
      <c r="C889" s="45"/>
      <c r="D889" s="45"/>
      <c r="E889" s="45"/>
      <c r="F889" s="45"/>
      <c r="G889" s="45"/>
      <c r="H889" s="45"/>
      <c r="I889" s="45"/>
      <c r="J889" s="45"/>
      <c r="K889" s="45"/>
      <c r="L889" s="45"/>
      <c r="M889" s="45"/>
      <c r="N889" s="45"/>
      <c r="O889" s="47"/>
      <c r="P889" s="45"/>
      <c r="Q889" s="45"/>
      <c r="R889" s="45"/>
      <c r="S889" s="45"/>
      <c r="T889" s="45"/>
      <c r="U889" s="45"/>
      <c r="V889" s="45"/>
      <c r="W889" s="45"/>
      <c r="X889" s="28"/>
      <c r="Y889" s="28"/>
      <c r="Z889" s="28"/>
      <c r="AA889" s="28"/>
      <c r="AB889" s="28"/>
      <c r="AC889" s="28"/>
    </row>
    <row r="890" spans="1:29" ht="13">
      <c r="A890" s="28"/>
      <c r="B890" s="45"/>
      <c r="C890" s="45"/>
      <c r="D890" s="45"/>
      <c r="E890" s="45"/>
      <c r="F890" s="45"/>
      <c r="G890" s="45"/>
      <c r="H890" s="45"/>
      <c r="I890" s="45"/>
      <c r="J890" s="45"/>
      <c r="K890" s="45"/>
      <c r="L890" s="45"/>
      <c r="M890" s="45"/>
      <c r="N890" s="45"/>
      <c r="O890" s="47"/>
      <c r="P890" s="45"/>
      <c r="Q890" s="45"/>
      <c r="R890" s="45"/>
      <c r="S890" s="45"/>
      <c r="T890" s="45"/>
      <c r="U890" s="45"/>
      <c r="V890" s="45"/>
      <c r="W890" s="45"/>
      <c r="X890" s="28"/>
      <c r="Y890" s="28"/>
      <c r="Z890" s="28"/>
      <c r="AA890" s="28"/>
      <c r="AB890" s="28"/>
      <c r="AC890" s="28"/>
    </row>
    <row r="891" spans="1:29" ht="13">
      <c r="A891" s="28"/>
      <c r="B891" s="45"/>
      <c r="C891" s="45"/>
      <c r="D891" s="45"/>
      <c r="E891" s="45"/>
      <c r="F891" s="45"/>
      <c r="G891" s="45"/>
      <c r="H891" s="45"/>
      <c r="I891" s="45"/>
      <c r="J891" s="45"/>
      <c r="K891" s="45"/>
      <c r="L891" s="45"/>
      <c r="M891" s="45"/>
      <c r="N891" s="45"/>
      <c r="O891" s="47"/>
      <c r="P891" s="45"/>
      <c r="Q891" s="45"/>
      <c r="R891" s="45"/>
      <c r="S891" s="45"/>
      <c r="T891" s="45"/>
      <c r="U891" s="45"/>
      <c r="V891" s="45"/>
      <c r="W891" s="45"/>
      <c r="X891" s="28"/>
      <c r="Y891" s="28"/>
      <c r="Z891" s="28"/>
      <c r="AA891" s="28"/>
      <c r="AB891" s="28"/>
      <c r="AC891" s="28"/>
    </row>
    <row r="892" spans="1:29" ht="13">
      <c r="A892" s="28"/>
      <c r="B892" s="45"/>
      <c r="C892" s="45"/>
      <c r="D892" s="45"/>
      <c r="E892" s="45"/>
      <c r="F892" s="45"/>
      <c r="G892" s="45"/>
      <c r="H892" s="45"/>
      <c r="I892" s="45"/>
      <c r="J892" s="45"/>
      <c r="K892" s="45"/>
      <c r="L892" s="45"/>
      <c r="M892" s="45"/>
      <c r="N892" s="45"/>
      <c r="O892" s="47"/>
      <c r="P892" s="45"/>
      <c r="Q892" s="45"/>
      <c r="R892" s="45"/>
      <c r="S892" s="45"/>
      <c r="T892" s="45"/>
      <c r="U892" s="45"/>
      <c r="V892" s="45"/>
      <c r="W892" s="45"/>
      <c r="X892" s="28"/>
      <c r="Y892" s="28"/>
      <c r="Z892" s="28"/>
      <c r="AA892" s="28"/>
      <c r="AB892" s="28"/>
      <c r="AC892" s="28"/>
    </row>
    <row r="893" spans="1:29" ht="13">
      <c r="A893" s="28"/>
      <c r="B893" s="45"/>
      <c r="C893" s="45"/>
      <c r="D893" s="45"/>
      <c r="E893" s="45"/>
      <c r="F893" s="45"/>
      <c r="G893" s="45"/>
      <c r="H893" s="45"/>
      <c r="I893" s="45"/>
      <c r="J893" s="45"/>
      <c r="K893" s="45"/>
      <c r="L893" s="45"/>
      <c r="M893" s="45"/>
      <c r="N893" s="45"/>
      <c r="O893" s="47"/>
      <c r="P893" s="45"/>
      <c r="Q893" s="45"/>
      <c r="R893" s="45"/>
      <c r="S893" s="45"/>
      <c r="T893" s="45"/>
      <c r="U893" s="45"/>
      <c r="V893" s="45"/>
      <c r="W893" s="45"/>
      <c r="X893" s="28"/>
      <c r="Y893" s="28"/>
      <c r="Z893" s="28"/>
      <c r="AA893" s="28"/>
      <c r="AB893" s="28"/>
      <c r="AC893" s="28"/>
    </row>
    <row r="894" spans="1:29" ht="13">
      <c r="A894" s="28"/>
      <c r="B894" s="45"/>
      <c r="C894" s="45"/>
      <c r="D894" s="45"/>
      <c r="E894" s="45"/>
      <c r="F894" s="45"/>
      <c r="G894" s="45"/>
      <c r="H894" s="45"/>
      <c r="I894" s="45"/>
      <c r="J894" s="45"/>
      <c r="K894" s="45"/>
      <c r="L894" s="45"/>
      <c r="M894" s="45"/>
      <c r="N894" s="45"/>
      <c r="O894" s="47"/>
      <c r="P894" s="45"/>
      <c r="Q894" s="45"/>
      <c r="R894" s="45"/>
      <c r="S894" s="45"/>
      <c r="T894" s="45"/>
      <c r="U894" s="45"/>
      <c r="V894" s="45"/>
      <c r="W894" s="45"/>
      <c r="X894" s="28"/>
      <c r="Y894" s="28"/>
      <c r="Z894" s="28"/>
      <c r="AA894" s="28"/>
      <c r="AB894" s="28"/>
      <c r="AC894" s="28"/>
    </row>
    <row r="895" spans="1:29" ht="13">
      <c r="A895" s="28"/>
      <c r="B895" s="45"/>
      <c r="C895" s="45"/>
      <c r="D895" s="45"/>
      <c r="E895" s="45"/>
      <c r="F895" s="45"/>
      <c r="G895" s="45"/>
      <c r="H895" s="45"/>
      <c r="I895" s="45"/>
      <c r="J895" s="45"/>
      <c r="K895" s="45"/>
      <c r="L895" s="45"/>
      <c r="M895" s="45"/>
      <c r="N895" s="45"/>
      <c r="O895" s="47"/>
      <c r="P895" s="45"/>
      <c r="Q895" s="45"/>
      <c r="R895" s="45"/>
      <c r="S895" s="45"/>
      <c r="T895" s="45"/>
      <c r="U895" s="45"/>
      <c r="V895" s="45"/>
      <c r="W895" s="45"/>
      <c r="X895" s="28"/>
      <c r="Y895" s="28"/>
      <c r="Z895" s="28"/>
      <c r="AA895" s="28"/>
      <c r="AB895" s="28"/>
      <c r="AC895" s="28"/>
    </row>
    <row r="896" spans="1:29" ht="13">
      <c r="A896" s="28"/>
      <c r="B896" s="45"/>
      <c r="C896" s="45"/>
      <c r="D896" s="45"/>
      <c r="E896" s="45"/>
      <c r="F896" s="45"/>
      <c r="G896" s="45"/>
      <c r="H896" s="45"/>
      <c r="I896" s="45"/>
      <c r="J896" s="45"/>
      <c r="K896" s="45"/>
      <c r="L896" s="45"/>
      <c r="M896" s="45"/>
      <c r="N896" s="45"/>
      <c r="O896" s="47"/>
      <c r="P896" s="45"/>
      <c r="Q896" s="45"/>
      <c r="R896" s="45"/>
      <c r="S896" s="45"/>
      <c r="T896" s="45"/>
      <c r="U896" s="45"/>
      <c r="V896" s="45"/>
      <c r="W896" s="45"/>
      <c r="X896" s="28"/>
      <c r="Y896" s="28"/>
      <c r="Z896" s="28"/>
      <c r="AA896" s="28"/>
      <c r="AB896" s="28"/>
      <c r="AC896" s="28"/>
    </row>
    <row r="897" spans="1:29" ht="13">
      <c r="A897" s="28"/>
      <c r="B897" s="45"/>
      <c r="C897" s="45"/>
      <c r="D897" s="45"/>
      <c r="E897" s="45"/>
      <c r="F897" s="45"/>
      <c r="G897" s="45"/>
      <c r="H897" s="45"/>
      <c r="I897" s="45"/>
      <c r="J897" s="45"/>
      <c r="K897" s="45"/>
      <c r="L897" s="45"/>
      <c r="M897" s="45"/>
      <c r="N897" s="45"/>
      <c r="O897" s="47"/>
      <c r="P897" s="45"/>
      <c r="Q897" s="45"/>
      <c r="R897" s="45"/>
      <c r="S897" s="45"/>
      <c r="T897" s="45"/>
      <c r="U897" s="45"/>
      <c r="V897" s="45"/>
      <c r="W897" s="45"/>
      <c r="X897" s="28"/>
      <c r="Y897" s="28"/>
      <c r="Z897" s="28"/>
      <c r="AA897" s="28"/>
      <c r="AB897" s="28"/>
      <c r="AC897" s="28"/>
    </row>
    <row r="898" spans="1:29" ht="13">
      <c r="A898" s="28"/>
      <c r="B898" s="45"/>
      <c r="C898" s="45"/>
      <c r="D898" s="45"/>
      <c r="E898" s="45"/>
      <c r="F898" s="45"/>
      <c r="G898" s="45"/>
      <c r="H898" s="45"/>
      <c r="I898" s="45"/>
      <c r="J898" s="45"/>
      <c r="K898" s="45"/>
      <c r="L898" s="45"/>
      <c r="M898" s="45"/>
      <c r="N898" s="45"/>
      <c r="O898" s="47"/>
      <c r="P898" s="45"/>
      <c r="Q898" s="45"/>
      <c r="R898" s="45"/>
      <c r="S898" s="45"/>
      <c r="T898" s="45"/>
      <c r="U898" s="45"/>
      <c r="V898" s="45"/>
      <c r="W898" s="45"/>
      <c r="X898" s="28"/>
      <c r="Y898" s="28"/>
      <c r="Z898" s="28"/>
      <c r="AA898" s="28"/>
      <c r="AB898" s="28"/>
      <c r="AC898" s="28"/>
    </row>
    <row r="899" spans="1:29" ht="13">
      <c r="A899" s="28"/>
      <c r="B899" s="45"/>
      <c r="C899" s="45"/>
      <c r="D899" s="45"/>
      <c r="E899" s="45"/>
      <c r="F899" s="45"/>
      <c r="G899" s="45"/>
      <c r="H899" s="45"/>
      <c r="I899" s="45"/>
      <c r="J899" s="45"/>
      <c r="K899" s="45"/>
      <c r="L899" s="45"/>
      <c r="M899" s="45"/>
      <c r="N899" s="45"/>
      <c r="O899" s="47"/>
      <c r="P899" s="45"/>
      <c r="Q899" s="45"/>
      <c r="R899" s="45"/>
      <c r="S899" s="45"/>
      <c r="T899" s="45"/>
      <c r="U899" s="45"/>
      <c r="V899" s="45"/>
      <c r="W899" s="45"/>
      <c r="X899" s="28"/>
      <c r="Y899" s="28"/>
      <c r="Z899" s="28"/>
      <c r="AA899" s="28"/>
      <c r="AB899" s="28"/>
      <c r="AC899" s="28"/>
    </row>
    <row r="900" spans="1:29" ht="13">
      <c r="A900" s="28"/>
      <c r="B900" s="45"/>
      <c r="C900" s="45"/>
      <c r="D900" s="45"/>
      <c r="E900" s="45"/>
      <c r="F900" s="45"/>
      <c r="G900" s="45"/>
      <c r="H900" s="45"/>
      <c r="I900" s="45"/>
      <c r="J900" s="45"/>
      <c r="K900" s="45"/>
      <c r="L900" s="45"/>
      <c r="M900" s="45"/>
      <c r="N900" s="45"/>
      <c r="O900" s="47"/>
      <c r="P900" s="45"/>
      <c r="Q900" s="45"/>
      <c r="R900" s="45"/>
      <c r="S900" s="45"/>
      <c r="T900" s="45"/>
      <c r="U900" s="45"/>
      <c r="V900" s="45"/>
      <c r="W900" s="45"/>
      <c r="X900" s="28"/>
      <c r="Y900" s="28"/>
      <c r="Z900" s="28"/>
      <c r="AA900" s="28"/>
      <c r="AB900" s="28"/>
      <c r="AC900" s="28"/>
    </row>
    <row r="901" spans="1:29" ht="13">
      <c r="A901" s="28"/>
      <c r="B901" s="45"/>
      <c r="C901" s="45"/>
      <c r="D901" s="45"/>
      <c r="E901" s="45"/>
      <c r="F901" s="45"/>
      <c r="G901" s="45"/>
      <c r="H901" s="45"/>
      <c r="I901" s="45"/>
      <c r="J901" s="45"/>
      <c r="K901" s="45"/>
      <c r="L901" s="45"/>
      <c r="M901" s="45"/>
      <c r="N901" s="45"/>
      <c r="O901" s="47"/>
      <c r="P901" s="45"/>
      <c r="Q901" s="45"/>
      <c r="R901" s="45"/>
      <c r="S901" s="45"/>
      <c r="T901" s="45"/>
      <c r="U901" s="45"/>
      <c r="V901" s="45"/>
      <c r="W901" s="45"/>
      <c r="X901" s="28"/>
      <c r="Y901" s="28"/>
      <c r="Z901" s="28"/>
      <c r="AA901" s="28"/>
      <c r="AB901" s="28"/>
      <c r="AC901" s="28"/>
    </row>
    <row r="902" spans="1:29" ht="13">
      <c r="A902" s="28"/>
      <c r="B902" s="45"/>
      <c r="C902" s="45"/>
      <c r="D902" s="45"/>
      <c r="E902" s="45"/>
      <c r="F902" s="45"/>
      <c r="G902" s="45"/>
      <c r="H902" s="45"/>
      <c r="I902" s="45"/>
      <c r="J902" s="45"/>
      <c r="K902" s="45"/>
      <c r="L902" s="45"/>
      <c r="M902" s="45"/>
      <c r="N902" s="45"/>
      <c r="O902" s="47"/>
      <c r="P902" s="45"/>
      <c r="Q902" s="45"/>
      <c r="R902" s="45"/>
      <c r="S902" s="45"/>
      <c r="T902" s="45"/>
      <c r="U902" s="45"/>
      <c r="V902" s="45"/>
      <c r="W902" s="45"/>
      <c r="X902" s="28"/>
      <c r="Y902" s="28"/>
      <c r="Z902" s="28"/>
      <c r="AA902" s="28"/>
      <c r="AB902" s="28"/>
      <c r="AC902" s="28"/>
    </row>
    <row r="903" spans="1:29" ht="13">
      <c r="A903" s="28"/>
      <c r="B903" s="45"/>
      <c r="C903" s="45"/>
      <c r="D903" s="45"/>
      <c r="E903" s="45"/>
      <c r="F903" s="45"/>
      <c r="G903" s="45"/>
      <c r="H903" s="45"/>
      <c r="I903" s="45"/>
      <c r="J903" s="45"/>
      <c r="K903" s="45"/>
      <c r="L903" s="45"/>
      <c r="M903" s="45"/>
      <c r="N903" s="45"/>
      <c r="O903" s="47"/>
      <c r="P903" s="45"/>
      <c r="Q903" s="45"/>
      <c r="R903" s="45"/>
      <c r="S903" s="45"/>
      <c r="T903" s="45"/>
      <c r="U903" s="45"/>
      <c r="V903" s="45"/>
      <c r="W903" s="45"/>
      <c r="X903" s="28"/>
      <c r="Y903" s="28"/>
      <c r="Z903" s="28"/>
      <c r="AA903" s="28"/>
      <c r="AB903" s="28"/>
      <c r="AC903" s="28"/>
    </row>
    <row r="904" spans="1:29" ht="13">
      <c r="A904" s="28"/>
      <c r="B904" s="45"/>
      <c r="C904" s="45"/>
      <c r="D904" s="45"/>
      <c r="E904" s="45"/>
      <c r="F904" s="45"/>
      <c r="G904" s="45"/>
      <c r="H904" s="45"/>
      <c r="I904" s="45"/>
      <c r="J904" s="45"/>
      <c r="K904" s="45"/>
      <c r="L904" s="45"/>
      <c r="M904" s="45"/>
      <c r="N904" s="45"/>
      <c r="O904" s="47"/>
      <c r="P904" s="45"/>
      <c r="Q904" s="45"/>
      <c r="R904" s="45"/>
      <c r="S904" s="45"/>
      <c r="T904" s="45"/>
      <c r="U904" s="45"/>
      <c r="V904" s="45"/>
      <c r="W904" s="45"/>
      <c r="X904" s="28"/>
      <c r="Y904" s="28"/>
      <c r="Z904" s="28"/>
      <c r="AA904" s="28"/>
      <c r="AB904" s="28"/>
      <c r="AC904" s="28"/>
    </row>
    <row r="905" spans="1:29" ht="13">
      <c r="A905" s="28"/>
      <c r="B905" s="45"/>
      <c r="C905" s="45"/>
      <c r="D905" s="45"/>
      <c r="E905" s="45"/>
      <c r="F905" s="45"/>
      <c r="G905" s="45"/>
      <c r="H905" s="45"/>
      <c r="I905" s="45"/>
      <c r="J905" s="45"/>
      <c r="K905" s="45"/>
      <c r="L905" s="45"/>
      <c r="M905" s="45"/>
      <c r="N905" s="45"/>
      <c r="O905" s="47"/>
      <c r="P905" s="45"/>
      <c r="Q905" s="45"/>
      <c r="R905" s="45"/>
      <c r="S905" s="45"/>
      <c r="T905" s="45"/>
      <c r="U905" s="45"/>
      <c r="V905" s="45"/>
      <c r="W905" s="45"/>
      <c r="X905" s="28"/>
      <c r="Y905" s="28"/>
      <c r="Z905" s="28"/>
      <c r="AA905" s="28"/>
      <c r="AB905" s="28"/>
      <c r="AC905" s="28"/>
    </row>
    <row r="906" spans="1:29" ht="13">
      <c r="A906" s="28"/>
      <c r="B906" s="45"/>
      <c r="C906" s="45"/>
      <c r="D906" s="45"/>
      <c r="E906" s="45"/>
      <c r="F906" s="45"/>
      <c r="G906" s="45"/>
      <c r="H906" s="45"/>
      <c r="I906" s="45"/>
      <c r="J906" s="45"/>
      <c r="K906" s="45"/>
      <c r="L906" s="45"/>
      <c r="M906" s="45"/>
      <c r="N906" s="45"/>
      <c r="O906" s="47"/>
      <c r="P906" s="45"/>
      <c r="Q906" s="45"/>
      <c r="R906" s="45"/>
      <c r="S906" s="45"/>
      <c r="T906" s="45"/>
      <c r="U906" s="45"/>
      <c r="V906" s="45"/>
      <c r="W906" s="45"/>
      <c r="X906" s="28"/>
      <c r="Y906" s="28"/>
      <c r="Z906" s="28"/>
      <c r="AA906" s="28"/>
      <c r="AB906" s="28"/>
      <c r="AC906" s="28"/>
    </row>
    <row r="907" spans="1:29" ht="13">
      <c r="A907" s="28"/>
      <c r="B907" s="45"/>
      <c r="C907" s="45"/>
      <c r="D907" s="45"/>
      <c r="E907" s="45"/>
      <c r="F907" s="45"/>
      <c r="G907" s="45"/>
      <c r="H907" s="45"/>
      <c r="I907" s="45"/>
      <c r="J907" s="45"/>
      <c r="K907" s="45"/>
      <c r="L907" s="45"/>
      <c r="M907" s="45"/>
      <c r="N907" s="45"/>
      <c r="O907" s="47"/>
      <c r="P907" s="45"/>
      <c r="Q907" s="45"/>
      <c r="R907" s="45"/>
      <c r="S907" s="45"/>
      <c r="T907" s="45"/>
      <c r="U907" s="45"/>
      <c r="V907" s="45"/>
      <c r="W907" s="45"/>
      <c r="X907" s="28"/>
      <c r="Y907" s="28"/>
      <c r="Z907" s="28"/>
      <c r="AA907" s="28"/>
      <c r="AB907" s="28"/>
      <c r="AC907" s="28"/>
    </row>
    <row r="908" spans="1:29" ht="13">
      <c r="A908" s="28"/>
      <c r="B908" s="45"/>
      <c r="C908" s="45"/>
      <c r="D908" s="45"/>
      <c r="E908" s="45"/>
      <c r="F908" s="45"/>
      <c r="G908" s="45"/>
      <c r="H908" s="45"/>
      <c r="I908" s="45"/>
      <c r="J908" s="45"/>
      <c r="K908" s="45"/>
      <c r="L908" s="45"/>
      <c r="M908" s="45"/>
      <c r="N908" s="45"/>
      <c r="O908" s="47"/>
      <c r="P908" s="45"/>
      <c r="Q908" s="45"/>
      <c r="R908" s="45"/>
      <c r="S908" s="45"/>
      <c r="T908" s="45"/>
      <c r="U908" s="45"/>
      <c r="V908" s="45"/>
      <c r="W908" s="45"/>
      <c r="X908" s="28"/>
      <c r="Y908" s="28"/>
      <c r="Z908" s="28"/>
      <c r="AA908" s="28"/>
      <c r="AB908" s="28"/>
      <c r="AC908" s="28"/>
    </row>
    <row r="909" spans="1:29" ht="13">
      <c r="A909" s="28"/>
      <c r="B909" s="45"/>
      <c r="C909" s="45"/>
      <c r="D909" s="45"/>
      <c r="E909" s="45"/>
      <c r="F909" s="45"/>
      <c r="G909" s="45"/>
      <c r="H909" s="45"/>
      <c r="I909" s="45"/>
      <c r="J909" s="45"/>
      <c r="K909" s="45"/>
      <c r="L909" s="45"/>
      <c r="M909" s="45"/>
      <c r="N909" s="45"/>
      <c r="O909" s="47"/>
      <c r="P909" s="45"/>
      <c r="Q909" s="45"/>
      <c r="R909" s="45"/>
      <c r="S909" s="45"/>
      <c r="T909" s="45"/>
      <c r="U909" s="45"/>
      <c r="V909" s="45"/>
      <c r="W909" s="45"/>
      <c r="X909" s="28"/>
      <c r="Y909" s="28"/>
      <c r="Z909" s="28"/>
      <c r="AA909" s="28"/>
      <c r="AB909" s="28"/>
      <c r="AC909" s="28"/>
    </row>
    <row r="910" spans="1:29" ht="13">
      <c r="A910" s="28"/>
      <c r="B910" s="45"/>
      <c r="C910" s="45"/>
      <c r="D910" s="45"/>
      <c r="E910" s="45"/>
      <c r="F910" s="45"/>
      <c r="G910" s="45"/>
      <c r="H910" s="45"/>
      <c r="I910" s="45"/>
      <c r="J910" s="45"/>
      <c r="K910" s="45"/>
      <c r="L910" s="45"/>
      <c r="M910" s="45"/>
      <c r="N910" s="45"/>
      <c r="O910" s="47"/>
      <c r="P910" s="45"/>
      <c r="Q910" s="45"/>
      <c r="R910" s="45"/>
      <c r="S910" s="45"/>
      <c r="T910" s="45"/>
      <c r="U910" s="45"/>
      <c r="V910" s="45"/>
      <c r="W910" s="45"/>
      <c r="X910" s="28"/>
      <c r="Y910" s="28"/>
      <c r="Z910" s="28"/>
      <c r="AA910" s="28"/>
      <c r="AB910" s="28"/>
      <c r="AC910" s="28"/>
    </row>
    <row r="911" spans="1:29" ht="13">
      <c r="A911" s="28"/>
      <c r="B911" s="45"/>
      <c r="C911" s="45"/>
      <c r="D911" s="45"/>
      <c r="E911" s="45"/>
      <c r="F911" s="45"/>
      <c r="G911" s="45"/>
      <c r="H911" s="45"/>
      <c r="I911" s="45"/>
      <c r="J911" s="45"/>
      <c r="K911" s="45"/>
      <c r="L911" s="45"/>
      <c r="M911" s="45"/>
      <c r="N911" s="45"/>
      <c r="O911" s="47"/>
      <c r="P911" s="45"/>
      <c r="Q911" s="45"/>
      <c r="R911" s="45"/>
      <c r="S911" s="45"/>
      <c r="T911" s="45"/>
      <c r="U911" s="45"/>
      <c r="V911" s="45"/>
      <c r="W911" s="45"/>
      <c r="X911" s="28"/>
      <c r="Y911" s="28"/>
      <c r="Z911" s="28"/>
      <c r="AA911" s="28"/>
      <c r="AB911" s="28"/>
      <c r="AC911" s="28"/>
    </row>
    <row r="912" spans="1:29" ht="13">
      <c r="A912" s="28"/>
      <c r="B912" s="45"/>
      <c r="C912" s="45"/>
      <c r="D912" s="45"/>
      <c r="E912" s="45"/>
      <c r="F912" s="45"/>
      <c r="G912" s="45"/>
      <c r="H912" s="45"/>
      <c r="I912" s="45"/>
      <c r="J912" s="45"/>
      <c r="K912" s="45"/>
      <c r="L912" s="45"/>
      <c r="M912" s="45"/>
      <c r="N912" s="45"/>
      <c r="O912" s="47"/>
      <c r="P912" s="45"/>
      <c r="Q912" s="45"/>
      <c r="R912" s="45"/>
      <c r="S912" s="45"/>
      <c r="T912" s="45"/>
      <c r="U912" s="45"/>
      <c r="V912" s="45"/>
      <c r="W912" s="45"/>
      <c r="X912" s="28"/>
      <c r="Y912" s="28"/>
      <c r="Z912" s="28"/>
      <c r="AA912" s="28"/>
      <c r="AB912" s="28"/>
      <c r="AC912" s="28"/>
    </row>
    <row r="913" spans="1:29" ht="13">
      <c r="A913" s="28"/>
      <c r="B913" s="45"/>
      <c r="C913" s="45"/>
      <c r="D913" s="45"/>
      <c r="E913" s="45"/>
      <c r="F913" s="45"/>
      <c r="G913" s="45"/>
      <c r="H913" s="45"/>
      <c r="I913" s="45"/>
      <c r="J913" s="45"/>
      <c r="K913" s="45"/>
      <c r="L913" s="45"/>
      <c r="M913" s="45"/>
      <c r="N913" s="45"/>
      <c r="O913" s="47"/>
      <c r="P913" s="45"/>
      <c r="Q913" s="45"/>
      <c r="R913" s="45"/>
      <c r="S913" s="45"/>
      <c r="T913" s="45"/>
      <c r="U913" s="45"/>
      <c r="V913" s="45"/>
      <c r="W913" s="45"/>
      <c r="X913" s="28"/>
      <c r="Y913" s="28"/>
      <c r="Z913" s="28"/>
      <c r="AA913" s="28"/>
      <c r="AB913" s="28"/>
      <c r="AC913" s="28"/>
    </row>
    <row r="914" spans="1:29" ht="13">
      <c r="A914" s="28"/>
      <c r="B914" s="45"/>
      <c r="C914" s="45"/>
      <c r="D914" s="45"/>
      <c r="E914" s="45"/>
      <c r="F914" s="45"/>
      <c r="G914" s="45"/>
      <c r="H914" s="45"/>
      <c r="I914" s="45"/>
      <c r="J914" s="45"/>
      <c r="K914" s="45"/>
      <c r="L914" s="45"/>
      <c r="M914" s="45"/>
      <c r="N914" s="45"/>
      <c r="O914" s="47"/>
      <c r="P914" s="45"/>
      <c r="Q914" s="45"/>
      <c r="R914" s="45"/>
      <c r="S914" s="45"/>
      <c r="T914" s="45"/>
      <c r="U914" s="45"/>
      <c r="V914" s="45"/>
      <c r="W914" s="45"/>
      <c r="X914" s="28"/>
      <c r="Y914" s="28"/>
      <c r="Z914" s="28"/>
      <c r="AA914" s="28"/>
      <c r="AB914" s="28"/>
      <c r="AC914" s="28"/>
    </row>
    <row r="915" spans="1:29" ht="13">
      <c r="A915" s="28"/>
      <c r="B915" s="45"/>
      <c r="C915" s="45"/>
      <c r="D915" s="45"/>
      <c r="E915" s="45"/>
      <c r="F915" s="45"/>
      <c r="G915" s="45"/>
      <c r="H915" s="45"/>
      <c r="I915" s="45"/>
      <c r="J915" s="45"/>
      <c r="K915" s="45"/>
      <c r="L915" s="45"/>
      <c r="M915" s="45"/>
      <c r="N915" s="45"/>
      <c r="O915" s="47"/>
      <c r="P915" s="45"/>
      <c r="Q915" s="45"/>
      <c r="R915" s="45"/>
      <c r="S915" s="45"/>
      <c r="T915" s="45"/>
      <c r="U915" s="45"/>
      <c r="V915" s="45"/>
      <c r="W915" s="45"/>
      <c r="X915" s="28"/>
      <c r="Y915" s="28"/>
      <c r="Z915" s="28"/>
      <c r="AA915" s="28"/>
      <c r="AB915" s="28"/>
      <c r="AC915" s="28"/>
    </row>
    <row r="916" spans="1:29" ht="13">
      <c r="A916" s="28"/>
      <c r="B916" s="45"/>
      <c r="C916" s="45"/>
      <c r="D916" s="45"/>
      <c r="E916" s="45"/>
      <c r="F916" s="45"/>
      <c r="G916" s="45"/>
      <c r="H916" s="45"/>
      <c r="I916" s="45"/>
      <c r="J916" s="45"/>
      <c r="K916" s="45"/>
      <c r="L916" s="45"/>
      <c r="M916" s="45"/>
      <c r="N916" s="45"/>
      <c r="O916" s="47"/>
      <c r="P916" s="45"/>
      <c r="Q916" s="45"/>
      <c r="R916" s="45"/>
      <c r="S916" s="45"/>
      <c r="T916" s="45"/>
      <c r="U916" s="45"/>
      <c r="V916" s="45"/>
      <c r="W916" s="45"/>
      <c r="X916" s="28"/>
      <c r="Y916" s="28"/>
      <c r="Z916" s="28"/>
      <c r="AA916" s="28"/>
      <c r="AB916" s="28"/>
      <c r="AC916" s="28"/>
    </row>
    <row r="917" spans="1:29" ht="13">
      <c r="A917" s="28"/>
      <c r="B917" s="45"/>
      <c r="C917" s="45"/>
      <c r="D917" s="45"/>
      <c r="E917" s="45"/>
      <c r="F917" s="45"/>
      <c r="G917" s="45"/>
      <c r="H917" s="45"/>
      <c r="I917" s="45"/>
      <c r="J917" s="45"/>
      <c r="K917" s="45"/>
      <c r="L917" s="45"/>
      <c r="M917" s="45"/>
      <c r="N917" s="45"/>
      <c r="O917" s="47"/>
      <c r="P917" s="45"/>
      <c r="Q917" s="45"/>
      <c r="R917" s="45"/>
      <c r="S917" s="45"/>
      <c r="T917" s="45"/>
      <c r="U917" s="45"/>
      <c r="V917" s="45"/>
      <c r="W917" s="45"/>
      <c r="X917" s="28"/>
      <c r="Y917" s="28"/>
      <c r="Z917" s="28"/>
      <c r="AA917" s="28"/>
      <c r="AB917" s="28"/>
      <c r="AC917" s="28"/>
    </row>
    <row r="918" spans="1:29" ht="13">
      <c r="A918" s="28"/>
      <c r="B918" s="45"/>
      <c r="C918" s="45"/>
      <c r="D918" s="45"/>
      <c r="E918" s="45"/>
      <c r="F918" s="45"/>
      <c r="G918" s="45"/>
      <c r="H918" s="45"/>
      <c r="I918" s="45"/>
      <c r="J918" s="45"/>
      <c r="K918" s="45"/>
      <c r="L918" s="45"/>
      <c r="M918" s="45"/>
      <c r="N918" s="45"/>
      <c r="O918" s="47"/>
      <c r="P918" s="45"/>
      <c r="Q918" s="45"/>
      <c r="R918" s="45"/>
      <c r="S918" s="45"/>
      <c r="T918" s="45"/>
      <c r="U918" s="45"/>
      <c r="V918" s="45"/>
      <c r="W918" s="45"/>
      <c r="X918" s="28"/>
      <c r="Y918" s="28"/>
      <c r="Z918" s="28"/>
      <c r="AA918" s="28"/>
      <c r="AB918" s="28"/>
      <c r="AC918" s="28"/>
    </row>
    <row r="919" spans="1:29" ht="13">
      <c r="A919" s="28"/>
      <c r="B919" s="45"/>
      <c r="C919" s="45"/>
      <c r="D919" s="45"/>
      <c r="E919" s="45"/>
      <c r="F919" s="45"/>
      <c r="G919" s="45"/>
      <c r="H919" s="45"/>
      <c r="I919" s="45"/>
      <c r="J919" s="45"/>
      <c r="K919" s="45"/>
      <c r="L919" s="45"/>
      <c r="M919" s="45"/>
      <c r="N919" s="45"/>
      <c r="O919" s="47"/>
      <c r="P919" s="45"/>
      <c r="Q919" s="45"/>
      <c r="R919" s="45"/>
      <c r="S919" s="45"/>
      <c r="T919" s="45"/>
      <c r="U919" s="45"/>
      <c r="V919" s="45"/>
      <c r="W919" s="45"/>
      <c r="X919" s="28"/>
      <c r="Y919" s="28"/>
      <c r="Z919" s="28"/>
      <c r="AA919" s="28"/>
      <c r="AB919" s="28"/>
      <c r="AC919" s="28"/>
    </row>
    <row r="920" spans="1:29" ht="13">
      <c r="A920" s="28"/>
      <c r="B920" s="45"/>
      <c r="C920" s="45"/>
      <c r="D920" s="45"/>
      <c r="E920" s="45"/>
      <c r="F920" s="45"/>
      <c r="G920" s="45"/>
      <c r="H920" s="45"/>
      <c r="I920" s="45"/>
      <c r="J920" s="45"/>
      <c r="K920" s="45"/>
      <c r="L920" s="45"/>
      <c r="M920" s="45"/>
      <c r="N920" s="45"/>
      <c r="O920" s="47"/>
      <c r="P920" s="45"/>
      <c r="Q920" s="45"/>
      <c r="R920" s="45"/>
      <c r="S920" s="45"/>
      <c r="T920" s="45"/>
      <c r="U920" s="45"/>
      <c r="V920" s="45"/>
      <c r="W920" s="45"/>
      <c r="X920" s="28"/>
      <c r="Y920" s="28"/>
      <c r="Z920" s="28"/>
      <c r="AA920" s="28"/>
      <c r="AB920" s="28"/>
      <c r="AC920" s="28"/>
    </row>
    <row r="921" spans="1:29" ht="13">
      <c r="A921" s="28"/>
      <c r="B921" s="45"/>
      <c r="C921" s="45"/>
      <c r="D921" s="45"/>
      <c r="E921" s="45"/>
      <c r="F921" s="45"/>
      <c r="G921" s="45"/>
      <c r="H921" s="45"/>
      <c r="I921" s="45"/>
      <c r="J921" s="45"/>
      <c r="K921" s="45"/>
      <c r="L921" s="45"/>
      <c r="M921" s="45"/>
      <c r="N921" s="45"/>
      <c r="O921" s="47"/>
      <c r="P921" s="45"/>
      <c r="Q921" s="45"/>
      <c r="R921" s="45"/>
      <c r="S921" s="45"/>
      <c r="T921" s="45"/>
      <c r="U921" s="45"/>
      <c r="V921" s="45"/>
      <c r="W921" s="45"/>
      <c r="X921" s="28"/>
      <c r="Y921" s="28"/>
      <c r="Z921" s="28"/>
      <c r="AA921" s="28"/>
      <c r="AB921" s="28"/>
      <c r="AC921" s="28"/>
    </row>
    <row r="922" spans="1:29" ht="13">
      <c r="A922" s="28"/>
      <c r="B922" s="45"/>
      <c r="C922" s="45"/>
      <c r="D922" s="45"/>
      <c r="E922" s="45"/>
      <c r="F922" s="45"/>
      <c r="G922" s="45"/>
      <c r="H922" s="45"/>
      <c r="I922" s="45"/>
      <c r="J922" s="45"/>
      <c r="K922" s="45"/>
      <c r="L922" s="45"/>
      <c r="M922" s="45"/>
      <c r="N922" s="45"/>
      <c r="O922" s="47"/>
      <c r="P922" s="45"/>
      <c r="Q922" s="45"/>
      <c r="R922" s="45"/>
      <c r="S922" s="45"/>
      <c r="T922" s="45"/>
      <c r="U922" s="45"/>
      <c r="V922" s="45"/>
      <c r="W922" s="45"/>
      <c r="X922" s="28"/>
      <c r="Y922" s="28"/>
      <c r="Z922" s="28"/>
      <c r="AA922" s="28"/>
      <c r="AB922" s="28"/>
      <c r="AC922" s="28"/>
    </row>
    <row r="923" spans="1:29" ht="13">
      <c r="A923" s="28"/>
      <c r="B923" s="45"/>
      <c r="C923" s="45"/>
      <c r="D923" s="45"/>
      <c r="E923" s="45"/>
      <c r="F923" s="45"/>
      <c r="G923" s="45"/>
      <c r="H923" s="45"/>
      <c r="I923" s="45"/>
      <c r="J923" s="45"/>
      <c r="K923" s="45"/>
      <c r="L923" s="45"/>
      <c r="M923" s="45"/>
      <c r="N923" s="45"/>
      <c r="O923" s="47"/>
      <c r="P923" s="45"/>
      <c r="Q923" s="45"/>
      <c r="R923" s="45"/>
      <c r="S923" s="45"/>
      <c r="T923" s="45"/>
      <c r="U923" s="45"/>
      <c r="V923" s="45"/>
      <c r="W923" s="45"/>
      <c r="X923" s="28"/>
      <c r="Y923" s="28"/>
      <c r="Z923" s="28"/>
      <c r="AA923" s="28"/>
      <c r="AB923" s="28"/>
      <c r="AC923" s="28"/>
    </row>
    <row r="924" spans="1:29" ht="13">
      <c r="A924" s="28"/>
      <c r="B924" s="45"/>
      <c r="C924" s="45"/>
      <c r="D924" s="45"/>
      <c r="E924" s="45"/>
      <c r="F924" s="45"/>
      <c r="G924" s="45"/>
      <c r="H924" s="45"/>
      <c r="I924" s="45"/>
      <c r="J924" s="45"/>
      <c r="K924" s="45"/>
      <c r="L924" s="45"/>
      <c r="M924" s="45"/>
      <c r="N924" s="45"/>
      <c r="O924" s="47"/>
      <c r="P924" s="45"/>
      <c r="Q924" s="45"/>
      <c r="R924" s="45"/>
      <c r="S924" s="45"/>
      <c r="T924" s="45"/>
      <c r="U924" s="45"/>
      <c r="V924" s="45"/>
      <c r="W924" s="45"/>
      <c r="X924" s="28"/>
      <c r="Y924" s="28"/>
      <c r="Z924" s="28"/>
      <c r="AA924" s="28"/>
      <c r="AB924" s="28"/>
      <c r="AC924" s="28"/>
    </row>
    <row r="925" spans="1:29" ht="13">
      <c r="A925" s="28"/>
      <c r="B925" s="45"/>
      <c r="C925" s="45"/>
      <c r="D925" s="45"/>
      <c r="E925" s="45"/>
      <c r="F925" s="45"/>
      <c r="G925" s="45"/>
      <c r="H925" s="45"/>
      <c r="I925" s="45"/>
      <c r="J925" s="45"/>
      <c r="K925" s="45"/>
      <c r="L925" s="45"/>
      <c r="M925" s="45"/>
      <c r="N925" s="45"/>
      <c r="O925" s="47"/>
      <c r="P925" s="45"/>
      <c r="Q925" s="45"/>
      <c r="R925" s="45"/>
      <c r="S925" s="45"/>
      <c r="T925" s="45"/>
      <c r="U925" s="45"/>
      <c r="V925" s="45"/>
      <c r="W925" s="45"/>
      <c r="X925" s="28"/>
      <c r="Y925" s="28"/>
      <c r="Z925" s="28"/>
      <c r="AA925" s="28"/>
      <c r="AB925" s="28"/>
      <c r="AC925" s="28"/>
    </row>
    <row r="926" spans="1:29" ht="13">
      <c r="A926" s="28"/>
      <c r="B926" s="45"/>
      <c r="C926" s="45"/>
      <c r="D926" s="45"/>
      <c r="E926" s="45"/>
      <c r="F926" s="45"/>
      <c r="G926" s="45"/>
      <c r="H926" s="45"/>
      <c r="I926" s="45"/>
      <c r="J926" s="45"/>
      <c r="K926" s="45"/>
      <c r="L926" s="45"/>
      <c r="M926" s="45"/>
      <c r="N926" s="45"/>
      <c r="O926" s="47"/>
      <c r="P926" s="45"/>
      <c r="Q926" s="45"/>
      <c r="R926" s="45"/>
      <c r="S926" s="45"/>
      <c r="T926" s="45"/>
      <c r="U926" s="45"/>
      <c r="V926" s="45"/>
      <c r="W926" s="45"/>
      <c r="X926" s="28"/>
      <c r="Y926" s="28"/>
      <c r="Z926" s="28"/>
      <c r="AA926" s="28"/>
      <c r="AB926" s="28"/>
      <c r="AC926" s="28"/>
    </row>
    <row r="927" spans="1:29" ht="13">
      <c r="A927" s="28"/>
      <c r="B927" s="45"/>
      <c r="C927" s="45"/>
      <c r="D927" s="45"/>
      <c r="E927" s="45"/>
      <c r="F927" s="45"/>
      <c r="G927" s="45"/>
      <c r="H927" s="45"/>
      <c r="I927" s="45"/>
      <c r="J927" s="45"/>
      <c r="K927" s="45"/>
      <c r="L927" s="45"/>
      <c r="M927" s="45"/>
      <c r="N927" s="45"/>
      <c r="O927" s="47"/>
      <c r="P927" s="45"/>
      <c r="Q927" s="45"/>
      <c r="R927" s="45"/>
      <c r="S927" s="45"/>
      <c r="T927" s="45"/>
      <c r="U927" s="45"/>
      <c r="V927" s="45"/>
      <c r="W927" s="45"/>
      <c r="X927" s="28"/>
      <c r="Y927" s="28"/>
      <c r="Z927" s="28"/>
      <c r="AA927" s="28"/>
      <c r="AB927" s="28"/>
      <c r="AC927" s="28"/>
    </row>
    <row r="928" spans="1:29" ht="13">
      <c r="A928" s="28"/>
      <c r="B928" s="45"/>
      <c r="C928" s="45"/>
      <c r="D928" s="45"/>
      <c r="E928" s="45"/>
      <c r="F928" s="45"/>
      <c r="G928" s="45"/>
      <c r="H928" s="45"/>
      <c r="I928" s="45"/>
      <c r="J928" s="45"/>
      <c r="K928" s="45"/>
      <c r="L928" s="45"/>
      <c r="M928" s="45"/>
      <c r="N928" s="45"/>
      <c r="O928" s="47"/>
      <c r="P928" s="45"/>
      <c r="Q928" s="45"/>
      <c r="R928" s="45"/>
      <c r="S928" s="45"/>
      <c r="T928" s="45"/>
      <c r="U928" s="45"/>
      <c r="V928" s="45"/>
      <c r="W928" s="45"/>
      <c r="X928" s="28"/>
      <c r="Y928" s="28"/>
      <c r="Z928" s="28"/>
      <c r="AA928" s="28"/>
      <c r="AB928" s="28"/>
      <c r="AC928" s="28"/>
    </row>
    <row r="929" spans="1:29" ht="13">
      <c r="A929" s="28"/>
      <c r="B929" s="45"/>
      <c r="C929" s="45"/>
      <c r="D929" s="45"/>
      <c r="E929" s="45"/>
      <c r="F929" s="45"/>
      <c r="G929" s="45"/>
      <c r="H929" s="45"/>
      <c r="I929" s="45"/>
      <c r="J929" s="45"/>
      <c r="K929" s="45"/>
      <c r="L929" s="45"/>
      <c r="M929" s="45"/>
      <c r="N929" s="45"/>
      <c r="O929" s="47"/>
      <c r="P929" s="45"/>
      <c r="Q929" s="45"/>
      <c r="R929" s="45"/>
      <c r="S929" s="45"/>
      <c r="T929" s="45"/>
      <c r="U929" s="45"/>
      <c r="V929" s="45"/>
      <c r="W929" s="45"/>
      <c r="X929" s="28"/>
      <c r="Y929" s="28"/>
      <c r="Z929" s="28"/>
      <c r="AA929" s="28"/>
      <c r="AB929" s="28"/>
      <c r="AC929" s="28"/>
    </row>
    <row r="930" spans="1:29" ht="13">
      <c r="A930" s="28"/>
      <c r="B930" s="45"/>
      <c r="C930" s="45"/>
      <c r="D930" s="45"/>
      <c r="E930" s="45"/>
      <c r="F930" s="45"/>
      <c r="G930" s="45"/>
      <c r="H930" s="45"/>
      <c r="I930" s="45"/>
      <c r="J930" s="45"/>
      <c r="K930" s="45"/>
      <c r="L930" s="45"/>
      <c r="M930" s="45"/>
      <c r="N930" s="45"/>
      <c r="O930" s="47"/>
      <c r="P930" s="45"/>
      <c r="Q930" s="45"/>
      <c r="R930" s="45"/>
      <c r="S930" s="45"/>
      <c r="T930" s="45"/>
      <c r="U930" s="45"/>
      <c r="V930" s="45"/>
      <c r="W930" s="45"/>
      <c r="X930" s="28"/>
      <c r="Y930" s="28"/>
      <c r="Z930" s="28"/>
      <c r="AA930" s="28"/>
      <c r="AB930" s="28"/>
      <c r="AC930" s="28"/>
    </row>
    <row r="931" spans="1:29" ht="13">
      <c r="A931" s="28"/>
      <c r="B931" s="45"/>
      <c r="C931" s="45"/>
      <c r="D931" s="45"/>
      <c r="E931" s="45"/>
      <c r="F931" s="45"/>
      <c r="G931" s="45"/>
      <c r="H931" s="45"/>
      <c r="I931" s="45"/>
      <c r="J931" s="45"/>
      <c r="K931" s="45"/>
      <c r="L931" s="45"/>
      <c r="M931" s="45"/>
      <c r="N931" s="45"/>
      <c r="O931" s="47"/>
      <c r="P931" s="45"/>
      <c r="Q931" s="45"/>
      <c r="R931" s="45"/>
      <c r="S931" s="45"/>
      <c r="T931" s="45"/>
      <c r="U931" s="45"/>
      <c r="V931" s="45"/>
      <c r="W931" s="45"/>
      <c r="X931" s="28"/>
      <c r="Y931" s="28"/>
      <c r="Z931" s="28"/>
      <c r="AA931" s="28"/>
      <c r="AB931" s="28"/>
      <c r="AC931" s="28"/>
    </row>
    <row r="932" spans="1:29" ht="13">
      <c r="A932" s="28"/>
      <c r="B932" s="45"/>
      <c r="C932" s="45"/>
      <c r="D932" s="45"/>
      <c r="E932" s="45"/>
      <c r="F932" s="45"/>
      <c r="G932" s="45"/>
      <c r="H932" s="45"/>
      <c r="I932" s="45"/>
      <c r="J932" s="45"/>
      <c r="K932" s="45"/>
      <c r="L932" s="45"/>
      <c r="M932" s="45"/>
      <c r="N932" s="45"/>
      <c r="O932" s="47"/>
      <c r="P932" s="45"/>
      <c r="Q932" s="45"/>
      <c r="R932" s="45"/>
      <c r="S932" s="45"/>
      <c r="T932" s="45"/>
      <c r="U932" s="45"/>
      <c r="V932" s="45"/>
      <c r="W932" s="45"/>
      <c r="X932" s="28"/>
      <c r="Y932" s="28"/>
      <c r="Z932" s="28"/>
      <c r="AA932" s="28"/>
      <c r="AB932" s="28"/>
      <c r="AC932" s="28"/>
    </row>
    <row r="933" spans="1:29" ht="13">
      <c r="A933" s="28"/>
      <c r="B933" s="45"/>
      <c r="C933" s="45"/>
      <c r="D933" s="45"/>
      <c r="E933" s="45"/>
      <c r="F933" s="45"/>
      <c r="G933" s="45"/>
      <c r="H933" s="45"/>
      <c r="I933" s="45"/>
      <c r="J933" s="45"/>
      <c r="K933" s="45"/>
      <c r="L933" s="45"/>
      <c r="M933" s="45"/>
      <c r="N933" s="45"/>
      <c r="O933" s="47"/>
      <c r="P933" s="45"/>
      <c r="Q933" s="45"/>
      <c r="R933" s="45"/>
      <c r="S933" s="45"/>
      <c r="T933" s="45"/>
      <c r="U933" s="45"/>
      <c r="V933" s="45"/>
      <c r="W933" s="45"/>
      <c r="X933" s="28"/>
      <c r="Y933" s="28"/>
      <c r="Z933" s="28"/>
      <c r="AA933" s="28"/>
      <c r="AB933" s="28"/>
      <c r="AC933" s="28"/>
    </row>
    <row r="934" spans="1:29" ht="13">
      <c r="A934" s="28"/>
      <c r="B934" s="45"/>
      <c r="C934" s="45"/>
      <c r="D934" s="45"/>
      <c r="E934" s="45"/>
      <c r="F934" s="45"/>
      <c r="G934" s="45"/>
      <c r="H934" s="45"/>
      <c r="I934" s="45"/>
      <c r="J934" s="45"/>
      <c r="K934" s="45"/>
      <c r="L934" s="45"/>
      <c r="M934" s="45"/>
      <c r="N934" s="45"/>
      <c r="O934" s="47"/>
      <c r="P934" s="45"/>
      <c r="Q934" s="45"/>
      <c r="R934" s="45"/>
      <c r="S934" s="45"/>
      <c r="T934" s="45"/>
      <c r="U934" s="45"/>
      <c r="V934" s="45"/>
      <c r="W934" s="45"/>
      <c r="X934" s="28"/>
      <c r="Y934" s="28"/>
      <c r="Z934" s="28"/>
      <c r="AA934" s="28"/>
      <c r="AB934" s="28"/>
      <c r="AC934" s="28"/>
    </row>
    <row r="935" spans="1:29" ht="13">
      <c r="A935" s="28"/>
      <c r="B935" s="45"/>
      <c r="C935" s="45"/>
      <c r="D935" s="45"/>
      <c r="E935" s="45"/>
      <c r="F935" s="45"/>
      <c r="G935" s="45"/>
      <c r="H935" s="45"/>
      <c r="I935" s="45"/>
      <c r="J935" s="45"/>
      <c r="K935" s="45"/>
      <c r="L935" s="45"/>
      <c r="M935" s="45"/>
      <c r="N935" s="45"/>
      <c r="O935" s="47"/>
      <c r="P935" s="45"/>
      <c r="Q935" s="45"/>
      <c r="R935" s="45"/>
      <c r="S935" s="45"/>
      <c r="T935" s="45"/>
      <c r="U935" s="45"/>
      <c r="V935" s="45"/>
      <c r="W935" s="45"/>
      <c r="X935" s="28"/>
      <c r="Y935" s="28"/>
      <c r="Z935" s="28"/>
      <c r="AA935" s="28"/>
      <c r="AB935" s="28"/>
      <c r="AC935" s="28"/>
    </row>
    <row r="936" spans="1:29" ht="13">
      <c r="A936" s="28"/>
      <c r="B936" s="45"/>
      <c r="C936" s="45"/>
      <c r="D936" s="45"/>
      <c r="E936" s="45"/>
      <c r="F936" s="45"/>
      <c r="G936" s="45"/>
      <c r="H936" s="45"/>
      <c r="I936" s="45"/>
      <c r="J936" s="45"/>
      <c r="K936" s="45"/>
      <c r="L936" s="45"/>
      <c r="M936" s="45"/>
      <c r="N936" s="45"/>
      <c r="O936" s="47"/>
      <c r="P936" s="45"/>
      <c r="Q936" s="45"/>
      <c r="R936" s="45"/>
      <c r="S936" s="45"/>
      <c r="T936" s="45"/>
      <c r="U936" s="45"/>
      <c r="V936" s="45"/>
      <c r="W936" s="45"/>
      <c r="X936" s="28"/>
      <c r="Y936" s="28"/>
      <c r="Z936" s="28"/>
      <c r="AA936" s="28"/>
      <c r="AB936" s="28"/>
      <c r="AC936" s="28"/>
    </row>
    <row r="937" spans="1:29" ht="13">
      <c r="A937" s="28"/>
      <c r="B937" s="45"/>
      <c r="C937" s="45"/>
      <c r="D937" s="45"/>
      <c r="E937" s="45"/>
      <c r="F937" s="45"/>
      <c r="G937" s="45"/>
      <c r="H937" s="45"/>
      <c r="I937" s="45"/>
      <c r="J937" s="45"/>
      <c r="K937" s="45"/>
      <c r="L937" s="45"/>
      <c r="M937" s="45"/>
      <c r="N937" s="45"/>
      <c r="O937" s="47"/>
      <c r="P937" s="45"/>
      <c r="Q937" s="45"/>
      <c r="R937" s="45"/>
      <c r="S937" s="45"/>
      <c r="T937" s="45"/>
      <c r="U937" s="45"/>
      <c r="V937" s="45"/>
      <c r="W937" s="45"/>
      <c r="X937" s="28"/>
      <c r="Y937" s="28"/>
      <c r="Z937" s="28"/>
      <c r="AA937" s="28"/>
      <c r="AB937" s="28"/>
      <c r="AC937" s="28"/>
    </row>
    <row r="938" spans="1:29" ht="13">
      <c r="A938" s="28"/>
      <c r="B938" s="45"/>
      <c r="C938" s="45"/>
      <c r="D938" s="45"/>
      <c r="E938" s="45"/>
      <c r="F938" s="45"/>
      <c r="G938" s="45"/>
      <c r="H938" s="45"/>
      <c r="I938" s="45"/>
      <c r="J938" s="45"/>
      <c r="K938" s="45"/>
      <c r="L938" s="45"/>
      <c r="M938" s="45"/>
      <c r="N938" s="45"/>
      <c r="O938" s="47"/>
      <c r="P938" s="45"/>
      <c r="Q938" s="45"/>
      <c r="R938" s="45"/>
      <c r="S938" s="45"/>
      <c r="T938" s="45"/>
      <c r="U938" s="45"/>
      <c r="V938" s="45"/>
      <c r="W938" s="45"/>
      <c r="X938" s="28"/>
      <c r="Y938" s="28"/>
      <c r="Z938" s="28"/>
      <c r="AA938" s="28"/>
      <c r="AB938" s="28"/>
      <c r="AC938" s="28"/>
    </row>
    <row r="939" spans="1:29" ht="13">
      <c r="A939" s="28"/>
      <c r="B939" s="45"/>
      <c r="C939" s="45"/>
      <c r="D939" s="45"/>
      <c r="E939" s="45"/>
      <c r="F939" s="45"/>
      <c r="G939" s="45"/>
      <c r="H939" s="45"/>
      <c r="I939" s="45"/>
      <c r="J939" s="45"/>
      <c r="K939" s="45"/>
      <c r="L939" s="45"/>
      <c r="M939" s="45"/>
      <c r="N939" s="45"/>
      <c r="O939" s="47"/>
      <c r="P939" s="45"/>
      <c r="Q939" s="45"/>
      <c r="R939" s="45"/>
      <c r="S939" s="45"/>
      <c r="T939" s="45"/>
      <c r="U939" s="45"/>
      <c r="V939" s="45"/>
      <c r="W939" s="45"/>
      <c r="X939" s="28"/>
      <c r="Y939" s="28"/>
      <c r="Z939" s="28"/>
      <c r="AA939" s="28"/>
      <c r="AB939" s="28"/>
      <c r="AC939" s="28"/>
    </row>
    <row r="940" spans="1:29" ht="13">
      <c r="A940" s="28"/>
      <c r="B940" s="45"/>
      <c r="C940" s="45"/>
      <c r="D940" s="45"/>
      <c r="E940" s="45"/>
      <c r="F940" s="45"/>
      <c r="G940" s="45"/>
      <c r="H940" s="45"/>
      <c r="I940" s="45"/>
      <c r="J940" s="45"/>
      <c r="K940" s="45"/>
      <c r="L940" s="45"/>
      <c r="M940" s="45"/>
      <c r="N940" s="45"/>
      <c r="O940" s="47"/>
      <c r="P940" s="45"/>
      <c r="Q940" s="45"/>
      <c r="R940" s="45"/>
      <c r="S940" s="45"/>
      <c r="T940" s="45"/>
      <c r="U940" s="45"/>
      <c r="V940" s="45"/>
      <c r="W940" s="45"/>
      <c r="X940" s="28"/>
      <c r="Y940" s="28"/>
      <c r="Z940" s="28"/>
      <c r="AA940" s="28"/>
      <c r="AB940" s="28"/>
      <c r="AC940" s="28"/>
    </row>
    <row r="941" spans="1:29" ht="13">
      <c r="A941" s="28"/>
      <c r="B941" s="45"/>
      <c r="C941" s="45"/>
      <c r="D941" s="45"/>
      <c r="E941" s="45"/>
      <c r="F941" s="45"/>
      <c r="G941" s="45"/>
      <c r="H941" s="45"/>
      <c r="I941" s="45"/>
      <c r="J941" s="45"/>
      <c r="K941" s="45"/>
      <c r="L941" s="45"/>
      <c r="M941" s="45"/>
      <c r="N941" s="45"/>
      <c r="O941" s="47"/>
      <c r="P941" s="45"/>
      <c r="Q941" s="45"/>
      <c r="R941" s="45"/>
      <c r="S941" s="45"/>
      <c r="T941" s="45"/>
      <c r="U941" s="45"/>
      <c r="V941" s="45"/>
      <c r="W941" s="45"/>
      <c r="X941" s="28"/>
      <c r="Y941" s="28"/>
      <c r="Z941" s="28"/>
      <c r="AA941" s="28"/>
      <c r="AB941" s="28"/>
      <c r="AC941" s="28"/>
    </row>
    <row r="942" spans="1:29" ht="13">
      <c r="A942" s="28"/>
      <c r="B942" s="45"/>
      <c r="C942" s="45"/>
      <c r="D942" s="45"/>
      <c r="E942" s="45"/>
      <c r="F942" s="45"/>
      <c r="G942" s="45"/>
      <c r="H942" s="45"/>
      <c r="I942" s="45"/>
      <c r="J942" s="45"/>
      <c r="K942" s="45"/>
      <c r="L942" s="45"/>
      <c r="M942" s="45"/>
      <c r="N942" s="45"/>
      <c r="O942" s="47"/>
      <c r="P942" s="45"/>
      <c r="Q942" s="45"/>
      <c r="R942" s="45"/>
      <c r="S942" s="45"/>
      <c r="T942" s="45"/>
      <c r="U942" s="45"/>
      <c r="V942" s="45"/>
      <c r="W942" s="45"/>
      <c r="X942" s="28"/>
      <c r="Y942" s="28"/>
      <c r="Z942" s="28"/>
      <c r="AA942" s="28"/>
      <c r="AB942" s="28"/>
      <c r="AC942" s="28"/>
    </row>
    <row r="943" spans="1:29" ht="13">
      <c r="A943" s="28"/>
      <c r="B943" s="45"/>
      <c r="C943" s="45"/>
      <c r="D943" s="45"/>
      <c r="E943" s="45"/>
      <c r="F943" s="45"/>
      <c r="G943" s="45"/>
      <c r="H943" s="45"/>
      <c r="I943" s="45"/>
      <c r="J943" s="45"/>
      <c r="K943" s="45"/>
      <c r="L943" s="45"/>
      <c r="M943" s="45"/>
      <c r="N943" s="45"/>
      <c r="O943" s="47"/>
      <c r="P943" s="45"/>
      <c r="Q943" s="45"/>
      <c r="R943" s="45"/>
      <c r="S943" s="45"/>
      <c r="T943" s="45"/>
      <c r="U943" s="45"/>
      <c r="V943" s="45"/>
      <c r="W943" s="45"/>
      <c r="X943" s="28"/>
      <c r="Y943" s="28"/>
      <c r="Z943" s="28"/>
      <c r="AA943" s="28"/>
      <c r="AB943" s="28"/>
      <c r="AC943" s="28"/>
    </row>
    <row r="944" spans="1:29" ht="13">
      <c r="A944" s="28"/>
      <c r="B944" s="45"/>
      <c r="C944" s="45"/>
      <c r="D944" s="45"/>
      <c r="E944" s="45"/>
      <c r="F944" s="45"/>
      <c r="G944" s="45"/>
      <c r="H944" s="45"/>
      <c r="I944" s="45"/>
      <c r="J944" s="45"/>
      <c r="K944" s="45"/>
      <c r="L944" s="45"/>
      <c r="M944" s="45"/>
      <c r="N944" s="45"/>
      <c r="O944" s="47"/>
      <c r="P944" s="45"/>
      <c r="Q944" s="45"/>
      <c r="R944" s="45"/>
      <c r="S944" s="45"/>
      <c r="T944" s="45"/>
      <c r="U944" s="45"/>
      <c r="V944" s="45"/>
      <c r="W944" s="45"/>
      <c r="X944" s="28"/>
      <c r="Y944" s="28"/>
      <c r="Z944" s="28"/>
      <c r="AA944" s="28"/>
      <c r="AB944" s="28"/>
      <c r="AC944" s="28"/>
    </row>
    <row r="945" spans="1:29" ht="13">
      <c r="A945" s="28"/>
      <c r="B945" s="45"/>
      <c r="C945" s="45"/>
      <c r="D945" s="45"/>
      <c r="E945" s="45"/>
      <c r="F945" s="45"/>
      <c r="G945" s="45"/>
      <c r="H945" s="45"/>
      <c r="I945" s="45"/>
      <c r="J945" s="45"/>
      <c r="K945" s="45"/>
      <c r="L945" s="45"/>
      <c r="M945" s="45"/>
      <c r="N945" s="45"/>
      <c r="O945" s="47"/>
      <c r="P945" s="45"/>
      <c r="Q945" s="45"/>
      <c r="R945" s="45"/>
      <c r="S945" s="45"/>
      <c r="T945" s="45"/>
      <c r="U945" s="45"/>
      <c r="V945" s="45"/>
      <c r="W945" s="45"/>
      <c r="X945" s="28"/>
      <c r="Y945" s="28"/>
      <c r="Z945" s="28"/>
      <c r="AA945" s="28"/>
      <c r="AB945" s="28"/>
      <c r="AC945" s="28"/>
    </row>
    <row r="946" spans="1:29" ht="13">
      <c r="A946" s="28"/>
      <c r="B946" s="45"/>
      <c r="C946" s="45"/>
      <c r="D946" s="45"/>
      <c r="E946" s="45"/>
      <c r="F946" s="45"/>
      <c r="G946" s="45"/>
      <c r="H946" s="45"/>
      <c r="I946" s="45"/>
      <c r="J946" s="45"/>
      <c r="K946" s="45"/>
      <c r="L946" s="45"/>
      <c r="M946" s="45"/>
      <c r="N946" s="45"/>
      <c r="O946" s="47"/>
      <c r="P946" s="45"/>
      <c r="Q946" s="45"/>
      <c r="R946" s="45"/>
      <c r="S946" s="45"/>
      <c r="T946" s="45"/>
      <c r="U946" s="45"/>
      <c r="V946" s="45"/>
      <c r="W946" s="45"/>
      <c r="X946" s="28"/>
      <c r="Y946" s="28"/>
      <c r="Z946" s="28"/>
      <c r="AA946" s="28"/>
      <c r="AB946" s="28"/>
      <c r="AC946" s="28"/>
    </row>
    <row r="947" spans="1:29" ht="13">
      <c r="A947" s="28"/>
      <c r="B947" s="45"/>
      <c r="C947" s="45"/>
      <c r="D947" s="45"/>
      <c r="E947" s="45"/>
      <c r="F947" s="45"/>
      <c r="G947" s="45"/>
      <c r="H947" s="45"/>
      <c r="I947" s="45"/>
      <c r="J947" s="45"/>
      <c r="K947" s="45"/>
      <c r="L947" s="45"/>
      <c r="M947" s="45"/>
      <c r="N947" s="45"/>
      <c r="O947" s="47"/>
      <c r="P947" s="45"/>
      <c r="Q947" s="45"/>
      <c r="R947" s="45"/>
      <c r="S947" s="45"/>
      <c r="T947" s="45"/>
      <c r="U947" s="45"/>
      <c r="V947" s="45"/>
      <c r="W947" s="45"/>
      <c r="X947" s="28"/>
      <c r="Y947" s="28"/>
      <c r="Z947" s="28"/>
      <c r="AA947" s="28"/>
      <c r="AB947" s="28"/>
      <c r="AC947" s="28"/>
    </row>
    <row r="948" spans="1:29" ht="13">
      <c r="A948" s="28"/>
      <c r="B948" s="45"/>
      <c r="C948" s="45"/>
      <c r="D948" s="45"/>
      <c r="E948" s="45"/>
      <c r="F948" s="45"/>
      <c r="G948" s="45"/>
      <c r="H948" s="45"/>
      <c r="I948" s="45"/>
      <c r="J948" s="45"/>
      <c r="K948" s="45"/>
      <c r="L948" s="45"/>
      <c r="M948" s="45"/>
      <c r="N948" s="45"/>
      <c r="O948" s="47"/>
      <c r="P948" s="45"/>
      <c r="Q948" s="45"/>
      <c r="R948" s="45"/>
      <c r="S948" s="45"/>
      <c r="T948" s="45"/>
      <c r="U948" s="45"/>
      <c r="V948" s="45"/>
      <c r="W948" s="45"/>
      <c r="X948" s="28"/>
      <c r="Y948" s="28"/>
      <c r="Z948" s="28"/>
      <c r="AA948" s="28"/>
      <c r="AB948" s="28"/>
      <c r="AC948" s="28"/>
    </row>
    <row r="949" spans="1:29" ht="13">
      <c r="A949" s="28"/>
      <c r="B949" s="45"/>
      <c r="C949" s="45"/>
      <c r="D949" s="45"/>
      <c r="E949" s="45"/>
      <c r="F949" s="45"/>
      <c r="G949" s="45"/>
      <c r="H949" s="45"/>
      <c r="I949" s="45"/>
      <c r="J949" s="45"/>
      <c r="K949" s="45"/>
      <c r="L949" s="45"/>
      <c r="M949" s="45"/>
      <c r="N949" s="45"/>
      <c r="O949" s="47"/>
      <c r="P949" s="45"/>
      <c r="Q949" s="45"/>
      <c r="R949" s="45"/>
      <c r="S949" s="45"/>
      <c r="T949" s="45"/>
      <c r="U949" s="45"/>
      <c r="V949" s="45"/>
      <c r="W949" s="45"/>
      <c r="X949" s="28"/>
      <c r="Y949" s="28"/>
      <c r="Z949" s="28"/>
      <c r="AA949" s="28"/>
      <c r="AB949" s="28"/>
      <c r="AC949" s="28"/>
    </row>
    <row r="950" spans="1:29" ht="13">
      <c r="A950" s="28"/>
      <c r="B950" s="45"/>
      <c r="C950" s="45"/>
      <c r="D950" s="45"/>
      <c r="E950" s="45"/>
      <c r="F950" s="45"/>
      <c r="G950" s="45"/>
      <c r="H950" s="45"/>
      <c r="I950" s="45"/>
      <c r="J950" s="45"/>
      <c r="K950" s="45"/>
      <c r="L950" s="45"/>
      <c r="M950" s="45"/>
      <c r="N950" s="45"/>
      <c r="O950" s="47"/>
      <c r="P950" s="45"/>
      <c r="Q950" s="45"/>
      <c r="R950" s="45"/>
      <c r="S950" s="45"/>
      <c r="T950" s="45"/>
      <c r="U950" s="45"/>
      <c r="V950" s="45"/>
      <c r="W950" s="45"/>
      <c r="X950" s="28"/>
      <c r="Y950" s="28"/>
      <c r="Z950" s="28"/>
      <c r="AA950" s="28"/>
      <c r="AB950" s="28"/>
      <c r="AC950" s="28"/>
    </row>
    <row r="951" spans="1:29" ht="13">
      <c r="A951" s="28"/>
      <c r="B951" s="45"/>
      <c r="C951" s="45"/>
      <c r="D951" s="45"/>
      <c r="E951" s="45"/>
      <c r="F951" s="45"/>
      <c r="G951" s="45"/>
      <c r="H951" s="45"/>
      <c r="I951" s="45"/>
      <c r="J951" s="45"/>
      <c r="K951" s="45"/>
      <c r="L951" s="45"/>
      <c r="M951" s="45"/>
      <c r="N951" s="45"/>
      <c r="O951" s="47"/>
      <c r="P951" s="45"/>
      <c r="Q951" s="45"/>
      <c r="R951" s="45"/>
      <c r="S951" s="45"/>
      <c r="T951" s="45"/>
      <c r="U951" s="45"/>
      <c r="V951" s="45"/>
      <c r="W951" s="45"/>
      <c r="X951" s="28"/>
      <c r="Y951" s="28"/>
      <c r="Z951" s="28"/>
      <c r="AA951" s="28"/>
      <c r="AB951" s="28"/>
      <c r="AC951" s="28"/>
    </row>
    <row r="952" spans="1:29" ht="13">
      <c r="A952" s="28"/>
      <c r="B952" s="45"/>
      <c r="C952" s="45"/>
      <c r="D952" s="45"/>
      <c r="E952" s="45"/>
      <c r="F952" s="45"/>
      <c r="G952" s="45"/>
      <c r="H952" s="45"/>
      <c r="I952" s="45"/>
      <c r="J952" s="45"/>
      <c r="K952" s="45"/>
      <c r="L952" s="45"/>
      <c r="M952" s="45"/>
      <c r="N952" s="45"/>
      <c r="O952" s="47"/>
      <c r="P952" s="45"/>
      <c r="Q952" s="45"/>
      <c r="R952" s="45"/>
      <c r="S952" s="45"/>
      <c r="T952" s="45"/>
      <c r="U952" s="45"/>
      <c r="V952" s="45"/>
      <c r="W952" s="45"/>
      <c r="X952" s="28"/>
      <c r="Y952" s="28"/>
      <c r="Z952" s="28"/>
      <c r="AA952" s="28"/>
      <c r="AB952" s="28"/>
      <c r="AC952" s="28"/>
    </row>
    <row r="953" spans="1:29" ht="13">
      <c r="A953" s="28"/>
      <c r="B953" s="45"/>
      <c r="C953" s="45"/>
      <c r="D953" s="45"/>
      <c r="E953" s="45"/>
      <c r="F953" s="45"/>
      <c r="G953" s="45"/>
      <c r="H953" s="45"/>
      <c r="I953" s="45"/>
      <c r="J953" s="45"/>
      <c r="K953" s="45"/>
      <c r="L953" s="45"/>
      <c r="M953" s="45"/>
      <c r="N953" s="45"/>
      <c r="O953" s="47"/>
      <c r="P953" s="45"/>
      <c r="Q953" s="45"/>
      <c r="R953" s="45"/>
      <c r="S953" s="45"/>
      <c r="T953" s="45"/>
      <c r="U953" s="45"/>
      <c r="V953" s="45"/>
      <c r="W953" s="45"/>
      <c r="X953" s="28"/>
      <c r="Y953" s="28"/>
      <c r="Z953" s="28"/>
      <c r="AA953" s="28"/>
      <c r="AB953" s="28"/>
      <c r="AC953" s="28"/>
    </row>
    <row r="954" spans="1:29" ht="13">
      <c r="A954" s="28"/>
      <c r="B954" s="45"/>
      <c r="C954" s="45"/>
      <c r="D954" s="45"/>
      <c r="E954" s="45"/>
      <c r="F954" s="45"/>
      <c r="G954" s="45"/>
      <c r="H954" s="45"/>
      <c r="I954" s="45"/>
      <c r="J954" s="45"/>
      <c r="K954" s="45"/>
      <c r="L954" s="45"/>
      <c r="M954" s="45"/>
      <c r="N954" s="45"/>
      <c r="O954" s="47"/>
      <c r="P954" s="45"/>
      <c r="Q954" s="45"/>
      <c r="R954" s="45"/>
      <c r="S954" s="45"/>
      <c r="T954" s="45"/>
      <c r="U954" s="45"/>
      <c r="V954" s="45"/>
      <c r="W954" s="45"/>
      <c r="X954" s="28"/>
      <c r="Y954" s="28"/>
      <c r="Z954" s="28"/>
      <c r="AA954" s="28"/>
      <c r="AB954" s="28"/>
      <c r="AC954" s="28"/>
    </row>
    <row r="955" spans="1:29" ht="13">
      <c r="A955" s="28"/>
      <c r="B955" s="45"/>
      <c r="C955" s="45"/>
      <c r="D955" s="45"/>
      <c r="E955" s="45"/>
      <c r="F955" s="45"/>
      <c r="G955" s="45"/>
      <c r="H955" s="45"/>
      <c r="I955" s="45"/>
      <c r="J955" s="45"/>
      <c r="K955" s="45"/>
      <c r="L955" s="45"/>
      <c r="M955" s="45"/>
      <c r="N955" s="45"/>
      <c r="O955" s="47"/>
      <c r="P955" s="45"/>
      <c r="Q955" s="45"/>
      <c r="R955" s="45"/>
      <c r="S955" s="45"/>
      <c r="T955" s="45"/>
      <c r="U955" s="45"/>
      <c r="V955" s="45"/>
      <c r="W955" s="45"/>
      <c r="X955" s="28"/>
      <c r="Y955" s="28"/>
      <c r="Z955" s="28"/>
      <c r="AA955" s="28"/>
      <c r="AB955" s="28"/>
      <c r="AC955" s="28"/>
    </row>
    <row r="956" spans="1:29" ht="13">
      <c r="A956" s="28"/>
      <c r="B956" s="45"/>
      <c r="C956" s="45"/>
      <c r="D956" s="45"/>
      <c r="E956" s="45"/>
      <c r="F956" s="45"/>
      <c r="G956" s="45"/>
      <c r="H956" s="45"/>
      <c r="I956" s="45"/>
      <c r="J956" s="45"/>
      <c r="K956" s="45"/>
      <c r="L956" s="45"/>
      <c r="M956" s="45"/>
      <c r="N956" s="45"/>
      <c r="O956" s="47"/>
      <c r="P956" s="45"/>
      <c r="Q956" s="45"/>
      <c r="R956" s="45"/>
      <c r="S956" s="45"/>
      <c r="T956" s="45"/>
      <c r="U956" s="45"/>
      <c r="V956" s="45"/>
      <c r="W956" s="45"/>
      <c r="X956" s="28"/>
      <c r="Y956" s="28"/>
      <c r="Z956" s="28"/>
      <c r="AA956" s="28"/>
      <c r="AB956" s="28"/>
      <c r="AC956" s="28"/>
    </row>
    <row r="957" spans="1:29" ht="13">
      <c r="A957" s="28"/>
      <c r="B957" s="45"/>
      <c r="C957" s="45"/>
      <c r="D957" s="45"/>
      <c r="E957" s="45"/>
      <c r="F957" s="45"/>
      <c r="G957" s="45"/>
      <c r="H957" s="45"/>
      <c r="I957" s="45"/>
      <c r="J957" s="45"/>
      <c r="K957" s="45"/>
      <c r="L957" s="45"/>
      <c r="M957" s="45"/>
      <c r="N957" s="45"/>
      <c r="O957" s="47"/>
      <c r="P957" s="45"/>
      <c r="Q957" s="45"/>
      <c r="R957" s="45"/>
      <c r="S957" s="45"/>
      <c r="T957" s="45"/>
      <c r="U957" s="45"/>
      <c r="V957" s="45"/>
      <c r="W957" s="45"/>
      <c r="X957" s="28"/>
      <c r="Y957" s="28"/>
      <c r="Z957" s="28"/>
      <c r="AA957" s="28"/>
      <c r="AB957" s="28"/>
      <c r="AC957" s="28"/>
    </row>
    <row r="958" spans="1:29" ht="13">
      <c r="A958" s="28"/>
      <c r="B958" s="45"/>
      <c r="C958" s="45"/>
      <c r="D958" s="45"/>
      <c r="E958" s="45"/>
      <c r="F958" s="45"/>
      <c r="G958" s="45"/>
      <c r="H958" s="45"/>
      <c r="I958" s="45"/>
      <c r="J958" s="45"/>
      <c r="K958" s="45"/>
      <c r="L958" s="45"/>
      <c r="M958" s="45"/>
      <c r="N958" s="45"/>
      <c r="O958" s="47"/>
      <c r="P958" s="45"/>
      <c r="Q958" s="45"/>
      <c r="R958" s="45"/>
      <c r="S958" s="45"/>
      <c r="T958" s="45"/>
      <c r="U958" s="45"/>
      <c r="V958" s="45"/>
      <c r="W958" s="45"/>
      <c r="X958" s="28"/>
      <c r="Y958" s="28"/>
      <c r="Z958" s="28"/>
      <c r="AA958" s="28"/>
      <c r="AB958" s="28"/>
      <c r="AC958" s="28"/>
    </row>
    <row r="959" spans="1:29" ht="13">
      <c r="A959" s="28"/>
      <c r="B959" s="45"/>
      <c r="C959" s="45"/>
      <c r="D959" s="45"/>
      <c r="E959" s="45"/>
      <c r="F959" s="45"/>
      <c r="G959" s="45"/>
      <c r="H959" s="45"/>
      <c r="I959" s="45"/>
      <c r="J959" s="45"/>
      <c r="K959" s="45"/>
      <c r="L959" s="45"/>
      <c r="M959" s="45"/>
      <c r="N959" s="45"/>
      <c r="O959" s="47"/>
      <c r="P959" s="45"/>
      <c r="Q959" s="45"/>
      <c r="R959" s="45"/>
      <c r="S959" s="45"/>
      <c r="T959" s="45"/>
      <c r="U959" s="45"/>
      <c r="V959" s="45"/>
      <c r="W959" s="45"/>
      <c r="X959" s="28"/>
      <c r="Y959" s="28"/>
      <c r="Z959" s="28"/>
      <c r="AA959" s="28"/>
      <c r="AB959" s="28"/>
      <c r="AC959" s="28"/>
    </row>
    <row r="960" spans="1:29" ht="13">
      <c r="A960" s="28"/>
      <c r="B960" s="45"/>
      <c r="C960" s="45"/>
      <c r="D960" s="45"/>
      <c r="E960" s="45"/>
      <c r="F960" s="45"/>
      <c r="G960" s="45"/>
      <c r="H960" s="45"/>
      <c r="I960" s="45"/>
      <c r="J960" s="45"/>
      <c r="K960" s="45"/>
      <c r="L960" s="45"/>
      <c r="M960" s="45"/>
      <c r="N960" s="45"/>
      <c r="O960" s="47"/>
      <c r="P960" s="45"/>
      <c r="Q960" s="45"/>
      <c r="R960" s="45"/>
      <c r="S960" s="45"/>
      <c r="T960" s="45"/>
      <c r="U960" s="45"/>
      <c r="V960" s="45"/>
      <c r="W960" s="45"/>
      <c r="X960" s="28"/>
      <c r="Y960" s="28"/>
      <c r="Z960" s="28"/>
      <c r="AA960" s="28"/>
      <c r="AB960" s="28"/>
      <c r="AC960" s="28"/>
    </row>
    <row r="961" spans="1:29" ht="13">
      <c r="A961" s="28"/>
      <c r="B961" s="45"/>
      <c r="C961" s="45"/>
      <c r="D961" s="45"/>
      <c r="E961" s="45"/>
      <c r="F961" s="45"/>
      <c r="G961" s="45"/>
      <c r="H961" s="45"/>
      <c r="I961" s="45"/>
      <c r="J961" s="45"/>
      <c r="K961" s="45"/>
      <c r="L961" s="45"/>
      <c r="M961" s="45"/>
      <c r="N961" s="45"/>
      <c r="O961" s="47"/>
      <c r="P961" s="45"/>
      <c r="Q961" s="45"/>
      <c r="R961" s="45"/>
      <c r="S961" s="45"/>
      <c r="T961" s="45"/>
      <c r="U961" s="45"/>
      <c r="V961" s="45"/>
      <c r="W961" s="45"/>
      <c r="X961" s="28"/>
      <c r="Y961" s="28"/>
      <c r="Z961" s="28"/>
      <c r="AA961" s="28"/>
      <c r="AB961" s="28"/>
      <c r="AC961" s="28"/>
    </row>
    <row r="962" spans="1:29" ht="13">
      <c r="A962" s="28"/>
      <c r="B962" s="45"/>
      <c r="C962" s="45"/>
      <c r="D962" s="45"/>
      <c r="E962" s="45"/>
      <c r="F962" s="45"/>
      <c r="G962" s="45"/>
      <c r="H962" s="45"/>
      <c r="I962" s="45"/>
      <c r="J962" s="45"/>
      <c r="K962" s="45"/>
      <c r="L962" s="45"/>
      <c r="M962" s="45"/>
      <c r="N962" s="45"/>
      <c r="O962" s="47"/>
      <c r="P962" s="45"/>
      <c r="Q962" s="45"/>
      <c r="R962" s="45"/>
      <c r="S962" s="45"/>
      <c r="T962" s="45"/>
      <c r="U962" s="45"/>
      <c r="V962" s="45"/>
      <c r="W962" s="45"/>
      <c r="X962" s="28"/>
      <c r="Y962" s="28"/>
      <c r="Z962" s="28"/>
      <c r="AA962" s="28"/>
      <c r="AB962" s="28"/>
      <c r="AC962" s="28"/>
    </row>
    <row r="963" spans="1:29" ht="13">
      <c r="A963" s="28"/>
      <c r="B963" s="45"/>
      <c r="C963" s="45"/>
      <c r="D963" s="45"/>
      <c r="E963" s="45"/>
      <c r="F963" s="45"/>
      <c r="G963" s="45"/>
      <c r="H963" s="45"/>
      <c r="I963" s="45"/>
      <c r="J963" s="45"/>
      <c r="K963" s="45"/>
      <c r="L963" s="45"/>
      <c r="M963" s="45"/>
      <c r="N963" s="45"/>
      <c r="O963" s="47"/>
      <c r="P963" s="45"/>
      <c r="Q963" s="45"/>
      <c r="R963" s="45"/>
      <c r="S963" s="45"/>
      <c r="T963" s="45"/>
      <c r="U963" s="45"/>
      <c r="V963" s="45"/>
      <c r="W963" s="45"/>
      <c r="X963" s="28"/>
      <c r="Y963" s="28"/>
      <c r="Z963" s="28"/>
      <c r="AA963" s="28"/>
      <c r="AB963" s="28"/>
      <c r="AC963" s="28"/>
    </row>
    <row r="964" spans="1:29" ht="13">
      <c r="A964" s="28"/>
      <c r="B964" s="45"/>
      <c r="C964" s="45"/>
      <c r="D964" s="45"/>
      <c r="E964" s="45"/>
      <c r="F964" s="45"/>
      <c r="G964" s="45"/>
      <c r="H964" s="45"/>
      <c r="I964" s="45"/>
      <c r="J964" s="45"/>
      <c r="K964" s="45"/>
      <c r="L964" s="45"/>
      <c r="M964" s="45"/>
      <c r="N964" s="45"/>
      <c r="O964" s="47"/>
      <c r="P964" s="45"/>
      <c r="Q964" s="45"/>
      <c r="R964" s="45"/>
      <c r="S964" s="45"/>
      <c r="T964" s="45"/>
      <c r="U964" s="45"/>
      <c r="V964" s="45"/>
      <c r="W964" s="45"/>
      <c r="X964" s="28"/>
      <c r="Y964" s="28"/>
      <c r="Z964" s="28"/>
      <c r="AA964" s="28"/>
      <c r="AB964" s="28"/>
      <c r="AC964" s="28"/>
    </row>
    <row r="965" spans="1:29" ht="13">
      <c r="A965" s="28"/>
      <c r="B965" s="45"/>
      <c r="C965" s="45"/>
      <c r="D965" s="45"/>
      <c r="E965" s="45"/>
      <c r="F965" s="45"/>
      <c r="G965" s="45"/>
      <c r="H965" s="45"/>
      <c r="I965" s="45"/>
      <c r="J965" s="45"/>
      <c r="K965" s="45"/>
      <c r="L965" s="45"/>
      <c r="M965" s="45"/>
      <c r="N965" s="45"/>
      <c r="O965" s="47"/>
      <c r="P965" s="45"/>
      <c r="Q965" s="45"/>
      <c r="R965" s="45"/>
      <c r="S965" s="45"/>
      <c r="T965" s="45"/>
      <c r="U965" s="45"/>
      <c r="V965" s="45"/>
      <c r="W965" s="45"/>
      <c r="X965" s="28"/>
      <c r="Y965" s="28"/>
      <c r="Z965" s="28"/>
      <c r="AA965" s="28"/>
      <c r="AB965" s="28"/>
      <c r="AC965" s="28"/>
    </row>
    <row r="966" spans="1:29" ht="13">
      <c r="A966" s="28"/>
      <c r="B966" s="45"/>
      <c r="C966" s="45"/>
      <c r="D966" s="45"/>
      <c r="E966" s="45"/>
      <c r="F966" s="45"/>
      <c r="G966" s="45"/>
      <c r="H966" s="45"/>
      <c r="I966" s="45"/>
      <c r="J966" s="45"/>
      <c r="K966" s="45"/>
      <c r="L966" s="45"/>
      <c r="M966" s="45"/>
      <c r="N966" s="45"/>
      <c r="O966" s="47"/>
      <c r="P966" s="45"/>
      <c r="Q966" s="45"/>
      <c r="R966" s="45"/>
      <c r="S966" s="45"/>
      <c r="T966" s="45"/>
      <c r="U966" s="45"/>
      <c r="V966" s="45"/>
      <c r="W966" s="45"/>
      <c r="X966" s="28"/>
      <c r="Y966" s="28"/>
      <c r="Z966" s="28"/>
      <c r="AA966" s="28"/>
      <c r="AB966" s="28"/>
      <c r="AC966" s="28"/>
    </row>
    <row r="967" spans="1:29" ht="13">
      <c r="A967" s="28"/>
      <c r="B967" s="45"/>
      <c r="C967" s="45"/>
      <c r="D967" s="45"/>
      <c r="E967" s="45"/>
      <c r="F967" s="45"/>
      <c r="G967" s="45"/>
      <c r="H967" s="45"/>
      <c r="I967" s="45"/>
      <c r="J967" s="45"/>
      <c r="K967" s="45"/>
      <c r="L967" s="45"/>
      <c r="M967" s="45"/>
      <c r="N967" s="45"/>
      <c r="O967" s="47"/>
      <c r="P967" s="45"/>
      <c r="Q967" s="45"/>
      <c r="R967" s="45"/>
      <c r="S967" s="45"/>
      <c r="T967" s="45"/>
      <c r="U967" s="45"/>
      <c r="V967" s="45"/>
      <c r="W967" s="45"/>
      <c r="X967" s="28"/>
      <c r="Y967" s="28"/>
      <c r="Z967" s="28"/>
      <c r="AA967" s="28"/>
      <c r="AB967" s="28"/>
      <c r="AC967" s="28"/>
    </row>
    <row r="968" spans="1:29" ht="13">
      <c r="A968" s="28"/>
      <c r="B968" s="45"/>
      <c r="C968" s="45"/>
      <c r="D968" s="45"/>
      <c r="E968" s="45"/>
      <c r="F968" s="45"/>
      <c r="G968" s="45"/>
      <c r="H968" s="45"/>
      <c r="I968" s="45"/>
      <c r="J968" s="45"/>
      <c r="K968" s="45"/>
      <c r="L968" s="45"/>
      <c r="M968" s="45"/>
      <c r="N968" s="45"/>
      <c r="O968" s="47"/>
      <c r="P968" s="45"/>
      <c r="Q968" s="45"/>
      <c r="R968" s="45"/>
      <c r="S968" s="45"/>
      <c r="T968" s="45"/>
      <c r="U968" s="45"/>
      <c r="V968" s="45"/>
      <c r="W968" s="45"/>
      <c r="X968" s="28"/>
      <c r="Y968" s="28"/>
      <c r="Z968" s="28"/>
      <c r="AA968" s="28"/>
      <c r="AB968" s="28"/>
      <c r="AC968" s="28"/>
    </row>
    <row r="969" spans="1:29" ht="13">
      <c r="A969" s="28"/>
      <c r="B969" s="45"/>
      <c r="C969" s="45"/>
      <c r="D969" s="45"/>
      <c r="E969" s="45"/>
      <c r="F969" s="45"/>
      <c r="G969" s="45"/>
      <c r="H969" s="45"/>
      <c r="I969" s="45"/>
      <c r="J969" s="45"/>
      <c r="K969" s="45"/>
      <c r="L969" s="45"/>
      <c r="M969" s="45"/>
      <c r="N969" s="45"/>
      <c r="O969" s="47"/>
      <c r="P969" s="45"/>
      <c r="Q969" s="45"/>
      <c r="R969" s="45"/>
      <c r="S969" s="45"/>
      <c r="T969" s="45"/>
      <c r="U969" s="45"/>
      <c r="V969" s="45"/>
      <c r="W969" s="45"/>
      <c r="X969" s="28"/>
      <c r="Y969" s="28"/>
      <c r="Z969" s="28"/>
      <c r="AA969" s="28"/>
      <c r="AB969" s="28"/>
      <c r="AC969" s="28"/>
    </row>
    <row r="970" spans="1:29" ht="13">
      <c r="A970" s="28"/>
      <c r="B970" s="45"/>
      <c r="C970" s="45"/>
      <c r="D970" s="45"/>
      <c r="E970" s="45"/>
      <c r="F970" s="45"/>
      <c r="G970" s="45"/>
      <c r="H970" s="45"/>
      <c r="I970" s="45"/>
      <c r="J970" s="45"/>
      <c r="K970" s="45"/>
      <c r="L970" s="45"/>
      <c r="M970" s="45"/>
      <c r="N970" s="45"/>
      <c r="O970" s="47"/>
      <c r="P970" s="45"/>
      <c r="Q970" s="45"/>
      <c r="R970" s="45"/>
      <c r="S970" s="45"/>
      <c r="T970" s="45"/>
      <c r="U970" s="45"/>
      <c r="V970" s="45"/>
      <c r="W970" s="45"/>
      <c r="X970" s="28"/>
      <c r="Y970" s="28"/>
      <c r="Z970" s="28"/>
      <c r="AA970" s="28"/>
      <c r="AB970" s="28"/>
      <c r="AC970" s="28"/>
    </row>
    <row r="971" spans="1:29" ht="13">
      <c r="A971" s="28"/>
      <c r="B971" s="45"/>
      <c r="C971" s="45"/>
      <c r="D971" s="45"/>
      <c r="E971" s="45"/>
      <c r="F971" s="45"/>
      <c r="G971" s="45"/>
      <c r="H971" s="45"/>
      <c r="I971" s="45"/>
      <c r="J971" s="45"/>
      <c r="K971" s="45"/>
      <c r="L971" s="45"/>
      <c r="M971" s="45"/>
      <c r="N971" s="45"/>
      <c r="O971" s="47"/>
      <c r="P971" s="45"/>
      <c r="Q971" s="45"/>
      <c r="R971" s="45"/>
      <c r="S971" s="45"/>
      <c r="T971" s="45"/>
      <c r="U971" s="45"/>
      <c r="V971" s="45"/>
      <c r="W971" s="45"/>
      <c r="X971" s="28"/>
      <c r="Y971" s="28"/>
      <c r="Z971" s="28"/>
      <c r="AA971" s="28"/>
      <c r="AB971" s="28"/>
      <c r="AC971" s="28"/>
    </row>
    <row r="972" spans="1:29" ht="13">
      <c r="A972" s="28"/>
      <c r="B972" s="45"/>
      <c r="C972" s="45"/>
      <c r="D972" s="45"/>
      <c r="E972" s="45"/>
      <c r="F972" s="45"/>
      <c r="G972" s="45"/>
      <c r="H972" s="45"/>
      <c r="I972" s="45"/>
      <c r="J972" s="45"/>
      <c r="K972" s="45"/>
      <c r="L972" s="45"/>
      <c r="M972" s="45"/>
      <c r="N972" s="45"/>
      <c r="O972" s="47"/>
      <c r="P972" s="45"/>
      <c r="Q972" s="45"/>
      <c r="R972" s="45"/>
      <c r="S972" s="45"/>
      <c r="T972" s="45"/>
      <c r="U972" s="45"/>
      <c r="V972" s="45"/>
      <c r="W972" s="45"/>
      <c r="X972" s="28"/>
      <c r="Y972" s="28"/>
      <c r="Z972" s="28"/>
      <c r="AA972" s="28"/>
      <c r="AB972" s="28"/>
      <c r="AC972" s="28"/>
    </row>
    <row r="973" spans="1:29" ht="13">
      <c r="A973" s="28"/>
      <c r="B973" s="45"/>
      <c r="C973" s="45"/>
      <c r="D973" s="45"/>
      <c r="E973" s="45"/>
      <c r="F973" s="45"/>
      <c r="G973" s="45"/>
      <c r="H973" s="45"/>
      <c r="I973" s="45"/>
      <c r="J973" s="45"/>
      <c r="K973" s="45"/>
      <c r="L973" s="45"/>
      <c r="M973" s="45"/>
      <c r="N973" s="45"/>
      <c r="O973" s="47"/>
      <c r="P973" s="45"/>
      <c r="Q973" s="45"/>
      <c r="R973" s="45"/>
      <c r="S973" s="45"/>
      <c r="T973" s="45"/>
      <c r="U973" s="45"/>
      <c r="V973" s="45"/>
      <c r="W973" s="45"/>
      <c r="X973" s="28"/>
      <c r="Y973" s="28"/>
      <c r="Z973" s="28"/>
      <c r="AA973" s="28"/>
      <c r="AB973" s="28"/>
      <c r="AC973" s="28"/>
    </row>
    <row r="974" spans="1:29" ht="13">
      <c r="A974" s="28"/>
      <c r="B974" s="45"/>
      <c r="C974" s="45"/>
      <c r="D974" s="45"/>
      <c r="E974" s="45"/>
      <c r="F974" s="45"/>
      <c r="G974" s="45"/>
      <c r="H974" s="45"/>
      <c r="I974" s="45"/>
      <c r="J974" s="45"/>
      <c r="K974" s="45"/>
      <c r="L974" s="45"/>
      <c r="M974" s="45"/>
      <c r="N974" s="45"/>
      <c r="O974" s="47"/>
      <c r="P974" s="45"/>
      <c r="Q974" s="45"/>
      <c r="R974" s="45"/>
      <c r="S974" s="45"/>
      <c r="T974" s="45"/>
      <c r="U974" s="45"/>
      <c r="V974" s="45"/>
      <c r="W974" s="45"/>
      <c r="X974" s="28"/>
      <c r="Y974" s="28"/>
      <c r="Z974" s="28"/>
      <c r="AA974" s="28"/>
      <c r="AB974" s="28"/>
      <c r="AC974" s="28"/>
    </row>
    <row r="975" spans="1:29" ht="13">
      <c r="A975" s="28"/>
      <c r="B975" s="45"/>
      <c r="C975" s="45"/>
      <c r="D975" s="45"/>
      <c r="E975" s="45"/>
      <c r="F975" s="45"/>
      <c r="G975" s="45"/>
      <c r="H975" s="45"/>
      <c r="I975" s="45"/>
      <c r="J975" s="45"/>
      <c r="K975" s="45"/>
      <c r="L975" s="45"/>
      <c r="M975" s="45"/>
      <c r="N975" s="45"/>
      <c r="O975" s="47"/>
      <c r="P975" s="45"/>
      <c r="Q975" s="45"/>
      <c r="R975" s="45"/>
      <c r="S975" s="45"/>
      <c r="T975" s="45"/>
      <c r="U975" s="45"/>
      <c r="V975" s="45"/>
      <c r="W975" s="45"/>
      <c r="X975" s="28"/>
      <c r="Y975" s="28"/>
      <c r="Z975" s="28"/>
      <c r="AA975" s="28"/>
      <c r="AB975" s="28"/>
      <c r="AC975" s="28"/>
    </row>
    <row r="976" spans="1:29" ht="13">
      <c r="A976" s="28"/>
      <c r="B976" s="45"/>
      <c r="C976" s="45"/>
      <c r="D976" s="45"/>
      <c r="E976" s="45"/>
      <c r="F976" s="45"/>
      <c r="G976" s="45"/>
      <c r="H976" s="45"/>
      <c r="I976" s="45"/>
      <c r="J976" s="45"/>
      <c r="K976" s="45"/>
      <c r="L976" s="45"/>
      <c r="M976" s="45"/>
      <c r="N976" s="45"/>
      <c r="O976" s="47"/>
      <c r="P976" s="45"/>
      <c r="Q976" s="45"/>
      <c r="R976" s="45"/>
      <c r="S976" s="45"/>
      <c r="T976" s="45"/>
      <c r="U976" s="45"/>
      <c r="V976" s="45"/>
      <c r="W976" s="45"/>
      <c r="X976" s="28"/>
      <c r="Y976" s="28"/>
      <c r="Z976" s="28"/>
      <c r="AA976" s="28"/>
      <c r="AB976" s="28"/>
      <c r="AC976" s="28"/>
    </row>
    <row r="977" spans="1:29" ht="13">
      <c r="A977" s="28"/>
      <c r="B977" s="45"/>
      <c r="C977" s="45"/>
      <c r="D977" s="45"/>
      <c r="E977" s="45"/>
      <c r="F977" s="45"/>
      <c r="G977" s="45"/>
      <c r="H977" s="45"/>
      <c r="I977" s="45"/>
      <c r="J977" s="45"/>
      <c r="K977" s="45"/>
      <c r="L977" s="45"/>
      <c r="M977" s="45"/>
      <c r="N977" s="45"/>
      <c r="O977" s="47"/>
      <c r="P977" s="45"/>
      <c r="Q977" s="45"/>
      <c r="R977" s="45"/>
      <c r="S977" s="45"/>
      <c r="T977" s="45"/>
      <c r="U977" s="45"/>
      <c r="V977" s="45"/>
      <c r="W977" s="45"/>
      <c r="X977" s="28"/>
      <c r="Y977" s="28"/>
      <c r="Z977" s="28"/>
      <c r="AA977" s="28"/>
      <c r="AB977" s="28"/>
      <c r="AC977" s="28"/>
    </row>
    <row r="978" spans="1:29" ht="13">
      <c r="A978" s="28"/>
      <c r="B978" s="45"/>
      <c r="C978" s="45"/>
      <c r="D978" s="45"/>
      <c r="E978" s="45"/>
      <c r="F978" s="45"/>
      <c r="G978" s="45"/>
      <c r="H978" s="45"/>
      <c r="I978" s="45"/>
      <c r="J978" s="45"/>
      <c r="K978" s="45"/>
      <c r="L978" s="45"/>
      <c r="M978" s="45"/>
      <c r="N978" s="45"/>
      <c r="O978" s="47"/>
      <c r="P978" s="45"/>
      <c r="Q978" s="45"/>
      <c r="R978" s="45"/>
      <c r="S978" s="45"/>
      <c r="T978" s="45"/>
      <c r="U978" s="45"/>
      <c r="V978" s="45"/>
      <c r="W978" s="45"/>
      <c r="X978" s="28"/>
      <c r="Y978" s="28"/>
      <c r="Z978" s="28"/>
      <c r="AA978" s="28"/>
      <c r="AB978" s="28"/>
      <c r="AC978" s="28"/>
    </row>
    <row r="979" spans="1:29" ht="13">
      <c r="A979" s="28"/>
      <c r="B979" s="45"/>
      <c r="C979" s="45"/>
      <c r="D979" s="45"/>
      <c r="E979" s="45"/>
      <c r="F979" s="45"/>
      <c r="G979" s="45"/>
      <c r="H979" s="45"/>
      <c r="I979" s="45"/>
      <c r="J979" s="45"/>
      <c r="K979" s="45"/>
      <c r="L979" s="45"/>
      <c r="M979" s="45"/>
      <c r="N979" s="45"/>
      <c r="O979" s="47"/>
      <c r="P979" s="45"/>
      <c r="Q979" s="45"/>
      <c r="R979" s="45"/>
      <c r="S979" s="45"/>
      <c r="T979" s="45"/>
      <c r="U979" s="45"/>
      <c r="V979" s="45"/>
      <c r="W979" s="45"/>
      <c r="X979" s="28"/>
      <c r="Y979" s="28"/>
      <c r="Z979" s="28"/>
      <c r="AA979" s="28"/>
      <c r="AB979" s="28"/>
      <c r="AC979" s="28"/>
    </row>
    <row r="980" spans="1:29" ht="13">
      <c r="A980" s="28"/>
      <c r="B980" s="45"/>
      <c r="C980" s="45"/>
      <c r="D980" s="45"/>
      <c r="E980" s="45"/>
      <c r="F980" s="45"/>
      <c r="G980" s="45"/>
      <c r="H980" s="45"/>
      <c r="I980" s="45"/>
      <c r="J980" s="45"/>
      <c r="K980" s="45"/>
      <c r="L980" s="45"/>
      <c r="M980" s="45"/>
      <c r="N980" s="45"/>
      <c r="O980" s="47"/>
      <c r="P980" s="45"/>
      <c r="Q980" s="45"/>
      <c r="R980" s="45"/>
      <c r="S980" s="45"/>
      <c r="T980" s="45"/>
      <c r="U980" s="45"/>
      <c r="V980" s="45"/>
      <c r="W980" s="45"/>
      <c r="X980" s="28"/>
      <c r="Y980" s="28"/>
      <c r="Z980" s="28"/>
      <c r="AA980" s="28"/>
      <c r="AB980" s="28"/>
      <c r="AC980" s="28"/>
    </row>
    <row r="981" spans="1:29" ht="13">
      <c r="A981" s="28"/>
      <c r="B981" s="45"/>
      <c r="C981" s="45"/>
      <c r="D981" s="45"/>
      <c r="E981" s="45"/>
      <c r="F981" s="45"/>
      <c r="G981" s="45"/>
      <c r="H981" s="45"/>
      <c r="I981" s="45"/>
      <c r="J981" s="45"/>
      <c r="K981" s="45"/>
      <c r="L981" s="45"/>
      <c r="M981" s="45"/>
      <c r="N981" s="45"/>
      <c r="O981" s="47"/>
      <c r="P981" s="45"/>
      <c r="Q981" s="45"/>
      <c r="R981" s="45"/>
      <c r="S981" s="45"/>
      <c r="T981" s="45"/>
      <c r="U981" s="45"/>
      <c r="V981" s="45"/>
      <c r="W981" s="45"/>
      <c r="X981" s="28"/>
      <c r="Y981" s="28"/>
      <c r="Z981" s="28"/>
      <c r="AA981" s="28"/>
      <c r="AB981" s="28"/>
      <c r="AC981" s="28"/>
    </row>
    <row r="982" spans="1:29" ht="13">
      <c r="A982" s="28"/>
      <c r="B982" s="45"/>
      <c r="C982" s="45"/>
      <c r="D982" s="45"/>
      <c r="E982" s="45"/>
      <c r="F982" s="45"/>
      <c r="G982" s="45"/>
      <c r="H982" s="45"/>
      <c r="I982" s="45"/>
      <c r="J982" s="45"/>
      <c r="K982" s="45"/>
      <c r="L982" s="45"/>
      <c r="M982" s="45"/>
      <c r="N982" s="45"/>
      <c r="O982" s="47"/>
      <c r="P982" s="45"/>
      <c r="Q982" s="45"/>
      <c r="R982" s="45"/>
      <c r="S982" s="45"/>
      <c r="T982" s="45"/>
      <c r="U982" s="45"/>
      <c r="V982" s="45"/>
      <c r="W982" s="45"/>
      <c r="X982" s="28"/>
      <c r="Y982" s="28"/>
      <c r="Z982" s="28"/>
      <c r="AA982" s="28"/>
      <c r="AB982" s="28"/>
      <c r="AC982" s="28"/>
    </row>
    <row r="983" spans="1:29" ht="13">
      <c r="A983" s="28"/>
      <c r="B983" s="45"/>
      <c r="C983" s="45"/>
      <c r="D983" s="45"/>
      <c r="E983" s="45"/>
      <c r="F983" s="45"/>
      <c r="G983" s="45"/>
      <c r="H983" s="45"/>
      <c r="I983" s="45"/>
      <c r="J983" s="45"/>
      <c r="K983" s="45"/>
      <c r="L983" s="45"/>
      <c r="M983" s="45"/>
      <c r="N983" s="45"/>
      <c r="O983" s="47"/>
      <c r="P983" s="45"/>
      <c r="Q983" s="45"/>
      <c r="R983" s="45"/>
      <c r="S983" s="45"/>
      <c r="T983" s="45"/>
      <c r="U983" s="45"/>
      <c r="V983" s="45"/>
      <c r="W983" s="45"/>
      <c r="X983" s="28"/>
      <c r="Y983" s="28"/>
      <c r="Z983" s="28"/>
      <c r="AA983" s="28"/>
      <c r="AB983" s="28"/>
      <c r="AC983" s="28"/>
    </row>
    <row r="984" spans="1:29" ht="13">
      <c r="A984" s="28"/>
      <c r="B984" s="45"/>
      <c r="C984" s="45"/>
      <c r="D984" s="45"/>
      <c r="E984" s="45"/>
      <c r="F984" s="45"/>
      <c r="G984" s="45"/>
      <c r="H984" s="45"/>
      <c r="I984" s="45"/>
      <c r="J984" s="45"/>
      <c r="K984" s="45"/>
      <c r="L984" s="45"/>
      <c r="M984" s="45"/>
      <c r="N984" s="45"/>
      <c r="O984" s="47"/>
      <c r="P984" s="45"/>
      <c r="Q984" s="45"/>
      <c r="R984" s="45"/>
      <c r="S984" s="45"/>
      <c r="T984" s="45"/>
      <c r="U984" s="45"/>
      <c r="V984" s="45"/>
      <c r="W984" s="45"/>
      <c r="X984" s="28"/>
      <c r="Y984" s="28"/>
      <c r="Z984" s="28"/>
      <c r="AA984" s="28"/>
      <c r="AB984" s="28"/>
      <c r="AC984" s="28"/>
    </row>
    <row r="985" spans="1:29" ht="13">
      <c r="A985" s="28"/>
      <c r="B985" s="45"/>
      <c r="C985" s="45"/>
      <c r="D985" s="45"/>
      <c r="E985" s="45"/>
      <c r="F985" s="45"/>
      <c r="G985" s="45"/>
      <c r="H985" s="45"/>
      <c r="I985" s="45"/>
      <c r="J985" s="45"/>
      <c r="K985" s="45"/>
      <c r="L985" s="45"/>
      <c r="M985" s="45"/>
      <c r="N985" s="45"/>
      <c r="O985" s="47"/>
      <c r="P985" s="45"/>
      <c r="Q985" s="45"/>
      <c r="R985" s="45"/>
      <c r="S985" s="45"/>
      <c r="T985" s="45"/>
      <c r="U985" s="45"/>
      <c r="V985" s="45"/>
      <c r="W985" s="45"/>
      <c r="X985" s="28"/>
      <c r="Y985" s="28"/>
      <c r="Z985" s="28"/>
      <c r="AA985" s="28"/>
      <c r="AB985" s="28"/>
      <c r="AC985" s="28"/>
    </row>
    <row r="986" spans="1:29" ht="13">
      <c r="A986" s="28"/>
      <c r="B986" s="45"/>
      <c r="C986" s="45"/>
      <c r="D986" s="45"/>
      <c r="E986" s="45"/>
      <c r="F986" s="45"/>
      <c r="G986" s="45"/>
      <c r="H986" s="45"/>
      <c r="I986" s="45"/>
      <c r="J986" s="45"/>
      <c r="K986" s="45"/>
      <c r="L986" s="45"/>
      <c r="M986" s="45"/>
      <c r="N986" s="45"/>
      <c r="O986" s="47"/>
      <c r="P986" s="45"/>
      <c r="Q986" s="45"/>
      <c r="R986" s="45"/>
      <c r="S986" s="45"/>
      <c r="T986" s="45"/>
      <c r="U986" s="45"/>
      <c r="V986" s="45"/>
      <c r="W986" s="45"/>
      <c r="X986" s="28"/>
      <c r="Y986" s="28"/>
      <c r="Z986" s="28"/>
      <c r="AA986" s="28"/>
      <c r="AB986" s="28"/>
      <c r="AC986" s="28"/>
    </row>
    <row r="987" spans="1:29" ht="13">
      <c r="A987" s="28"/>
      <c r="B987" s="45"/>
      <c r="C987" s="45"/>
      <c r="D987" s="45"/>
      <c r="E987" s="45"/>
      <c r="F987" s="45"/>
      <c r="G987" s="45"/>
      <c r="H987" s="45"/>
      <c r="I987" s="45"/>
      <c r="J987" s="45"/>
      <c r="K987" s="45"/>
      <c r="L987" s="45"/>
      <c r="M987" s="45"/>
      <c r="N987" s="45"/>
      <c r="O987" s="47"/>
      <c r="P987" s="45"/>
      <c r="Q987" s="45"/>
      <c r="R987" s="45"/>
      <c r="S987" s="45"/>
      <c r="T987" s="45"/>
      <c r="U987" s="45"/>
      <c r="V987" s="45"/>
      <c r="W987" s="45"/>
      <c r="X987" s="28"/>
      <c r="Y987" s="28"/>
      <c r="Z987" s="28"/>
      <c r="AA987" s="28"/>
      <c r="AB987" s="28"/>
      <c r="AC987" s="28"/>
    </row>
    <row r="988" spans="1:29" ht="13">
      <c r="A988" s="28"/>
      <c r="B988" s="45"/>
      <c r="C988" s="45"/>
      <c r="D988" s="45"/>
      <c r="E988" s="45"/>
      <c r="F988" s="45"/>
      <c r="G988" s="45"/>
      <c r="H988" s="45"/>
      <c r="I988" s="45"/>
      <c r="J988" s="45"/>
      <c r="K988" s="45"/>
      <c r="L988" s="45"/>
      <c r="M988" s="45"/>
      <c r="N988" s="45"/>
      <c r="O988" s="47"/>
      <c r="P988" s="45"/>
      <c r="Q988" s="45"/>
      <c r="R988" s="45"/>
      <c r="S988" s="45"/>
      <c r="T988" s="45"/>
      <c r="U988" s="45"/>
      <c r="V988" s="45"/>
      <c r="W988" s="45"/>
      <c r="X988" s="28"/>
      <c r="Y988" s="28"/>
      <c r="Z988" s="28"/>
      <c r="AA988" s="28"/>
      <c r="AB988" s="28"/>
      <c r="AC988" s="28"/>
    </row>
    <row r="989" spans="1:29" ht="13">
      <c r="A989" s="28"/>
      <c r="B989" s="45"/>
      <c r="C989" s="45"/>
      <c r="D989" s="45"/>
      <c r="E989" s="45"/>
      <c r="F989" s="45"/>
      <c r="G989" s="45"/>
      <c r="H989" s="45"/>
      <c r="I989" s="45"/>
      <c r="J989" s="45"/>
      <c r="K989" s="45"/>
      <c r="L989" s="45"/>
      <c r="M989" s="45"/>
      <c r="N989" s="45"/>
      <c r="O989" s="47"/>
      <c r="P989" s="45"/>
      <c r="Q989" s="45"/>
      <c r="R989" s="45"/>
      <c r="S989" s="45"/>
      <c r="T989" s="45"/>
      <c r="U989" s="45"/>
      <c r="V989" s="45"/>
      <c r="W989" s="45"/>
      <c r="X989" s="28"/>
      <c r="Y989" s="28"/>
      <c r="Z989" s="28"/>
      <c r="AA989" s="28"/>
      <c r="AB989" s="28"/>
      <c r="AC989" s="28"/>
    </row>
    <row r="990" spans="1:29" ht="13">
      <c r="A990" s="28"/>
      <c r="B990" s="45"/>
      <c r="C990" s="45"/>
      <c r="D990" s="45"/>
      <c r="E990" s="45"/>
      <c r="F990" s="45"/>
      <c r="G990" s="45"/>
      <c r="H990" s="45"/>
      <c r="I990" s="45"/>
      <c r="J990" s="45"/>
      <c r="K990" s="45"/>
      <c r="L990" s="45"/>
      <c r="M990" s="45"/>
      <c r="N990" s="45"/>
      <c r="O990" s="47"/>
      <c r="P990" s="45"/>
      <c r="Q990" s="45"/>
      <c r="R990" s="45"/>
      <c r="S990" s="45"/>
      <c r="T990" s="45"/>
      <c r="U990" s="45"/>
      <c r="V990" s="45"/>
      <c r="W990" s="45"/>
      <c r="X990" s="28"/>
      <c r="Y990" s="28"/>
      <c r="Z990" s="28"/>
      <c r="AA990" s="28"/>
      <c r="AB990" s="28"/>
      <c r="AC990" s="28"/>
    </row>
    <row r="991" spans="1:29" ht="13">
      <c r="A991" s="28"/>
      <c r="B991" s="45"/>
      <c r="C991" s="45"/>
      <c r="D991" s="45"/>
      <c r="E991" s="45"/>
      <c r="F991" s="45"/>
      <c r="G991" s="45"/>
      <c r="H991" s="45"/>
      <c r="I991" s="45"/>
      <c r="J991" s="45"/>
      <c r="K991" s="45"/>
      <c r="L991" s="45"/>
      <c r="M991" s="45"/>
      <c r="N991" s="45"/>
      <c r="O991" s="47"/>
      <c r="P991" s="45"/>
      <c r="Q991" s="45"/>
      <c r="R991" s="45"/>
      <c r="S991" s="45"/>
      <c r="T991" s="45"/>
      <c r="U991" s="45"/>
      <c r="V991" s="45"/>
      <c r="W991" s="45"/>
      <c r="X991" s="28"/>
      <c r="Y991" s="28"/>
      <c r="Z991" s="28"/>
      <c r="AA991" s="28"/>
      <c r="AB991" s="28"/>
      <c r="AC991" s="28"/>
    </row>
    <row r="992" spans="1:29" ht="13">
      <c r="A992" s="28"/>
      <c r="B992" s="45"/>
      <c r="C992" s="45"/>
      <c r="D992" s="45"/>
      <c r="E992" s="45"/>
      <c r="F992" s="45"/>
      <c r="G992" s="45"/>
      <c r="H992" s="45"/>
      <c r="I992" s="45"/>
      <c r="J992" s="45"/>
      <c r="K992" s="45"/>
      <c r="L992" s="45"/>
      <c r="M992" s="45"/>
      <c r="N992" s="45"/>
      <c r="O992" s="47"/>
      <c r="P992" s="45"/>
      <c r="Q992" s="45"/>
      <c r="R992" s="45"/>
      <c r="S992" s="45"/>
      <c r="T992" s="45"/>
      <c r="U992" s="45"/>
      <c r="V992" s="45"/>
      <c r="W992" s="45"/>
      <c r="X992" s="28"/>
      <c r="Y992" s="28"/>
      <c r="Z992" s="28"/>
      <c r="AA992" s="28"/>
      <c r="AB992" s="28"/>
      <c r="AC992" s="28"/>
    </row>
    <row r="993" spans="1:29" ht="13">
      <c r="A993" s="28"/>
      <c r="B993" s="45"/>
      <c r="C993" s="45"/>
      <c r="D993" s="45"/>
      <c r="E993" s="45"/>
      <c r="F993" s="45"/>
      <c r="G993" s="45"/>
      <c r="H993" s="45"/>
      <c r="I993" s="45"/>
      <c r="J993" s="45"/>
      <c r="K993" s="45"/>
      <c r="L993" s="45"/>
      <c r="M993" s="45"/>
      <c r="N993" s="45"/>
      <c r="O993" s="47"/>
      <c r="P993" s="45"/>
      <c r="Q993" s="45"/>
      <c r="R993" s="45"/>
      <c r="S993" s="45"/>
      <c r="T993" s="45"/>
      <c r="U993" s="45"/>
      <c r="V993" s="45"/>
      <c r="W993" s="45"/>
      <c r="X993" s="28"/>
      <c r="Y993" s="28"/>
      <c r="Z993" s="28"/>
      <c r="AA993" s="28"/>
      <c r="AB993" s="28"/>
      <c r="AC993" s="28"/>
    </row>
    <row r="994" spans="1:29" ht="13">
      <c r="A994" s="28"/>
      <c r="B994" s="45"/>
      <c r="C994" s="45"/>
      <c r="D994" s="45"/>
      <c r="E994" s="45"/>
      <c r="F994" s="45"/>
      <c r="G994" s="45"/>
      <c r="H994" s="45"/>
      <c r="I994" s="45"/>
      <c r="J994" s="45"/>
      <c r="K994" s="45"/>
      <c r="L994" s="45"/>
      <c r="M994" s="45"/>
      <c r="N994" s="45"/>
      <c r="O994" s="47"/>
      <c r="P994" s="45"/>
      <c r="Q994" s="45"/>
      <c r="R994" s="45"/>
      <c r="S994" s="45"/>
      <c r="T994" s="45"/>
      <c r="U994" s="45"/>
      <c r="V994" s="45"/>
      <c r="W994" s="45"/>
      <c r="X994" s="28"/>
      <c r="Y994" s="28"/>
      <c r="Z994" s="28"/>
      <c r="AA994" s="28"/>
      <c r="AB994" s="28"/>
      <c r="AC994" s="28"/>
    </row>
    <row r="995" spans="1:29" ht="13">
      <c r="A995" s="28"/>
      <c r="B995" s="45"/>
      <c r="C995" s="45"/>
      <c r="D995" s="45"/>
      <c r="E995" s="45"/>
      <c r="F995" s="45"/>
      <c r="G995" s="45"/>
      <c r="H995" s="45"/>
      <c r="I995" s="45"/>
      <c r="J995" s="45"/>
      <c r="K995" s="45"/>
      <c r="L995" s="45"/>
      <c r="M995" s="45"/>
      <c r="N995" s="45"/>
      <c r="O995" s="47"/>
      <c r="P995" s="45"/>
      <c r="Q995" s="45"/>
      <c r="R995" s="45"/>
      <c r="S995" s="45"/>
      <c r="T995" s="45"/>
      <c r="U995" s="45"/>
      <c r="V995" s="45"/>
      <c r="W995" s="45"/>
      <c r="X995" s="28"/>
      <c r="Y995" s="28"/>
      <c r="Z995" s="28"/>
      <c r="AA995" s="28"/>
      <c r="AB995" s="28"/>
      <c r="AC995" s="28"/>
    </row>
    <row r="996" spans="1:29" ht="13">
      <c r="A996" s="28"/>
      <c r="B996" s="45"/>
      <c r="C996" s="45"/>
      <c r="D996" s="45"/>
      <c r="E996" s="45"/>
      <c r="F996" s="45"/>
      <c r="G996" s="45"/>
      <c r="H996" s="45"/>
      <c r="I996" s="45"/>
      <c r="J996" s="45"/>
      <c r="K996" s="45"/>
      <c r="L996" s="45"/>
      <c r="M996" s="45"/>
      <c r="N996" s="45"/>
      <c r="O996" s="47"/>
      <c r="P996" s="45"/>
      <c r="Q996" s="45"/>
      <c r="R996" s="45"/>
      <c r="S996" s="45"/>
      <c r="T996" s="45"/>
      <c r="U996" s="45"/>
      <c r="V996" s="45"/>
      <c r="W996" s="45"/>
      <c r="X996" s="28"/>
      <c r="Y996" s="28"/>
      <c r="Z996" s="28"/>
      <c r="AA996" s="28"/>
      <c r="AB996" s="28"/>
      <c r="AC996" s="28"/>
    </row>
    <row r="997" spans="1:29" ht="13">
      <c r="A997" s="28"/>
      <c r="B997" s="45"/>
      <c r="C997" s="45"/>
      <c r="D997" s="45"/>
      <c r="E997" s="45"/>
      <c r="F997" s="45"/>
      <c r="G997" s="45"/>
      <c r="H997" s="45"/>
      <c r="I997" s="45"/>
      <c r="J997" s="45"/>
      <c r="K997" s="45"/>
      <c r="L997" s="45"/>
      <c r="M997" s="45"/>
      <c r="N997" s="45"/>
      <c r="O997" s="47"/>
      <c r="P997" s="45"/>
      <c r="Q997" s="45"/>
      <c r="R997" s="45"/>
      <c r="S997" s="45"/>
      <c r="T997" s="45"/>
      <c r="U997" s="45"/>
      <c r="V997" s="45"/>
      <c r="W997" s="45"/>
      <c r="X997" s="28"/>
      <c r="Y997" s="28"/>
      <c r="Z997" s="28"/>
      <c r="AA997" s="28"/>
      <c r="AB997" s="28"/>
      <c r="AC997" s="28"/>
    </row>
    <row r="998" spans="1:29" ht="13">
      <c r="A998" s="28"/>
      <c r="B998" s="45"/>
      <c r="C998" s="45"/>
      <c r="D998" s="45"/>
      <c r="E998" s="45"/>
      <c r="F998" s="45"/>
      <c r="G998" s="45"/>
      <c r="H998" s="45"/>
      <c r="I998" s="45"/>
      <c r="J998" s="45"/>
      <c r="K998" s="45"/>
      <c r="L998" s="45"/>
      <c r="M998" s="45"/>
      <c r="N998" s="45"/>
      <c r="O998" s="47"/>
      <c r="P998" s="45"/>
      <c r="Q998" s="45"/>
      <c r="R998" s="45"/>
      <c r="S998" s="45"/>
      <c r="T998" s="45"/>
      <c r="U998" s="45"/>
      <c r="V998" s="45"/>
      <c r="W998" s="45"/>
      <c r="X998" s="28"/>
      <c r="Y998" s="28"/>
      <c r="Z998" s="28"/>
      <c r="AA998" s="28"/>
      <c r="AB998" s="28"/>
      <c r="AC998" s="28"/>
    </row>
    <row r="999" spans="1:29" ht="13">
      <c r="A999" s="28"/>
      <c r="B999" s="45"/>
      <c r="C999" s="45"/>
      <c r="D999" s="45"/>
      <c r="E999" s="45"/>
      <c r="F999" s="45"/>
      <c r="G999" s="45"/>
      <c r="H999" s="45"/>
      <c r="I999" s="45"/>
      <c r="J999" s="45"/>
      <c r="K999" s="45"/>
      <c r="L999" s="45"/>
      <c r="M999" s="45"/>
      <c r="N999" s="45"/>
      <c r="O999" s="47"/>
      <c r="P999" s="45"/>
      <c r="Q999" s="45"/>
      <c r="R999" s="45"/>
      <c r="S999" s="45"/>
      <c r="T999" s="45"/>
      <c r="U999" s="45"/>
      <c r="V999" s="45"/>
      <c r="W999" s="45"/>
      <c r="X999" s="28"/>
      <c r="Y999" s="28"/>
      <c r="Z999" s="28"/>
      <c r="AA999" s="28"/>
      <c r="AB999" s="28"/>
      <c r="AC999" s="28"/>
    </row>
    <row r="1000" spans="1:29" ht="13">
      <c r="A1000" s="28"/>
      <c r="B1000" s="45"/>
      <c r="C1000" s="45"/>
      <c r="D1000" s="45"/>
      <c r="E1000" s="45"/>
      <c r="F1000" s="45"/>
      <c r="G1000" s="45"/>
      <c r="H1000" s="45"/>
      <c r="I1000" s="45"/>
      <c r="J1000" s="45"/>
      <c r="K1000" s="45"/>
      <c r="L1000" s="45"/>
      <c r="M1000" s="45"/>
      <c r="N1000" s="45"/>
      <c r="O1000" s="47"/>
      <c r="P1000" s="45"/>
      <c r="Q1000" s="45"/>
      <c r="R1000" s="45"/>
      <c r="S1000" s="45"/>
      <c r="T1000" s="45"/>
      <c r="U1000" s="45"/>
      <c r="V1000" s="45"/>
      <c r="W1000" s="45"/>
      <c r="X1000" s="28"/>
      <c r="Y1000" s="28"/>
      <c r="Z1000" s="28"/>
      <c r="AA1000" s="28"/>
      <c r="AB1000" s="28"/>
      <c r="AC1000" s="28"/>
    </row>
    <row r="1001" spans="1:29" ht="13">
      <c r="A1001" s="28"/>
      <c r="B1001" s="45"/>
      <c r="C1001" s="45"/>
      <c r="D1001" s="45"/>
      <c r="E1001" s="45"/>
      <c r="F1001" s="45"/>
      <c r="G1001" s="45"/>
      <c r="H1001" s="45"/>
      <c r="I1001" s="45"/>
      <c r="J1001" s="45"/>
      <c r="K1001" s="45"/>
      <c r="L1001" s="45"/>
      <c r="M1001" s="45"/>
      <c r="N1001" s="45"/>
      <c r="O1001" s="47"/>
      <c r="P1001" s="45"/>
      <c r="Q1001" s="45"/>
      <c r="R1001" s="45"/>
      <c r="S1001" s="45"/>
      <c r="T1001" s="45"/>
      <c r="U1001" s="45"/>
      <c r="V1001" s="45"/>
      <c r="W1001" s="45"/>
      <c r="X1001" s="28"/>
      <c r="Y1001" s="28"/>
      <c r="Z1001" s="28"/>
      <c r="AA1001" s="28"/>
      <c r="AB1001" s="28"/>
      <c r="AC1001" s="28"/>
    </row>
  </sheetData>
  <pageMargins left="0.7" right="0.7" top="0.75" bottom="0.75" header="0.3" footer="0.3"/>
  <pageSetup orientation="portrait" horizontalDpi="0" verticalDpi="0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0"/>
  <sheetViews>
    <sheetView workbookViewId="0">
      <pane xSplit="1" ySplit="1" topLeftCell="B102" activePane="bottomRight" state="frozen"/>
      <selection pane="topRight" activeCell="B1" sqref="B1"/>
      <selection pane="bottomLeft" activeCell="A2" sqref="A2"/>
      <selection pane="bottomRight" activeCell="J113" sqref="J113"/>
    </sheetView>
  </sheetViews>
  <sheetFormatPr baseColWidth="10" defaultColWidth="12.6640625" defaultRowHeight="15.75" customHeight="1"/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5" t="s">
        <v>11</v>
      </c>
      <c r="N1" s="7" t="s">
        <v>12</v>
      </c>
      <c r="O1" s="26" t="s">
        <v>13</v>
      </c>
      <c r="P1" s="5" t="s">
        <v>14</v>
      </c>
      <c r="Q1" s="2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321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9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3">
      <c r="A3" s="27" t="s">
        <v>28</v>
      </c>
      <c r="B3" s="28"/>
      <c r="C3" s="28"/>
      <c r="D3" s="30">
        <f>VLOOKUP(VALUE(LEFT(A3, 4)), 'Raw Annual Revenue'!A:D, 4, FALSE) / 4</f>
        <v>685.5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9"/>
      <c r="P3" s="28"/>
      <c r="Q3" s="28"/>
      <c r="R3" s="28"/>
      <c r="S3" s="28"/>
      <c r="T3" s="28"/>
      <c r="U3" s="28"/>
      <c r="V3" s="30">
        <f>VLOOKUP(VALUE(LEFT($A3, 4)), 'Raw Annual Revenue'!$A:V, 22, FALSE) / 4</f>
        <v>2321.75</v>
      </c>
      <c r="W3" s="30">
        <f>VLOOKUP(VALUE(LEFT($A5, 4)), 'Raw Annual Revenue'!$A:W, 23, FALSE) / 4</f>
        <v>229681.25</v>
      </c>
      <c r="X3" s="30"/>
      <c r="Y3" s="30"/>
      <c r="Z3" s="30"/>
      <c r="AA3" s="30"/>
      <c r="AB3" s="30"/>
      <c r="AC3" s="28"/>
    </row>
    <row r="4" spans="1:29" ht="13">
      <c r="A4" s="27" t="s">
        <v>29</v>
      </c>
      <c r="B4" s="28"/>
      <c r="C4" s="28"/>
      <c r="D4" s="30">
        <f>VLOOKUP(VALUE(LEFT(A4, 4)), 'Raw Annual Revenue'!A:D, 4, FALSE) / 4</f>
        <v>685.5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9"/>
      <c r="P4" s="28"/>
      <c r="Q4" s="28"/>
      <c r="R4" s="28"/>
      <c r="S4" s="28"/>
      <c r="T4" s="28"/>
      <c r="U4" s="28"/>
      <c r="V4" s="30">
        <f>VLOOKUP(VALUE(LEFT($A4, 4)), 'Raw Annual Revenue'!$A:V, 22, FALSE) / 4</f>
        <v>2321.75</v>
      </c>
      <c r="W4" s="30">
        <f>VLOOKUP(VALUE(LEFT($A6, 4)), 'Raw Annual Revenue'!$A:W, 23, FALSE) / 4</f>
        <v>229681.25</v>
      </c>
      <c r="X4" s="28"/>
      <c r="Y4" s="28"/>
      <c r="Z4" s="28"/>
      <c r="AA4" s="28"/>
      <c r="AB4" s="28"/>
      <c r="AC4" s="28"/>
    </row>
    <row r="5" spans="1:29" ht="13">
      <c r="A5" s="27" t="s">
        <v>30</v>
      </c>
      <c r="B5" s="28"/>
      <c r="C5" s="28"/>
      <c r="D5" s="30">
        <f>VLOOKUP(VALUE(LEFT(A5, 4)), 'Raw Annual Revenue'!A:D, 4, FALSE) / 4</f>
        <v>685.5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9"/>
      <c r="P5" s="28"/>
      <c r="Q5" s="28"/>
      <c r="R5" s="28"/>
      <c r="S5" s="28"/>
      <c r="T5" s="28"/>
      <c r="U5" s="28"/>
      <c r="V5" s="30">
        <f>VLOOKUP(VALUE(LEFT($A5, 4)), 'Raw Annual Revenue'!$A:V, 22, FALSE) / 4</f>
        <v>2321.75</v>
      </c>
      <c r="W5" s="30">
        <f>VLOOKUP(VALUE(LEFT($A7, 4)), 'Raw Annual Revenue'!$A:W, 23, FALSE) / 4</f>
        <v>231376</v>
      </c>
      <c r="X5" s="28"/>
      <c r="Y5" s="28"/>
      <c r="Z5" s="28"/>
      <c r="AA5" s="28"/>
      <c r="AB5" s="28"/>
      <c r="AC5" s="28"/>
    </row>
    <row r="6" spans="1:29" ht="13">
      <c r="A6" s="27" t="s">
        <v>31</v>
      </c>
      <c r="B6" s="28"/>
      <c r="C6" s="28"/>
      <c r="D6" s="30">
        <f>VLOOKUP(VALUE(LEFT(A6, 4)), 'Raw Annual Revenue'!A:D, 4, FALSE) / 4</f>
        <v>685.5</v>
      </c>
      <c r="E6" s="28"/>
      <c r="F6" s="28"/>
      <c r="G6" s="28"/>
      <c r="H6" s="28"/>
      <c r="I6" s="28"/>
      <c r="J6" s="28"/>
      <c r="K6" s="28"/>
      <c r="L6" s="28"/>
      <c r="M6" s="28"/>
      <c r="N6" s="28"/>
      <c r="O6" s="29"/>
      <c r="P6" s="28"/>
      <c r="Q6" s="28"/>
      <c r="R6" s="28"/>
      <c r="S6" s="28"/>
      <c r="T6" s="28"/>
      <c r="U6" s="28"/>
      <c r="V6" s="30">
        <f>VLOOKUP(VALUE(LEFT($A6, 4)), 'Raw Annual Revenue'!$A:V, 22, FALSE) / 4</f>
        <v>2321.75</v>
      </c>
      <c r="W6" s="30">
        <f>VLOOKUP(VALUE(LEFT($A8, 4)), 'Raw Annual Revenue'!$A:W, 23, FALSE) / 4</f>
        <v>231376</v>
      </c>
      <c r="X6" s="28"/>
      <c r="Y6" s="28"/>
      <c r="Z6" s="28"/>
      <c r="AA6" s="28"/>
      <c r="AB6" s="28"/>
      <c r="AC6" s="28"/>
    </row>
    <row r="7" spans="1:29" ht="13">
      <c r="A7" s="27" t="s">
        <v>32</v>
      </c>
      <c r="B7" s="28"/>
      <c r="C7" s="30">
        <f>VLOOKUP(VALUE(LEFT(A7, 4)), 'Raw Annual Revenue'!A:C, 3, FALSE) / 4</f>
        <v>8809.25</v>
      </c>
      <c r="D7" s="30">
        <f>VLOOKUP(VALUE(LEFT(A7, 4)), 'Raw Annual Revenue'!A:D, 4, FALSE) / 4</f>
        <v>3456.75</v>
      </c>
      <c r="E7" s="28"/>
      <c r="F7" s="28"/>
      <c r="G7" s="28"/>
      <c r="H7" s="28"/>
      <c r="I7" s="28"/>
      <c r="J7" s="28"/>
      <c r="K7" s="28"/>
      <c r="L7" s="28"/>
      <c r="M7" s="28"/>
      <c r="N7" s="28"/>
      <c r="O7" s="29"/>
      <c r="P7" s="28"/>
      <c r="Q7" s="28"/>
      <c r="R7" s="28"/>
      <c r="S7" s="28"/>
      <c r="T7" s="28"/>
      <c r="U7" s="28"/>
      <c r="V7" s="30">
        <f>VLOOKUP(VALUE(LEFT($A7, 4)), 'Raw Annual Revenue'!$A:V, 22, FALSE) / 4</f>
        <v>5309.5</v>
      </c>
      <c r="W7" s="30">
        <f>VLOOKUP(VALUE(LEFT($A9, 4)), 'Raw Annual Revenue'!$A:W, 23, FALSE) / 4</f>
        <v>231376</v>
      </c>
      <c r="X7" s="28"/>
      <c r="Y7" s="28"/>
      <c r="Z7" s="28"/>
      <c r="AA7" s="28"/>
      <c r="AB7" s="28"/>
      <c r="AC7" s="28"/>
    </row>
    <row r="8" spans="1:29" ht="13">
      <c r="A8" s="27" t="s">
        <v>33</v>
      </c>
      <c r="B8" s="28"/>
      <c r="C8" s="30">
        <f>VLOOKUP(VALUE(LEFT(A8, 4)), 'Raw Annual Revenue'!A:C, 3, FALSE) / 4</f>
        <v>8809.25</v>
      </c>
      <c r="D8" s="30">
        <f>VLOOKUP(VALUE(LEFT(A8, 4)), 'Raw Annual Revenue'!A:D, 4, FALSE) / 4</f>
        <v>3456.75</v>
      </c>
      <c r="E8" s="28"/>
      <c r="F8" s="28"/>
      <c r="G8" s="28"/>
      <c r="H8" s="28"/>
      <c r="I8" s="28"/>
      <c r="J8" s="28"/>
      <c r="K8" s="28"/>
      <c r="L8" s="28"/>
      <c r="M8" s="28"/>
      <c r="N8" s="28"/>
      <c r="O8" s="29"/>
      <c r="P8" s="28"/>
      <c r="Q8" s="28"/>
      <c r="R8" s="28"/>
      <c r="S8" s="28"/>
      <c r="T8" s="28"/>
      <c r="U8" s="28"/>
      <c r="V8" s="30">
        <f>VLOOKUP(VALUE(LEFT($A8, 4)), 'Raw Annual Revenue'!$A:V, 22, FALSE) / 4</f>
        <v>5309.5</v>
      </c>
      <c r="W8" s="30">
        <f>VLOOKUP(VALUE(LEFT($A10, 4)), 'Raw Annual Revenue'!$A:W, 23, FALSE) / 4</f>
        <v>231376</v>
      </c>
      <c r="X8" s="28"/>
      <c r="Y8" s="28"/>
      <c r="Z8" s="28"/>
      <c r="AA8" s="28"/>
      <c r="AB8" s="28"/>
      <c r="AC8" s="28"/>
    </row>
    <row r="9" spans="1:29" ht="13">
      <c r="A9" s="27" t="s">
        <v>34</v>
      </c>
      <c r="B9" s="28"/>
      <c r="C9" s="30">
        <f>VLOOKUP(VALUE(LEFT(A9, 4)), 'Raw Annual Revenue'!A:C, 3, FALSE) / 4</f>
        <v>8809.25</v>
      </c>
      <c r="D9" s="30">
        <f>VLOOKUP(VALUE(LEFT(A9, 4)), 'Raw Annual Revenue'!A:D, 4, FALSE) / 4</f>
        <v>3456.75</v>
      </c>
      <c r="E9" s="28"/>
      <c r="F9" s="28"/>
      <c r="G9" s="28"/>
      <c r="H9" s="28"/>
      <c r="I9" s="28"/>
      <c r="J9" s="28"/>
      <c r="K9" s="28"/>
      <c r="L9" s="28"/>
      <c r="M9" s="28"/>
      <c r="N9" s="28"/>
      <c r="O9" s="29"/>
      <c r="P9" s="28"/>
      <c r="Q9" s="28"/>
      <c r="R9" s="28"/>
      <c r="S9" s="28"/>
      <c r="T9" s="28"/>
      <c r="U9" s="28"/>
      <c r="V9" s="30">
        <f>VLOOKUP(VALUE(LEFT($A9, 4)), 'Raw Annual Revenue'!$A:V, 22, FALSE) / 4</f>
        <v>5309.5</v>
      </c>
      <c r="W9" s="30">
        <f>VLOOKUP(VALUE(LEFT($A11, 4)), 'Raw Annual Revenue'!$A:W, 23, FALSE) / 4</f>
        <v>302976.5</v>
      </c>
      <c r="X9" s="28"/>
      <c r="Y9" s="28"/>
      <c r="Z9" s="28"/>
      <c r="AA9" s="28"/>
      <c r="AB9" s="28"/>
      <c r="AC9" s="28"/>
    </row>
    <row r="10" spans="1:29" ht="13">
      <c r="A10" s="27" t="s">
        <v>35</v>
      </c>
      <c r="B10" s="28"/>
      <c r="C10" s="30">
        <f>VLOOKUP(VALUE(LEFT(A10, 4)), 'Raw Annual Revenue'!A:C, 3, FALSE) / 4</f>
        <v>8809.25</v>
      </c>
      <c r="D10" s="30">
        <f>VLOOKUP(VALUE(LEFT(A10, 4)), 'Raw Annual Revenue'!A:D, 4, FALSE) / 4</f>
        <v>3456.75</v>
      </c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9"/>
      <c r="P10" s="28"/>
      <c r="Q10" s="28"/>
      <c r="R10" s="28"/>
      <c r="S10" s="28"/>
      <c r="T10" s="28"/>
      <c r="U10" s="28"/>
      <c r="V10" s="30">
        <f>VLOOKUP(VALUE(LEFT($A10, 4)), 'Raw Annual Revenue'!$A:V, 22, FALSE) / 4</f>
        <v>5309.5</v>
      </c>
      <c r="W10" s="30">
        <f>VLOOKUP(VALUE(LEFT($A12, 4)), 'Raw Annual Revenue'!$A:W, 23, FALSE) / 4</f>
        <v>302976.5</v>
      </c>
      <c r="X10" s="28"/>
      <c r="Y10" s="28"/>
      <c r="Z10" s="28"/>
      <c r="AA10" s="28"/>
      <c r="AB10" s="28"/>
      <c r="AC10" s="28"/>
    </row>
    <row r="11" spans="1:29" ht="13">
      <c r="A11" s="27" t="s">
        <v>36</v>
      </c>
      <c r="B11" s="28"/>
      <c r="C11" s="31">
        <f>VLOOKUP(VALUE(LEFT(A11, 4)), 'Raw Annual Revenue'!A:C, 3, FALSE) / 4</f>
        <v>120602.5</v>
      </c>
      <c r="D11" s="31">
        <f>VLOOKUP(VALUE(LEFT(A11, 4)), 'Raw Annual Revenue'!A:D, 4, FALSE) / 4</f>
        <v>9674.75</v>
      </c>
      <c r="E11" s="28"/>
      <c r="F11" s="28"/>
      <c r="G11" s="28"/>
      <c r="H11" s="28"/>
      <c r="I11" s="28"/>
      <c r="J11" s="28"/>
      <c r="K11" s="28"/>
      <c r="L11" s="28"/>
      <c r="M11" s="28"/>
      <c r="N11" s="28"/>
      <c r="O11" s="29"/>
      <c r="P11" s="28"/>
      <c r="Q11" s="28"/>
      <c r="R11" s="49">
        <f>VLOOKUP(VALUE(LEFT($A11, 4)), 'Raw Annual Revenue'!$A:R, 18, FALSE) / 4</f>
        <v>48.75</v>
      </c>
      <c r="S11" s="28"/>
      <c r="T11" s="28"/>
      <c r="U11" s="28"/>
      <c r="V11" s="30">
        <f>VLOOKUP(VALUE(LEFT($A11, 4)), 'Raw Annual Revenue'!$A:V, 22, FALSE) / 4</f>
        <v>16046.75</v>
      </c>
      <c r="W11" s="30">
        <f>VLOOKUP(VALUE(LEFT($A13, 4)), 'Raw Annual Revenue'!$A:W, 23, FALSE) / 4</f>
        <v>302976.5</v>
      </c>
      <c r="X11" s="28"/>
      <c r="Y11" s="28"/>
      <c r="Z11" s="28"/>
      <c r="AA11" s="28"/>
      <c r="AB11" s="28"/>
      <c r="AC11" s="28"/>
    </row>
    <row r="12" spans="1:29" ht="13">
      <c r="A12" s="27" t="s">
        <v>37</v>
      </c>
      <c r="B12" s="28"/>
      <c r="C12" s="31">
        <f>VLOOKUP(VALUE(LEFT(A12, 4)), 'Raw Annual Revenue'!A:C, 3, FALSE) / 4</f>
        <v>120602.5</v>
      </c>
      <c r="D12" s="31">
        <f>VLOOKUP(VALUE(LEFT(A12, 4)), 'Raw Annual Revenue'!A:D, 4, FALSE) / 4</f>
        <v>9674.75</v>
      </c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9"/>
      <c r="P12" s="28"/>
      <c r="Q12" s="28"/>
      <c r="R12" s="49">
        <f>VLOOKUP(VALUE(LEFT($A12, 4)), 'Raw Annual Revenue'!$A:R, 18, FALSE) / 4</f>
        <v>48.75</v>
      </c>
      <c r="S12" s="28"/>
      <c r="T12" s="28"/>
      <c r="U12" s="28"/>
      <c r="V12" s="30">
        <f>VLOOKUP(VALUE(LEFT($A12, 4)), 'Raw Annual Revenue'!$A:V, 22, FALSE) / 4</f>
        <v>16046.75</v>
      </c>
      <c r="W12" s="30">
        <f>VLOOKUP(VALUE(LEFT($A14, 4)), 'Raw Annual Revenue'!$A:W, 23, FALSE) / 4</f>
        <v>302976.5</v>
      </c>
      <c r="X12" s="28"/>
      <c r="Y12" s="28"/>
      <c r="Z12" s="28"/>
      <c r="AA12" s="28"/>
      <c r="AB12" s="28"/>
      <c r="AC12" s="28"/>
    </row>
    <row r="13" spans="1:29" ht="13">
      <c r="A13" s="27" t="s">
        <v>38</v>
      </c>
      <c r="B13" s="28"/>
      <c r="C13" s="31">
        <f>VLOOKUP(VALUE(LEFT(A13, 4)), 'Raw Annual Revenue'!A:C, 3, FALSE) / 4</f>
        <v>120602.5</v>
      </c>
      <c r="D13" s="31">
        <f>VLOOKUP(VALUE(LEFT(A13, 4)), 'Raw Annual Revenue'!A:D, 4, FALSE) / 4</f>
        <v>9674.75</v>
      </c>
      <c r="E13" s="28"/>
      <c r="F13" s="28"/>
      <c r="G13" s="28"/>
      <c r="H13" s="28"/>
      <c r="I13" s="28"/>
      <c r="J13" s="28"/>
      <c r="K13" s="28"/>
      <c r="L13" s="28"/>
      <c r="M13" s="28"/>
      <c r="N13" s="28"/>
      <c r="O13" s="29"/>
      <c r="P13" s="28"/>
      <c r="Q13" s="28"/>
      <c r="R13" s="49">
        <f>VLOOKUP(VALUE(LEFT($A13, 4)), 'Raw Annual Revenue'!$A:R, 18, FALSE) / 4</f>
        <v>48.75</v>
      </c>
      <c r="S13" s="28"/>
      <c r="T13" s="28"/>
      <c r="U13" s="28"/>
      <c r="V13" s="30">
        <f>VLOOKUP(VALUE(LEFT($A13, 4)), 'Raw Annual Revenue'!$A:V, 22, FALSE) / 4</f>
        <v>16046.75</v>
      </c>
      <c r="W13" s="30">
        <f>VLOOKUP(VALUE(LEFT($A15, 4)), 'Raw Annual Revenue'!$A:W, 23, FALSE) / 4</f>
        <v>360192.25</v>
      </c>
      <c r="X13" s="28"/>
      <c r="Y13" s="28"/>
      <c r="Z13" s="28"/>
      <c r="AA13" s="28"/>
      <c r="AB13" s="28"/>
      <c r="AC13" s="28"/>
    </row>
    <row r="14" spans="1:29" ht="13">
      <c r="A14" s="27" t="s">
        <v>39</v>
      </c>
      <c r="B14" s="28"/>
      <c r="C14" s="31">
        <f>VLOOKUP(VALUE(LEFT(A14, 4)), 'Raw Annual Revenue'!A:C, 3, FALSE) / 4</f>
        <v>120602.5</v>
      </c>
      <c r="D14" s="31">
        <f>VLOOKUP(VALUE(LEFT(A14, 4)), 'Raw Annual Revenue'!A:D, 4, FALSE) / 4</f>
        <v>9674.75</v>
      </c>
      <c r="E14" s="28"/>
      <c r="F14" s="28"/>
      <c r="G14" s="28"/>
      <c r="H14" s="28"/>
      <c r="I14" s="28"/>
      <c r="J14" s="28"/>
      <c r="K14" s="28"/>
      <c r="L14" s="28"/>
      <c r="M14" s="28"/>
      <c r="N14" s="28"/>
      <c r="O14" s="29"/>
      <c r="P14" s="28"/>
      <c r="Q14" s="28"/>
      <c r="R14" s="49">
        <f>VLOOKUP(VALUE(LEFT($A14, 4)), 'Raw Annual Revenue'!$A:R, 18, FALSE) / 4</f>
        <v>48.75</v>
      </c>
      <c r="S14" s="28"/>
      <c r="T14" s="28"/>
      <c r="U14" s="28"/>
      <c r="V14" s="30">
        <f>VLOOKUP(VALUE(LEFT($A14, 4)), 'Raw Annual Revenue'!$A:V, 22, FALSE) / 4</f>
        <v>16046.75</v>
      </c>
      <c r="W14" s="30">
        <f>VLOOKUP(VALUE(LEFT($A16, 4)), 'Raw Annual Revenue'!$A:W, 23, FALSE) / 4</f>
        <v>360192.25</v>
      </c>
      <c r="X14" s="28"/>
      <c r="Y14" s="28"/>
      <c r="Z14" s="28"/>
      <c r="AA14" s="28"/>
      <c r="AB14" s="28"/>
      <c r="AC14" s="28"/>
    </row>
    <row r="15" spans="1:29" ht="13">
      <c r="A15" s="27" t="s">
        <v>40</v>
      </c>
      <c r="B15" s="28"/>
      <c r="C15" s="31">
        <f>VLOOKUP(VALUE(LEFT(A15, 4)), 'Raw Annual Revenue'!A:C, 3, FALSE) / 4</f>
        <v>308849</v>
      </c>
      <c r="D15" s="31">
        <f>VLOOKUP(VALUE(LEFT(A15, 4)), 'Raw Annual Revenue'!A:D, 4, FALSE) / 4</f>
        <v>23657.75</v>
      </c>
      <c r="E15" s="30">
        <f>VLOOKUP(VALUE(LEFT(A15, 4)), 'Raw Annual Revenue'!A:E, 5, FALSE) / 4</f>
        <v>195</v>
      </c>
      <c r="F15" s="28"/>
      <c r="G15" s="28"/>
      <c r="H15" s="28"/>
      <c r="I15" s="28"/>
      <c r="J15" s="28"/>
      <c r="K15" s="28"/>
      <c r="L15" s="28"/>
      <c r="M15" s="28"/>
      <c r="N15" s="28"/>
      <c r="O15" s="29"/>
      <c r="P15" s="28"/>
      <c r="Q15" s="28"/>
      <c r="R15" s="30">
        <f>VLOOKUP(VALUE(LEFT($A15, 4)), 'Raw Annual Revenue'!$A:R, 18, FALSE) / 4</f>
        <v>1373.5</v>
      </c>
      <c r="S15" s="28"/>
      <c r="T15" s="28"/>
      <c r="U15" s="28"/>
      <c r="V15" s="30">
        <f>VLOOKUP(VALUE(LEFT($A15, 4)), 'Raw Annual Revenue'!$A:V, 22, FALSE) / 4</f>
        <v>48167.5</v>
      </c>
      <c r="W15" s="30">
        <f>VLOOKUP(VALUE(LEFT($A17, 4)), 'Raw Annual Revenue'!$A:W, 23, FALSE) / 4</f>
        <v>360192.25</v>
      </c>
      <c r="X15" s="28"/>
      <c r="Y15" s="28"/>
      <c r="Z15" s="28"/>
      <c r="AA15" s="28"/>
      <c r="AB15" s="28"/>
      <c r="AC15" s="28"/>
    </row>
    <row r="16" spans="1:29" ht="13">
      <c r="A16" s="27" t="s">
        <v>41</v>
      </c>
      <c r="B16" s="28"/>
      <c r="C16" s="31">
        <f>VLOOKUP(VALUE(LEFT(A16, 4)), 'Raw Annual Revenue'!A:C, 3, FALSE) / 4</f>
        <v>308849</v>
      </c>
      <c r="D16" s="31">
        <f>VLOOKUP(VALUE(LEFT(A16, 4)), 'Raw Annual Revenue'!A:D, 4, FALSE) / 4</f>
        <v>23657.75</v>
      </c>
      <c r="E16" s="30">
        <f>VLOOKUP(VALUE(LEFT(A16, 4)), 'Raw Annual Revenue'!A:E, 5, FALSE) / 4</f>
        <v>195</v>
      </c>
      <c r="F16" s="28"/>
      <c r="G16" s="28"/>
      <c r="H16" s="28"/>
      <c r="I16" s="28"/>
      <c r="J16" s="28"/>
      <c r="K16" s="28"/>
      <c r="L16" s="28"/>
      <c r="M16" s="28"/>
      <c r="N16" s="28"/>
      <c r="O16" s="29"/>
      <c r="P16" s="28"/>
      <c r="Q16" s="28"/>
      <c r="R16" s="30">
        <f>VLOOKUP(VALUE(LEFT($A16, 4)), 'Raw Annual Revenue'!$A:R, 18, FALSE) / 4</f>
        <v>1373.5</v>
      </c>
      <c r="S16" s="28"/>
      <c r="T16" s="28"/>
      <c r="U16" s="28"/>
      <c r="V16" s="30">
        <f>VLOOKUP(VALUE(LEFT($A16, 4)), 'Raw Annual Revenue'!$A:V, 22, FALSE) / 4</f>
        <v>48167.5</v>
      </c>
      <c r="W16" s="30">
        <f>VLOOKUP(VALUE(LEFT($A18, 4)), 'Raw Annual Revenue'!$A:W, 23, FALSE) / 4</f>
        <v>360192.25</v>
      </c>
      <c r="X16" s="28"/>
      <c r="Y16" s="28"/>
      <c r="Z16" s="28"/>
      <c r="AA16" s="28"/>
      <c r="AB16" s="28"/>
      <c r="AC16" s="28"/>
    </row>
    <row r="17" spans="1:29" ht="13">
      <c r="A17" s="27" t="s">
        <v>42</v>
      </c>
      <c r="B17" s="28"/>
      <c r="C17" s="31">
        <f>VLOOKUP(VALUE(LEFT(A17, 4)), 'Raw Annual Revenue'!A:C, 3, FALSE) / 4</f>
        <v>308849</v>
      </c>
      <c r="D17" s="31">
        <f>VLOOKUP(VALUE(LEFT(A17, 4)), 'Raw Annual Revenue'!A:D, 4, FALSE) / 4</f>
        <v>23657.75</v>
      </c>
      <c r="E17" s="30">
        <f>VLOOKUP(VALUE(LEFT(A17, 4)), 'Raw Annual Revenue'!A:E, 5, FALSE) / 4</f>
        <v>195</v>
      </c>
      <c r="F17" s="28"/>
      <c r="G17" s="28"/>
      <c r="H17" s="28"/>
      <c r="I17" s="28"/>
      <c r="J17" s="28"/>
      <c r="K17" s="28"/>
      <c r="L17" s="28"/>
      <c r="M17" s="28"/>
      <c r="N17" s="28"/>
      <c r="O17" s="32"/>
      <c r="P17" s="28"/>
      <c r="Q17" s="28"/>
      <c r="R17" s="30">
        <f>VLOOKUP(VALUE(LEFT($A17, 4)), 'Raw Annual Revenue'!$A:R, 18, FALSE) / 4</f>
        <v>1373.5</v>
      </c>
      <c r="S17" s="28"/>
      <c r="T17" s="28"/>
      <c r="U17" s="30"/>
      <c r="V17" s="30">
        <f>VLOOKUP(VALUE(LEFT($A17, 4)), 'Raw Annual Revenue'!$A:V, 22, FALSE) / 4</f>
        <v>48167.5</v>
      </c>
      <c r="W17" s="30">
        <f>VLOOKUP(VALUE(LEFT($A19, 4)), 'Raw Annual Revenue'!$A:W, 23, FALSE) / 4</f>
        <v>382190.5</v>
      </c>
      <c r="X17" s="28"/>
      <c r="Y17" s="28"/>
      <c r="Z17" s="28"/>
      <c r="AA17" s="28"/>
      <c r="AB17" s="28"/>
      <c r="AC17" s="28"/>
    </row>
    <row r="18" spans="1:29" ht="13">
      <c r="A18" s="27" t="s">
        <v>43</v>
      </c>
      <c r="B18" s="28"/>
      <c r="C18" s="31">
        <f>VLOOKUP(VALUE(LEFT(A18, 4)), 'Raw Annual Revenue'!A:C, 3, FALSE) / 4</f>
        <v>308849</v>
      </c>
      <c r="D18" s="31">
        <f>VLOOKUP(VALUE(LEFT(A18, 4)), 'Raw Annual Revenue'!A:D, 4, FALSE) / 4</f>
        <v>23657.75</v>
      </c>
      <c r="E18" s="30">
        <f>VLOOKUP(VALUE(LEFT(A18, 4)), 'Raw Annual Revenue'!A:E, 5, FALSE) / 4</f>
        <v>195</v>
      </c>
      <c r="F18" s="28"/>
      <c r="G18" s="28"/>
      <c r="H18" s="28"/>
      <c r="I18" s="28"/>
      <c r="J18" s="28"/>
      <c r="K18" s="28"/>
      <c r="L18" s="28"/>
      <c r="M18" s="28"/>
      <c r="N18" s="28"/>
      <c r="O18" s="32"/>
      <c r="P18" s="28"/>
      <c r="Q18" s="28"/>
      <c r="R18" s="30">
        <f>VLOOKUP(VALUE(LEFT($A18, 4)), 'Raw Annual Revenue'!$A:R, 18, FALSE) / 4</f>
        <v>1373.5</v>
      </c>
      <c r="S18" s="28"/>
      <c r="T18" s="28"/>
      <c r="U18" s="30"/>
      <c r="V18" s="30">
        <f>VLOOKUP(VALUE(LEFT($A18, 4)), 'Raw Annual Revenue'!$A:V, 22, FALSE) / 4</f>
        <v>48167.5</v>
      </c>
      <c r="W18" s="30">
        <f>VLOOKUP(VALUE(LEFT($A20, 4)), 'Raw Annual Revenue'!$A:W, 23, FALSE) / 4</f>
        <v>382190.5</v>
      </c>
      <c r="X18" s="28"/>
      <c r="Y18" s="28"/>
      <c r="Z18" s="28"/>
      <c r="AA18" s="28"/>
      <c r="AB18" s="28"/>
      <c r="AC18" s="28"/>
    </row>
    <row r="19" spans="1:29" ht="13">
      <c r="A19" s="27" t="s">
        <v>44</v>
      </c>
      <c r="B19" s="28"/>
      <c r="C19" s="31">
        <f>VLOOKUP(VALUE(LEFT(A19, 4)), 'Raw Annual Revenue'!A:C, 3, FALSE) / 4</f>
        <v>292938.25</v>
      </c>
      <c r="D19" s="31">
        <f>VLOOKUP(VALUE(LEFT(A19, 4)), 'Raw Annual Revenue'!A:D, 4, FALSE) / 4</f>
        <v>55555</v>
      </c>
      <c r="E19" s="31">
        <f>VLOOKUP(VALUE(LEFT(A19, 4)), 'Raw Annual Revenue'!A:E, 5, FALSE) / 4</f>
        <v>1328.5</v>
      </c>
      <c r="F19" s="31"/>
      <c r="G19" s="31"/>
      <c r="H19" s="31"/>
      <c r="I19" s="31"/>
      <c r="J19" s="31"/>
      <c r="K19" s="31"/>
      <c r="L19" s="31"/>
      <c r="M19" s="31"/>
      <c r="N19" s="31"/>
      <c r="O19" s="33">
        <f>VLOOKUP(VALUE(LEFT(A19, 4)), 'Raw Annual Revenue'!A:O, 15, FALSE) / 4</f>
        <v>34.75</v>
      </c>
      <c r="P19" s="28"/>
      <c r="Q19" s="28"/>
      <c r="R19" s="30">
        <f>VLOOKUP(VALUE(LEFT($A19, 4)), 'Raw Annual Revenue'!$A:R, 18, FALSE) / 4</f>
        <v>6763.75</v>
      </c>
      <c r="S19" s="28"/>
      <c r="T19" s="28"/>
      <c r="U19" s="30">
        <f>VLOOKUP(VALUE(LEFT($A19, 4)), 'Raw Annual Revenue'!$A:U, 21, FALSE) / 4</f>
        <v>10850.75</v>
      </c>
      <c r="V19" s="30">
        <f>VLOOKUP(VALUE(LEFT($A19, 4)), 'Raw Annual Revenue'!$A:V, 22, FALSE) / 4</f>
        <v>75442.5</v>
      </c>
      <c r="W19" s="30">
        <f>VLOOKUP(VALUE(LEFT($A21, 4)), 'Raw Annual Revenue'!$A:W, 23, FALSE) / 4</f>
        <v>382190.5</v>
      </c>
      <c r="X19" s="28"/>
      <c r="Y19" s="28"/>
      <c r="Z19" s="28"/>
      <c r="AA19" s="28"/>
      <c r="AB19" s="28"/>
      <c r="AC19" s="28"/>
    </row>
    <row r="20" spans="1:29" ht="13">
      <c r="A20" s="27" t="s">
        <v>45</v>
      </c>
      <c r="B20" s="28"/>
      <c r="C20" s="31">
        <f>VLOOKUP(VALUE(LEFT(A20, 4)), 'Raw Annual Revenue'!A:C, 3, FALSE) / 4</f>
        <v>292938.25</v>
      </c>
      <c r="D20" s="31">
        <f>VLOOKUP(VALUE(LEFT(A20, 4)), 'Raw Annual Revenue'!A:D, 4, FALSE) / 4</f>
        <v>55555</v>
      </c>
      <c r="E20" s="31">
        <f>VLOOKUP(VALUE(LEFT(A20, 4)), 'Raw Annual Revenue'!A:E, 5, FALSE) / 4</f>
        <v>1328.5</v>
      </c>
      <c r="F20" s="28"/>
      <c r="G20" s="28"/>
      <c r="H20" s="28"/>
      <c r="I20" s="28"/>
      <c r="J20" s="28"/>
      <c r="K20" s="28"/>
      <c r="L20" s="28"/>
      <c r="M20" s="28"/>
      <c r="N20" s="28"/>
      <c r="O20" s="33">
        <f>VLOOKUP(VALUE(LEFT(A20, 4)), 'Raw Annual Revenue'!A:O, 15, FALSE) / 4</f>
        <v>34.75</v>
      </c>
      <c r="P20" s="28"/>
      <c r="Q20" s="28"/>
      <c r="R20" s="30">
        <f>VLOOKUP(VALUE(LEFT($A20, 4)), 'Raw Annual Revenue'!$A:R, 18, FALSE) / 4</f>
        <v>6763.75</v>
      </c>
      <c r="S20" s="28"/>
      <c r="T20" s="28"/>
      <c r="U20" s="30">
        <f>VLOOKUP(VALUE(LEFT($A20, 4)), 'Raw Annual Revenue'!$A:U, 21, FALSE) / 4</f>
        <v>10850.75</v>
      </c>
      <c r="V20" s="30">
        <f>VLOOKUP(VALUE(LEFT($A20, 4)), 'Raw Annual Revenue'!$A:V, 22, FALSE) / 4</f>
        <v>75442.5</v>
      </c>
      <c r="W20" s="30">
        <f>VLOOKUP(VALUE(LEFT($A22, 4)), 'Raw Annual Revenue'!$A:W, 23, FALSE) / 4</f>
        <v>382190.5</v>
      </c>
      <c r="X20" s="28"/>
      <c r="Y20" s="28"/>
      <c r="Z20" s="28"/>
      <c r="AA20" s="28"/>
      <c r="AB20" s="28"/>
      <c r="AC20" s="28"/>
    </row>
    <row r="21" spans="1:29" ht="13">
      <c r="A21" s="27" t="s">
        <v>46</v>
      </c>
      <c r="B21" s="28"/>
      <c r="C21" s="31">
        <f>VLOOKUP(VALUE(LEFT(A21, 4)), 'Raw Annual Revenue'!A:C, 3, FALSE) / 4</f>
        <v>292938.25</v>
      </c>
      <c r="D21" s="31">
        <f>VLOOKUP(VALUE(LEFT(A21, 4)), 'Raw Annual Revenue'!A:D, 4, FALSE) / 4</f>
        <v>55555</v>
      </c>
      <c r="E21" s="31">
        <f>VLOOKUP(VALUE(LEFT(A21, 4)), 'Raw Annual Revenue'!A:E, 5, FALSE) / 4</f>
        <v>1328.5</v>
      </c>
      <c r="F21" s="28"/>
      <c r="G21" s="28"/>
      <c r="H21" s="28"/>
      <c r="I21" s="28"/>
      <c r="J21" s="28"/>
      <c r="K21" s="28"/>
      <c r="L21" s="28"/>
      <c r="M21" s="28"/>
      <c r="N21" s="28"/>
      <c r="O21" s="32">
        <f>VLOOKUP(VALUE(LEFT(A23, 4)), 'Raw Annual Revenue'!A:O, 15, FALSE) / 4</f>
        <v>132.875</v>
      </c>
      <c r="P21" s="28"/>
      <c r="Q21" s="28"/>
      <c r="R21" s="30">
        <f>VLOOKUP(VALUE(LEFT($A21, 4)), 'Raw Annual Revenue'!$A:R, 18, FALSE) / 4</f>
        <v>6763.75</v>
      </c>
      <c r="S21" s="28"/>
      <c r="T21" s="28"/>
      <c r="U21" s="30">
        <f>VLOOKUP(VALUE(LEFT($A21, 4)), 'Raw Annual Revenue'!$A:U, 21, FALSE) / 4</f>
        <v>10850.75</v>
      </c>
      <c r="V21" s="30">
        <f>VLOOKUP(VALUE(LEFT($A21, 4)), 'Raw Annual Revenue'!$A:V, 22, FALSE) / 4</f>
        <v>75442.5</v>
      </c>
      <c r="W21" s="30">
        <f>VLOOKUP(VALUE(LEFT($A23, 4)), 'Raw Annual Revenue'!$A:W, 23, FALSE) / 4</f>
        <v>508796</v>
      </c>
      <c r="X21" s="28"/>
      <c r="Y21" s="28"/>
      <c r="Z21" s="28"/>
      <c r="AA21" s="28"/>
      <c r="AB21" s="28"/>
      <c r="AC21" s="28"/>
    </row>
    <row r="22" spans="1:29" ht="13">
      <c r="A22" s="27" t="s">
        <v>47</v>
      </c>
      <c r="B22" s="28"/>
      <c r="C22" s="31">
        <f>VLOOKUP(VALUE(LEFT(A22, 4)), 'Raw Annual Revenue'!A:C, 3, FALSE) / 4</f>
        <v>292938.25</v>
      </c>
      <c r="D22" s="31">
        <f>VLOOKUP(VALUE(LEFT(A22, 4)), 'Raw Annual Revenue'!A:D, 4, FALSE) / 4</f>
        <v>55555</v>
      </c>
      <c r="E22" s="31">
        <f>VLOOKUP(VALUE(LEFT(A22, 4)), 'Raw Annual Revenue'!A:E, 5, FALSE) / 4</f>
        <v>1328.5</v>
      </c>
      <c r="F22" s="28"/>
      <c r="G22" s="28"/>
      <c r="H22" s="28"/>
      <c r="I22" s="28"/>
      <c r="J22" s="28"/>
      <c r="K22" s="28"/>
      <c r="L22" s="28"/>
      <c r="M22" s="28"/>
      <c r="N22" s="28"/>
      <c r="O22" s="32">
        <f>VLOOKUP(VALUE(LEFT(A24, 4)), 'Raw Annual Revenue'!A:O, 15, FALSE) / 4</f>
        <v>132.875</v>
      </c>
      <c r="P22" s="28"/>
      <c r="Q22" s="28"/>
      <c r="R22" s="30">
        <f>VLOOKUP(VALUE(LEFT($A22, 4)), 'Raw Annual Revenue'!$A:R, 18, FALSE) / 4</f>
        <v>6763.75</v>
      </c>
      <c r="S22" s="28"/>
      <c r="T22" s="28"/>
      <c r="U22" s="30">
        <f>VLOOKUP(VALUE(LEFT($A22, 4)), 'Raw Annual Revenue'!$A:U, 21, FALSE) / 4</f>
        <v>10850.75</v>
      </c>
      <c r="V22" s="30">
        <f>VLOOKUP(VALUE(LEFT($A22, 4)), 'Raw Annual Revenue'!$A:V, 22, FALSE) / 4</f>
        <v>75442.5</v>
      </c>
      <c r="W22" s="30">
        <f>VLOOKUP(VALUE(LEFT($A24, 4)), 'Raw Annual Revenue'!$A:W, 23, FALSE) / 4</f>
        <v>508796</v>
      </c>
      <c r="X22" s="28"/>
      <c r="Y22" s="28"/>
      <c r="Z22" s="28"/>
      <c r="AA22" s="28"/>
      <c r="AB22" s="28"/>
      <c r="AC22" s="28"/>
    </row>
    <row r="23" spans="1:29" ht="13">
      <c r="A23" s="27" t="s">
        <v>48</v>
      </c>
      <c r="B23" s="28"/>
      <c r="C23" s="31">
        <f>VLOOKUP(VALUE(LEFT(A23, 4)), 'Raw Annual Revenue'!A:C, 3, FALSE) / 4</f>
        <v>250901.5</v>
      </c>
      <c r="D23" s="31">
        <f>VLOOKUP(VALUE(LEFT(A23, 4)), 'Raw Annual Revenue'!A:D, 4, FALSE) / 4</f>
        <v>374768.75</v>
      </c>
      <c r="E23" s="31">
        <f>VLOOKUP(VALUE(LEFT(A23, 4)), 'Raw Annual Revenue'!A:E, 5, FALSE) / 4</f>
        <v>3052.5</v>
      </c>
      <c r="F23" s="28"/>
      <c r="G23" s="28"/>
      <c r="H23" s="28"/>
      <c r="I23" s="28"/>
      <c r="J23" s="28"/>
      <c r="K23" s="28"/>
      <c r="L23" s="28"/>
      <c r="M23" s="28"/>
      <c r="N23" s="28"/>
      <c r="O23" s="32">
        <f>VLOOKUP(VALUE(LEFT(A25, 4)), 'Raw Annual Revenue'!A:O, 15, FALSE) / 4</f>
        <v>132.875</v>
      </c>
      <c r="P23" s="28"/>
      <c r="Q23" s="28"/>
      <c r="R23" s="30">
        <f>VLOOKUP(VALUE(LEFT($A23, 4)), 'Raw Annual Revenue'!$A:R, 18, FALSE) / 4</f>
        <v>13694.25</v>
      </c>
      <c r="S23" s="28"/>
      <c r="T23" s="28"/>
      <c r="U23" s="30">
        <f>VLOOKUP(VALUE(LEFT($A23, 4)), 'Raw Annual Revenue'!$A:U, 21, FALSE) / 4</f>
        <v>43877.5</v>
      </c>
      <c r="V23" s="30"/>
      <c r="W23" s="30">
        <f>VLOOKUP(VALUE(LEFT($A25, 4)), 'Raw Annual Revenue'!$A:W, 23, FALSE) / 4</f>
        <v>508796</v>
      </c>
      <c r="X23" s="28"/>
      <c r="Y23" s="28"/>
      <c r="Z23" s="28"/>
      <c r="AA23" s="28"/>
      <c r="AB23" s="28"/>
      <c r="AC23" s="28"/>
    </row>
    <row r="24" spans="1:29" ht="13">
      <c r="A24" s="27" t="s">
        <v>49</v>
      </c>
      <c r="B24" s="28"/>
      <c r="C24" s="31">
        <f>VLOOKUP(VALUE(LEFT(A24, 4)), 'Raw Annual Revenue'!A:C, 3, FALSE) / 4</f>
        <v>250901.5</v>
      </c>
      <c r="D24" s="31">
        <f>VLOOKUP(VALUE(LEFT(A24, 4)), 'Raw Annual Revenue'!A:D, 4, FALSE) / 4</f>
        <v>374768.75</v>
      </c>
      <c r="E24" s="31">
        <f>VLOOKUP(VALUE(LEFT(A24, 4)), 'Raw Annual Revenue'!A:E, 5, FALSE) / 4</f>
        <v>3052.5</v>
      </c>
      <c r="F24" s="28"/>
      <c r="G24" s="28"/>
      <c r="H24" s="28"/>
      <c r="I24" s="28"/>
      <c r="J24" s="28"/>
      <c r="K24" s="28"/>
      <c r="L24" s="28"/>
      <c r="M24" s="28"/>
      <c r="N24" s="28"/>
      <c r="O24" s="32">
        <f>VLOOKUP(VALUE(LEFT(A26, 4)), 'Raw Annual Revenue'!A:O, 15, FALSE) / 4</f>
        <v>132.875</v>
      </c>
      <c r="P24" s="28"/>
      <c r="Q24" s="28"/>
      <c r="R24" s="30">
        <f>VLOOKUP(VALUE(LEFT($A24, 4)), 'Raw Annual Revenue'!$A:R, 18, FALSE) / 4</f>
        <v>13694.25</v>
      </c>
      <c r="S24" s="28"/>
      <c r="T24" s="28"/>
      <c r="U24" s="30">
        <f>VLOOKUP(VALUE(LEFT($A24, 4)), 'Raw Annual Revenue'!$A:U, 21, FALSE) / 4</f>
        <v>43877.5</v>
      </c>
      <c r="V24" s="30"/>
      <c r="W24" s="30">
        <f>VLOOKUP(VALUE(LEFT($A26, 4)), 'Raw Annual Revenue'!$A:W, 23, FALSE) / 4</f>
        <v>508796</v>
      </c>
      <c r="X24" s="28"/>
      <c r="Y24" s="28"/>
      <c r="Z24" s="28"/>
      <c r="AA24" s="28"/>
      <c r="AB24" s="28"/>
      <c r="AC24" s="28"/>
    </row>
    <row r="25" spans="1:29" ht="13">
      <c r="A25" s="27" t="s">
        <v>50</v>
      </c>
      <c r="B25" s="28"/>
      <c r="C25" s="31">
        <f>VLOOKUP(VALUE(LEFT(A25, 4)), 'Raw Annual Revenue'!A:C, 3, FALSE) / 4</f>
        <v>250901.5</v>
      </c>
      <c r="D25" s="31">
        <f>VLOOKUP(VALUE(LEFT(A25, 4)), 'Raw Annual Revenue'!A:D, 4, FALSE) / 4</f>
        <v>374768.75</v>
      </c>
      <c r="E25" s="31">
        <f>VLOOKUP(VALUE(LEFT(A25, 4)), 'Raw Annual Revenue'!A:E, 5, FALSE) / 4</f>
        <v>3052.5</v>
      </c>
      <c r="F25" s="28"/>
      <c r="G25" s="28"/>
      <c r="H25" s="28"/>
      <c r="I25" s="28"/>
      <c r="J25" s="28"/>
      <c r="K25" s="28"/>
      <c r="L25" s="28"/>
      <c r="M25" s="28"/>
      <c r="N25" s="28"/>
      <c r="O25" s="32">
        <f>VLOOKUP(VALUE(LEFT(A27, 4)), 'Raw Annual Revenue'!A:O, 15, FALSE) / 4</f>
        <v>231</v>
      </c>
      <c r="P25" s="28"/>
      <c r="Q25" s="28"/>
      <c r="R25" s="30">
        <f>VLOOKUP(VALUE(LEFT($A25, 4)), 'Raw Annual Revenue'!$A:R, 18, FALSE) / 4</f>
        <v>13694.25</v>
      </c>
      <c r="S25" s="28"/>
      <c r="T25" s="28"/>
      <c r="U25" s="30">
        <f>VLOOKUP(VALUE(LEFT($A25, 4)), 'Raw Annual Revenue'!$A:U, 21, FALSE) / 4</f>
        <v>43877.5</v>
      </c>
      <c r="V25" s="30"/>
      <c r="W25" s="30">
        <f>VLOOKUP(VALUE(LEFT($A27, 4)), 'Raw Annual Revenue'!$A:W, 23, FALSE) / 4</f>
        <v>101197.5</v>
      </c>
      <c r="X25" s="28"/>
      <c r="Y25" s="28"/>
      <c r="Z25" s="28"/>
      <c r="AA25" s="28"/>
      <c r="AB25" s="28"/>
      <c r="AC25" s="28"/>
    </row>
    <row r="26" spans="1:29" ht="13">
      <c r="A26" s="27" t="s">
        <v>51</v>
      </c>
      <c r="B26" s="28"/>
      <c r="C26" s="31">
        <f>VLOOKUP(VALUE(LEFT(A26, 4)), 'Raw Annual Revenue'!A:C, 3, FALSE) / 4</f>
        <v>250901.5</v>
      </c>
      <c r="D26" s="31">
        <f>VLOOKUP(VALUE(LEFT(A26, 4)), 'Raw Annual Revenue'!A:D, 4, FALSE) / 4</f>
        <v>374768.75</v>
      </c>
      <c r="E26" s="31">
        <f>VLOOKUP(VALUE(LEFT(A26, 4)), 'Raw Annual Revenue'!A:E, 5, FALSE) / 4</f>
        <v>3052.5</v>
      </c>
      <c r="F26" s="28"/>
      <c r="G26" s="28"/>
      <c r="H26" s="28"/>
      <c r="I26" s="28"/>
      <c r="J26" s="28"/>
      <c r="K26" s="28"/>
      <c r="L26" s="28"/>
      <c r="M26" s="28"/>
      <c r="N26" s="28"/>
      <c r="O26" s="32">
        <f>VLOOKUP(VALUE(LEFT(A28, 4)), 'Raw Annual Revenue'!A:O, 15, FALSE) / 4</f>
        <v>231</v>
      </c>
      <c r="P26" s="28"/>
      <c r="Q26" s="28"/>
      <c r="R26" s="30">
        <f>VLOOKUP(VALUE(LEFT($A26, 4)), 'Raw Annual Revenue'!$A:R, 18, FALSE) / 4</f>
        <v>13694.25</v>
      </c>
      <c r="S26" s="28"/>
      <c r="T26" s="28"/>
      <c r="U26" s="30">
        <f>VLOOKUP(VALUE(LEFT($A26, 4)), 'Raw Annual Revenue'!$A:U, 21, FALSE) / 4</f>
        <v>43877.5</v>
      </c>
      <c r="V26" s="30"/>
      <c r="W26" s="30">
        <f>VLOOKUP(VALUE(LEFT($A28, 4)), 'Raw Annual Revenue'!$A:W, 23, FALSE) / 4</f>
        <v>101197.5</v>
      </c>
      <c r="X26" s="28"/>
      <c r="Y26" s="28"/>
      <c r="Z26" s="28"/>
      <c r="AA26" s="28"/>
      <c r="AB26" s="28"/>
      <c r="AC26" s="28"/>
    </row>
    <row r="27" spans="1:29" ht="13">
      <c r="A27" s="27" t="s">
        <v>52</v>
      </c>
      <c r="B27" s="28"/>
      <c r="C27" s="31">
        <f>VLOOKUP(VALUE(LEFT(A27, 4)), 'Raw Annual Revenue'!A:C, 3, FALSE) / 4</f>
        <v>215915.25</v>
      </c>
      <c r="D27" s="31">
        <f>VLOOKUP(VALUE(LEFT(A27, 4)), 'Raw Annual Revenue'!A:D, 4, FALSE) / 4</f>
        <v>584953.25</v>
      </c>
      <c r="E27" s="31">
        <f>VLOOKUP(VALUE(LEFT(A27, 4)), 'Raw Annual Revenue'!A:E, 5, FALSE) / 4</f>
        <v>5383.75</v>
      </c>
      <c r="F27" s="28"/>
      <c r="G27" s="28"/>
      <c r="H27" s="28"/>
      <c r="I27" s="28"/>
      <c r="J27" s="28"/>
      <c r="K27" s="28"/>
      <c r="L27" s="28"/>
      <c r="M27" s="28"/>
      <c r="N27" s="28"/>
      <c r="O27" s="32">
        <f>VLOOKUP(VALUE(LEFT(A29, 4)), 'Raw Annual Revenue'!A:O, 15, FALSE) / 4</f>
        <v>231</v>
      </c>
      <c r="P27" s="28"/>
      <c r="Q27" s="28"/>
      <c r="R27" s="30">
        <f>VLOOKUP(VALUE(LEFT($A27, 4)), 'Raw Annual Revenue'!$A:R, 18, FALSE) / 4</f>
        <v>88686.5</v>
      </c>
      <c r="S27" s="28"/>
      <c r="T27" s="28"/>
      <c r="U27" s="30">
        <f>VLOOKUP(VALUE(LEFT($A27, 4)), 'Raw Annual Revenue'!$A:U, 21, FALSE) / 4</f>
        <v>60460</v>
      </c>
      <c r="V27" s="30"/>
      <c r="W27" s="30">
        <f>VLOOKUP(VALUE(LEFT($A29, 4)), 'Raw Annual Revenue'!$A:W, 23, FALSE) / 4</f>
        <v>101197.5</v>
      </c>
      <c r="X27" s="28"/>
      <c r="Y27" s="28"/>
      <c r="Z27" s="28"/>
      <c r="AA27" s="28"/>
      <c r="AB27" s="28"/>
      <c r="AC27" s="28"/>
    </row>
    <row r="28" spans="1:29" ht="13">
      <c r="A28" s="27" t="s">
        <v>53</v>
      </c>
      <c r="B28" s="28"/>
      <c r="C28" s="31">
        <f>VLOOKUP(VALUE(LEFT(A28, 4)), 'Raw Annual Revenue'!A:C, 3, FALSE) / 4</f>
        <v>215915.25</v>
      </c>
      <c r="D28" s="31">
        <f>VLOOKUP(VALUE(LEFT(A28, 4)), 'Raw Annual Revenue'!A:D, 4, FALSE) / 4</f>
        <v>584953.25</v>
      </c>
      <c r="E28" s="31">
        <f>VLOOKUP(VALUE(LEFT(A28, 4)), 'Raw Annual Revenue'!A:E, 5, FALSE) / 4</f>
        <v>5383.75</v>
      </c>
      <c r="F28" s="28"/>
      <c r="G28" s="28"/>
      <c r="H28" s="28"/>
      <c r="I28" s="28"/>
      <c r="J28" s="28"/>
      <c r="K28" s="28"/>
      <c r="L28" s="28"/>
      <c r="M28" s="28"/>
      <c r="N28" s="28"/>
      <c r="O28" s="32">
        <f>VLOOKUP(VALUE(LEFT(A30, 4)), 'Raw Annual Revenue'!A:O, 15, FALSE) / 4</f>
        <v>231</v>
      </c>
      <c r="P28" s="28"/>
      <c r="Q28" s="28"/>
      <c r="R28" s="30">
        <f>VLOOKUP(VALUE(LEFT($A28, 4)), 'Raw Annual Revenue'!$A:R, 18, FALSE) / 4</f>
        <v>88686.5</v>
      </c>
      <c r="S28" s="28"/>
      <c r="T28" s="28"/>
      <c r="U28" s="30">
        <f>VLOOKUP(VALUE(LEFT($A28, 4)), 'Raw Annual Revenue'!$A:U, 21, FALSE) / 4</f>
        <v>60460</v>
      </c>
      <c r="V28" s="30"/>
      <c r="W28" s="30">
        <f>VLOOKUP(VALUE(LEFT($A30, 4)), 'Raw Annual Revenue'!$A:W, 23, FALSE) / 4</f>
        <v>101197.5</v>
      </c>
      <c r="X28" s="28"/>
      <c r="Y28" s="28"/>
      <c r="Z28" s="28"/>
      <c r="AA28" s="28"/>
      <c r="AB28" s="28"/>
      <c r="AC28" s="28"/>
    </row>
    <row r="29" spans="1:29" ht="13">
      <c r="A29" s="27" t="s">
        <v>54</v>
      </c>
      <c r="B29" s="28"/>
      <c r="C29" s="31">
        <f>VLOOKUP(VALUE(LEFT(A29, 4)), 'Raw Annual Revenue'!A:C, 3, FALSE) / 4</f>
        <v>215915.25</v>
      </c>
      <c r="D29" s="31">
        <f>VLOOKUP(VALUE(LEFT(A29, 4)), 'Raw Annual Revenue'!A:D, 4, FALSE) / 4</f>
        <v>584953.25</v>
      </c>
      <c r="E29" s="31">
        <f>VLOOKUP(VALUE(LEFT(A29, 4)), 'Raw Annual Revenue'!A:E, 5, FALSE) / 4</f>
        <v>5383.75</v>
      </c>
      <c r="F29" s="28"/>
      <c r="G29" s="28"/>
      <c r="H29" s="28"/>
      <c r="I29" s="28"/>
      <c r="J29" s="28"/>
      <c r="K29" s="28"/>
      <c r="L29" s="28"/>
      <c r="M29" s="28"/>
      <c r="N29" s="28"/>
      <c r="O29" s="32">
        <f>VLOOKUP(VALUE(LEFT(A31, 4)), 'Raw Annual Revenue'!A:O, 15, FALSE) / 4</f>
        <v>247.75</v>
      </c>
      <c r="P29" s="28"/>
      <c r="Q29" s="28"/>
      <c r="R29" s="30">
        <f>VLOOKUP(VALUE(LEFT($A29, 4)), 'Raw Annual Revenue'!$A:R, 18, FALSE) / 4</f>
        <v>88686.5</v>
      </c>
      <c r="S29" s="28"/>
      <c r="T29" s="28"/>
      <c r="U29" s="30">
        <f>VLOOKUP(VALUE(LEFT($A29, 4)), 'Raw Annual Revenue'!$A:U, 21, FALSE) / 4</f>
        <v>60460</v>
      </c>
      <c r="V29" s="30"/>
      <c r="W29" s="30">
        <f>VLOOKUP(VALUE(LEFT($A31, 4)), 'Raw Annual Revenue'!$A:W, 23, FALSE) / 4</f>
        <v>133462.25</v>
      </c>
      <c r="X29" s="28"/>
      <c r="Y29" s="28"/>
      <c r="Z29" s="28"/>
      <c r="AA29" s="28"/>
      <c r="AB29" s="28"/>
      <c r="AC29" s="28"/>
    </row>
    <row r="30" spans="1:29" ht="13">
      <c r="A30" s="27" t="s">
        <v>55</v>
      </c>
      <c r="B30" s="28"/>
      <c r="C30" s="31">
        <f>VLOOKUP(VALUE(LEFT(A30, 4)), 'Raw Annual Revenue'!A:C, 3, FALSE) / 4</f>
        <v>215915.25</v>
      </c>
      <c r="D30" s="31">
        <f>VLOOKUP(VALUE(LEFT(A30, 4)), 'Raw Annual Revenue'!A:D, 4, FALSE) / 4</f>
        <v>584953.25</v>
      </c>
      <c r="E30" s="31">
        <f>VLOOKUP(VALUE(LEFT(A30, 4)), 'Raw Annual Revenue'!A:E, 5, FALSE) / 4</f>
        <v>5383.75</v>
      </c>
      <c r="F30" s="28"/>
      <c r="G30" s="28"/>
      <c r="H30" s="28"/>
      <c r="I30" s="28"/>
      <c r="J30" s="28"/>
      <c r="K30" s="28"/>
      <c r="L30" s="28"/>
      <c r="M30" s="28"/>
      <c r="N30" s="28"/>
      <c r="O30" s="32">
        <f>VLOOKUP(VALUE(LEFT(A32, 4)), 'Raw Annual Revenue'!A:O, 15, FALSE) / 4</f>
        <v>247.75</v>
      </c>
      <c r="P30" s="28"/>
      <c r="Q30" s="28"/>
      <c r="R30" s="30">
        <f>VLOOKUP(VALUE(LEFT($A30, 4)), 'Raw Annual Revenue'!$A:R, 18, FALSE) / 4</f>
        <v>88686.5</v>
      </c>
      <c r="S30" s="28"/>
      <c r="T30" s="28"/>
      <c r="U30" s="30">
        <f>VLOOKUP(VALUE(LEFT($A30, 4)), 'Raw Annual Revenue'!$A:U, 21, FALSE) / 4</f>
        <v>60460</v>
      </c>
      <c r="V30" s="30"/>
      <c r="W30" s="30">
        <f>VLOOKUP(VALUE(LEFT($A32, 4)), 'Raw Annual Revenue'!$A:W, 23, FALSE) / 4</f>
        <v>133462.25</v>
      </c>
      <c r="X30" s="28"/>
      <c r="Y30" s="28"/>
      <c r="Z30" s="28"/>
      <c r="AA30" s="28"/>
      <c r="AB30" s="28"/>
      <c r="AC30" s="28"/>
    </row>
    <row r="31" spans="1:29" ht="13">
      <c r="A31" s="27" t="s">
        <v>56</v>
      </c>
      <c r="B31" s="28"/>
      <c r="C31" s="31">
        <f>VLOOKUP(VALUE(LEFT(A31, 4)), 'Raw Annual Revenue'!A:C, 3, FALSE) / 4</f>
        <v>228593</v>
      </c>
      <c r="D31" s="31">
        <f>VLOOKUP(VALUE(LEFT(A31, 4)), 'Raw Annual Revenue'!A:D, 4, FALSE) / 4</f>
        <v>460753.25</v>
      </c>
      <c r="E31" s="31">
        <f>VLOOKUP(VALUE(LEFT(A31, 4)), 'Raw Annual Revenue'!A:E, 5, FALSE) / 4</f>
        <v>10218.25</v>
      </c>
      <c r="F31" s="28"/>
      <c r="G31" s="28"/>
      <c r="H31" s="28"/>
      <c r="I31" s="28"/>
      <c r="J31" s="28"/>
      <c r="K31" s="28"/>
      <c r="L31" s="28"/>
      <c r="M31" s="28"/>
      <c r="N31" s="28"/>
      <c r="O31" s="32">
        <f>VLOOKUP(VALUE(LEFT(A33, 4)), 'Raw Annual Revenue'!A:O, 15, FALSE) / 4</f>
        <v>247.75</v>
      </c>
      <c r="P31" s="28"/>
      <c r="Q31" s="28"/>
      <c r="R31" s="30"/>
      <c r="S31" s="28"/>
      <c r="T31" s="28"/>
      <c r="U31" s="30">
        <f>VLOOKUP(VALUE(LEFT($A31, 4)), 'Raw Annual Revenue'!$A:U, 21, FALSE) / 4</f>
        <v>61000</v>
      </c>
      <c r="V31" s="28"/>
      <c r="W31" s="30">
        <f>VLOOKUP(VALUE(LEFT($A33, 4)), 'Raw Annual Revenue'!$A:W, 23, FALSE) / 4</f>
        <v>133462.25</v>
      </c>
      <c r="X31" s="28"/>
      <c r="Y31" s="28"/>
      <c r="Z31" s="28"/>
      <c r="AA31" s="28"/>
      <c r="AB31" s="28"/>
      <c r="AC31" s="28"/>
    </row>
    <row r="32" spans="1:29" ht="13">
      <c r="A32" s="27" t="s">
        <v>57</v>
      </c>
      <c r="B32" s="28"/>
      <c r="C32" s="31">
        <f>VLOOKUP(VALUE(LEFT(A32, 4)), 'Raw Annual Revenue'!A:C, 3, FALSE) / 4</f>
        <v>228593</v>
      </c>
      <c r="D32" s="31">
        <f>VLOOKUP(VALUE(LEFT(A32, 4)), 'Raw Annual Revenue'!A:D, 4, FALSE) / 4</f>
        <v>460753.25</v>
      </c>
      <c r="E32" s="31">
        <f>VLOOKUP(VALUE(LEFT(A32, 4)), 'Raw Annual Revenue'!A:E, 5, FALSE) / 4</f>
        <v>10218.25</v>
      </c>
      <c r="F32" s="28"/>
      <c r="G32" s="28"/>
      <c r="H32" s="28"/>
      <c r="I32" s="28"/>
      <c r="J32" s="28"/>
      <c r="K32" s="28"/>
      <c r="L32" s="28"/>
      <c r="M32" s="28"/>
      <c r="N32" s="28"/>
      <c r="O32" s="32">
        <f>VLOOKUP(VALUE(LEFT(A34, 4)), 'Raw Annual Revenue'!A:O, 15, FALSE) / 4</f>
        <v>247.75</v>
      </c>
      <c r="P32" s="28"/>
      <c r="Q32" s="28"/>
      <c r="R32" s="28"/>
      <c r="S32" s="28"/>
      <c r="T32" s="28"/>
      <c r="U32" s="30">
        <f>VLOOKUP(VALUE(LEFT($A32, 4)), 'Raw Annual Revenue'!$A:U, 21, FALSE) / 4</f>
        <v>61000</v>
      </c>
      <c r="V32" s="28"/>
      <c r="W32" s="30">
        <f>VLOOKUP(VALUE(LEFT($A34, 4)), 'Raw Annual Revenue'!$A:W, 23, FALSE) / 4</f>
        <v>133462.25</v>
      </c>
      <c r="X32" s="28"/>
      <c r="Y32" s="28"/>
      <c r="Z32" s="28"/>
      <c r="AA32" s="28"/>
      <c r="AB32" s="28"/>
      <c r="AC32" s="28"/>
    </row>
    <row r="33" spans="1:29" ht="13">
      <c r="A33" s="27" t="s">
        <v>58</v>
      </c>
      <c r="B33" s="28"/>
      <c r="C33" s="31">
        <f>VLOOKUP(VALUE(LEFT(A33, 4)), 'Raw Annual Revenue'!A:C, 3, FALSE) / 4</f>
        <v>228593</v>
      </c>
      <c r="D33" s="31">
        <f>VLOOKUP(VALUE(LEFT(A33, 4)), 'Raw Annual Revenue'!A:D, 4, FALSE) / 4</f>
        <v>460753.25</v>
      </c>
      <c r="E33" s="31">
        <f>VLOOKUP(VALUE(LEFT(A33, 4)), 'Raw Annual Revenue'!A:E, 5, FALSE) / 4</f>
        <v>10218.25</v>
      </c>
      <c r="F33" s="28"/>
      <c r="G33" s="28"/>
      <c r="H33" s="28"/>
      <c r="I33" s="28"/>
      <c r="J33" s="28"/>
      <c r="K33" s="28"/>
      <c r="L33" s="28"/>
      <c r="M33" s="28"/>
      <c r="N33" s="28"/>
      <c r="O33" s="32">
        <f>VLOOKUP(VALUE(LEFT(A35, 4)), 'Raw Annual Revenue'!A:O, 15, FALSE) / 4</f>
        <v>997.5</v>
      </c>
      <c r="P33" s="28"/>
      <c r="Q33" s="28"/>
      <c r="R33" s="28"/>
      <c r="S33" s="28"/>
      <c r="T33" s="28"/>
      <c r="U33" s="30">
        <f>VLOOKUP(VALUE(LEFT($A33, 4)), 'Raw Annual Revenue'!$A:U, 21, FALSE) / 4</f>
        <v>61000</v>
      </c>
      <c r="V33" s="28"/>
      <c r="W33" s="30">
        <f>VLOOKUP(VALUE(LEFT($A35, 4)), 'Raw Annual Revenue'!$A:W, 23, FALSE) / 4</f>
        <v>166317</v>
      </c>
      <c r="X33" s="28"/>
      <c r="Y33" s="28"/>
      <c r="Z33" s="28"/>
      <c r="AA33" s="28"/>
      <c r="AB33" s="28"/>
      <c r="AC33" s="28"/>
    </row>
    <row r="34" spans="1:29" ht="13">
      <c r="A34" s="27" t="s">
        <v>59</v>
      </c>
      <c r="B34" s="28"/>
      <c r="C34" s="31">
        <f>VLOOKUP(VALUE(LEFT(A34, 4)), 'Raw Annual Revenue'!A:C, 3, FALSE) / 4</f>
        <v>228593</v>
      </c>
      <c r="D34" s="31">
        <f>VLOOKUP(VALUE(LEFT(A34, 4)), 'Raw Annual Revenue'!A:D, 4, FALSE) / 4</f>
        <v>460753.25</v>
      </c>
      <c r="E34" s="31">
        <f>VLOOKUP(VALUE(LEFT(A34, 4)), 'Raw Annual Revenue'!A:E, 5, FALSE) / 4</f>
        <v>10218.25</v>
      </c>
      <c r="F34" s="28"/>
      <c r="G34" s="28"/>
      <c r="H34" s="28"/>
      <c r="I34" s="28"/>
      <c r="J34" s="28"/>
      <c r="K34" s="28"/>
      <c r="L34" s="28"/>
      <c r="M34" s="28"/>
      <c r="N34" s="28"/>
      <c r="O34" s="32">
        <f>VLOOKUP(VALUE(LEFT(A36, 4)), 'Raw Annual Revenue'!A:O, 15, FALSE) / 4</f>
        <v>997.5</v>
      </c>
      <c r="P34" s="28"/>
      <c r="Q34" s="28"/>
      <c r="R34" s="28"/>
      <c r="S34" s="28"/>
      <c r="T34" s="28"/>
      <c r="U34" s="30"/>
      <c r="V34" s="28"/>
      <c r="W34" s="30">
        <f>VLOOKUP(VALUE(LEFT($A36, 4)), 'Raw Annual Revenue'!$A:W, 23, FALSE) / 4</f>
        <v>166317</v>
      </c>
      <c r="X34" s="28"/>
      <c r="Y34" s="28"/>
      <c r="Z34" s="28"/>
      <c r="AA34" s="28"/>
      <c r="AB34" s="28"/>
      <c r="AC34" s="28"/>
    </row>
    <row r="35" spans="1:29" ht="13">
      <c r="A35" s="27" t="s">
        <v>60</v>
      </c>
      <c r="B35" s="28"/>
      <c r="C35" s="31">
        <f>VLOOKUP(VALUE(LEFT(A35, 4)), 'Raw Annual Revenue'!A:C, 3, FALSE) / 4</f>
        <v>240665</v>
      </c>
      <c r="D35" s="31">
        <f>VLOOKUP(VALUE(LEFT(A35, 4)), 'Raw Annual Revenue'!A:D, 4, FALSE) / 4</f>
        <v>529863.75</v>
      </c>
      <c r="E35" s="31">
        <f>VLOOKUP(VALUE(LEFT(A35, 4)), 'Raw Annual Revenue'!A:E, 5, FALSE) / 4</f>
        <v>16857</v>
      </c>
      <c r="F35" s="28"/>
      <c r="G35" s="28"/>
      <c r="H35" s="28"/>
      <c r="I35" s="28"/>
      <c r="J35" s="28"/>
      <c r="K35" s="28"/>
      <c r="L35" s="28"/>
      <c r="M35" s="28"/>
      <c r="N35" s="28"/>
      <c r="O35" s="32">
        <f>VLOOKUP(VALUE(LEFT(A37, 4)), 'Raw Annual Revenue'!A:O, 15, FALSE) / 4</f>
        <v>997.5</v>
      </c>
      <c r="P35" s="28"/>
      <c r="Q35" s="28"/>
      <c r="R35" s="28"/>
      <c r="S35" s="28"/>
      <c r="T35" s="28"/>
      <c r="U35" s="30"/>
      <c r="V35" s="28"/>
      <c r="W35" s="30">
        <f>VLOOKUP(VALUE(LEFT($A37, 4)), 'Raw Annual Revenue'!$A:W, 23, FALSE) / 4</f>
        <v>166317</v>
      </c>
      <c r="X35" s="28"/>
      <c r="Y35" s="28"/>
      <c r="Z35" s="28"/>
      <c r="AA35" s="28"/>
      <c r="AB35" s="28"/>
      <c r="AC35" s="28"/>
    </row>
    <row r="36" spans="1:29" ht="13">
      <c r="A36" s="27" t="s">
        <v>61</v>
      </c>
      <c r="B36" s="28"/>
      <c r="C36" s="31">
        <f>VLOOKUP(VALUE(LEFT(A36, 4)), 'Raw Annual Revenue'!A:C, 3, FALSE) / 4</f>
        <v>240665</v>
      </c>
      <c r="D36" s="31">
        <f>VLOOKUP(VALUE(LEFT(A36, 4)), 'Raw Annual Revenue'!A:D, 4, FALSE) / 4</f>
        <v>529863.75</v>
      </c>
      <c r="E36" s="31">
        <f>VLOOKUP(VALUE(LEFT(A36, 4)), 'Raw Annual Revenue'!A:E, 5, FALSE) / 4</f>
        <v>16857</v>
      </c>
      <c r="F36" s="28"/>
      <c r="G36" s="28"/>
      <c r="H36" s="28"/>
      <c r="I36" s="28"/>
      <c r="J36" s="28"/>
      <c r="K36" s="28"/>
      <c r="L36" s="28"/>
      <c r="M36" s="28"/>
      <c r="N36" s="28"/>
      <c r="O36" s="32">
        <f>VLOOKUP(VALUE(LEFT(A38, 4)), 'Raw Annual Revenue'!A:O, 15, FALSE) / 4</f>
        <v>997.5</v>
      </c>
      <c r="P36" s="28"/>
      <c r="Q36" s="28"/>
      <c r="R36" s="28"/>
      <c r="S36" s="28"/>
      <c r="T36" s="28"/>
      <c r="U36" s="30"/>
      <c r="V36" s="28"/>
      <c r="W36" s="30">
        <f>VLOOKUP(VALUE(LEFT($A38, 4)), 'Raw Annual Revenue'!$A:W, 23, FALSE) / 4</f>
        <v>166317</v>
      </c>
      <c r="X36" s="28"/>
      <c r="Y36" s="28"/>
      <c r="Z36" s="28"/>
      <c r="AA36" s="28"/>
      <c r="AB36" s="28"/>
      <c r="AC36" s="28"/>
    </row>
    <row r="37" spans="1:29" ht="13">
      <c r="A37" s="27" t="s">
        <v>62</v>
      </c>
      <c r="B37" s="28"/>
      <c r="C37" s="31">
        <f>VLOOKUP(VALUE(LEFT(A37, 4)), 'Raw Annual Revenue'!A:C, 3, FALSE) / 4</f>
        <v>240665</v>
      </c>
      <c r="D37" s="31">
        <f>VLOOKUP(VALUE(LEFT(A37, 4)), 'Raw Annual Revenue'!A:D, 4, FALSE) / 4</f>
        <v>529863.75</v>
      </c>
      <c r="E37" s="31">
        <f>VLOOKUP(VALUE(LEFT(A37, 4)), 'Raw Annual Revenue'!A:E, 5, FALSE) / 4</f>
        <v>16857</v>
      </c>
      <c r="F37" s="28"/>
      <c r="G37" s="28"/>
      <c r="H37" s="28"/>
      <c r="I37" s="28"/>
      <c r="J37" s="28"/>
      <c r="K37" s="28"/>
      <c r="L37" s="28"/>
      <c r="M37" s="28"/>
      <c r="N37" s="28"/>
      <c r="O37" s="32">
        <f>VLOOKUP(VALUE(LEFT(A39, 4)), 'Raw Annual Revenue'!A:O, 15, FALSE) / 4</f>
        <v>2143.75</v>
      </c>
      <c r="P37" s="28"/>
      <c r="Q37" s="28"/>
      <c r="R37" s="28"/>
      <c r="S37" s="28"/>
      <c r="T37" s="28"/>
      <c r="U37" s="30"/>
      <c r="V37" s="28"/>
      <c r="W37" s="30">
        <f>VLOOKUP(VALUE(LEFT($A39, 4)), 'Raw Annual Revenue'!$A:W, 23, FALSE) / 4</f>
        <v>181152.5</v>
      </c>
      <c r="X37" s="28"/>
      <c r="Y37" s="28"/>
      <c r="Z37" s="28"/>
      <c r="AA37" s="28"/>
      <c r="AB37" s="28"/>
      <c r="AC37" s="28"/>
    </row>
    <row r="38" spans="1:29" ht="13">
      <c r="A38" s="27" t="s">
        <v>63</v>
      </c>
      <c r="B38" s="28"/>
      <c r="C38" s="31">
        <f>VLOOKUP(VALUE(LEFT(A38, 4)), 'Raw Annual Revenue'!A:C, 3, FALSE) / 4</f>
        <v>240665</v>
      </c>
      <c r="D38" s="31">
        <f>VLOOKUP(VALUE(LEFT(A38, 4)), 'Raw Annual Revenue'!A:D, 4, FALSE) / 4</f>
        <v>529863.75</v>
      </c>
      <c r="E38" s="31">
        <f>VLOOKUP(VALUE(LEFT(A38, 4)), 'Raw Annual Revenue'!A:E, 5, FALSE) / 4</f>
        <v>16857</v>
      </c>
      <c r="F38" s="28"/>
      <c r="G38" s="28"/>
      <c r="H38" s="28"/>
      <c r="I38" s="28"/>
      <c r="J38" s="28"/>
      <c r="K38" s="28"/>
      <c r="L38" s="28"/>
      <c r="M38" s="28"/>
      <c r="N38" s="28"/>
      <c r="O38" s="32">
        <f>VLOOKUP(VALUE(LEFT(A40, 4)), 'Raw Annual Revenue'!A:O, 15, FALSE) / 4</f>
        <v>2143.75</v>
      </c>
      <c r="P38" s="28"/>
      <c r="Q38" s="28"/>
      <c r="R38" s="28"/>
      <c r="S38" s="28"/>
      <c r="T38" s="28"/>
      <c r="U38" s="30"/>
      <c r="V38" s="28"/>
      <c r="W38" s="30">
        <f>VLOOKUP(VALUE(LEFT($A40, 4)), 'Raw Annual Revenue'!$A:W, 23, FALSE) / 4</f>
        <v>181152.5</v>
      </c>
      <c r="X38" s="28"/>
      <c r="Y38" s="28"/>
      <c r="Z38" s="28"/>
      <c r="AA38" s="28"/>
      <c r="AB38" s="28"/>
      <c r="AC38" s="28"/>
    </row>
    <row r="39" spans="1:29" ht="13">
      <c r="A39" s="27" t="s">
        <v>64</v>
      </c>
      <c r="B39" s="28"/>
      <c r="C39" s="31">
        <f>VLOOKUP(VALUE(LEFT(A39, 4)), 'Raw Annual Revenue'!A:C, 3, FALSE) / 4</f>
        <v>280775.75</v>
      </c>
      <c r="D39" s="31">
        <f>VLOOKUP(VALUE(LEFT(A39, 4)), 'Raw Annual Revenue'!A:D, 4, FALSE) / 4</f>
        <v>559396.5</v>
      </c>
      <c r="E39" s="31">
        <f>VLOOKUP(VALUE(LEFT(A39, 4)), 'Raw Annual Revenue'!A:E, 5, FALSE) / 4</f>
        <v>25328.75</v>
      </c>
      <c r="F39" s="28"/>
      <c r="G39" s="28"/>
      <c r="H39" s="28"/>
      <c r="I39" s="28"/>
      <c r="J39" s="28"/>
      <c r="K39" s="28"/>
      <c r="L39" s="28"/>
      <c r="M39" s="28"/>
      <c r="N39" s="28"/>
      <c r="O39" s="32">
        <f>VLOOKUP(VALUE(LEFT(A41, 4)), 'Raw Annual Revenue'!A:O, 15, FALSE) / 4</f>
        <v>2143.75</v>
      </c>
      <c r="P39" s="28"/>
      <c r="Q39" s="28"/>
      <c r="R39" s="28"/>
      <c r="S39" s="28"/>
      <c r="T39" s="28"/>
      <c r="U39" s="30"/>
      <c r="V39" s="28"/>
      <c r="W39" s="30">
        <f>VLOOKUP(VALUE(LEFT($A41, 4)), 'Raw Annual Revenue'!$A:W, 23, FALSE) / 4</f>
        <v>181152.5</v>
      </c>
      <c r="X39" s="28"/>
      <c r="Y39" s="28"/>
      <c r="Z39" s="28"/>
      <c r="AA39" s="28"/>
      <c r="AB39" s="28"/>
      <c r="AC39" s="28"/>
    </row>
    <row r="40" spans="1:29" ht="13">
      <c r="A40" s="27" t="s">
        <v>65</v>
      </c>
      <c r="B40" s="28"/>
      <c r="C40" s="31">
        <f>VLOOKUP(VALUE(LEFT(A40, 4)), 'Raw Annual Revenue'!A:C, 3, FALSE) / 4</f>
        <v>280775.75</v>
      </c>
      <c r="D40" s="31">
        <f>VLOOKUP(VALUE(LEFT(A40, 4)), 'Raw Annual Revenue'!A:D, 4, FALSE) / 4</f>
        <v>559396.5</v>
      </c>
      <c r="E40" s="31">
        <f>VLOOKUP(VALUE(LEFT(A40, 4)), 'Raw Annual Revenue'!A:E, 5, FALSE) / 4</f>
        <v>25328.75</v>
      </c>
      <c r="F40" s="28"/>
      <c r="G40" s="28"/>
      <c r="H40" s="28"/>
      <c r="I40" s="28"/>
      <c r="J40" s="28"/>
      <c r="K40" s="28"/>
      <c r="L40" s="28"/>
      <c r="M40" s="28"/>
      <c r="N40" s="28"/>
      <c r="O40" s="32">
        <f>VLOOKUP(VALUE(LEFT(A42, 4)), 'Raw Annual Revenue'!A:O, 15, FALSE) / 4</f>
        <v>2143.75</v>
      </c>
      <c r="P40" s="28"/>
      <c r="Q40" s="28"/>
      <c r="R40" s="28"/>
      <c r="S40" s="28"/>
      <c r="T40" s="28"/>
      <c r="U40" s="30"/>
      <c r="V40" s="28"/>
      <c r="W40" s="30">
        <f>VLOOKUP(VALUE(LEFT($A42, 4)), 'Raw Annual Revenue'!$A:W, 23, FALSE) / 4</f>
        <v>181152.5</v>
      </c>
      <c r="X40" s="28"/>
      <c r="Y40" s="28"/>
      <c r="Z40" s="28"/>
      <c r="AA40" s="28"/>
      <c r="AB40" s="28"/>
      <c r="AC40" s="28"/>
    </row>
    <row r="41" spans="1:29" ht="13">
      <c r="A41" s="27" t="s">
        <v>66</v>
      </c>
      <c r="B41" s="28"/>
      <c r="C41" s="31">
        <f>VLOOKUP(VALUE(LEFT(A41, 4)), 'Raw Annual Revenue'!A:C, 3, FALSE) / 4</f>
        <v>280775.75</v>
      </c>
      <c r="D41" s="31">
        <f>VLOOKUP(VALUE(LEFT(A41, 4)), 'Raw Annual Revenue'!A:D, 4, FALSE) / 4</f>
        <v>559396.5</v>
      </c>
      <c r="E41" s="31">
        <f>VLOOKUP(VALUE(LEFT(A41, 4)), 'Raw Annual Revenue'!A:E, 5, FALSE) / 4</f>
        <v>25328.75</v>
      </c>
      <c r="F41" s="28"/>
      <c r="G41" s="28"/>
      <c r="H41" s="28"/>
      <c r="I41" s="28"/>
      <c r="J41" s="28"/>
      <c r="K41" s="28"/>
      <c r="L41" s="28"/>
      <c r="M41" s="28"/>
      <c r="N41" s="28"/>
      <c r="O41" s="32">
        <f>VLOOKUP(VALUE(LEFT(A43, 4)), 'Raw Annual Revenue'!A:O, 15, FALSE) / 4</f>
        <v>3345.5</v>
      </c>
      <c r="P41" s="28"/>
      <c r="Q41" s="28"/>
      <c r="R41" s="28"/>
      <c r="S41" s="28"/>
      <c r="T41" s="28"/>
      <c r="U41" s="30"/>
      <c r="V41" s="28"/>
      <c r="W41" s="30">
        <f>VLOOKUP(VALUE(LEFT($A43, 4)), 'Raw Annual Revenue'!$A:W, 23, FALSE) / 4</f>
        <v>235890.5</v>
      </c>
      <c r="X41" s="28"/>
      <c r="Y41" s="28"/>
      <c r="Z41" s="28"/>
      <c r="AA41" s="28"/>
      <c r="AB41" s="28"/>
      <c r="AC41" s="28"/>
    </row>
    <row r="42" spans="1:29" ht="13">
      <c r="A42" s="27" t="s">
        <v>67</v>
      </c>
      <c r="B42" s="28"/>
      <c r="C42" s="31">
        <f>VLOOKUP(VALUE(LEFT(A42, 4)), 'Raw Annual Revenue'!A:C, 3, FALSE) / 4</f>
        <v>280775.75</v>
      </c>
      <c r="D42" s="31">
        <f>VLOOKUP(VALUE(LEFT(A42, 4)), 'Raw Annual Revenue'!A:D, 4, FALSE) / 4</f>
        <v>559396.5</v>
      </c>
      <c r="E42" s="31">
        <f>VLOOKUP(VALUE(LEFT(A42, 4)), 'Raw Annual Revenue'!A:E, 5, FALSE) / 4</f>
        <v>25328.75</v>
      </c>
      <c r="F42" s="28"/>
      <c r="G42" s="28"/>
      <c r="H42" s="28"/>
      <c r="I42" s="28"/>
      <c r="J42" s="28"/>
      <c r="K42" s="28"/>
      <c r="L42" s="28"/>
      <c r="M42" s="28"/>
      <c r="N42" s="28"/>
      <c r="O42" s="32">
        <f>VLOOKUP(VALUE(LEFT(A44, 4)), 'Raw Annual Revenue'!A:O, 15, FALSE) / 4</f>
        <v>3345.5</v>
      </c>
      <c r="P42" s="28"/>
      <c r="Q42" s="28"/>
      <c r="R42" s="28"/>
      <c r="S42" s="28"/>
      <c r="T42" s="28"/>
      <c r="U42" s="30"/>
      <c r="V42" s="28"/>
      <c r="W42" s="30">
        <f>VLOOKUP(VALUE(LEFT($A44, 4)), 'Raw Annual Revenue'!$A:W, 23, FALSE) / 4</f>
        <v>235890.5</v>
      </c>
      <c r="X42" s="28"/>
      <c r="Y42" s="28"/>
      <c r="Z42" s="28"/>
      <c r="AA42" s="28"/>
      <c r="AB42" s="28"/>
      <c r="AC42" s="28"/>
    </row>
    <row r="43" spans="1:29" ht="13">
      <c r="A43" s="27" t="s">
        <v>68</v>
      </c>
      <c r="B43" s="28"/>
      <c r="C43" s="31">
        <f>VLOOKUP(VALUE(LEFT(A43, 4)), 'Raw Annual Revenue'!A:C, 3, FALSE) / 4</f>
        <v>352352.25</v>
      </c>
      <c r="D43" s="31">
        <f>VLOOKUP(VALUE(LEFT(A43, 4)), 'Raw Annual Revenue'!A:D, 4, FALSE) / 4</f>
        <v>666333</v>
      </c>
      <c r="E43" s="31">
        <f>VLOOKUP(VALUE(LEFT(A43, 4)), 'Raw Annual Revenue'!A:E, 5, FALSE) / 4</f>
        <v>42247.75</v>
      </c>
      <c r="F43" s="28"/>
      <c r="G43" s="28"/>
      <c r="H43" s="28"/>
      <c r="I43" s="28"/>
      <c r="J43" s="28"/>
      <c r="K43" s="28"/>
      <c r="L43" s="28"/>
      <c r="M43" s="28"/>
      <c r="N43" s="28"/>
      <c r="O43" s="32">
        <f>VLOOKUP(VALUE(LEFT(A45, 4)), 'Raw Annual Revenue'!A:O, 15, FALSE) / 4</f>
        <v>3345.5</v>
      </c>
      <c r="P43" s="28"/>
      <c r="Q43" s="28"/>
      <c r="R43" s="28"/>
      <c r="S43" s="28"/>
      <c r="T43" s="28"/>
      <c r="U43" s="30"/>
      <c r="V43" s="28"/>
      <c r="W43" s="30">
        <f>VLOOKUP(VALUE(LEFT($A45, 4)), 'Raw Annual Revenue'!$A:W, 23, FALSE) / 4</f>
        <v>235890.5</v>
      </c>
      <c r="X43" s="28"/>
      <c r="Y43" s="28"/>
      <c r="Z43" s="28"/>
      <c r="AA43" s="28"/>
      <c r="AB43" s="28"/>
      <c r="AC43" s="28"/>
    </row>
    <row r="44" spans="1:29" ht="13">
      <c r="A44" s="27" t="s">
        <v>69</v>
      </c>
      <c r="B44" s="28"/>
      <c r="C44" s="31">
        <f>VLOOKUP(VALUE(LEFT(A44, 4)), 'Raw Annual Revenue'!A:C, 3, FALSE) / 4</f>
        <v>352352.25</v>
      </c>
      <c r="D44" s="31">
        <f>VLOOKUP(VALUE(LEFT(A44, 4)), 'Raw Annual Revenue'!A:D, 4, FALSE) / 4</f>
        <v>666333</v>
      </c>
      <c r="E44" s="31">
        <f>VLOOKUP(VALUE(LEFT(A44, 4)), 'Raw Annual Revenue'!A:E, 5, FALSE) / 4</f>
        <v>42247.75</v>
      </c>
      <c r="F44" s="28"/>
      <c r="G44" s="28"/>
      <c r="H44" s="28"/>
      <c r="I44" s="28"/>
      <c r="J44" s="28"/>
      <c r="K44" s="28"/>
      <c r="L44" s="28"/>
      <c r="M44" s="28"/>
      <c r="N44" s="28"/>
      <c r="O44" s="32">
        <f>VLOOKUP(VALUE(LEFT(A46, 4)), 'Raw Annual Revenue'!A:O, 15, FALSE) / 4</f>
        <v>3345.5</v>
      </c>
      <c r="P44" s="28"/>
      <c r="Q44" s="28"/>
      <c r="R44" s="28"/>
      <c r="S44" s="28"/>
      <c r="T44" s="28"/>
      <c r="U44" s="30">
        <f>VLOOKUP(VALUE(LEFT($A44, 4)), 'Raw Annual Revenue'!$A:U, 21, FALSE) / 4</f>
        <v>214750</v>
      </c>
      <c r="V44" s="28"/>
      <c r="W44" s="30">
        <f>VLOOKUP(VALUE(LEFT($A46, 4)), 'Raw Annual Revenue'!$A:W, 23, FALSE) / 4</f>
        <v>235890.5</v>
      </c>
      <c r="X44" s="28"/>
      <c r="Y44" s="28"/>
      <c r="Z44" s="28"/>
      <c r="AA44" s="28"/>
      <c r="AB44" s="28"/>
      <c r="AC44" s="28"/>
    </row>
    <row r="45" spans="1:29" ht="13">
      <c r="A45" s="27" t="s">
        <v>70</v>
      </c>
      <c r="B45" s="28"/>
      <c r="C45" s="31">
        <f>VLOOKUP(VALUE(LEFT(A45, 4)), 'Raw Annual Revenue'!A:C, 3, FALSE) / 4</f>
        <v>352352.25</v>
      </c>
      <c r="D45" s="31">
        <f>VLOOKUP(VALUE(LEFT(A45, 4)), 'Raw Annual Revenue'!A:D, 4, FALSE) / 4</f>
        <v>666333</v>
      </c>
      <c r="E45" s="31">
        <f>VLOOKUP(VALUE(LEFT(A45, 4)), 'Raw Annual Revenue'!A:E, 5, FALSE) / 4</f>
        <v>42247.75</v>
      </c>
      <c r="F45" s="28"/>
      <c r="G45" s="28"/>
      <c r="H45" s="28"/>
      <c r="I45" s="28"/>
      <c r="J45" s="28"/>
      <c r="K45" s="28"/>
      <c r="L45" s="28"/>
      <c r="M45" s="28"/>
      <c r="N45" s="28"/>
      <c r="O45" s="32">
        <f>VLOOKUP(VALUE(LEFT(A47, 4)), 'Raw Annual Revenue'!A:O, 15, FALSE) / 4</f>
        <v>5661</v>
      </c>
      <c r="P45" s="28"/>
      <c r="Q45" s="28"/>
      <c r="R45" s="28"/>
      <c r="S45" s="28"/>
      <c r="T45" s="28"/>
      <c r="U45" s="30">
        <f>VLOOKUP(VALUE(LEFT($A45, 4)), 'Raw Annual Revenue'!$A:U, 21, FALSE) / 4</f>
        <v>214750</v>
      </c>
      <c r="V45" s="28"/>
      <c r="W45" s="30">
        <f>VLOOKUP(VALUE(LEFT($A47, 4)), 'Raw Annual Revenue'!$A:W, 23, FALSE) / 4</f>
        <v>346804.75</v>
      </c>
      <c r="X45" s="28"/>
      <c r="Y45" s="28"/>
      <c r="Z45" s="28"/>
      <c r="AA45" s="28"/>
      <c r="AB45" s="28"/>
      <c r="AC45" s="28"/>
    </row>
    <row r="46" spans="1:29" ht="13">
      <c r="A46" s="27" t="s">
        <v>71</v>
      </c>
      <c r="B46" s="28"/>
      <c r="C46" s="31">
        <f>VLOOKUP(VALUE(LEFT(A46, 4)), 'Raw Annual Revenue'!A:C, 3, FALSE) / 4</f>
        <v>352352.25</v>
      </c>
      <c r="D46" s="31">
        <f>VLOOKUP(VALUE(LEFT(A46, 4)), 'Raw Annual Revenue'!A:D, 4, FALSE) / 4</f>
        <v>666333</v>
      </c>
      <c r="E46" s="31">
        <f>VLOOKUP(VALUE(LEFT(A46, 4)), 'Raw Annual Revenue'!A:E, 5, FALSE) / 4</f>
        <v>42247.75</v>
      </c>
      <c r="F46" s="28"/>
      <c r="G46" s="28"/>
      <c r="H46" s="28"/>
      <c r="I46" s="28"/>
      <c r="J46" s="28"/>
      <c r="K46" s="28"/>
      <c r="L46" s="28"/>
      <c r="M46" s="28"/>
      <c r="N46" s="28"/>
      <c r="O46" s="32">
        <f>VLOOKUP(VALUE(LEFT(A48, 4)), 'Raw Annual Revenue'!A:O, 15, FALSE) / 4</f>
        <v>5661</v>
      </c>
      <c r="P46" s="28"/>
      <c r="Q46" s="28"/>
      <c r="R46" s="28"/>
      <c r="S46" s="28"/>
      <c r="T46" s="28"/>
      <c r="U46" s="30">
        <f>VLOOKUP(VALUE(LEFT($A46, 4)), 'Raw Annual Revenue'!$A:U, 21, FALSE) / 4</f>
        <v>214750</v>
      </c>
      <c r="V46" s="28"/>
      <c r="W46" s="30">
        <f>VLOOKUP(VALUE(LEFT($A48, 4)), 'Raw Annual Revenue'!$A:W, 23, FALSE) / 4</f>
        <v>346804.75</v>
      </c>
      <c r="X46" s="28"/>
      <c r="Y46" s="28"/>
      <c r="Z46" s="28"/>
      <c r="AA46" s="28"/>
      <c r="AB46" s="28"/>
      <c r="AC46" s="28"/>
    </row>
    <row r="47" spans="1:29" ht="13">
      <c r="A47" s="27" t="s">
        <v>72</v>
      </c>
      <c r="B47" s="28"/>
      <c r="C47" s="31">
        <f>VLOOKUP(VALUE(LEFT(A47, 4)), 'Raw Annual Revenue'!A:C, 3, FALSE) / 4</f>
        <v>471201.5</v>
      </c>
      <c r="D47" s="31">
        <f>VLOOKUP(VALUE(LEFT(A47, 4)), 'Raw Annual Revenue'!A:D, 4, FALSE) / 4</f>
        <v>734253.25</v>
      </c>
      <c r="E47" s="31">
        <f>VLOOKUP(VALUE(LEFT(A47, 4)), 'Raw Annual Revenue'!A:E, 5, FALSE) / 4</f>
        <v>56219.5</v>
      </c>
      <c r="F47" s="28"/>
      <c r="G47" s="28"/>
      <c r="H47" s="28"/>
      <c r="I47" s="28"/>
      <c r="J47" s="28"/>
      <c r="K47" s="28"/>
      <c r="L47" s="28"/>
      <c r="M47" s="28"/>
      <c r="N47" s="28"/>
      <c r="O47" s="32">
        <f>VLOOKUP(VALUE(LEFT(A49, 4)), 'Raw Annual Revenue'!A:O, 15, FALSE) / 4</f>
        <v>5661</v>
      </c>
      <c r="P47" s="28"/>
      <c r="Q47" s="28"/>
      <c r="R47" s="28"/>
      <c r="S47" s="28"/>
      <c r="T47" s="28"/>
      <c r="U47" s="30">
        <f>VLOOKUP(VALUE(LEFT($A47, 4)), 'Raw Annual Revenue'!$A:U, 21, FALSE) / 4</f>
        <v>217500</v>
      </c>
      <c r="V47" s="28"/>
      <c r="W47" s="30">
        <f>VLOOKUP(VALUE(LEFT($A49, 4)), 'Raw Annual Revenue'!$A:W, 23, FALSE) / 4</f>
        <v>346804.75</v>
      </c>
      <c r="X47" s="28"/>
      <c r="Y47" s="28"/>
      <c r="Z47" s="28"/>
      <c r="AA47" s="28"/>
      <c r="AB47" s="28"/>
      <c r="AC47" s="28"/>
    </row>
    <row r="48" spans="1:29" ht="13">
      <c r="A48" s="27" t="s">
        <v>73</v>
      </c>
      <c r="B48" s="28"/>
      <c r="C48" s="31">
        <f>VLOOKUP(VALUE(LEFT(A48, 4)), 'Raw Annual Revenue'!A:C, 3, FALSE) / 4</f>
        <v>471201.5</v>
      </c>
      <c r="D48" s="31">
        <f>VLOOKUP(VALUE(LEFT(A48, 4)), 'Raw Annual Revenue'!A:D, 4, FALSE) / 4</f>
        <v>734253.25</v>
      </c>
      <c r="E48" s="31">
        <f>VLOOKUP(VALUE(LEFT(A48, 4)), 'Raw Annual Revenue'!A:E, 5, FALSE) / 4</f>
        <v>56219.5</v>
      </c>
      <c r="F48" s="28"/>
      <c r="G48" s="28"/>
      <c r="H48" s="28"/>
      <c r="I48" s="28"/>
      <c r="J48" s="34">
        <f>VLOOKUP(VALUE(LEFT(A51, 4)), 'Raw Annual Revenue'!A:J, 10, FALSE) / 4</f>
        <v>17138</v>
      </c>
      <c r="K48" s="28"/>
      <c r="L48" s="28"/>
      <c r="M48" s="28"/>
      <c r="N48" s="28"/>
      <c r="O48" s="32">
        <f>VLOOKUP(VALUE(LEFT(A50, 4)), 'Raw Annual Revenue'!A:O, 15, FALSE) / 4</f>
        <v>5661</v>
      </c>
      <c r="P48" s="28"/>
      <c r="Q48" s="28"/>
      <c r="R48" s="28"/>
      <c r="S48" s="28"/>
      <c r="T48" s="28"/>
      <c r="U48" s="30">
        <f>VLOOKUP(VALUE(LEFT($A48, 4)), 'Raw Annual Revenue'!$A:U, 21, FALSE) / 4</f>
        <v>217500</v>
      </c>
      <c r="V48" s="28"/>
      <c r="W48" s="30">
        <f>VLOOKUP(VALUE(LEFT($A50, 4)), 'Raw Annual Revenue'!$A:W, 23, FALSE) / 4</f>
        <v>346804.75</v>
      </c>
      <c r="X48" s="28"/>
      <c r="Y48" s="28"/>
      <c r="Z48" s="28"/>
      <c r="AA48" s="28"/>
      <c r="AB48" s="28"/>
      <c r="AC48" s="28"/>
    </row>
    <row r="49" spans="1:29" ht="13">
      <c r="A49" s="27" t="s">
        <v>74</v>
      </c>
      <c r="B49" s="28"/>
      <c r="C49" s="31">
        <f>VLOOKUP(VALUE(LEFT(A49, 4)), 'Raw Annual Revenue'!A:C, 3, FALSE) / 4</f>
        <v>471201.5</v>
      </c>
      <c r="D49" s="31">
        <f>VLOOKUP(VALUE(LEFT(A49, 4)), 'Raw Annual Revenue'!A:D, 4, FALSE) / 4</f>
        <v>734253.25</v>
      </c>
      <c r="E49" s="31">
        <f>VLOOKUP(VALUE(LEFT(A49, 4)), 'Raw Annual Revenue'!A:E, 5, FALSE) / 4</f>
        <v>56219.5</v>
      </c>
      <c r="F49" s="28"/>
      <c r="G49" s="28"/>
      <c r="H49" s="28"/>
      <c r="I49" s="28"/>
      <c r="J49" s="31">
        <f>VLOOKUP(VALUE(LEFT(A52, 4)), 'Raw Annual Revenue'!A:J, 10, FALSE) / 4</f>
        <v>17138</v>
      </c>
      <c r="K49" s="28"/>
      <c r="L49" s="28"/>
      <c r="M49" s="28"/>
      <c r="N49" s="28"/>
      <c r="O49" s="32">
        <f>VLOOKUP(VALUE(LEFT(A51, 4)), 'Raw Annual Revenue'!A:O, 15, FALSE) / 4</f>
        <v>5749.25</v>
      </c>
      <c r="P49" s="28"/>
      <c r="Q49" s="28"/>
      <c r="R49" s="28"/>
      <c r="S49" s="28"/>
      <c r="T49" s="28"/>
      <c r="U49" s="30">
        <f>VLOOKUP(VALUE(LEFT($A49, 4)), 'Raw Annual Revenue'!$A:U, 21, FALSE) / 4</f>
        <v>217500</v>
      </c>
      <c r="V49" s="28"/>
      <c r="W49" s="30">
        <f>VLOOKUP(VALUE(LEFT($A51, 4)), 'Raw Annual Revenue'!$A:W, 23, FALSE) / 4</f>
        <v>339452.5</v>
      </c>
      <c r="X49" s="28"/>
      <c r="Y49" s="28"/>
      <c r="Z49" s="28"/>
      <c r="AA49" s="28"/>
      <c r="AB49" s="28"/>
      <c r="AC49" s="28"/>
    </row>
    <row r="50" spans="1:29" ht="13">
      <c r="A50" s="27" t="s">
        <v>75</v>
      </c>
      <c r="B50" s="28"/>
      <c r="C50" s="31">
        <f>VLOOKUP(VALUE(LEFT(A50, 4)), 'Raw Annual Revenue'!A:C, 3, FALSE) / 4</f>
        <v>471201.5</v>
      </c>
      <c r="D50" s="31">
        <f>VLOOKUP(VALUE(LEFT(A50, 4)), 'Raw Annual Revenue'!A:D, 4, FALSE) / 4</f>
        <v>734253.25</v>
      </c>
      <c r="E50" s="31">
        <f>VLOOKUP(VALUE(LEFT(A50, 4)), 'Raw Annual Revenue'!A:E, 5, FALSE) / 4</f>
        <v>56219.5</v>
      </c>
      <c r="F50" s="28"/>
      <c r="G50" s="28"/>
      <c r="H50" s="28"/>
      <c r="I50" s="28"/>
      <c r="J50" s="31">
        <f>VLOOKUP(VALUE(LEFT(A53, 4)), 'Raw Annual Revenue'!A:J, 10, FALSE) / 4</f>
        <v>17138</v>
      </c>
      <c r="K50" s="28"/>
      <c r="L50" s="28"/>
      <c r="M50" s="28"/>
      <c r="N50" s="28"/>
      <c r="O50" s="32">
        <f>VLOOKUP(VALUE(LEFT(A52, 4)), 'Raw Annual Revenue'!A:O, 15, FALSE) / 4</f>
        <v>5749.25</v>
      </c>
      <c r="P50" s="28"/>
      <c r="Q50" s="28"/>
      <c r="R50" s="28"/>
      <c r="S50" s="28"/>
      <c r="T50" s="28"/>
      <c r="U50" s="30">
        <f>VLOOKUP(VALUE(LEFT($A50, 4)), 'Raw Annual Revenue'!$A:U, 21, FALSE) / 4</f>
        <v>217500</v>
      </c>
      <c r="V50" s="28"/>
      <c r="W50" s="30">
        <f>VLOOKUP(VALUE(LEFT($A52, 4)), 'Raw Annual Revenue'!$A:W, 23, FALSE) / 4</f>
        <v>339452.5</v>
      </c>
      <c r="X50" s="28"/>
      <c r="Y50" s="28"/>
      <c r="Z50" s="28"/>
      <c r="AA50" s="28"/>
      <c r="AB50" s="28"/>
      <c r="AC50" s="28"/>
    </row>
    <row r="51" spans="1:29" ht="13">
      <c r="A51" s="27" t="s">
        <v>76</v>
      </c>
      <c r="B51" s="28"/>
      <c r="C51" s="31">
        <f>VLOOKUP(VALUE(LEFT(A51, 4)), 'Raw Annual Revenue'!A:C, 3, FALSE) / 4</f>
        <v>584553</v>
      </c>
      <c r="D51" s="31">
        <f>VLOOKUP(VALUE(LEFT(A51, 4)), 'Raw Annual Revenue'!A:D, 4, FALSE) / 4</f>
        <v>685762.75</v>
      </c>
      <c r="E51" s="31">
        <f>VLOOKUP(VALUE(LEFT(A51, 4)), 'Raw Annual Revenue'!A:E, 5, FALSE) / 4</f>
        <v>75012.75</v>
      </c>
      <c r="F51" s="31">
        <f>VLOOKUP(VALUE(LEFT(A51, 4)), 'Raw Annual Revenue'!A:F, 6, FALSE) / 4</f>
        <v>88022.25</v>
      </c>
      <c r="G51" s="31"/>
      <c r="H51" s="31"/>
      <c r="I51" s="31"/>
      <c r="J51" s="31">
        <f>VLOOKUP(VALUE(LEFT(A54, 4)), 'Raw Annual Revenue'!A:J, 10, FALSE) / 4</f>
        <v>17138</v>
      </c>
      <c r="K51" s="28"/>
      <c r="L51" s="31">
        <f>VLOOKUP(VALUE(LEFT($A51, 4)), 'Raw Annual Revenue'!$A:L, 12, FALSE) / 4</f>
        <v>47420.75</v>
      </c>
      <c r="M51" s="28"/>
      <c r="N51" s="28"/>
      <c r="O51" s="32">
        <f>VLOOKUP(VALUE(LEFT(A53, 4)), 'Raw Annual Revenue'!A:O, 15, FALSE) / 4</f>
        <v>5749.25</v>
      </c>
      <c r="P51" s="28"/>
      <c r="Q51" s="28"/>
      <c r="R51" s="28"/>
      <c r="S51" s="28"/>
      <c r="T51" s="28"/>
      <c r="U51" s="30">
        <f>VLOOKUP(VALUE(LEFT($A51, 4)), 'Raw Annual Revenue'!$A:U, 21, FALSE) / 4</f>
        <v>184500</v>
      </c>
      <c r="V51" s="28"/>
      <c r="W51" s="30">
        <f>VLOOKUP(VALUE(LEFT($A53, 4)), 'Raw Annual Revenue'!$A:W, 23, FALSE) / 4</f>
        <v>339452.5</v>
      </c>
      <c r="X51" s="28"/>
      <c r="Y51" s="28"/>
      <c r="Z51" s="28"/>
      <c r="AA51" s="28"/>
      <c r="AB51" s="28"/>
      <c r="AC51" s="28"/>
    </row>
    <row r="52" spans="1:29" ht="13">
      <c r="A52" s="27" t="s">
        <v>77</v>
      </c>
      <c r="B52" s="28"/>
      <c r="C52" s="31">
        <f>VLOOKUP(VALUE(LEFT(A52, 4)), 'Raw Annual Revenue'!A:C, 3, FALSE) / 4</f>
        <v>584553</v>
      </c>
      <c r="D52" s="31">
        <f>VLOOKUP(VALUE(LEFT(A52, 4)), 'Raw Annual Revenue'!A:D, 4, FALSE) / 4</f>
        <v>685762.75</v>
      </c>
      <c r="E52" s="31">
        <f>VLOOKUP(VALUE(LEFT(A52, 4)), 'Raw Annual Revenue'!A:E, 5, FALSE) / 4</f>
        <v>75012.75</v>
      </c>
      <c r="F52" s="31">
        <f>VLOOKUP(VALUE(LEFT(A52, 4)), 'Raw Annual Revenue'!A:F, 6, FALSE) / 4</f>
        <v>88022.25</v>
      </c>
      <c r="G52" s="28"/>
      <c r="H52" s="28"/>
      <c r="I52" s="28"/>
      <c r="J52" s="31">
        <f>VLOOKUP(VALUE(LEFT(A55, 4)), 'Raw Annual Revenue'!A:J, 10, FALSE) / 4</f>
        <v>20890</v>
      </c>
      <c r="K52" s="28"/>
      <c r="L52" s="31">
        <f>VLOOKUP(VALUE(LEFT($A52, 4)), 'Raw Annual Revenue'!$A:L, 12, FALSE) / 4</f>
        <v>47420.75</v>
      </c>
      <c r="M52" s="28"/>
      <c r="N52" s="28"/>
      <c r="O52" s="32">
        <f>VLOOKUP(VALUE(LEFT(A54, 4)), 'Raw Annual Revenue'!A:O, 15, FALSE) / 4</f>
        <v>5749.25</v>
      </c>
      <c r="P52" s="28"/>
      <c r="Q52" s="28"/>
      <c r="R52" s="28"/>
      <c r="S52" s="28"/>
      <c r="T52" s="28"/>
      <c r="U52" s="30">
        <f>VLOOKUP(VALUE(LEFT($A52, 4)), 'Raw Annual Revenue'!$A:U, 21, FALSE) / 4</f>
        <v>184500</v>
      </c>
      <c r="V52" s="28"/>
      <c r="W52" s="30">
        <f>VLOOKUP(VALUE(LEFT($A54, 4)), 'Raw Annual Revenue'!$A:W, 23, FALSE) / 4</f>
        <v>339452.5</v>
      </c>
      <c r="X52" s="28"/>
      <c r="Y52" s="28"/>
      <c r="Z52" s="28"/>
      <c r="AA52" s="28"/>
      <c r="AB52" s="28"/>
      <c r="AC52" s="28"/>
    </row>
    <row r="53" spans="1:29" ht="13">
      <c r="A53" s="27" t="s">
        <v>78</v>
      </c>
      <c r="B53" s="28"/>
      <c r="C53" s="31">
        <f>VLOOKUP(VALUE(LEFT(A53, 4)), 'Raw Annual Revenue'!A:C, 3, FALSE) / 4</f>
        <v>584553</v>
      </c>
      <c r="D53" s="31">
        <f>VLOOKUP(VALUE(LEFT(A53, 4)), 'Raw Annual Revenue'!A:D, 4, FALSE) / 4</f>
        <v>685762.75</v>
      </c>
      <c r="E53" s="31">
        <f>VLOOKUP(VALUE(LEFT(A53, 4)), 'Raw Annual Revenue'!A:E, 5, FALSE) / 4</f>
        <v>75012.75</v>
      </c>
      <c r="F53" s="31">
        <f>VLOOKUP(VALUE(LEFT(A53, 4)), 'Raw Annual Revenue'!A:F, 6, FALSE) / 4</f>
        <v>88022.25</v>
      </c>
      <c r="G53" s="28"/>
      <c r="H53" s="28"/>
      <c r="I53" s="28"/>
      <c r="J53" s="31">
        <f>VLOOKUP(VALUE(LEFT(A56, 4)), 'Raw Annual Revenue'!A:J, 10, FALSE) / 4</f>
        <v>20890</v>
      </c>
      <c r="K53" s="28"/>
      <c r="L53" s="31">
        <f>VLOOKUP(VALUE(LEFT($A53, 4)), 'Raw Annual Revenue'!$A:L, 12, FALSE) / 4</f>
        <v>47420.75</v>
      </c>
      <c r="M53" s="28"/>
      <c r="N53" s="28"/>
      <c r="O53" s="32">
        <f>VLOOKUP(VALUE(LEFT(A55, 4)), 'Raw Annual Revenue'!A:O, 15, FALSE) / 4</f>
        <v>7913.25</v>
      </c>
      <c r="P53" s="28"/>
      <c r="Q53" s="28"/>
      <c r="R53" s="28"/>
      <c r="S53" s="28"/>
      <c r="T53" s="28"/>
      <c r="U53" s="30">
        <f>VLOOKUP(VALUE(LEFT($A53, 4)), 'Raw Annual Revenue'!$A:U, 21, FALSE) / 4</f>
        <v>184500</v>
      </c>
      <c r="V53" s="28"/>
      <c r="W53" s="30">
        <f>VLOOKUP(VALUE(LEFT($A55, 4)), 'Raw Annual Revenue'!$A:W, 23, FALSE) / 4</f>
        <v>375805</v>
      </c>
      <c r="X53" s="28"/>
      <c r="Y53" s="28"/>
      <c r="Z53" s="28"/>
      <c r="AA53" s="28"/>
      <c r="AB53" s="28"/>
      <c r="AC53" s="28"/>
    </row>
    <row r="54" spans="1:29" ht="13">
      <c r="A54" s="27" t="s">
        <v>79</v>
      </c>
      <c r="B54" s="28"/>
      <c r="C54" s="31">
        <f>VLOOKUP(VALUE(LEFT(A54, 4)), 'Raw Annual Revenue'!A:C, 3, FALSE) / 4</f>
        <v>584553</v>
      </c>
      <c r="D54" s="31">
        <f>VLOOKUP(VALUE(LEFT(A54, 4)), 'Raw Annual Revenue'!A:D, 4, FALSE) / 4</f>
        <v>685762.75</v>
      </c>
      <c r="E54" s="31">
        <f>VLOOKUP(VALUE(LEFT(A54, 4)), 'Raw Annual Revenue'!A:E, 5, FALSE) / 4</f>
        <v>75012.75</v>
      </c>
      <c r="F54" s="31">
        <f>VLOOKUP(VALUE(LEFT(A54, 4)), 'Raw Annual Revenue'!A:F, 6, FALSE) / 4</f>
        <v>88022.25</v>
      </c>
      <c r="G54" s="28"/>
      <c r="H54" s="28"/>
      <c r="I54" s="28"/>
      <c r="J54" s="31">
        <f>VLOOKUP(VALUE(LEFT(A57, 4)), 'Raw Annual Revenue'!A:J, 10, FALSE) / 4</f>
        <v>20890</v>
      </c>
      <c r="K54" s="28"/>
      <c r="L54" s="31">
        <f>VLOOKUP(VALUE(LEFT($A54, 4)), 'Raw Annual Revenue'!$A:L, 12, FALSE) / 4</f>
        <v>47420.75</v>
      </c>
      <c r="M54" s="28"/>
      <c r="N54" s="28"/>
      <c r="O54" s="32">
        <f>VLOOKUP(VALUE(LEFT(A56, 4)), 'Raw Annual Revenue'!A:O, 15, FALSE) / 4</f>
        <v>7913.25</v>
      </c>
      <c r="P54" s="28"/>
      <c r="Q54" s="28"/>
      <c r="R54" s="28"/>
      <c r="S54" s="28"/>
      <c r="T54" s="28"/>
      <c r="U54" s="30">
        <f>VLOOKUP(VALUE(LEFT($A54, 4)), 'Raw Annual Revenue'!$A:U, 21, FALSE) / 4</f>
        <v>184500</v>
      </c>
      <c r="V54" s="28"/>
      <c r="W54" s="30">
        <f>VLOOKUP(VALUE(LEFT($A56, 4)), 'Raw Annual Revenue'!$A:W, 23, FALSE) / 4</f>
        <v>375805</v>
      </c>
      <c r="X54" s="28"/>
      <c r="Y54" s="28"/>
      <c r="Z54" s="28"/>
      <c r="AA54" s="28"/>
      <c r="AB54" s="28"/>
      <c r="AC54" s="28"/>
    </row>
    <row r="55" spans="1:29" ht="13">
      <c r="A55" s="27" t="s">
        <v>80</v>
      </c>
      <c r="B55" s="28"/>
      <c r="C55" s="31">
        <f>VLOOKUP(VALUE(LEFT(A55, 4)), 'Raw Annual Revenue'!A:C, 3, FALSE) / 4</f>
        <v>771226.25</v>
      </c>
      <c r="D55" s="31">
        <f>VLOOKUP(VALUE(LEFT(A55, 4)), 'Raw Annual Revenue'!A:D, 4, FALSE) / 4</f>
        <v>758411.25</v>
      </c>
      <c r="E55" s="31">
        <f>VLOOKUP(VALUE(LEFT(A55, 4)), 'Raw Annual Revenue'!A:E, 5, FALSE) / 4</f>
        <v>112500.25</v>
      </c>
      <c r="F55" s="31">
        <f>VLOOKUP(VALUE(LEFT(A55, 4)), 'Raw Annual Revenue'!A:F, 6, FALSE) / 4</f>
        <v>121158.75</v>
      </c>
      <c r="G55" s="28"/>
      <c r="H55" s="28"/>
      <c r="I55" s="28"/>
      <c r="J55" s="31">
        <f>VLOOKUP(VALUE(LEFT(A58, 4)), 'Raw Annual Revenue'!A:J, 10, FALSE) / 4</f>
        <v>20890</v>
      </c>
      <c r="K55" s="28"/>
      <c r="L55" s="31">
        <f>VLOOKUP(VALUE(LEFT($A55, 4)), 'Raw Annual Revenue'!$A:L, 12, FALSE) / 4</f>
        <v>66336.75</v>
      </c>
      <c r="M55" s="28"/>
      <c r="N55" s="28"/>
      <c r="O55" s="32">
        <f>VLOOKUP(VALUE(LEFT(A57, 4)), 'Raw Annual Revenue'!A:O, 15, FALSE) / 4</f>
        <v>7913.25</v>
      </c>
      <c r="P55" s="28"/>
      <c r="Q55" s="28"/>
      <c r="R55" s="28"/>
      <c r="S55" s="28"/>
      <c r="T55" s="28"/>
      <c r="U55" s="30">
        <f>VLOOKUP(VALUE(LEFT($A55, 4)), 'Raw Annual Revenue'!$A:U, 21, FALSE) / 4</f>
        <v>189371.75</v>
      </c>
      <c r="V55" s="28"/>
      <c r="W55" s="30">
        <f>VLOOKUP(VALUE(LEFT($A57, 4)), 'Raw Annual Revenue'!$A:W, 23, FALSE) / 4</f>
        <v>375805</v>
      </c>
      <c r="X55" s="28"/>
      <c r="Y55" s="28"/>
      <c r="Z55" s="28"/>
      <c r="AA55" s="28"/>
      <c r="AB55" s="28"/>
      <c r="AC55" s="28"/>
    </row>
    <row r="56" spans="1:29" ht="13">
      <c r="A56" s="27" t="s">
        <v>81</v>
      </c>
      <c r="B56" s="28"/>
      <c r="C56" s="31">
        <f>VLOOKUP(VALUE(LEFT(A56, 4)), 'Raw Annual Revenue'!A:C, 3, FALSE) / 4</f>
        <v>771226.25</v>
      </c>
      <c r="D56" s="31">
        <f>VLOOKUP(VALUE(LEFT(A56, 4)), 'Raw Annual Revenue'!A:D, 4, FALSE) / 4</f>
        <v>758411.25</v>
      </c>
      <c r="E56" s="31">
        <f>VLOOKUP(VALUE(LEFT(A56, 4)), 'Raw Annual Revenue'!A:E, 5, FALSE) / 4</f>
        <v>112500.25</v>
      </c>
      <c r="F56" s="31">
        <f>VLOOKUP(VALUE(LEFT(A56, 4)), 'Raw Annual Revenue'!A:F, 6, FALSE) / 4</f>
        <v>121158.75</v>
      </c>
      <c r="G56" s="28"/>
      <c r="H56" s="28"/>
      <c r="I56" s="28"/>
      <c r="J56" s="31">
        <f>VLOOKUP(VALUE(LEFT(A59, 4)), 'Raw Annual Revenue'!A:J, 10, FALSE) / 4</f>
        <v>31180.25</v>
      </c>
      <c r="K56" s="28"/>
      <c r="L56" s="31">
        <f>VLOOKUP(VALUE(LEFT($A56, 4)), 'Raw Annual Revenue'!$A:L, 12, FALSE) / 4</f>
        <v>66336.75</v>
      </c>
      <c r="M56" s="28"/>
      <c r="N56" s="28"/>
      <c r="O56" s="32">
        <f>VLOOKUP(VALUE(LEFT(A58, 4)), 'Raw Annual Revenue'!A:O, 15, FALSE) / 4</f>
        <v>7913.25</v>
      </c>
      <c r="P56" s="28"/>
      <c r="Q56" s="28"/>
      <c r="R56" s="28"/>
      <c r="S56" s="28"/>
      <c r="T56" s="28"/>
      <c r="U56" s="30">
        <f>VLOOKUP(VALUE(LEFT($A56, 4)), 'Raw Annual Revenue'!$A:U, 21, FALSE) / 4</f>
        <v>189371.75</v>
      </c>
      <c r="V56" s="28"/>
      <c r="W56" s="30">
        <f>VLOOKUP(VALUE(LEFT($A58, 4)), 'Raw Annual Revenue'!$A:W, 23, FALSE) / 4</f>
        <v>375805</v>
      </c>
      <c r="X56" s="28"/>
      <c r="Y56" s="28"/>
      <c r="Z56" s="28"/>
      <c r="AA56" s="28"/>
      <c r="AB56" s="28"/>
      <c r="AC56" s="28"/>
    </row>
    <row r="57" spans="1:29" ht="13">
      <c r="A57" s="27" t="s">
        <v>82</v>
      </c>
      <c r="B57" s="28"/>
      <c r="C57" s="31">
        <f>VLOOKUP(VALUE(LEFT(A57, 4)), 'Raw Annual Revenue'!A:C, 3, FALSE) / 4</f>
        <v>771226.25</v>
      </c>
      <c r="D57" s="31">
        <f>VLOOKUP(VALUE(LEFT(A57, 4)), 'Raw Annual Revenue'!A:D, 4, FALSE) / 4</f>
        <v>758411.25</v>
      </c>
      <c r="E57" s="31">
        <f>VLOOKUP(VALUE(LEFT(A57, 4)), 'Raw Annual Revenue'!A:E, 5, FALSE) / 4</f>
        <v>112500.25</v>
      </c>
      <c r="F57" s="31">
        <f>VLOOKUP(VALUE(LEFT(A57, 4)), 'Raw Annual Revenue'!A:F, 6, FALSE) / 4</f>
        <v>121158.75</v>
      </c>
      <c r="G57" s="28"/>
      <c r="H57" s="28"/>
      <c r="I57" s="28"/>
      <c r="J57" s="31">
        <f>VLOOKUP(VALUE(LEFT(A60, 4)), 'Raw Annual Revenue'!A:J, 10, FALSE) / 4</f>
        <v>31180.25</v>
      </c>
      <c r="K57" s="28"/>
      <c r="L57" s="31">
        <f>VLOOKUP(VALUE(LEFT($A57, 4)), 'Raw Annual Revenue'!$A:L, 12, FALSE) / 4</f>
        <v>66336.75</v>
      </c>
      <c r="M57" s="28"/>
      <c r="N57" s="28"/>
      <c r="O57" s="32">
        <f>VLOOKUP(VALUE(LEFT(A59, 4)), 'Raw Annual Revenue'!A:O, 15, FALSE) / 4</f>
        <v>11691.5</v>
      </c>
      <c r="P57" s="28"/>
      <c r="Q57" s="28"/>
      <c r="R57" s="28"/>
      <c r="S57" s="28"/>
      <c r="T57" s="28"/>
      <c r="U57" s="30">
        <f>VLOOKUP(VALUE(LEFT($A57, 4)), 'Raw Annual Revenue'!$A:U, 21, FALSE) / 4</f>
        <v>189371.75</v>
      </c>
      <c r="V57" s="28"/>
      <c r="W57" s="30">
        <f>VLOOKUP(VALUE(LEFT($A59, 4)), 'Raw Annual Revenue'!$A:W, 23, FALSE) / 4</f>
        <v>487927.75</v>
      </c>
      <c r="X57" s="28"/>
      <c r="Y57" s="28"/>
      <c r="Z57" s="28"/>
      <c r="AA57" s="28"/>
      <c r="AB57" s="28"/>
      <c r="AC57" s="28"/>
    </row>
    <row r="58" spans="1:29" ht="13">
      <c r="A58" s="27" t="s">
        <v>83</v>
      </c>
      <c r="B58" s="28"/>
      <c r="C58" s="31">
        <f>VLOOKUP(VALUE(LEFT(A58, 4)), 'Raw Annual Revenue'!A:C, 3, FALSE) / 4</f>
        <v>771226.25</v>
      </c>
      <c r="D58" s="31">
        <f>VLOOKUP(VALUE(LEFT(A58, 4)), 'Raw Annual Revenue'!A:D, 4, FALSE) / 4</f>
        <v>758411.25</v>
      </c>
      <c r="E58" s="31">
        <f>VLOOKUP(VALUE(LEFT(A58, 4)), 'Raw Annual Revenue'!A:E, 5, FALSE) / 4</f>
        <v>112500.25</v>
      </c>
      <c r="F58" s="31">
        <f>VLOOKUP(VALUE(LEFT(A58, 4)), 'Raw Annual Revenue'!A:F, 6, FALSE) / 4</f>
        <v>121158.75</v>
      </c>
      <c r="G58" s="28"/>
      <c r="H58" s="28"/>
      <c r="I58" s="28"/>
      <c r="J58" s="31">
        <f>VLOOKUP(VALUE(LEFT(A61, 4)), 'Raw Annual Revenue'!A:J, 10, FALSE) / 4</f>
        <v>31180.25</v>
      </c>
      <c r="K58" s="28"/>
      <c r="L58" s="31">
        <f>VLOOKUP(VALUE(LEFT($A58, 4)), 'Raw Annual Revenue'!$A:L, 12, FALSE) / 4</f>
        <v>66336.75</v>
      </c>
      <c r="M58" s="28"/>
      <c r="N58" s="28"/>
      <c r="O58" s="32">
        <f>VLOOKUP(VALUE(LEFT(A60, 4)), 'Raw Annual Revenue'!A:O, 15, FALSE) / 4</f>
        <v>11691.5</v>
      </c>
      <c r="P58" s="28"/>
      <c r="Q58" s="28"/>
      <c r="R58" s="28"/>
      <c r="S58" s="28"/>
      <c r="T58" s="28"/>
      <c r="U58" s="30">
        <f>VLOOKUP(VALUE(LEFT($A58, 4)), 'Raw Annual Revenue'!$A:U, 21, FALSE) / 4</f>
        <v>189371.75</v>
      </c>
      <c r="V58" s="28"/>
      <c r="W58" s="30">
        <f>VLOOKUP(VALUE(LEFT($A60, 4)), 'Raw Annual Revenue'!$A:W, 23, FALSE) / 4</f>
        <v>487927.75</v>
      </c>
      <c r="X58" s="28"/>
      <c r="Y58" s="28"/>
      <c r="Z58" s="28"/>
      <c r="AA58" s="28"/>
      <c r="AB58" s="28"/>
      <c r="AC58" s="28"/>
    </row>
    <row r="59" spans="1:29" ht="13">
      <c r="A59" s="27" t="s">
        <v>84</v>
      </c>
      <c r="B59" s="28"/>
      <c r="C59" s="31">
        <f>VLOOKUP(VALUE(LEFT(A59, 4)), 'Raw Annual Revenue'!A:C, 3, FALSE) / 4</f>
        <v>1088902.5</v>
      </c>
      <c r="D59" s="31">
        <f>VLOOKUP(VALUE(LEFT(A59, 4)), 'Raw Annual Revenue'!A:D, 4, FALSE) / 4</f>
        <v>862252.25</v>
      </c>
      <c r="E59" s="31">
        <f>VLOOKUP(VALUE(LEFT(A59, 4)), 'Raw Annual Revenue'!A:E, 5, FALSE) / 4</f>
        <v>143460</v>
      </c>
      <c r="F59" s="31">
        <f>VLOOKUP(VALUE(LEFT(A59, 4)), 'Raw Annual Revenue'!A:F, 6, FALSE) / 4</f>
        <v>159265.75</v>
      </c>
      <c r="G59" s="28"/>
      <c r="H59" s="28"/>
      <c r="I59" s="28"/>
      <c r="J59" s="31">
        <f>VLOOKUP(VALUE(LEFT(A62, 4)), 'Raw Annual Revenue'!A:J, 10, FALSE) / 4</f>
        <v>31180.25</v>
      </c>
      <c r="K59" s="28"/>
      <c r="L59" s="31">
        <f>VLOOKUP(VALUE(LEFT($A59, 4)), 'Raw Annual Revenue'!$A:L, 12, FALSE) / 4</f>
        <v>73072.5</v>
      </c>
      <c r="M59" s="28"/>
      <c r="N59" s="28"/>
      <c r="O59" s="32">
        <f>VLOOKUP(VALUE(LEFT(A61, 4)), 'Raw Annual Revenue'!A:O, 15, FALSE) / 4</f>
        <v>11691.5</v>
      </c>
      <c r="P59" s="28"/>
      <c r="Q59" s="28"/>
      <c r="R59" s="28"/>
      <c r="S59" s="28"/>
      <c r="T59" s="28"/>
      <c r="U59" s="30">
        <f>VLOOKUP(VALUE(LEFT($A59, 4)), 'Raw Annual Revenue'!$A:U, 21, FALSE) / 4</f>
        <v>191954.75</v>
      </c>
      <c r="V59" s="28"/>
      <c r="W59" s="30">
        <f>VLOOKUP(VALUE(LEFT($A61, 4)), 'Raw Annual Revenue'!$A:W, 23, FALSE) / 4</f>
        <v>487927.75</v>
      </c>
      <c r="X59" s="28"/>
      <c r="Y59" s="28"/>
      <c r="Z59" s="28"/>
      <c r="AA59" s="28"/>
      <c r="AB59" s="28"/>
      <c r="AC59" s="28"/>
    </row>
    <row r="60" spans="1:29" ht="13">
      <c r="A60" s="27" t="s">
        <v>85</v>
      </c>
      <c r="B60" s="28"/>
      <c r="C60" s="31">
        <f>VLOOKUP(VALUE(LEFT(A60, 4)), 'Raw Annual Revenue'!A:C, 3, FALSE) / 4</f>
        <v>1088902.5</v>
      </c>
      <c r="D60" s="31">
        <f>VLOOKUP(VALUE(LEFT(A60, 4)), 'Raw Annual Revenue'!A:D, 4, FALSE) / 4</f>
        <v>862252.25</v>
      </c>
      <c r="E60" s="31">
        <f>VLOOKUP(VALUE(LEFT(A60, 4)), 'Raw Annual Revenue'!A:E, 5, FALSE) / 4</f>
        <v>143460</v>
      </c>
      <c r="F60" s="31">
        <f>VLOOKUP(VALUE(LEFT(A60, 4)), 'Raw Annual Revenue'!A:F, 6, FALSE) / 4</f>
        <v>159265.75</v>
      </c>
      <c r="G60" s="28"/>
      <c r="H60" s="34">
        <f>VLOOKUP(VALUE(LEFT(A63, 4)), 'Raw Annual Revenue'!A:H, 8, FALSE) / 4</f>
        <v>141421</v>
      </c>
      <c r="I60" s="28"/>
      <c r="J60" s="31">
        <f>VLOOKUP(VALUE(LEFT(A63, 4)), 'Raw Annual Revenue'!A:J, 10, FALSE) / 4</f>
        <v>49149.75</v>
      </c>
      <c r="K60" s="28"/>
      <c r="L60" s="31">
        <f>VLOOKUP(VALUE(LEFT($A60, 4)), 'Raw Annual Revenue'!$A:L, 12, FALSE) / 4</f>
        <v>73072.5</v>
      </c>
      <c r="M60" s="28"/>
      <c r="N60" s="28"/>
      <c r="O60" s="32">
        <f>VLOOKUP(VALUE(LEFT(A62, 4)), 'Raw Annual Revenue'!A:O, 15, FALSE) / 4</f>
        <v>11691.5</v>
      </c>
      <c r="P60" s="28"/>
      <c r="Q60" s="28"/>
      <c r="R60" s="28"/>
      <c r="S60" s="28"/>
      <c r="T60" s="28"/>
      <c r="U60" s="30">
        <f>VLOOKUP(VALUE(LEFT($A60, 4)), 'Raw Annual Revenue'!$A:U, 21, FALSE) / 4</f>
        <v>191954.75</v>
      </c>
      <c r="V60" s="28"/>
      <c r="W60" s="30">
        <f>VLOOKUP(VALUE(LEFT($A62, 4)), 'Raw Annual Revenue'!$A:W, 23, FALSE) / 4</f>
        <v>487927.75</v>
      </c>
      <c r="X60" s="28"/>
      <c r="Y60" s="28"/>
      <c r="Z60" s="28"/>
      <c r="AA60" s="28"/>
      <c r="AB60" s="28"/>
      <c r="AC60" s="28"/>
    </row>
    <row r="61" spans="1:29" ht="13">
      <c r="A61" s="27" t="s">
        <v>86</v>
      </c>
      <c r="B61" s="28"/>
      <c r="C61" s="31">
        <f>VLOOKUP(VALUE(LEFT(A61, 4)), 'Raw Annual Revenue'!A:C, 3, FALSE) / 4</f>
        <v>1088902.5</v>
      </c>
      <c r="D61" s="31">
        <f>VLOOKUP(VALUE(LEFT(A61, 4)), 'Raw Annual Revenue'!A:D, 4, FALSE) / 4</f>
        <v>862252.25</v>
      </c>
      <c r="E61" s="31">
        <f>VLOOKUP(VALUE(LEFT(A61, 4)), 'Raw Annual Revenue'!A:E, 5, FALSE) / 4</f>
        <v>143460</v>
      </c>
      <c r="F61" s="31">
        <f>VLOOKUP(VALUE(LEFT(A61, 4)), 'Raw Annual Revenue'!A:F, 6, FALSE) / 4</f>
        <v>159265.75</v>
      </c>
      <c r="G61" s="28"/>
      <c r="H61" s="31">
        <f>VLOOKUP(VALUE(LEFT(A64, 4)), 'Raw Annual Revenue'!A:H, 8, FALSE) / 4</f>
        <v>141421</v>
      </c>
      <c r="I61" s="28"/>
      <c r="J61" s="31">
        <f>VLOOKUP(VALUE(LEFT(A64, 4)), 'Raw Annual Revenue'!A:J, 10, FALSE) / 4</f>
        <v>49149.75</v>
      </c>
      <c r="K61" s="28"/>
      <c r="L61" s="31">
        <f>VLOOKUP(VALUE(LEFT($A61, 4)), 'Raw Annual Revenue'!$A:L, 12, FALSE) / 4</f>
        <v>73072.5</v>
      </c>
      <c r="M61" s="28"/>
      <c r="N61" s="28"/>
      <c r="O61" s="32">
        <f>VLOOKUP(VALUE(LEFT(A63, 4)), 'Raw Annual Revenue'!A:O, 15, FALSE) / 4</f>
        <v>14692.5</v>
      </c>
      <c r="P61" s="28"/>
      <c r="Q61" s="28"/>
      <c r="R61" s="28"/>
      <c r="S61" s="28"/>
      <c r="T61" s="28"/>
      <c r="U61" s="30">
        <f>VLOOKUP(VALUE(LEFT($A61, 4)), 'Raw Annual Revenue'!$A:U, 21, FALSE) / 4</f>
        <v>191954.75</v>
      </c>
      <c r="V61" s="28"/>
      <c r="W61" s="30">
        <f>VLOOKUP(VALUE(LEFT($A63, 4)), 'Raw Annual Revenue'!$A:W, 23, FALSE) / 4</f>
        <v>505327.75</v>
      </c>
      <c r="X61" s="28"/>
      <c r="Y61" s="28"/>
      <c r="Z61" s="28"/>
      <c r="AA61" s="28"/>
      <c r="AB61" s="28"/>
      <c r="AC61" s="28"/>
    </row>
    <row r="62" spans="1:29" ht="13">
      <c r="A62" s="27" t="s">
        <v>87</v>
      </c>
      <c r="B62" s="28"/>
      <c r="C62" s="31">
        <f>VLOOKUP(VALUE(LEFT(A62, 4)), 'Raw Annual Revenue'!A:C, 3, FALSE) / 4</f>
        <v>1088902.5</v>
      </c>
      <c r="D62" s="31">
        <f>VLOOKUP(VALUE(LEFT(A62, 4)), 'Raw Annual Revenue'!A:D, 4, FALSE) / 4</f>
        <v>862252.25</v>
      </c>
      <c r="E62" s="31">
        <f>VLOOKUP(VALUE(LEFT(A62, 4)), 'Raw Annual Revenue'!A:E, 5, FALSE) / 4</f>
        <v>143460</v>
      </c>
      <c r="F62" s="31">
        <f>VLOOKUP(VALUE(LEFT(A62, 4)), 'Raw Annual Revenue'!A:F, 6, FALSE) / 4</f>
        <v>159265.75</v>
      </c>
      <c r="G62" s="28"/>
      <c r="H62" s="31">
        <f>VLOOKUP(VALUE(LEFT(A65, 4)), 'Raw Annual Revenue'!A:H, 8, FALSE) / 4</f>
        <v>141421</v>
      </c>
      <c r="I62" s="28"/>
      <c r="J62" s="31">
        <f>VLOOKUP(VALUE(LEFT(A65, 4)), 'Raw Annual Revenue'!A:J, 10, FALSE) / 4</f>
        <v>49149.75</v>
      </c>
      <c r="K62" s="28"/>
      <c r="L62" s="31">
        <f>VLOOKUP(VALUE(LEFT($A62, 4)), 'Raw Annual Revenue'!$A:L, 12, FALSE) / 4</f>
        <v>73072.5</v>
      </c>
      <c r="M62" s="28"/>
      <c r="N62" s="28"/>
      <c r="O62" s="32">
        <f>VLOOKUP(VALUE(LEFT(A64, 4)), 'Raw Annual Revenue'!A:O, 15, FALSE) / 4</f>
        <v>14692.5</v>
      </c>
      <c r="P62" s="28"/>
      <c r="Q62" s="28"/>
      <c r="R62" s="28"/>
      <c r="S62" s="28"/>
      <c r="T62" s="28"/>
      <c r="U62" s="30">
        <f>VLOOKUP(VALUE(LEFT($A62, 4)), 'Raw Annual Revenue'!$A:U, 21, FALSE) / 4</f>
        <v>191954.75</v>
      </c>
      <c r="V62" s="28"/>
      <c r="W62" s="30">
        <f>VLOOKUP(VALUE(LEFT($A64, 4)), 'Raw Annual Revenue'!$A:W, 23, FALSE) / 4</f>
        <v>505327.75</v>
      </c>
      <c r="X62" s="28"/>
      <c r="Y62" s="28"/>
      <c r="Z62" s="28"/>
      <c r="AA62" s="28"/>
      <c r="AB62" s="28"/>
      <c r="AC62" s="28"/>
    </row>
    <row r="63" spans="1:29" ht="13">
      <c r="A63" s="27" t="s">
        <v>88</v>
      </c>
      <c r="B63" s="28"/>
      <c r="C63" s="31">
        <f>VLOOKUP(VALUE(LEFT(A63, 4)), 'Raw Annual Revenue'!A:C, 3, FALSE) / 4</f>
        <v>1315239</v>
      </c>
      <c r="D63" s="31">
        <f>VLOOKUP(VALUE(LEFT(A63, 4)), 'Raw Annual Revenue'!A:D, 4, FALSE) / 4</f>
        <v>1007586.75</v>
      </c>
      <c r="E63" s="31">
        <f>VLOOKUP(VALUE(LEFT(A63, 4)), 'Raw Annual Revenue'!A:E, 5, FALSE) / 4</f>
        <v>170483</v>
      </c>
      <c r="F63" s="31">
        <f>VLOOKUP(VALUE(LEFT(A63, 4)), 'Raw Annual Revenue'!A:F, 6, FALSE) / 4</f>
        <v>190750</v>
      </c>
      <c r="G63" s="31"/>
      <c r="H63" s="31">
        <f>VLOOKUP(VALUE(LEFT(A66, 4)), 'Raw Annual Revenue'!A:H, 8, FALSE) / 4</f>
        <v>141421</v>
      </c>
      <c r="I63" s="28"/>
      <c r="J63" s="31">
        <f>VLOOKUP(VALUE(LEFT(A66, 4)), 'Raw Annual Revenue'!A:J, 10, FALSE) / 4</f>
        <v>49149.75</v>
      </c>
      <c r="K63" s="28"/>
      <c r="L63" s="31">
        <f>VLOOKUP(VALUE(LEFT($A63, 4)), 'Raw Annual Revenue'!$A:L, 12, FALSE) / 4</f>
        <v>83659.5</v>
      </c>
      <c r="M63" s="28"/>
      <c r="N63" s="28"/>
      <c r="O63" s="32">
        <f>VLOOKUP(VALUE(LEFT(A65, 4)), 'Raw Annual Revenue'!A:O, 15, FALSE) / 4</f>
        <v>14692.5</v>
      </c>
      <c r="P63" s="28"/>
      <c r="Q63" s="28"/>
      <c r="R63" s="31">
        <f>VLOOKUP(VALUE(LEFT(A63, 4)), 'Raw Annual Revenue'!A:R, 18, FALSE) / 4</f>
        <v>24745.25</v>
      </c>
      <c r="S63" s="28"/>
      <c r="T63" s="28"/>
      <c r="U63" s="30">
        <f>VLOOKUP(VALUE(LEFT($A63, 4)), 'Raw Annual Revenue'!$A:U, 21, FALSE) / 4</f>
        <v>194699</v>
      </c>
      <c r="V63" s="28"/>
      <c r="W63" s="30">
        <f>VLOOKUP(VALUE(LEFT($A65, 4)), 'Raw Annual Revenue'!$A:W, 23, FALSE) / 4</f>
        <v>505327.75</v>
      </c>
      <c r="X63" s="28"/>
      <c r="Y63" s="28"/>
      <c r="Z63" s="28"/>
      <c r="AA63" s="28"/>
      <c r="AB63" s="28"/>
      <c r="AC63" s="28"/>
    </row>
    <row r="64" spans="1:29" ht="13">
      <c r="A64" s="27" t="s">
        <v>89</v>
      </c>
      <c r="B64" s="28"/>
      <c r="C64" s="31">
        <f>VLOOKUP(VALUE(LEFT(A64, 4)), 'Raw Annual Revenue'!A:C, 3, FALSE) / 4</f>
        <v>1315239</v>
      </c>
      <c r="D64" s="31">
        <f>VLOOKUP(VALUE(LEFT(A64, 4)), 'Raw Annual Revenue'!A:D, 4, FALSE) / 4</f>
        <v>1007586.75</v>
      </c>
      <c r="E64" s="31">
        <f>VLOOKUP(VALUE(LEFT(A64, 4)), 'Raw Annual Revenue'!A:E, 5, FALSE) / 4</f>
        <v>170483</v>
      </c>
      <c r="F64" s="31">
        <f>VLOOKUP(VALUE(LEFT(A64, 4)), 'Raw Annual Revenue'!A:F, 6, FALSE) / 4</f>
        <v>190750</v>
      </c>
      <c r="G64" s="28"/>
      <c r="H64" s="31">
        <f>VLOOKUP(VALUE(LEFT(A67, 4)), 'Raw Annual Revenue'!A:H, 8, FALSE) / 4</f>
        <v>153515.75</v>
      </c>
      <c r="I64" s="28"/>
      <c r="J64" s="31">
        <f>VLOOKUP(VALUE(LEFT(A67, 4)), 'Raw Annual Revenue'!A:J, 10, FALSE) / 4</f>
        <v>57205.5</v>
      </c>
      <c r="K64" s="28"/>
      <c r="L64" s="31">
        <f>VLOOKUP(VALUE(LEFT($A64, 4)), 'Raw Annual Revenue'!$A:L, 12, FALSE) / 4</f>
        <v>83659.5</v>
      </c>
      <c r="M64" s="28"/>
      <c r="N64" s="28"/>
      <c r="O64" s="32">
        <f>VLOOKUP(VALUE(LEFT(A66, 4)), 'Raw Annual Revenue'!A:O, 15, FALSE) / 4</f>
        <v>14692.5</v>
      </c>
      <c r="P64" s="28"/>
      <c r="Q64" s="28"/>
      <c r="R64" s="31">
        <f>VLOOKUP(VALUE(LEFT(A64, 4)), 'Raw Annual Revenue'!A:R, 18, FALSE) / 4</f>
        <v>24745.25</v>
      </c>
      <c r="S64" s="28"/>
      <c r="T64" s="28"/>
      <c r="U64" s="30">
        <f>VLOOKUP(VALUE(LEFT($A64, 4)), 'Raw Annual Revenue'!$A:U, 21, FALSE) / 4</f>
        <v>194699</v>
      </c>
      <c r="V64" s="28"/>
      <c r="W64" s="30">
        <f>VLOOKUP(VALUE(LEFT($A66, 4)), 'Raw Annual Revenue'!$A:W, 23, FALSE) / 4</f>
        <v>505327.75</v>
      </c>
      <c r="X64" s="28"/>
      <c r="Y64" s="28"/>
      <c r="Z64" s="28"/>
      <c r="AA64" s="28"/>
      <c r="AB64" s="28"/>
      <c r="AC64" s="28"/>
    </row>
    <row r="65" spans="1:29" ht="13">
      <c r="A65" s="27" t="s">
        <v>90</v>
      </c>
      <c r="B65" s="28"/>
      <c r="C65" s="31">
        <f>VLOOKUP(VALUE(LEFT(A65, 4)), 'Raw Annual Revenue'!A:C, 3, FALSE) / 4</f>
        <v>1315239</v>
      </c>
      <c r="D65" s="31">
        <f>VLOOKUP(VALUE(LEFT(A65, 4)), 'Raw Annual Revenue'!A:D, 4, FALSE) / 4</f>
        <v>1007586.75</v>
      </c>
      <c r="E65" s="31">
        <f>VLOOKUP(VALUE(LEFT(A65, 4)), 'Raw Annual Revenue'!A:E, 5, FALSE) / 4</f>
        <v>170483</v>
      </c>
      <c r="F65" s="31">
        <f>VLOOKUP(VALUE(LEFT(A65, 4)), 'Raw Annual Revenue'!A:F, 6, FALSE) / 4</f>
        <v>190750</v>
      </c>
      <c r="G65" s="28"/>
      <c r="H65" s="31">
        <f>VLOOKUP(VALUE(LEFT(A68, 4)), 'Raw Annual Revenue'!A:H, 8, FALSE) / 4</f>
        <v>153515.75</v>
      </c>
      <c r="I65" s="28"/>
      <c r="J65" s="31">
        <f>VLOOKUP(VALUE(LEFT(A68, 4)), 'Raw Annual Revenue'!A:J, 10, FALSE) / 4</f>
        <v>57205.5</v>
      </c>
      <c r="K65" s="28"/>
      <c r="L65" s="31">
        <f>VLOOKUP(VALUE(LEFT($A65, 4)), 'Raw Annual Revenue'!$A:L, 12, FALSE) / 4</f>
        <v>83659.5</v>
      </c>
      <c r="M65" s="28"/>
      <c r="N65" s="28"/>
      <c r="O65" s="32">
        <f>VLOOKUP(VALUE(LEFT(A67, 4)), 'Raw Annual Revenue'!A:O, 15, FALSE) / 4</f>
        <v>17278.25</v>
      </c>
      <c r="P65" s="28"/>
      <c r="Q65" s="28"/>
      <c r="R65" s="31">
        <f>VLOOKUP(VALUE(LEFT(A65, 4)), 'Raw Annual Revenue'!A:R, 18, FALSE) / 4</f>
        <v>24745.25</v>
      </c>
      <c r="S65" s="28"/>
      <c r="T65" s="28"/>
      <c r="U65" s="30">
        <f>VLOOKUP(VALUE(LEFT($A65, 4)), 'Raw Annual Revenue'!$A:U, 21, FALSE) / 4</f>
        <v>194699</v>
      </c>
      <c r="V65" s="28"/>
      <c r="W65" s="30">
        <f>VLOOKUP(VALUE(LEFT($A67, 4)), 'Raw Annual Revenue'!$A:W, 23, FALSE) / 4</f>
        <v>450700</v>
      </c>
      <c r="X65" s="28"/>
      <c r="Y65" s="28"/>
      <c r="Z65" s="28"/>
      <c r="AA65" s="28"/>
      <c r="AB65" s="28"/>
      <c r="AC65" s="28"/>
    </row>
    <row r="66" spans="1:29" ht="13">
      <c r="A66" s="27" t="s">
        <v>91</v>
      </c>
      <c r="B66" s="28"/>
      <c r="C66" s="31">
        <f>VLOOKUP(VALUE(LEFT(A66, 4)), 'Raw Annual Revenue'!A:C, 3, FALSE) / 4</f>
        <v>1315239</v>
      </c>
      <c r="D66" s="31">
        <f>VLOOKUP(VALUE(LEFT(A66, 4)), 'Raw Annual Revenue'!A:D, 4, FALSE) / 4</f>
        <v>1007586.75</v>
      </c>
      <c r="E66" s="31">
        <f>VLOOKUP(VALUE(LEFT(A66, 4)), 'Raw Annual Revenue'!A:E, 5, FALSE) / 4</f>
        <v>170483</v>
      </c>
      <c r="F66" s="31">
        <f>VLOOKUP(VALUE(LEFT(A66, 4)), 'Raw Annual Revenue'!A:F, 6, FALSE) / 4</f>
        <v>190750</v>
      </c>
      <c r="G66" s="28"/>
      <c r="H66" s="31">
        <f>VLOOKUP(VALUE(LEFT(A69, 4)), 'Raw Annual Revenue'!A:H, 8, FALSE) / 4</f>
        <v>153515.75</v>
      </c>
      <c r="I66" s="28"/>
      <c r="J66" s="31">
        <f>VLOOKUP(VALUE(LEFT(A69, 4)), 'Raw Annual Revenue'!A:J, 10, FALSE) / 4</f>
        <v>57205.5</v>
      </c>
      <c r="K66" s="28"/>
      <c r="L66" s="31">
        <f>VLOOKUP(VALUE(LEFT($A66, 4)), 'Raw Annual Revenue'!$A:L, 12, FALSE) / 4</f>
        <v>83659.5</v>
      </c>
      <c r="M66" s="28"/>
      <c r="N66" s="28"/>
      <c r="O66" s="32">
        <f>VLOOKUP(VALUE(LEFT(A68, 4)), 'Raw Annual Revenue'!A:O, 15, FALSE) / 4</f>
        <v>17278.25</v>
      </c>
      <c r="P66" s="28"/>
      <c r="Q66" s="28"/>
      <c r="R66" s="31">
        <f>VLOOKUP(VALUE(LEFT(A66, 4)), 'Raw Annual Revenue'!A:R, 18, FALSE) / 4</f>
        <v>24745.25</v>
      </c>
      <c r="S66" s="28"/>
      <c r="T66" s="28"/>
      <c r="U66" s="30">
        <f>VLOOKUP(VALUE(LEFT($A66, 4)), 'Raw Annual Revenue'!$A:U, 21, FALSE) / 4</f>
        <v>194699</v>
      </c>
      <c r="V66" s="28"/>
      <c r="W66" s="30">
        <f>VLOOKUP(VALUE(LEFT($A68, 4)), 'Raw Annual Revenue'!$A:W, 23, FALSE) / 4</f>
        <v>450700</v>
      </c>
      <c r="X66" s="28"/>
      <c r="Y66" s="28"/>
      <c r="Z66" s="28"/>
      <c r="AA66" s="28"/>
      <c r="AB66" s="28"/>
      <c r="AC66" s="28"/>
    </row>
    <row r="67" spans="1:29" ht="13">
      <c r="A67" s="27" t="s">
        <v>92</v>
      </c>
      <c r="B67" s="28"/>
      <c r="C67" s="31">
        <f>VLOOKUP(VALUE(LEFT(A67, 4)), 'Raw Annual Revenue'!A:C, 3, FALSE) / 4</f>
        <v>1698326.5</v>
      </c>
      <c r="D67" s="31">
        <f>VLOOKUP(VALUE(LEFT(A67, 4)), 'Raw Annual Revenue'!A:D, 4, FALSE) / 4</f>
        <v>1192814.75</v>
      </c>
      <c r="E67" s="31">
        <f>VLOOKUP(VALUE(LEFT(A67, 4)), 'Raw Annual Revenue'!A:E, 5, FALSE) / 4</f>
        <v>227364</v>
      </c>
      <c r="F67" s="31">
        <f>VLOOKUP(VALUE(LEFT(A67, 4)), 'Raw Annual Revenue'!A:F, 6, FALSE) / 4</f>
        <v>236250</v>
      </c>
      <c r="G67" s="28"/>
      <c r="H67" s="31">
        <f>VLOOKUP(VALUE(LEFT(A70, 4)), 'Raw Annual Revenue'!A:H, 8, FALSE) / 4</f>
        <v>153515.75</v>
      </c>
      <c r="I67" s="28"/>
      <c r="J67" s="31">
        <f>VLOOKUP(VALUE(LEFT(A70, 4)), 'Raw Annual Revenue'!A:J, 10, FALSE) / 4</f>
        <v>57205.5</v>
      </c>
      <c r="K67" s="28"/>
      <c r="L67" s="31">
        <f>VLOOKUP(VALUE(LEFT($A67, 4)), 'Raw Annual Revenue'!$A:L, 12, FALSE) / 4</f>
        <v>95841</v>
      </c>
      <c r="M67" s="28"/>
      <c r="N67" s="28"/>
      <c r="O67" s="32">
        <f>VLOOKUP(VALUE(LEFT(A69, 4)), 'Raw Annual Revenue'!A:O, 15, FALSE) / 4</f>
        <v>17278.25</v>
      </c>
      <c r="P67" s="28"/>
      <c r="Q67" s="28"/>
      <c r="R67" s="31">
        <f>VLOOKUP(VALUE(LEFT(A67, 4)), 'Raw Annual Revenue'!A:R, 18, FALSE) / 4</f>
        <v>42470.75</v>
      </c>
      <c r="S67" s="28"/>
      <c r="T67" s="28"/>
      <c r="U67" s="30">
        <f>VLOOKUP(VALUE(LEFT($A67, 4)), 'Raw Annual Revenue'!$A:U, 21, FALSE) / 4</f>
        <v>211750.75</v>
      </c>
      <c r="V67" s="28"/>
      <c r="W67" s="30">
        <f>VLOOKUP(VALUE(LEFT($A69, 4)), 'Raw Annual Revenue'!$A:W, 23, FALSE) / 4</f>
        <v>450700</v>
      </c>
      <c r="X67" s="31">
        <f>VLOOKUP(VALUE(LEFT($A67, 4)), 'Raw Annual Revenue'!$A:X, 24, FALSE) / 4</f>
        <v>26660.868600000002</v>
      </c>
      <c r="Y67" s="31"/>
      <c r="Z67" s="31"/>
      <c r="AA67" s="31"/>
      <c r="AB67" s="31"/>
      <c r="AC67" s="28"/>
    </row>
    <row r="68" spans="1:29" ht="13">
      <c r="A68" s="27" t="s">
        <v>93</v>
      </c>
      <c r="B68" s="28"/>
      <c r="C68" s="31">
        <f>VLOOKUP(VALUE(LEFT(A68, 4)), 'Raw Annual Revenue'!A:C, 3, FALSE) / 4</f>
        <v>1698326.5</v>
      </c>
      <c r="D68" s="31">
        <f>VLOOKUP(VALUE(LEFT(A68, 4)), 'Raw Annual Revenue'!A:D, 4, FALSE) / 4</f>
        <v>1192814.75</v>
      </c>
      <c r="E68" s="31">
        <f>VLOOKUP(VALUE(LEFT(A68, 4)), 'Raw Annual Revenue'!A:E, 5, FALSE) / 4</f>
        <v>227364</v>
      </c>
      <c r="F68" s="31">
        <f>VLOOKUP(VALUE(LEFT(A68, 4)), 'Raw Annual Revenue'!A:F, 6, FALSE) / 4</f>
        <v>236250</v>
      </c>
      <c r="G68" s="28"/>
      <c r="H68" s="31">
        <f>VLOOKUP(VALUE(LEFT(A71, 4)), 'Raw Annual Revenue'!A:H, 8, FALSE) / 4</f>
        <v>165088.5</v>
      </c>
      <c r="I68" s="28"/>
      <c r="J68" s="31">
        <f>VLOOKUP(VALUE(LEFT(A71, 4)), 'Raw Annual Revenue'!A:J, 10, FALSE) / 4</f>
        <v>64135.75</v>
      </c>
      <c r="K68" s="28"/>
      <c r="L68" s="31">
        <f>VLOOKUP(VALUE(LEFT($A68, 4)), 'Raw Annual Revenue'!$A:L, 12, FALSE) / 4</f>
        <v>95841</v>
      </c>
      <c r="M68" s="28"/>
      <c r="N68" s="28"/>
      <c r="O68" s="32">
        <f>VLOOKUP(VALUE(LEFT(A70, 4)), 'Raw Annual Revenue'!A:O, 15, FALSE) / 4</f>
        <v>17278.25</v>
      </c>
      <c r="P68" s="28"/>
      <c r="Q68" s="28"/>
      <c r="R68" s="31">
        <f>VLOOKUP(VALUE(LEFT(A68, 4)), 'Raw Annual Revenue'!A:R, 18, FALSE) / 4</f>
        <v>42470.75</v>
      </c>
      <c r="S68" s="28"/>
      <c r="T68" s="28"/>
      <c r="U68" s="30">
        <f>VLOOKUP(VALUE(LEFT($A68, 4)), 'Raw Annual Revenue'!$A:U, 21, FALSE) / 4</f>
        <v>211750.75</v>
      </c>
      <c r="V68" s="28"/>
      <c r="W68" s="30">
        <f>VLOOKUP(VALUE(LEFT($A70, 4)), 'Raw Annual Revenue'!$A:W, 23, FALSE) / 4</f>
        <v>450700</v>
      </c>
      <c r="X68" s="31">
        <f>VLOOKUP(VALUE(LEFT(A68, 4)), 'Raw Annual Revenue'!A:X, 24, FALSE) / 4</f>
        <v>26660.868600000002</v>
      </c>
      <c r="Y68" s="31"/>
      <c r="Z68" s="31"/>
      <c r="AA68" s="31"/>
      <c r="AB68" s="31"/>
      <c r="AC68" s="28"/>
    </row>
    <row r="69" spans="1:29" ht="13">
      <c r="A69" s="27" t="s">
        <v>94</v>
      </c>
      <c r="B69" s="28"/>
      <c r="C69" s="31">
        <f>VLOOKUP(VALUE(LEFT(A69, 4)), 'Raw Annual Revenue'!A:C, 3, FALSE) / 4</f>
        <v>1698326.5</v>
      </c>
      <c r="D69" s="31">
        <f>VLOOKUP(VALUE(LEFT(A69, 4)), 'Raw Annual Revenue'!A:D, 4, FALSE) / 4</f>
        <v>1192814.75</v>
      </c>
      <c r="E69" s="31">
        <f>VLOOKUP(VALUE(LEFT(A69, 4)), 'Raw Annual Revenue'!A:E, 5, FALSE) / 4</f>
        <v>227364</v>
      </c>
      <c r="F69" s="31">
        <f>VLOOKUP(VALUE(LEFT(A69, 4)), 'Raw Annual Revenue'!A:F, 6, FALSE) / 4</f>
        <v>236250</v>
      </c>
      <c r="G69" s="28"/>
      <c r="H69" s="31">
        <f>VLOOKUP(VALUE(LEFT(A72, 4)), 'Raw Annual Revenue'!A:H, 8, FALSE) / 4</f>
        <v>165088.5</v>
      </c>
      <c r="I69" s="28"/>
      <c r="J69" s="31">
        <f>VLOOKUP(VALUE(LEFT(A72, 4)), 'Raw Annual Revenue'!A:J, 10, FALSE) / 4</f>
        <v>64135.75</v>
      </c>
      <c r="K69" s="28"/>
      <c r="L69" s="31">
        <f>VLOOKUP(VALUE(LEFT($A69, 4)), 'Raw Annual Revenue'!$A:L, 12, FALSE) / 4</f>
        <v>95841</v>
      </c>
      <c r="M69" s="28"/>
      <c r="N69" s="28"/>
      <c r="O69" s="32">
        <f>VLOOKUP(VALUE(LEFT(A71, 4)), 'Raw Annual Revenue'!A:O, 15, FALSE) / 4</f>
        <v>23230.75</v>
      </c>
      <c r="P69" s="28"/>
      <c r="Q69" s="28"/>
      <c r="R69" s="31">
        <f>VLOOKUP(VALUE(LEFT(A69, 4)), 'Raw Annual Revenue'!A:R, 18, FALSE) / 4</f>
        <v>42470.75</v>
      </c>
      <c r="S69" s="28"/>
      <c r="T69" s="28"/>
      <c r="U69" s="30">
        <f>VLOOKUP(VALUE(LEFT($A69, 4)), 'Raw Annual Revenue'!$A:U, 21, FALSE) / 4</f>
        <v>211750.75</v>
      </c>
      <c r="V69" s="28"/>
      <c r="W69" s="30">
        <f>VLOOKUP(VALUE(LEFT($A71, 4)), 'Raw Annual Revenue'!$A:W, 23, FALSE) / 4</f>
        <v>519982</v>
      </c>
      <c r="X69" s="31">
        <f>VLOOKUP(VALUE(LEFT(A69, 4)), 'Raw Annual Revenue'!A:X, 24, FALSE) / 4</f>
        <v>26660.868600000002</v>
      </c>
      <c r="Y69" s="31"/>
      <c r="Z69" s="31"/>
      <c r="AA69" s="31"/>
      <c r="AB69" s="31"/>
      <c r="AC69" s="28"/>
    </row>
    <row r="70" spans="1:29" ht="13">
      <c r="A70" s="27" t="s">
        <v>95</v>
      </c>
      <c r="B70" s="28"/>
      <c r="C70" s="31">
        <f>VLOOKUP(VALUE(LEFT(A70, 4)), 'Raw Annual Revenue'!A:C, 3, FALSE) / 4</f>
        <v>1698326.5</v>
      </c>
      <c r="D70" s="31">
        <f>VLOOKUP(VALUE(LEFT(A70, 4)), 'Raw Annual Revenue'!A:D, 4, FALSE) / 4</f>
        <v>1192814.75</v>
      </c>
      <c r="E70" s="31">
        <f>VLOOKUP(VALUE(LEFT(A70, 4)), 'Raw Annual Revenue'!A:E, 5, FALSE) / 4</f>
        <v>227364</v>
      </c>
      <c r="F70" s="31">
        <f>VLOOKUP(VALUE(LEFT(A70, 4)), 'Raw Annual Revenue'!A:F, 6, FALSE) / 4</f>
        <v>236250</v>
      </c>
      <c r="G70" s="28"/>
      <c r="H70" s="31">
        <f>VLOOKUP(VALUE(LEFT(A73, 4)), 'Raw Annual Revenue'!A:H, 8, FALSE) / 4</f>
        <v>165088.5</v>
      </c>
      <c r="I70" s="28"/>
      <c r="J70" s="31">
        <f>VLOOKUP(VALUE(LEFT(A73, 4)), 'Raw Annual Revenue'!A:J, 10, FALSE) / 4</f>
        <v>64135.75</v>
      </c>
      <c r="K70" s="28"/>
      <c r="L70" s="31">
        <f>VLOOKUP(VALUE(LEFT($A70, 4)), 'Raw Annual Revenue'!$A:L, 12, FALSE) / 4</f>
        <v>95841</v>
      </c>
      <c r="M70" s="28"/>
      <c r="N70" s="28"/>
      <c r="O70" s="32">
        <f>VLOOKUP(VALUE(LEFT(A72, 4)), 'Raw Annual Revenue'!A:O, 15, FALSE) / 4</f>
        <v>23230.75</v>
      </c>
      <c r="P70" s="28"/>
      <c r="Q70" s="28"/>
      <c r="R70" s="31">
        <f>VLOOKUP(VALUE(LEFT(A70, 4)), 'Raw Annual Revenue'!A:R, 18, FALSE) / 4</f>
        <v>42470.75</v>
      </c>
      <c r="S70" s="28"/>
      <c r="T70" s="28"/>
      <c r="U70" s="30">
        <f>VLOOKUP(VALUE(LEFT($A70, 4)), 'Raw Annual Revenue'!$A:U, 21, FALSE) / 4</f>
        <v>211750.75</v>
      </c>
      <c r="V70" s="28"/>
      <c r="W70" s="30">
        <f>VLOOKUP(VALUE(LEFT($A72, 4)), 'Raw Annual Revenue'!$A:W, 23, FALSE) / 4</f>
        <v>519982</v>
      </c>
      <c r="X70" s="31">
        <f>VLOOKUP(VALUE(LEFT(A70, 4)), 'Raw Annual Revenue'!A:X, 24, FALSE) / 4</f>
        <v>26660.868600000002</v>
      </c>
      <c r="Y70" s="31"/>
      <c r="Z70" s="31"/>
      <c r="AA70" s="31"/>
      <c r="AB70" s="31"/>
      <c r="AC70" s="28"/>
    </row>
    <row r="71" spans="1:29" ht="13">
      <c r="A71" s="27" t="s">
        <v>96</v>
      </c>
      <c r="B71" s="28"/>
      <c r="C71" s="31">
        <f>VLOOKUP(VALUE(LEFT(A71, 4)), 'Raw Annual Revenue'!A:C, 3, FALSE) / 4</f>
        <v>2110492.75</v>
      </c>
      <c r="D71" s="31">
        <f>VLOOKUP(VALUE(LEFT(A71, 4)), 'Raw Annual Revenue'!A:D, 4, FALSE) / 4</f>
        <v>1440871.25</v>
      </c>
      <c r="E71" s="31">
        <f>VLOOKUP(VALUE(LEFT(A71, 4)), 'Raw Annual Revenue'!A:E, 5, FALSE) / 4</f>
        <v>300168.25</v>
      </c>
      <c r="F71" s="31">
        <f>VLOOKUP(VALUE(LEFT(A71, 4)), 'Raw Annual Revenue'!A:F, 6, FALSE) / 4</f>
        <v>311500</v>
      </c>
      <c r="G71" s="31">
        <f>VLOOKUP(VALUE(LEFT(A71, 4)), 'Raw Annual Revenue'!A:G, 7, FALSE) / 4</f>
        <v>93890</v>
      </c>
      <c r="H71" s="31">
        <f>VLOOKUP(VALUE(LEFT(A74, 4)), 'Raw Annual Revenue'!A:H, 8, FALSE) / 4</f>
        <v>165088.5</v>
      </c>
      <c r="I71" s="28"/>
      <c r="J71" s="31">
        <f>VLOOKUP(VALUE(LEFT(A74, 4)), 'Raw Annual Revenue'!A:J, 10, FALSE) / 4</f>
        <v>64135.75</v>
      </c>
      <c r="K71" s="28"/>
      <c r="L71" s="31">
        <f>VLOOKUP(VALUE(LEFT($A71, 4)), 'Raw Annual Revenue'!$A:L, 12, FALSE) / 4</f>
        <v>117024.25</v>
      </c>
      <c r="M71" s="28"/>
      <c r="N71" s="28"/>
      <c r="O71" s="32">
        <f>VLOOKUP(VALUE(LEFT(A73, 4)), 'Raw Annual Revenue'!A:O, 15, FALSE) / 4</f>
        <v>23230.75</v>
      </c>
      <c r="P71" s="28"/>
      <c r="Q71" s="28"/>
      <c r="R71" s="31">
        <f>VLOOKUP(VALUE(LEFT(A71, 4)), 'Raw Annual Revenue'!A:R, 18, FALSE) / 4</f>
        <v>44614.25</v>
      </c>
      <c r="S71" s="28"/>
      <c r="T71" s="28"/>
      <c r="U71" s="30">
        <f>VLOOKUP(VALUE(LEFT($A71, 4)), 'Raw Annual Revenue'!$A:U, 21, FALSE) / 4</f>
        <v>233001.75</v>
      </c>
      <c r="V71" s="28"/>
      <c r="W71" s="30">
        <f>VLOOKUP(VALUE(LEFT($A73, 4)), 'Raw Annual Revenue'!$A:W, 23, FALSE) / 4</f>
        <v>519982</v>
      </c>
      <c r="X71" s="31">
        <f>VLOOKUP(VALUE(LEFT(A71, 4)), 'Raw Annual Revenue'!A:X, 24, FALSE) / 4</f>
        <v>34554.941399999996</v>
      </c>
      <c r="Y71" s="31"/>
      <c r="Z71" s="31">
        <f>VLOOKUP(VALUE(LEFT($A71, 4)), 'Raw Annual Revenue'!$A:Z, 26, FALSE) / 4</f>
        <v>1573.25</v>
      </c>
      <c r="AA71" s="31"/>
      <c r="AB71" s="31"/>
      <c r="AC71" s="28"/>
    </row>
    <row r="72" spans="1:29" ht="13">
      <c r="A72" s="27" t="s">
        <v>97</v>
      </c>
      <c r="B72" s="28"/>
      <c r="C72" s="31">
        <f>VLOOKUP(VALUE(LEFT(A72, 4)), 'Raw Annual Revenue'!A:C, 3, FALSE) / 4</f>
        <v>2110492.75</v>
      </c>
      <c r="D72" s="31">
        <f>VLOOKUP(VALUE(LEFT(A72, 4)), 'Raw Annual Revenue'!A:D, 4, FALSE) / 4</f>
        <v>1440871.25</v>
      </c>
      <c r="E72" s="31">
        <f>VLOOKUP(VALUE(LEFT(A72, 4)), 'Raw Annual Revenue'!A:E, 5, FALSE) / 4</f>
        <v>300168.25</v>
      </c>
      <c r="F72" s="31">
        <f>VLOOKUP(VALUE(LEFT(A72, 4)), 'Raw Annual Revenue'!A:F, 6, FALSE) / 4</f>
        <v>311500</v>
      </c>
      <c r="G72" s="31">
        <f>VLOOKUP(VALUE(LEFT(A72, 4)), 'Raw Annual Revenue'!A:G, 7, FALSE) / 4</f>
        <v>93890</v>
      </c>
      <c r="H72" s="31">
        <f>VLOOKUP(VALUE(LEFT(A75, 4)), 'Raw Annual Revenue'!A:H, 8, FALSE) / 4</f>
        <v>38746.25</v>
      </c>
      <c r="I72" s="28"/>
      <c r="J72" s="31">
        <f>VLOOKUP(VALUE(LEFT(A75, 4)), 'Raw Annual Revenue'!A:J, 10, FALSE) / 4</f>
        <v>75128.75</v>
      </c>
      <c r="K72" s="28"/>
      <c r="L72" s="31">
        <f>VLOOKUP(VALUE(LEFT($A72, 4)), 'Raw Annual Revenue'!$A:L, 12, FALSE) / 4</f>
        <v>117024.25</v>
      </c>
      <c r="M72" s="28"/>
      <c r="N72" s="28"/>
      <c r="O72" s="32">
        <f>VLOOKUP(VALUE(LEFT(A74, 4)), 'Raw Annual Revenue'!A:O, 15, FALSE) / 4</f>
        <v>23230.75</v>
      </c>
      <c r="P72" s="28"/>
      <c r="Q72" s="28"/>
      <c r="R72" s="31">
        <f>VLOOKUP(VALUE(LEFT(A72, 4)), 'Raw Annual Revenue'!A:R, 18, FALSE) / 4</f>
        <v>44614.25</v>
      </c>
      <c r="S72" s="28"/>
      <c r="T72" s="28"/>
      <c r="U72" s="30">
        <f>VLOOKUP(VALUE(LEFT($A72, 4)), 'Raw Annual Revenue'!$A:U, 21, FALSE) / 4</f>
        <v>233001.75</v>
      </c>
      <c r="V72" s="28"/>
      <c r="W72" s="30">
        <f>VLOOKUP(VALUE(LEFT($A74, 4)), 'Raw Annual Revenue'!$A:W, 23, FALSE) / 4</f>
        <v>519982</v>
      </c>
      <c r="X72" s="31">
        <f>VLOOKUP(VALUE(LEFT(A72, 4)), 'Raw Annual Revenue'!A:X, 24, FALSE) / 4</f>
        <v>34554.941399999996</v>
      </c>
      <c r="Y72" s="31"/>
      <c r="Z72" s="31">
        <f>VLOOKUP(VALUE(LEFT($A72, 4)), 'Raw Annual Revenue'!$A:Z, 26, FALSE) / 4</f>
        <v>1573.25</v>
      </c>
      <c r="AA72" s="31"/>
      <c r="AB72" s="31"/>
      <c r="AC72" s="28"/>
    </row>
    <row r="73" spans="1:29" ht="13">
      <c r="A73" s="27" t="s">
        <v>98</v>
      </c>
      <c r="B73" s="28"/>
      <c r="C73" s="31">
        <f>VLOOKUP(VALUE(LEFT(A73, 4)), 'Raw Annual Revenue'!A:C, 3, FALSE) / 4</f>
        <v>2110492.75</v>
      </c>
      <c r="D73" s="31">
        <f>VLOOKUP(VALUE(LEFT(A73, 4)), 'Raw Annual Revenue'!A:D, 4, FALSE) / 4</f>
        <v>1440871.25</v>
      </c>
      <c r="E73" s="31">
        <f>VLOOKUP(VALUE(LEFT(A73, 4)), 'Raw Annual Revenue'!A:E, 5, FALSE) / 4</f>
        <v>300168.25</v>
      </c>
      <c r="F73" s="31">
        <f>VLOOKUP(VALUE(LEFT(A73, 4)), 'Raw Annual Revenue'!A:F, 6, FALSE) / 4</f>
        <v>311500</v>
      </c>
      <c r="G73" s="31">
        <f>VLOOKUP(VALUE(LEFT(A73, 4)), 'Raw Annual Revenue'!A:G, 7, FALSE) / 4</f>
        <v>93890</v>
      </c>
      <c r="H73" s="31">
        <f>VLOOKUP(VALUE(LEFT(A76, 4)), 'Raw Annual Revenue'!A:H, 8, FALSE) / 4</f>
        <v>38746.25</v>
      </c>
      <c r="I73" s="28"/>
      <c r="J73" s="31">
        <f>VLOOKUP(VALUE(LEFT(A76, 4)), 'Raw Annual Revenue'!A:J, 10, FALSE) / 4</f>
        <v>75128.75</v>
      </c>
      <c r="K73" s="28"/>
      <c r="L73" s="31">
        <f>VLOOKUP(VALUE(LEFT($A73, 4)), 'Raw Annual Revenue'!$A:L, 12, FALSE) / 4</f>
        <v>117024.25</v>
      </c>
      <c r="M73" s="28"/>
      <c r="N73" s="28"/>
      <c r="O73" s="32">
        <f>VLOOKUP(VALUE(LEFT(A75, 4)), 'Raw Annual Revenue'!A:O, 15, FALSE) / 4</f>
        <v>22875.5</v>
      </c>
      <c r="P73" s="28"/>
      <c r="Q73" s="28"/>
      <c r="R73" s="31">
        <f>VLOOKUP(VALUE(LEFT(A73, 4)), 'Raw Annual Revenue'!A:R, 18, FALSE) / 4</f>
        <v>44614.25</v>
      </c>
      <c r="S73" s="28"/>
      <c r="T73" s="28"/>
      <c r="U73" s="30">
        <f>VLOOKUP(VALUE(LEFT($A73, 4)), 'Raw Annual Revenue'!$A:U, 21, FALSE) / 4</f>
        <v>233001.75</v>
      </c>
      <c r="V73" s="28"/>
      <c r="W73" s="30">
        <f>VLOOKUP(VALUE(LEFT($A75, 4)), 'Raw Annual Revenue'!$A:W, 23, FALSE) / 4</f>
        <v>453813</v>
      </c>
      <c r="X73" s="31">
        <f>VLOOKUP(VALUE(LEFT(A73, 4)), 'Raw Annual Revenue'!A:X, 24, FALSE) / 4</f>
        <v>34554.941399999996</v>
      </c>
      <c r="Y73" s="31"/>
      <c r="Z73" s="31">
        <f>VLOOKUP(VALUE(LEFT($A73, 4)), 'Raw Annual Revenue'!$A:Z, 26, FALSE) / 4</f>
        <v>1573.25</v>
      </c>
      <c r="AA73" s="31"/>
      <c r="AB73" s="31"/>
      <c r="AC73" s="28"/>
    </row>
    <row r="74" spans="1:29" ht="13">
      <c r="A74" s="27" t="s">
        <v>99</v>
      </c>
      <c r="B74" s="28"/>
      <c r="C74" s="31">
        <f>VLOOKUP(VALUE(LEFT(A74, 4)), 'Raw Annual Revenue'!A:C, 3, FALSE) / 4</f>
        <v>2110492.75</v>
      </c>
      <c r="D74" s="31">
        <f>VLOOKUP(VALUE(LEFT(A74, 4)), 'Raw Annual Revenue'!A:D, 4, FALSE) / 4</f>
        <v>1440871.25</v>
      </c>
      <c r="E74" s="31">
        <f>VLOOKUP(VALUE(LEFT(A74, 4)), 'Raw Annual Revenue'!A:E, 5, FALSE) / 4</f>
        <v>300168.25</v>
      </c>
      <c r="F74" s="31">
        <f>VLOOKUP(VALUE(LEFT(A74, 4)), 'Raw Annual Revenue'!A:F, 6, FALSE) / 4</f>
        <v>311500</v>
      </c>
      <c r="G74" s="31">
        <f>VLOOKUP(VALUE(LEFT(A74, 4)), 'Raw Annual Revenue'!A:G, 7, FALSE) / 4</f>
        <v>93890</v>
      </c>
      <c r="H74" s="31">
        <f>VLOOKUP(VALUE(LEFT(A77, 4)), 'Raw Annual Revenue'!A:H, 8, FALSE) / 4</f>
        <v>38746.25</v>
      </c>
      <c r="I74" s="28"/>
      <c r="J74" s="31">
        <f>VLOOKUP(VALUE(LEFT(A77, 4)), 'Raw Annual Revenue'!A:J, 10, FALSE) / 4</f>
        <v>75128.75</v>
      </c>
      <c r="K74" s="28"/>
      <c r="L74" s="31">
        <f>VLOOKUP(VALUE(LEFT($A74, 4)), 'Raw Annual Revenue'!$A:L, 12, FALSE) / 4</f>
        <v>117024.25</v>
      </c>
      <c r="M74" s="28"/>
      <c r="N74" s="28"/>
      <c r="O74" s="32">
        <f>VLOOKUP(VALUE(LEFT(A76, 4)), 'Raw Annual Revenue'!A:O, 15, FALSE) / 4</f>
        <v>22875.5</v>
      </c>
      <c r="P74" s="28"/>
      <c r="Q74" s="28"/>
      <c r="R74" s="31">
        <f>VLOOKUP(VALUE(LEFT(A74, 4)), 'Raw Annual Revenue'!A:R, 18, FALSE) / 4</f>
        <v>44614.25</v>
      </c>
      <c r="S74" s="28"/>
      <c r="T74" s="28"/>
      <c r="U74" s="30">
        <f>VLOOKUP(VALUE(LEFT($A74, 4)), 'Raw Annual Revenue'!$A:U, 21, FALSE) / 4</f>
        <v>233001.75</v>
      </c>
      <c r="V74" s="28"/>
      <c r="W74" s="30">
        <f>VLOOKUP(VALUE(LEFT($A76, 4)), 'Raw Annual Revenue'!$A:W, 23, FALSE) / 4</f>
        <v>453813</v>
      </c>
      <c r="X74" s="31">
        <f>VLOOKUP(VALUE(LEFT(A74, 4)), 'Raw Annual Revenue'!A:X, 24, FALSE) / 4</f>
        <v>34554.941399999996</v>
      </c>
      <c r="Y74" s="31"/>
      <c r="Z74" s="31">
        <f>VLOOKUP(VALUE(LEFT($A74, 4)), 'Raw Annual Revenue'!$A:Z, 26, FALSE) / 4</f>
        <v>1573.25</v>
      </c>
      <c r="AA74" s="31"/>
      <c r="AB74" s="31"/>
      <c r="AC74" s="28"/>
    </row>
    <row r="75" spans="1:29" ht="13">
      <c r="A75" s="27" t="s">
        <v>100</v>
      </c>
      <c r="B75" s="31">
        <f>VLOOKUP(VALUE(LEFT(A75, 4)), 'Raw Annual Revenue'!A:B, 2, FALSE) / 4</f>
        <v>229760.25</v>
      </c>
      <c r="C75" s="31">
        <f>VLOOKUP(VALUE(LEFT(A75, 4)), 'Raw Annual Revenue'!A:C, 3, FALSE) / 4</f>
        <v>2305996.75</v>
      </c>
      <c r="D75" s="31">
        <f>VLOOKUP(VALUE(LEFT(A75, 4)), 'Raw Annual Revenue'!A:D, 4, FALSE) / 4</f>
        <v>1668079.25</v>
      </c>
      <c r="E75" s="31">
        <f>VLOOKUP(VALUE(LEFT(A75, 4)), 'Raw Annual Revenue'!A:E, 5, FALSE) / 4</f>
        <v>419686</v>
      </c>
      <c r="F75" s="31">
        <f>VLOOKUP(VALUE(LEFT(A75, 4)), 'Raw Annual Revenue'!A:F, 6, FALSE) / 4</f>
        <v>373000</v>
      </c>
      <c r="G75" s="31">
        <f>VLOOKUP(VALUE(LEFT(A75, 4)), 'Raw Annual Revenue'!A:G, 7, FALSE) / 4</f>
        <v>134204.75</v>
      </c>
      <c r="H75" s="31">
        <f>VLOOKUP(VALUE(LEFT(A78, 4)), 'Raw Annual Revenue'!A:H, 8, FALSE) / 4</f>
        <v>38746.25</v>
      </c>
      <c r="I75" s="31">
        <f>VLOOKUP(VALUE(LEFT(A75, 4)), 'Raw Annual Revenue'!A:I, 9, FALSE) / 4</f>
        <v>105427.75</v>
      </c>
      <c r="J75" s="31">
        <f>VLOOKUP(VALUE(LEFT(A78, 4)), 'Raw Annual Revenue'!A:J, 10, FALSE) / 4</f>
        <v>75128.75</v>
      </c>
      <c r="K75" s="28"/>
      <c r="L75" s="31">
        <f>VLOOKUP(VALUE(LEFT($A75, 4)), 'Raw Annual Revenue'!$A:L, 12, FALSE) / 4</f>
        <v>135071.25</v>
      </c>
      <c r="M75" s="28"/>
      <c r="N75" s="28"/>
      <c r="O75" s="32">
        <f>VLOOKUP(VALUE(LEFT(A77, 4)), 'Raw Annual Revenue'!A:O, 15, FALSE) / 4</f>
        <v>22875.5</v>
      </c>
      <c r="P75" s="28"/>
      <c r="Q75" s="28"/>
      <c r="R75" s="31">
        <f>VLOOKUP(VALUE(LEFT(A75, 4)), 'Raw Annual Revenue'!A:R, 18, FALSE) / 4</f>
        <v>67959.25</v>
      </c>
      <c r="S75" s="28"/>
      <c r="T75" s="28"/>
      <c r="U75" s="28"/>
      <c r="V75" s="28"/>
      <c r="W75" s="30">
        <f>VLOOKUP(VALUE(LEFT($A77, 4)), 'Raw Annual Revenue'!$A:W, 23, FALSE) / 4</f>
        <v>453813</v>
      </c>
      <c r="X75" s="31">
        <f>VLOOKUP(VALUE(LEFT(A75, 4)), 'Raw Annual Revenue'!A:X, 24, FALSE) / 4</f>
        <v>40732.9853</v>
      </c>
      <c r="Y75" s="31">
        <f>VLOOKUP(VALUE(LEFT($A75, 4)), 'Raw Annual Revenue'!$A:Y, 25, FALSE) / 4</f>
        <v>6539</v>
      </c>
      <c r="Z75" s="31">
        <f>VLOOKUP(VALUE(LEFT($A75, 4)), 'Raw Annual Revenue'!$A:Z, 26, FALSE) / 4</f>
        <v>21716</v>
      </c>
      <c r="AA75" s="31"/>
      <c r="AB75" s="31"/>
      <c r="AC75" s="28"/>
    </row>
    <row r="76" spans="1:29" ht="13">
      <c r="A76" s="27" t="s">
        <v>101</v>
      </c>
      <c r="B76" s="31">
        <f>VLOOKUP(VALUE(LEFT(A76, 4)), 'Raw Annual Revenue'!A:B, 2, FALSE) / 4</f>
        <v>229760.25</v>
      </c>
      <c r="C76" s="31">
        <f>VLOOKUP(VALUE(LEFT(A76, 4)), 'Raw Annual Revenue'!A:C, 3, FALSE) / 4</f>
        <v>2305996.75</v>
      </c>
      <c r="D76" s="31">
        <f>VLOOKUP(VALUE(LEFT(A76, 4)), 'Raw Annual Revenue'!A:D, 4, FALSE) / 4</f>
        <v>1668079.25</v>
      </c>
      <c r="E76" s="31">
        <f>VLOOKUP(VALUE(LEFT(A76, 4)), 'Raw Annual Revenue'!A:E, 5, FALSE) / 4</f>
        <v>419686</v>
      </c>
      <c r="F76" s="31">
        <f>VLOOKUP(VALUE(LEFT(A76, 4)), 'Raw Annual Revenue'!A:F, 6, FALSE) / 4</f>
        <v>373000</v>
      </c>
      <c r="G76" s="31">
        <f>VLOOKUP(VALUE(LEFT(A76, 4)), 'Raw Annual Revenue'!A:G, 7, FALSE) / 4</f>
        <v>134204.75</v>
      </c>
      <c r="H76" s="31">
        <f>VLOOKUP(VALUE(LEFT(A79, 4)), 'Raw Annual Revenue'!A:H, 8, FALSE) / 4</f>
        <v>131854</v>
      </c>
      <c r="I76" s="31">
        <f>VLOOKUP(VALUE(LEFT(A76, 4)), 'Raw Annual Revenue'!A:I, 9, FALSE) / 4</f>
        <v>105427.75</v>
      </c>
      <c r="J76" s="31">
        <f>VLOOKUP(VALUE(LEFT(A79, 4)), 'Raw Annual Revenue'!A:J, 10, FALSE) / 4</f>
        <v>84267</v>
      </c>
      <c r="K76" s="28"/>
      <c r="L76" s="31">
        <f>VLOOKUP(VALUE(LEFT($A76, 4)), 'Raw Annual Revenue'!$A:L, 12, FALSE) / 4</f>
        <v>135071.25</v>
      </c>
      <c r="M76" s="28"/>
      <c r="N76" s="28"/>
      <c r="O76" s="32">
        <f>VLOOKUP(VALUE(LEFT(A78, 4)), 'Raw Annual Revenue'!A:O, 15, FALSE) / 4</f>
        <v>22875.5</v>
      </c>
      <c r="P76" s="28"/>
      <c r="Q76" s="28"/>
      <c r="R76" s="31">
        <f>VLOOKUP(VALUE(LEFT(A76, 4)), 'Raw Annual Revenue'!A:R, 18, FALSE) / 4</f>
        <v>67959.25</v>
      </c>
      <c r="S76" s="28"/>
      <c r="T76" s="28"/>
      <c r="U76" s="28"/>
      <c r="V76" s="28"/>
      <c r="W76" s="30">
        <f>VLOOKUP(VALUE(LEFT($A78, 4)), 'Raw Annual Revenue'!$A:W, 23, FALSE) / 4</f>
        <v>453813</v>
      </c>
      <c r="X76" s="31">
        <f>VLOOKUP(VALUE(LEFT(A76, 4)), 'Raw Annual Revenue'!A:X, 24, FALSE) / 4</f>
        <v>40732.9853</v>
      </c>
      <c r="Y76" s="31">
        <f>VLOOKUP(VALUE(LEFT($A76, 4)), 'Raw Annual Revenue'!$A:Y, 25, FALSE) / 4</f>
        <v>6539</v>
      </c>
      <c r="Z76" s="31">
        <f>VLOOKUP(VALUE(LEFT($A76, 4)), 'Raw Annual Revenue'!$A:Z, 26, FALSE) / 4</f>
        <v>21716</v>
      </c>
      <c r="AA76" s="31"/>
      <c r="AB76" s="31"/>
      <c r="AC76" s="28"/>
    </row>
    <row r="77" spans="1:29" ht="13">
      <c r="A77" s="27" t="s">
        <v>102</v>
      </c>
      <c r="B77" s="31">
        <f>VLOOKUP(VALUE(LEFT(A77, 4)), 'Raw Annual Revenue'!A:B, 2, FALSE) / 4</f>
        <v>229760.25</v>
      </c>
      <c r="C77" s="31">
        <f>VLOOKUP(VALUE(LEFT(A77, 4)), 'Raw Annual Revenue'!A:C, 3, FALSE) / 4</f>
        <v>2305996.75</v>
      </c>
      <c r="D77" s="31">
        <f>VLOOKUP(VALUE(LEFT(A77, 4)), 'Raw Annual Revenue'!A:D, 4, FALSE) / 4</f>
        <v>1668079.25</v>
      </c>
      <c r="E77" s="31">
        <f>VLOOKUP(VALUE(LEFT(A77, 4)), 'Raw Annual Revenue'!A:E, 5, FALSE) / 4</f>
        <v>419686</v>
      </c>
      <c r="F77" s="31">
        <f>VLOOKUP(VALUE(LEFT(A77, 4)), 'Raw Annual Revenue'!A:F, 6, FALSE) / 4</f>
        <v>373000</v>
      </c>
      <c r="G77" s="31">
        <f>VLOOKUP(VALUE(LEFT(A77, 4)), 'Raw Annual Revenue'!A:G, 7, FALSE) / 4</f>
        <v>134204.75</v>
      </c>
      <c r="H77" s="31">
        <f>VLOOKUP(VALUE(LEFT(A80, 4)), 'Raw Annual Revenue'!A:H, 8, FALSE) / 4</f>
        <v>131854</v>
      </c>
      <c r="I77" s="31">
        <f>VLOOKUP(VALUE(LEFT(A77, 4)), 'Raw Annual Revenue'!A:I, 9, FALSE) / 4</f>
        <v>105427.75</v>
      </c>
      <c r="J77" s="31">
        <f>VLOOKUP(VALUE(LEFT(A80, 4)), 'Raw Annual Revenue'!A:J, 10, FALSE) / 4</f>
        <v>84267</v>
      </c>
      <c r="K77" s="28"/>
      <c r="L77" s="31">
        <f>VLOOKUP(VALUE(LEFT($A77, 4)), 'Raw Annual Revenue'!$A:L, 12, FALSE) / 4</f>
        <v>135071.25</v>
      </c>
      <c r="M77" s="28"/>
      <c r="N77" s="28"/>
      <c r="O77" s="32">
        <f>VLOOKUP(VALUE(LEFT(A79, 4)), 'Raw Annual Revenue'!A:O, 15, FALSE) / 4</f>
        <v>28673.75</v>
      </c>
      <c r="P77" s="28"/>
      <c r="Q77" s="28"/>
      <c r="R77" s="31">
        <f>VLOOKUP(VALUE(LEFT(A77, 4)), 'Raw Annual Revenue'!A:R, 18, FALSE) / 4</f>
        <v>67959.25</v>
      </c>
      <c r="S77" s="28"/>
      <c r="T77" s="28"/>
      <c r="U77" s="28"/>
      <c r="V77" s="28"/>
      <c r="W77" s="30">
        <f>VLOOKUP(VALUE(LEFT($A79, 4)), 'Raw Annual Revenue'!$A:W, 23, FALSE) / 4</f>
        <v>489524</v>
      </c>
      <c r="X77" s="31">
        <f>VLOOKUP(VALUE(LEFT(A77, 4)), 'Raw Annual Revenue'!A:X, 24, FALSE) / 4</f>
        <v>40732.9853</v>
      </c>
      <c r="Y77" s="31">
        <f>VLOOKUP(VALUE(LEFT($A77, 4)), 'Raw Annual Revenue'!$A:Y, 25, FALSE) / 4</f>
        <v>6539</v>
      </c>
      <c r="Z77" s="31">
        <f>VLOOKUP(VALUE(LEFT($A77, 4)), 'Raw Annual Revenue'!$A:Z, 26, FALSE) / 4</f>
        <v>21716</v>
      </c>
      <c r="AA77" s="31"/>
      <c r="AB77" s="31"/>
      <c r="AC77" s="28"/>
    </row>
    <row r="78" spans="1:29" ht="13">
      <c r="A78" s="27" t="s">
        <v>103</v>
      </c>
      <c r="B78" s="31">
        <f>VLOOKUP(VALUE(LEFT(A78, 4)), 'Raw Annual Revenue'!A:B, 2, FALSE) / 4</f>
        <v>229760.25</v>
      </c>
      <c r="C78" s="31">
        <f>VLOOKUP(VALUE(LEFT(A78, 4)), 'Raw Annual Revenue'!A:C, 3, FALSE) / 4</f>
        <v>2305996.75</v>
      </c>
      <c r="D78" s="31">
        <f>VLOOKUP(VALUE(LEFT(A78, 4)), 'Raw Annual Revenue'!A:D, 4, FALSE) / 4</f>
        <v>1668079.25</v>
      </c>
      <c r="E78" s="31">
        <f>VLOOKUP(VALUE(LEFT(A78, 4)), 'Raw Annual Revenue'!A:E, 5, FALSE) / 4</f>
        <v>419686</v>
      </c>
      <c r="F78" s="31">
        <f>VLOOKUP(VALUE(LEFT(A78, 4)), 'Raw Annual Revenue'!A:F, 6, FALSE) / 4</f>
        <v>373000</v>
      </c>
      <c r="G78" s="31">
        <f>VLOOKUP(VALUE(LEFT(A78, 4)), 'Raw Annual Revenue'!A:G, 7, FALSE) / 4</f>
        <v>134204.75</v>
      </c>
      <c r="H78" s="31">
        <f>VLOOKUP(VALUE(LEFT(A81, 4)), 'Raw Annual Revenue'!A:H, 8, FALSE) / 4</f>
        <v>131854</v>
      </c>
      <c r="I78" s="31">
        <f>VLOOKUP(VALUE(LEFT(A78, 4)), 'Raw Annual Revenue'!A:I, 9, FALSE) / 4</f>
        <v>105427.75</v>
      </c>
      <c r="J78" s="31">
        <f>VLOOKUP(VALUE(LEFT(A81, 4)), 'Raw Annual Revenue'!A:J, 10, FALSE) / 4</f>
        <v>84267</v>
      </c>
      <c r="K78" s="28"/>
      <c r="L78" s="31">
        <f>VLOOKUP(VALUE(LEFT($A78, 4)), 'Raw Annual Revenue'!$A:L, 12, FALSE) / 4</f>
        <v>135071.25</v>
      </c>
      <c r="M78" s="28"/>
      <c r="N78" s="28"/>
      <c r="O78" s="32">
        <f>VLOOKUP(VALUE(LEFT(A80, 4)), 'Raw Annual Revenue'!A:O, 15, FALSE) / 4</f>
        <v>28673.75</v>
      </c>
      <c r="P78" s="28"/>
      <c r="Q78" s="28"/>
      <c r="R78" s="31">
        <f>VLOOKUP(VALUE(LEFT(A78, 4)), 'Raw Annual Revenue'!A:R, 18, FALSE) / 4</f>
        <v>67959.25</v>
      </c>
      <c r="S78" s="28"/>
      <c r="T78" s="28"/>
      <c r="U78" s="28"/>
      <c r="V78" s="28"/>
      <c r="W78" s="30">
        <f>VLOOKUP(VALUE(LEFT($A80, 4)), 'Raw Annual Revenue'!$A:W, 23, FALSE) / 4</f>
        <v>489524</v>
      </c>
      <c r="X78" s="31">
        <f>VLOOKUP(VALUE(LEFT(A78, 4)), 'Raw Annual Revenue'!A:X, 24, FALSE) / 4</f>
        <v>40732.9853</v>
      </c>
      <c r="Y78" s="31">
        <f>VLOOKUP(VALUE(LEFT($A78, 4)), 'Raw Annual Revenue'!$A:Y, 25, FALSE) / 4</f>
        <v>6539</v>
      </c>
      <c r="Z78" s="31">
        <f>VLOOKUP(VALUE(LEFT($A78, 4)), 'Raw Annual Revenue'!$A:Z, 26, FALSE) / 4</f>
        <v>21716</v>
      </c>
      <c r="AA78" s="31"/>
      <c r="AB78" s="31"/>
      <c r="AC78" s="28"/>
    </row>
    <row r="79" spans="1:29" ht="13">
      <c r="A79" s="27" t="s">
        <v>104</v>
      </c>
      <c r="B79" s="31">
        <f>VLOOKUP(VALUE(LEFT(A79, 4)), 'Raw Annual Revenue'!A:B, 2, FALSE) / 4</f>
        <v>413894</v>
      </c>
      <c r="C79" s="35">
        <f ca="1">IFERROR(__xludf.DUMMYFUNCTION("IMPORTRANGE(""https://docs.google.com/spreadsheets/d/1bozxp9FwhaCNzy-RRGPVPfVYTttO4PUGDdaFvbz-Ue0/edit?gid=1870218791#gid=1870218791"", ""Rev vs Mktg &amp; Mktg Mix!C"" &amp; ROW(B15))
"),2148)</f>
        <v>2148</v>
      </c>
      <c r="D79" s="35">
        <f ca="1">IFERROR(__xludf.DUMMYFUNCTION("IMPORTRANGE(""https://docs.google.com/spreadsheets/d/1bozxp9FwhaCNzy-RRGPVPfVYTttO4PUGDdaFvbz-Ue0/edit?gid=1870218791#gid=1870218791"", ""Rev vs Mktg &amp; Mktg Mix!D"" &amp; ROW(C15))
"),1904)</f>
        <v>1904</v>
      </c>
      <c r="E79" s="35">
        <f ca="1">IFERROR(__xludf.DUMMYFUNCTION("IMPORTRANGE(""https://docs.google.com/spreadsheets/d/1bozxp9FwhaCNzy-RRGPVPfVYTttO4PUGDdaFvbz-Ue0/edit?gid=1870218791#gid=1870218791"", ""Rev vs Mktg &amp; Mktg Mix!E"" &amp; ROW(E15))
"),682)</f>
        <v>682</v>
      </c>
      <c r="F79" s="35">
        <f ca="1">IFERROR(__xludf.DUMMYFUNCTION("IMPORTRANGE(""https://docs.google.com/spreadsheets/d/1bozxp9FwhaCNzy-RRGPVPfVYTttO4PUGDdaFvbz-Ue0/edit?gid=1870218791#gid=1870218791"", ""Rev vs Mktg &amp; Mktg Mix!F"" &amp; ROW(G15))
"),352)</f>
        <v>352</v>
      </c>
      <c r="G79" s="35">
        <f ca="1">IFERROR(__xludf.DUMMYFUNCTION("IMPORTRANGE(""https://docs.google.com/spreadsheets/d/1bozxp9FwhaCNzy-RRGPVPfVYTttO4PUGDdaFvbz-Ue0/edit?gid=1870218791#gid=1870218791"", ""Rev vs Mktg &amp; Mktg Mix!G"" &amp; ROW(I15))
"),159.4)</f>
        <v>159.4</v>
      </c>
      <c r="H79" s="31">
        <f>VLOOKUP(VALUE(LEFT(A82, 4)), 'Raw Annual Revenue'!A:H, 8, FALSE) / 4</f>
        <v>131854</v>
      </c>
      <c r="I79" s="35">
        <f ca="1">IFERROR(__xludf.DUMMYFUNCTION("IMPORTRANGE(""https://docs.google.com/spreadsheets/d/1bozxp9FwhaCNzy-RRGPVPfVYTttO4PUGDdaFvbz-Ue0/edit?gid=1870218791#gid=1870218791"", ""Rev vs Mktg &amp; Mktg Mix!I"" &amp; ROW(K15))
"),95)</f>
        <v>95</v>
      </c>
      <c r="J79" s="35">
        <f ca="1">IFERROR(__xludf.DUMMYFUNCTION("IMPORTRANGE(""https://docs.google.com/spreadsheets/d/1bozxp9FwhaCNzy-RRGPVPfVYTttO4PUGDdaFvbz-Ue0/edit?gid=1870218791#gid=1870218791"", ""Rev vs Mktg &amp; Mktg Mix!J"" &amp; ROW(J15))
"),88)</f>
        <v>88</v>
      </c>
      <c r="K79" s="36"/>
      <c r="L79" s="35">
        <f ca="1">IFERROR(__xludf.DUMMYFUNCTION("IMPORTRANGE(""https://docs.google.com/spreadsheets/d/1bozxp9FwhaCNzy-RRGPVPfVYTttO4PUGDdaFvbz-Ue0/edit?gid=1870218791#gid=1870218791"", ""Rev vs Mktg &amp; Mktg Mix!L"" &amp; ROW(N15))
"),142.6729201527)</f>
        <v>142.67292015269999</v>
      </c>
      <c r="M79" s="28"/>
      <c r="N79" s="37">
        <f ca="1">IFERROR(__xludf.DUMMYFUNCTION("IMPORTRANGE(""https://docs.google.com/spreadsheets/d/1bozxp9FwhaCNzy-RRGPVPfVYTttO4PUGDdaFvbz-Ue0/edit?gid=1870218791#gid=1870218791"", ""Rev vs Mktg &amp; Mktg Mix!N"" &amp; ROW(N15))
"),2.108)</f>
        <v>2.1080000000000001</v>
      </c>
      <c r="O79" s="32">
        <f>VLOOKUP(VALUE(LEFT(A81, 4)), 'Raw Annual Revenue'!A:O, 15, FALSE) / 4</f>
        <v>28673.75</v>
      </c>
      <c r="P79" s="28"/>
      <c r="Q79" s="28"/>
      <c r="R79" s="31">
        <f>VLOOKUP(VALUE(LEFT(A79, 4)), 'Raw Annual Revenue'!A:R, 18, FALSE) / 4</f>
        <v>68920.5</v>
      </c>
      <c r="S79" s="28"/>
      <c r="T79" s="28"/>
      <c r="U79" s="28"/>
      <c r="V79" s="28"/>
      <c r="W79" s="30">
        <f>VLOOKUP(VALUE(LEFT($A81, 4)), 'Raw Annual Revenue'!$A:W, 23, FALSE) / 4</f>
        <v>489524</v>
      </c>
      <c r="X79" s="31">
        <f>VLOOKUP(VALUE(LEFT(A79, 4)), 'Raw Annual Revenue'!A:X, 24, FALSE) / 4</f>
        <v>48698.389649999997</v>
      </c>
      <c r="Y79" s="31">
        <f>VLOOKUP(VALUE(LEFT($A79, 4)), 'Raw Annual Revenue'!$A:Y, 25, FALSE) / 4</f>
        <v>9266.25</v>
      </c>
      <c r="Z79" s="31">
        <f>VLOOKUP(VALUE(LEFT($A79, 4)), 'Raw Annual Revenue'!$A:Z, 26, FALSE) / 4</f>
        <v>82239.5</v>
      </c>
      <c r="AA79" s="31"/>
      <c r="AB79" s="31">
        <f>VLOOKUP(VALUE(LEFT($A79, 4)), 'Raw Annual Revenue'!$A:AB, 28, FALSE) / 4</f>
        <v>16580.67625</v>
      </c>
      <c r="AC79" s="28"/>
    </row>
    <row r="80" spans="1:29" ht="13">
      <c r="A80" s="27" t="s">
        <v>105</v>
      </c>
      <c r="B80" s="31">
        <f>VLOOKUP(VALUE(LEFT(A80, 4)), 'Raw Annual Revenue'!A:B, 2, FALSE) / 4</f>
        <v>413894</v>
      </c>
      <c r="C80" s="38">
        <f ca="1">IFERROR(__xludf.DUMMYFUNCTION("IMPORTRANGE(""https://docs.google.com/spreadsheets/d/1bozxp9FwhaCNzy-RRGPVPfVYTttO4PUGDdaFvbz-Ue0/edit?gid=1870218791#gid=1870218791"", ""Rev vs Mktg &amp; Mktg Mix!C"" &amp; ROW(B16))
"),2556)</f>
        <v>2556</v>
      </c>
      <c r="D80" s="38">
        <f ca="1">IFERROR(__xludf.DUMMYFUNCTION("IMPORTRANGE(""https://docs.google.com/spreadsheets/d/1bozxp9FwhaCNzy-RRGPVPfVYTttO4PUGDdaFvbz-Ue0/edit?gid=1870218791#gid=1870218791"", ""Rev vs Mktg &amp; Mktg Mix!D"" &amp; ROW(C16))
"),2196)</f>
        <v>2196</v>
      </c>
      <c r="E80" s="38">
        <f ca="1">IFERROR(__xludf.DUMMYFUNCTION("IMPORTRANGE(""https://docs.google.com/spreadsheets/d/1bozxp9FwhaCNzy-RRGPVPfVYTttO4PUGDdaFvbz-Ue0/edit?gid=1870218791#gid=1870218791"", ""Rev vs Mktg &amp; Mktg Mix!E"" &amp; ROW(E16))
"),684)</f>
        <v>684</v>
      </c>
      <c r="F80" s="38">
        <f ca="1">IFERROR(__xludf.DUMMYFUNCTION("IMPORTRANGE(""https://docs.google.com/spreadsheets/d/1bozxp9FwhaCNzy-RRGPVPfVYTttO4PUGDdaFvbz-Ue0/edit?gid=1870218791#gid=1870218791"", ""Rev vs Mktg &amp; Mktg Mix!F"" &amp; ROW(G16))
"),391)</f>
        <v>391</v>
      </c>
      <c r="G80" s="38">
        <f ca="1">IFERROR(__xludf.DUMMYFUNCTION("IMPORTRANGE(""https://docs.google.com/spreadsheets/d/1bozxp9FwhaCNzy-RRGPVPfVYTttO4PUGDdaFvbz-Ue0/edit?gid=1870218791#gid=1870218791"", ""Rev vs Mktg &amp; Mktg Mix!G"" &amp; ROW(I16))
"),179)</f>
        <v>179</v>
      </c>
      <c r="H80" s="31">
        <f>VLOOKUP(VALUE(LEFT(A83, 4)), 'Raw Annual Revenue'!A:H, 8, FALSE) / 4</f>
        <v>130046.25</v>
      </c>
      <c r="I80" s="38">
        <f ca="1">IFERROR(__xludf.DUMMYFUNCTION("IMPORTRANGE(""https://docs.google.com/spreadsheets/d/1bozxp9FwhaCNzy-RRGPVPfVYTttO4PUGDdaFvbz-Ue0/edit?gid=1870218791#gid=1870218791"", ""Rev vs Mktg &amp; Mktg Mix!I"" &amp; ROW(K16))
"),99)</f>
        <v>99</v>
      </c>
      <c r="J80" s="38">
        <f ca="1">IFERROR(__xludf.DUMMYFUNCTION("IMPORTRANGE(""https://docs.google.com/spreadsheets/d/1bozxp9FwhaCNzy-RRGPVPfVYTttO4PUGDdaFvbz-Ue0/edit?gid=1870218791#gid=1870218791"", ""Rev vs Mktg &amp; Mktg Mix!J"" &amp; ROW(J16))
"),121)</f>
        <v>121</v>
      </c>
      <c r="K80" s="28"/>
      <c r="L80" s="38">
        <f ca="1">IFERROR(__xludf.DUMMYFUNCTION("IMPORTRANGE(""https://docs.google.com/spreadsheets/d/1bozxp9FwhaCNzy-RRGPVPfVYTttO4PUGDdaFvbz-Ue0/edit?gid=1870218791#gid=1870218791"", ""Rev vs Mktg &amp; Mktg Mix!L"" &amp; ROW(N16))
"),165.724190268)</f>
        <v>165.724190268</v>
      </c>
      <c r="M80" s="28"/>
      <c r="N80" s="37">
        <f ca="1">IFERROR(__xludf.DUMMYFUNCTION("IMPORTRANGE(""https://docs.google.com/spreadsheets/d/1bozxp9FwhaCNzy-RRGPVPfVYTttO4PUGDdaFvbz-Ue0/edit?gid=1870218791#gid=1870218791"", ""Rev vs Mktg &amp; Mktg Mix!N"" &amp; ROW(N16))
"),2.229)</f>
        <v>2.2290000000000001</v>
      </c>
      <c r="O80" s="32">
        <f>VLOOKUP(VALUE(LEFT(A82, 4)), 'Raw Annual Revenue'!A:O, 15, FALSE) / 4</f>
        <v>28673.75</v>
      </c>
      <c r="P80" s="28"/>
      <c r="Q80" s="28"/>
      <c r="R80" s="31">
        <f>VLOOKUP(VALUE(LEFT(A80, 4)), 'Raw Annual Revenue'!A:R, 18, FALSE) / 4</f>
        <v>68920.5</v>
      </c>
      <c r="S80" s="30">
        <f>VLOOKUP(VALUE(LEFT(A83, 4)), 'Raw Annual Revenue'!A:S, 19, FALSE) / 4</f>
        <v>4927.5</v>
      </c>
      <c r="T80" s="28"/>
      <c r="U80" s="28"/>
      <c r="V80" s="28"/>
      <c r="W80" s="30">
        <f>VLOOKUP(VALUE(LEFT($A82, 4)), 'Raw Annual Revenue'!$A:W, 23, FALSE) / 4</f>
        <v>489524</v>
      </c>
      <c r="X80" s="31">
        <f>VLOOKUP(VALUE(LEFT(A80, 4)), 'Raw Annual Revenue'!A:X, 24, FALSE) / 4</f>
        <v>48698.389649999997</v>
      </c>
      <c r="Y80" s="31">
        <f>VLOOKUP(VALUE(LEFT($A80, 4)), 'Raw Annual Revenue'!$A:Y, 25, FALSE) / 4</f>
        <v>9266.25</v>
      </c>
      <c r="Z80" s="31">
        <f>VLOOKUP(VALUE(LEFT($A80, 4)), 'Raw Annual Revenue'!$A:Z, 26, FALSE) / 4</f>
        <v>82239.5</v>
      </c>
      <c r="AA80" s="31"/>
      <c r="AB80" s="31">
        <f>VLOOKUP(VALUE(LEFT($A80, 4)), 'Raw Annual Revenue'!$A:AB, 28, FALSE) / 4</f>
        <v>16580.67625</v>
      </c>
      <c r="AC80" s="28"/>
    </row>
    <row r="81" spans="1:29" ht="13">
      <c r="A81" s="27" t="s">
        <v>106</v>
      </c>
      <c r="B81" s="31">
        <f>VLOOKUP(VALUE(LEFT(A81, 4)), 'Raw Annual Revenue'!A:B, 2, FALSE) / 4</f>
        <v>413894</v>
      </c>
      <c r="C81" s="38">
        <f ca="1">IFERROR(__xludf.DUMMYFUNCTION("IMPORTRANGE(""https://docs.google.com/spreadsheets/d/1bozxp9FwhaCNzy-RRGPVPfVYTttO4PUGDdaFvbz-Ue0/edit?gid=1870218791#gid=1870218791"", ""Rev vs Mktg &amp; Mktg Mix!C"" &amp; ROW(B17))
"),3691)</f>
        <v>3691</v>
      </c>
      <c r="D81" s="38">
        <f ca="1">IFERROR(__xludf.DUMMYFUNCTION("IMPORTRANGE(""https://docs.google.com/spreadsheets/d/1bozxp9FwhaCNzy-RRGPVPfVYTttO4PUGDdaFvbz-Ue0/edit?gid=1870218791#gid=1870218791"", ""Rev vs Mktg &amp; Mktg Mix!D"" &amp; ROW(C17))
"),2581)</f>
        <v>2581</v>
      </c>
      <c r="E81" s="38">
        <f ca="1">IFERROR(__xludf.DUMMYFUNCTION("IMPORTRANGE(""https://docs.google.com/spreadsheets/d/1bozxp9FwhaCNzy-RRGPVPfVYTttO4PUGDdaFvbz-Ue0/edit?gid=1870218791#gid=1870218791"", ""Rev vs Mktg &amp; Mktg Mix!E"" &amp; ROW(E17))
"),850)</f>
        <v>850</v>
      </c>
      <c r="F81" s="38">
        <f ca="1">IFERROR(__xludf.DUMMYFUNCTION("IMPORTRANGE(""https://docs.google.com/spreadsheets/d/1bozxp9FwhaCNzy-RRGPVPfVYTttO4PUGDdaFvbz-Ue0/edit?gid=1870218791#gid=1870218791"", ""Rev vs Mktg &amp; Mktg Mix!F"" &amp; ROW(G17))
"),421)</f>
        <v>421</v>
      </c>
      <c r="G81" s="38">
        <f ca="1">IFERROR(__xludf.DUMMYFUNCTION("IMPORTRANGE(""https://docs.google.com/spreadsheets/d/1bozxp9FwhaCNzy-RRGPVPfVYTttO4PUGDdaFvbz-Ue0/edit?gid=1870218791#gid=1870218791"", ""Rev vs Mktg &amp; Mktg Mix!G"" &amp; ROW(I17))
"),247)</f>
        <v>247</v>
      </c>
      <c r="H81" s="31">
        <f>VLOOKUP(VALUE(LEFT(A84, 4)), 'Raw Annual Revenue'!A:H, 8, FALSE) / 4</f>
        <v>130046.25</v>
      </c>
      <c r="I81" s="38">
        <f ca="1">IFERROR(__xludf.DUMMYFUNCTION("IMPORTRANGE(""https://docs.google.com/spreadsheets/d/1bozxp9FwhaCNzy-RRGPVPfVYTttO4PUGDdaFvbz-Ue0/edit?gid=1870218791#gid=1870218791"", ""Rev vs Mktg &amp; Mktg Mix!I"" &amp; ROW(K17))
"),106)</f>
        <v>106</v>
      </c>
      <c r="J81" s="38">
        <f ca="1">IFERROR(__xludf.DUMMYFUNCTION("IMPORTRANGE(""https://docs.google.com/spreadsheets/d/1bozxp9FwhaCNzy-RRGPVPfVYTttO4PUGDdaFvbz-Ue0/edit?gid=1870218791#gid=1870218791"", ""Rev vs Mktg &amp; Mktg Mix!J"" &amp; ROW(J17))
"),83)</f>
        <v>83</v>
      </c>
      <c r="K81" s="28"/>
      <c r="L81" s="38">
        <f ca="1">IFERROR(__xludf.DUMMYFUNCTION("IMPORTRANGE(""https://docs.google.com/spreadsheets/d/1bozxp9FwhaCNzy-RRGPVPfVYTttO4PUGDdaFvbz-Ue0/edit?gid=1870218791#gid=1870218791"", ""Rev vs Mktg &amp; Mktg Mix!L"" &amp; ROW(N17))
"),139.6045057155)</f>
        <v>139.60450571550001</v>
      </c>
      <c r="M81" s="28"/>
      <c r="N81" s="37">
        <f ca="1">IFERROR(__xludf.DUMMYFUNCTION("IMPORTRANGE(""https://docs.google.com/spreadsheets/d/1bozxp9FwhaCNzy-RRGPVPfVYTttO4PUGDdaFvbz-Ue0/edit?gid=1870218791#gid=1870218791"", ""Rev vs Mktg &amp; Mktg Mix!N"" &amp; ROW(N17))
"),2.574)</f>
        <v>2.5739999999999998</v>
      </c>
      <c r="O81" s="32">
        <f>VLOOKUP(VALUE(LEFT(A83, 4)), 'Raw Annual Revenue'!A:O, 15, FALSE) / 4</f>
        <v>39747.75</v>
      </c>
      <c r="P81" s="28"/>
      <c r="Q81" s="28"/>
      <c r="R81" s="31">
        <f>VLOOKUP(VALUE(LEFT(A81, 4)), 'Raw Annual Revenue'!A:R, 18, FALSE) / 4</f>
        <v>68920.5</v>
      </c>
      <c r="S81" s="30">
        <f>VLOOKUP(VALUE(LEFT(A84, 4)), 'Raw Annual Revenue'!A:S, 19, FALSE) / 4</f>
        <v>4927.5</v>
      </c>
      <c r="T81" s="28"/>
      <c r="U81" s="28"/>
      <c r="V81" s="28"/>
      <c r="W81" s="30">
        <f>VLOOKUP(VALUE(LEFT($A83, 4)), 'Raw Annual Revenue'!$A:W, 23, FALSE) / 4</f>
        <v>509196.75</v>
      </c>
      <c r="X81" s="31">
        <f>VLOOKUP(VALUE(LEFT(A81, 4)), 'Raw Annual Revenue'!A:X, 24, FALSE) / 4</f>
        <v>48698.389649999997</v>
      </c>
      <c r="Y81" s="31">
        <f>VLOOKUP(VALUE(LEFT($A81, 4)), 'Raw Annual Revenue'!$A:Y, 25, FALSE) / 4</f>
        <v>9266.25</v>
      </c>
      <c r="Z81" s="31">
        <f>VLOOKUP(VALUE(LEFT($A81, 4)), 'Raw Annual Revenue'!$A:Z, 26, FALSE) / 4</f>
        <v>82239.5</v>
      </c>
      <c r="AA81" s="31"/>
      <c r="AB81" s="31">
        <f>VLOOKUP(VALUE(LEFT($A81, 4)), 'Raw Annual Revenue'!$A:AB, 28, FALSE) / 4</f>
        <v>16580.67625</v>
      </c>
      <c r="AC81" s="28"/>
    </row>
    <row r="82" spans="1:29" ht="13">
      <c r="A82" s="27" t="s">
        <v>107</v>
      </c>
      <c r="B82" s="31">
        <f>VLOOKUP(VALUE(LEFT(A82, 4)), 'Raw Annual Revenue'!A:B, 2, FALSE) / 4</f>
        <v>413894</v>
      </c>
      <c r="C82" s="38">
        <f ca="1">IFERROR(__xludf.DUMMYFUNCTION("IMPORTRANGE(""https://docs.google.com/spreadsheets/d/1bozxp9FwhaCNzy-RRGPVPfVYTttO4PUGDdaFvbz-Ue0/edit?gid=1870218791#gid=1870218791"", ""Rev vs Mktg &amp; Mktg Mix!C"" &amp; ROW(B18))
"),2348)</f>
        <v>2348</v>
      </c>
      <c r="D82" s="38">
        <f ca="1">IFERROR(__xludf.DUMMYFUNCTION("IMPORTRANGE(""https://docs.google.com/spreadsheets/d/1bozxp9FwhaCNzy-RRGPVPfVYTttO4PUGDdaFvbz-Ue0/edit?gid=1870218791#gid=1870218791"", ""Rev vs Mktg &amp; Mktg Mix!D"" &amp; ROW(C18))
"),2093)</f>
        <v>2093</v>
      </c>
      <c r="E82" s="38">
        <f ca="1">IFERROR(__xludf.DUMMYFUNCTION("IMPORTRANGE(""https://docs.google.com/spreadsheets/d/1bozxp9FwhaCNzy-RRGPVPfVYTttO4PUGDdaFvbz-Ue0/edit?gid=1870218791#gid=1870218791"", ""Rev vs Mktg &amp; Mktg Mix!E"" &amp; ROW(E18))
"),746)</f>
        <v>746</v>
      </c>
      <c r="F82" s="38">
        <f ca="1">IFERROR(__xludf.DUMMYFUNCTION("IMPORTRANGE(""https://docs.google.com/spreadsheets/d/1bozxp9FwhaCNzy-RRGPVPfVYTttO4PUGDdaFvbz-Ue0/edit?gid=1870218791#gid=1870218791"", ""Rev vs Mktg &amp; Mktg Mix!F"" &amp; ROW(G18))
"),316)</f>
        <v>316</v>
      </c>
      <c r="G82" s="38">
        <f ca="1">IFERROR(__xludf.DUMMYFUNCTION("IMPORTRANGE(""https://docs.google.com/spreadsheets/d/1bozxp9FwhaCNzy-RRGPVPfVYTttO4PUGDdaFvbz-Ue0/edit?gid=1870218791#gid=1870218791"", ""Rev vs Mktg &amp; Mktg Mix!G"" &amp; ROW(I18))
"),169)</f>
        <v>169</v>
      </c>
      <c r="H82" s="31">
        <f>VLOOKUP(VALUE(LEFT(A85, 4)), 'Raw Annual Revenue'!A:H, 8, FALSE) / 4</f>
        <v>130046.25</v>
      </c>
      <c r="I82" s="38">
        <f ca="1">IFERROR(__xludf.DUMMYFUNCTION("IMPORTRANGE(""https://docs.google.com/spreadsheets/d/1bozxp9FwhaCNzy-RRGPVPfVYTttO4PUGDdaFvbz-Ue0/edit?gid=1870218791#gid=1870218791"", ""Rev vs Mktg &amp; Mktg Mix!I"" &amp; ROW(K18))
"),111)</f>
        <v>111</v>
      </c>
      <c r="J82" s="38">
        <f ca="1">IFERROR(__xludf.DUMMYFUNCTION("IMPORTRANGE(""https://docs.google.com/spreadsheets/d/1bozxp9FwhaCNzy-RRGPVPfVYTttO4PUGDdaFvbz-Ue0/edit?gid=1870218791#gid=1870218791"", ""Rev vs Mktg &amp; Mktg Mix!J"" &amp; ROW(J18))
"),123)</f>
        <v>123</v>
      </c>
      <c r="K82" s="28"/>
      <c r="L82" s="38">
        <f ca="1">IFERROR(__xludf.DUMMYFUNCTION("IMPORTRANGE(""https://docs.google.com/spreadsheets/d/1bozxp9FwhaCNzy-RRGPVPfVYTttO4PUGDdaFvbz-Ue0/edit?gid=1870218791#gid=1870218791"", ""Rev vs Mktg &amp; Mktg Mix!L"" &amp; ROW(N18))
"),123.928525929599)</f>
        <v>123.928525929599</v>
      </c>
      <c r="M82" s="28"/>
      <c r="N82" s="37">
        <f ca="1">IFERROR(__xludf.DUMMYFUNCTION("IMPORTRANGE(""https://docs.google.com/spreadsheets/d/1bozxp9FwhaCNzy-RRGPVPfVYTttO4PUGDdaFvbz-Ue0/edit?gid=1870218791#gid=1870218791"", ""Rev vs Mktg &amp; Mktg Mix!N"" &amp; ROW(N18))
"),2.055)</f>
        <v>2.0550000000000002</v>
      </c>
      <c r="O82" s="32">
        <f>VLOOKUP(VALUE(LEFT(A84, 4)), 'Raw Annual Revenue'!A:O, 15, FALSE) / 4</f>
        <v>39747.75</v>
      </c>
      <c r="P82" s="28"/>
      <c r="Q82" s="28"/>
      <c r="R82" s="31">
        <f>VLOOKUP(VALUE(LEFT(A82, 4)), 'Raw Annual Revenue'!A:R, 18, FALSE) / 4</f>
        <v>68920.5</v>
      </c>
      <c r="S82" s="30">
        <f>VLOOKUP(VALUE(LEFT(A85, 4)), 'Raw Annual Revenue'!A:S, 19, FALSE) / 4</f>
        <v>4927.5</v>
      </c>
      <c r="T82" s="28"/>
      <c r="U82" s="28"/>
      <c r="V82" s="28"/>
      <c r="W82" s="30">
        <f>VLOOKUP(VALUE(LEFT($A84, 4)), 'Raw Annual Revenue'!$A:W, 23, FALSE) / 4</f>
        <v>509196.75</v>
      </c>
      <c r="X82" s="31">
        <f>VLOOKUP(VALUE(LEFT(A82, 4)), 'Raw Annual Revenue'!A:X, 24, FALSE) / 4</f>
        <v>48698.389649999997</v>
      </c>
      <c r="Y82" s="31">
        <f>VLOOKUP(VALUE(LEFT($A82, 4)), 'Raw Annual Revenue'!$A:Y, 25, FALSE) / 4</f>
        <v>9266.25</v>
      </c>
      <c r="Z82" s="31">
        <f>VLOOKUP(VALUE(LEFT($A82, 4)), 'Raw Annual Revenue'!$A:Z, 26, FALSE) / 4</f>
        <v>82239.5</v>
      </c>
      <c r="AA82" s="31"/>
      <c r="AB82" s="31">
        <f>VLOOKUP(VALUE(LEFT($A82, 4)), 'Raw Annual Revenue'!$A:AB, 28, FALSE) / 4</f>
        <v>16580.67625</v>
      </c>
      <c r="AC82" s="28"/>
    </row>
    <row r="83" spans="1:29" ht="13">
      <c r="A83" s="27" t="s">
        <v>108</v>
      </c>
      <c r="B83" s="31">
        <f>VLOOKUP(VALUE(LEFT(A83, 4)), 'Raw Annual Revenue'!A:B, 2, FALSE) / 4</f>
        <v>640430.25</v>
      </c>
      <c r="C83" s="38">
        <f ca="1">IFERROR(__xludf.DUMMYFUNCTION("IMPORTRANGE(""https://docs.google.com/spreadsheets/d/1bozxp9FwhaCNzy-RRGPVPfVYTttO4PUGDdaFvbz-Ue0/edit?gid=1870218791#gid=1870218791"", ""Rev vs Mktg &amp; Mktg Mix!C"" &amp; ROW(B19))
"),2419.404)</f>
        <v>2419.404</v>
      </c>
      <c r="D83" s="38">
        <f ca="1">IFERROR(__xludf.DUMMYFUNCTION("IMPORTRANGE(""https://docs.google.com/spreadsheets/d/1bozxp9FwhaCNzy-RRGPVPfVYTttO4PUGDdaFvbz-Ue0/edit?gid=1870218791#gid=1870218791"", ""Rev vs Mktg &amp; Mktg Mix!D"" &amp; ROW(C19))
"),2189)</f>
        <v>2189</v>
      </c>
      <c r="E83" s="38">
        <f ca="1">IFERROR(__xludf.DUMMYFUNCTION("IMPORTRANGE(""https://docs.google.com/spreadsheets/d/1bozxp9FwhaCNzy-RRGPVPfVYTttO4PUGDdaFvbz-Ue0/edit?gid=1870218791#gid=1870218791"", ""Rev vs Mktg &amp; Mktg Mix!E"" &amp; ROW(E19))
"),891)</f>
        <v>891</v>
      </c>
      <c r="F83" s="38">
        <f ca="1">IFERROR(__xludf.DUMMYFUNCTION("IMPORTRANGE(""https://docs.google.com/spreadsheets/d/1bozxp9FwhaCNzy-RRGPVPfVYTttO4PUGDdaFvbz-Ue0/edit?gid=1870218791#gid=1870218791"", ""Rev vs Mktg &amp; Mktg Mix!F"" &amp; ROW(G19))
"),372)</f>
        <v>372</v>
      </c>
      <c r="G83" s="38">
        <f ca="1">IFERROR(__xludf.DUMMYFUNCTION("IMPORTRANGE(""https://docs.google.com/spreadsheets/d/1bozxp9FwhaCNzy-RRGPVPfVYTttO4PUGDdaFvbz-Ue0/edit?gid=1870218791#gid=1870218791"", ""Rev vs Mktg &amp; Mktg Mix!G"" &amp; ROW(I19))
"),267.644)</f>
        <v>267.64400000000001</v>
      </c>
      <c r="H83" s="31">
        <f>VLOOKUP(VALUE(LEFT(A86, 4)), 'Raw Annual Revenue'!A:H, 8, FALSE) / 4</f>
        <v>130046.25</v>
      </c>
      <c r="I83" s="38">
        <f ca="1">IFERROR(__xludf.DUMMYFUNCTION("IMPORTRANGE(""https://docs.google.com/spreadsheets/d/1bozxp9FwhaCNzy-RRGPVPfVYTttO4PUGDdaFvbz-Ue0/edit?gid=1870218791#gid=1870218791"", ""Rev vs Mktg &amp; Mktg Mix!I"" &amp; ROW(K19))
"),124.999)</f>
        <v>124.999</v>
      </c>
      <c r="J83" s="38">
        <f ca="1">IFERROR(__xludf.DUMMYFUNCTION("IMPORTRANGE(""https://docs.google.com/spreadsheets/d/1bozxp9FwhaCNzy-RRGPVPfVYTttO4PUGDdaFvbz-Ue0/edit?gid=1870218791#gid=1870218791"", ""Rev vs Mktg &amp; Mktg Mix!J"" &amp; ROW(J19))
"),120.033)</f>
        <v>120.033</v>
      </c>
      <c r="K83" s="28"/>
      <c r="L83" s="38">
        <f ca="1">IFERROR(__xludf.DUMMYFUNCTION("IMPORTRANGE(""https://docs.google.com/spreadsheets/d/1bozxp9FwhaCNzy-RRGPVPfVYTttO4PUGDdaFvbz-Ue0/edit?gid=1870218791#gid=1870218791"", ""Rev vs Mktg &amp; Mktg Mix!L"" &amp; ROW(N19))
"),124.4476681476)</f>
        <v>124.4476681476</v>
      </c>
      <c r="M83" s="28"/>
      <c r="N83" s="37">
        <f ca="1">IFERROR(__xludf.DUMMYFUNCTION("IMPORTRANGE(""https://docs.google.com/spreadsheets/d/1bozxp9FwhaCNzy-RRGPVPfVYTttO4PUGDdaFvbz-Ue0/edit?gid=1870218791#gid=1870218791"", ""Rev vs Mktg &amp; Mktg Mix!N"" &amp; ROW(N19))
"),2.656)</f>
        <v>2.6560000000000001</v>
      </c>
      <c r="O83" s="32">
        <f>VLOOKUP(VALUE(LEFT(A85, 4)), 'Raw Annual Revenue'!A:O, 15, FALSE) / 4</f>
        <v>39747.75</v>
      </c>
      <c r="P83" s="28"/>
      <c r="Q83" s="28"/>
      <c r="R83" s="31">
        <f>VLOOKUP(VALUE(LEFT(A83, 4)), 'Raw Annual Revenue'!A:R, 18, FALSE) / 4</f>
        <v>77603.75</v>
      </c>
      <c r="S83" s="30">
        <f>VLOOKUP(VALUE(LEFT(A86, 4)), 'Raw Annual Revenue'!A:S, 19, FALSE) / 4</f>
        <v>4927.5</v>
      </c>
      <c r="T83" s="28"/>
      <c r="U83" s="28"/>
      <c r="V83" s="28"/>
      <c r="W83" s="30">
        <f>VLOOKUP(VALUE(LEFT($A85, 4)), 'Raw Annual Revenue'!$A:W, 23, FALSE) / 4</f>
        <v>509196.75</v>
      </c>
      <c r="X83" s="31">
        <f>VLOOKUP(VALUE(LEFT(A83, 4)), 'Raw Annual Revenue'!A:X, 24, FALSE) / 4</f>
        <v>72355.095862500006</v>
      </c>
      <c r="Y83" s="31">
        <f>VLOOKUP(VALUE(LEFT($A83, 4)), 'Raw Annual Revenue'!$A:Y, 25, FALSE) / 4</f>
        <v>12384</v>
      </c>
      <c r="Z83" s="31">
        <f>VLOOKUP(VALUE(LEFT($A83, 4)), 'Raw Annual Revenue'!$A:Z, 26, FALSE) / 4</f>
        <v>215295</v>
      </c>
      <c r="AA83" s="31">
        <f>VLOOKUP(VALUE(LEFT($A83, 4)), 'Raw Annual Revenue'!$A:AA, 27, FALSE) / 4</f>
        <v>12071.5</v>
      </c>
      <c r="AB83" s="31">
        <f>VLOOKUP(VALUE(LEFT($A83, 4)), 'Raw Annual Revenue'!$A:AB, 28, FALSE) / 4</f>
        <v>26326.25</v>
      </c>
      <c r="AC83" s="28"/>
    </row>
    <row r="84" spans="1:29" ht="13">
      <c r="A84" s="27" t="s">
        <v>109</v>
      </c>
      <c r="B84" s="31">
        <f>VLOOKUP(VALUE(LEFT(A84, 4)), 'Raw Annual Revenue'!A:B, 2, FALSE) / 4</f>
        <v>640430.25</v>
      </c>
      <c r="C84" s="38">
        <f ca="1">IFERROR(__xludf.DUMMYFUNCTION("IMPORTRANGE(""https://docs.google.com/spreadsheets/d/1bozxp9FwhaCNzy-RRGPVPfVYTttO4PUGDdaFvbz-Ue0/edit?gid=1870218791#gid=1870218791"", ""Rev vs Mktg &amp; Mktg Mix!C"" &amp; ROW(B20))
"),3024.556)</f>
        <v>3024.556</v>
      </c>
      <c r="D84" s="38">
        <f ca="1">IFERROR(__xludf.DUMMYFUNCTION("IMPORTRANGE(""https://docs.google.com/spreadsheets/d/1bozxp9FwhaCNzy-RRGPVPfVYTttO4PUGDdaFvbz-Ue0/edit?gid=1870218791#gid=1870218791"", ""Rev vs Mktg &amp; Mktg Mix!D"" &amp; ROW(C20))
"),2586)</f>
        <v>2586</v>
      </c>
      <c r="E84" s="38">
        <f ca="1">IFERROR(__xludf.DUMMYFUNCTION("IMPORTRANGE(""https://docs.google.com/spreadsheets/d/1bozxp9FwhaCNzy-RRGPVPfVYTttO4PUGDdaFvbz-Ue0/edit?gid=1870218791#gid=1870218791"", ""Rev vs Mktg &amp; Mktg Mix!E"" &amp; ROW(E20))
"),953)</f>
        <v>953</v>
      </c>
      <c r="F84" s="38">
        <f ca="1">IFERROR(__xludf.DUMMYFUNCTION("IMPORTRANGE(""https://docs.google.com/spreadsheets/d/1bozxp9FwhaCNzy-RRGPVPfVYTttO4PUGDdaFvbz-Ue0/edit?gid=1870218791#gid=1870218791"", ""Rev vs Mktg &amp; Mktg Mix!F"" &amp; ROW(G20))
"),424)</f>
        <v>424</v>
      </c>
      <c r="G84" s="38">
        <f ca="1">IFERROR(__xludf.DUMMYFUNCTION("IMPORTRANGE(""https://docs.google.com/spreadsheets/d/1bozxp9FwhaCNzy-RRGPVPfVYTttO4PUGDdaFvbz-Ue0/edit?gid=1870218791#gid=1870218791"", ""Rev vs Mktg &amp; Mktg Mix!G"" &amp; ROW(I20))
"),298.336)</f>
        <v>298.33600000000001</v>
      </c>
      <c r="H84" s="35">
        <f ca="1">IFERROR(__xludf.DUMMYFUNCTION("IMPORTRANGE(""https://docs.google.com/spreadsheets/d/1bozxp9FwhaCNzy-RRGPVPfVYTttO4PUGDdaFvbz-Ue0/edit?gid=1870218791#gid=1870218791"", ""Rev vs Mktg &amp; Mktg Mix!H"" &amp; ROW(H20))
"),148.06)</f>
        <v>148.06</v>
      </c>
      <c r="I84" s="38">
        <f ca="1">IFERROR(__xludf.DUMMYFUNCTION("IMPORTRANGE(""https://docs.google.com/spreadsheets/d/1bozxp9FwhaCNzy-RRGPVPfVYTttO4PUGDdaFvbz-Ue0/edit?gid=1870218791#gid=1870218791"", ""Rev vs Mktg &amp; Mktg Mix!I"" &amp; ROW(K20))
"),123.403)</f>
        <v>123.40300000000001</v>
      </c>
      <c r="J84" s="38">
        <f ca="1">IFERROR(__xludf.DUMMYFUNCTION("IMPORTRANGE(""https://docs.google.com/spreadsheets/d/1bozxp9FwhaCNzy-RRGPVPfVYTttO4PUGDdaFvbz-Ue0/edit?gid=1870218791#gid=1870218791"", ""Rev vs Mktg &amp; Mktg Mix!J"" &amp; ROW(J20))
"),192.056)</f>
        <v>192.05600000000001</v>
      </c>
      <c r="K84" s="28"/>
      <c r="L84" s="38">
        <f ca="1">IFERROR(__xludf.DUMMYFUNCTION("IMPORTRANGE(""https://docs.google.com/spreadsheets/d/1bozxp9FwhaCNzy-RRGPVPfVYTttO4PUGDdaFvbz-Ue0/edit?gid=1870218791#gid=1870218791"", ""Rev vs Mktg &amp; Mktg Mix!L"" &amp; ROW(N20))
"),152.9547692232)</f>
        <v>152.9547692232</v>
      </c>
      <c r="M84" s="28"/>
      <c r="N84" s="37">
        <f ca="1">IFERROR(__xludf.DUMMYFUNCTION("IMPORTRANGE(""https://docs.google.com/spreadsheets/d/1bozxp9FwhaCNzy-RRGPVPfVYTttO4PUGDdaFvbz-Ue0/edit?gid=1870218791#gid=1870218791"", ""Rev vs Mktg &amp; Mktg Mix!N"" &amp; ROW(N20))
"),3.011)</f>
        <v>3.0110000000000001</v>
      </c>
      <c r="O84" s="32">
        <f>VLOOKUP(VALUE(LEFT(A86, 4)), 'Raw Annual Revenue'!A:O, 15, FALSE) / 4</f>
        <v>39747.75</v>
      </c>
      <c r="P84" s="28"/>
      <c r="Q84" s="37"/>
      <c r="R84" s="31">
        <f>VLOOKUP(VALUE(LEFT(A84, 4)), 'Raw Annual Revenue'!A:R, 18, FALSE) / 4</f>
        <v>77603.75</v>
      </c>
      <c r="S84" s="30">
        <f>VLOOKUP(VALUE(LEFT(A87, 4)), 'Raw Annual Revenue'!A:S, 19, FALSE) / 4</f>
        <v>9678.25</v>
      </c>
      <c r="T84" s="28"/>
      <c r="U84" s="28"/>
      <c r="V84" s="28"/>
      <c r="W84" s="30">
        <f>VLOOKUP(VALUE(LEFT($A86, 4)), 'Raw Annual Revenue'!$A:W, 23, FALSE) / 4</f>
        <v>509196.75</v>
      </c>
      <c r="X84" s="31">
        <f>VLOOKUP(VALUE(LEFT(A84, 4)), 'Raw Annual Revenue'!A:X, 24, FALSE) / 4</f>
        <v>72355.095862500006</v>
      </c>
      <c r="Y84" s="31">
        <f>VLOOKUP(VALUE(LEFT($A84, 4)), 'Raw Annual Revenue'!$A:Y, 25, FALSE) / 4</f>
        <v>12384</v>
      </c>
      <c r="Z84" s="31">
        <f>VLOOKUP(VALUE(LEFT($A84, 4)), 'Raw Annual Revenue'!$A:Z, 26, FALSE) / 4</f>
        <v>215295</v>
      </c>
      <c r="AA84" s="31">
        <f>VLOOKUP(VALUE(LEFT($A84, 4)), 'Raw Annual Revenue'!$A:AA, 27, FALSE) / 4</f>
        <v>12071.5</v>
      </c>
      <c r="AB84" s="31">
        <f>VLOOKUP(VALUE(LEFT($A84, 4)), 'Raw Annual Revenue'!$A:AB, 28, FALSE) / 4</f>
        <v>26326.25</v>
      </c>
      <c r="AC84" s="28"/>
    </row>
    <row r="85" spans="1:29" ht="13">
      <c r="A85" s="27" t="s">
        <v>110</v>
      </c>
      <c r="B85" s="31">
        <f>VLOOKUP(VALUE(LEFT(A85, 4)), 'Raw Annual Revenue'!A:B, 2, FALSE) / 4</f>
        <v>640430.25</v>
      </c>
      <c r="C85" s="38">
        <f ca="1">IFERROR(__xludf.DUMMYFUNCTION("IMPORTRANGE(""https://docs.google.com/spreadsheets/d/1bozxp9FwhaCNzy-RRGPVPfVYTttO4PUGDdaFvbz-Ue0/edit?gid=1870218791#gid=1870218791"", ""Rev vs Mktg &amp; Mktg Mix!C"" &amp; ROW(B21))
"),4434.029)</f>
        <v>4434.0290000000005</v>
      </c>
      <c r="D85" s="38">
        <f ca="1">IFERROR(__xludf.DUMMYFUNCTION("IMPORTRANGE(""https://docs.google.com/spreadsheets/d/1bozxp9FwhaCNzy-RRGPVPfVYTttO4PUGDdaFvbz-Ue0/edit?gid=1870218791#gid=1870218791"", ""Rev vs Mktg &amp; Mktg Mix!D"" &amp; ROW(C21))
"),2966)</f>
        <v>2966</v>
      </c>
      <c r="E85" s="38">
        <f ca="1">IFERROR(__xludf.DUMMYFUNCTION("IMPORTRANGE(""https://docs.google.com/spreadsheets/d/1bozxp9FwhaCNzy-RRGPVPfVYTttO4PUGDdaFvbz-Ue0/edit?gid=1870218791#gid=1870218791"", ""Rev vs Mktg &amp; Mktg Mix!E"" &amp; ROW(E21))
"),1196)</f>
        <v>1196</v>
      </c>
      <c r="F85" s="38">
        <f ca="1">IFERROR(__xludf.DUMMYFUNCTION("IMPORTRANGE(""https://docs.google.com/spreadsheets/d/1bozxp9FwhaCNzy-RRGPVPfVYTttO4PUGDdaFvbz-Ue0/edit?gid=1870218791#gid=1870218791"", ""Rev vs Mktg &amp; Mktg Mix!F"" &amp; ROW(G21))
"),439)</f>
        <v>439</v>
      </c>
      <c r="G85" s="38">
        <f ca="1">IFERROR(__xludf.DUMMYFUNCTION("IMPORTRANGE(""https://docs.google.com/spreadsheets/d/1bozxp9FwhaCNzy-RRGPVPfVYTttO4PUGDdaFvbz-Ue0/edit?gid=1870218791#gid=1870218791"", ""Rev vs Mktg &amp; Mktg Mix!G"" &amp; ROW(I21))
"),287.86)</f>
        <v>287.86</v>
      </c>
      <c r="H85" s="38">
        <f ca="1">IFERROR(__xludf.DUMMYFUNCTION("IMPORTRANGE(""https://docs.google.com/spreadsheets/d/1bozxp9FwhaCNzy-RRGPVPfVYTttO4PUGDdaFvbz-Ue0/edit?gid=1870218791#gid=1870218791"", ""Rev vs Mktg &amp; Mktg Mix!H"" &amp; ROW(H21))
"),142.12)</f>
        <v>142.12</v>
      </c>
      <c r="I85" s="38">
        <f ca="1">IFERROR(__xludf.DUMMYFUNCTION("IMPORTRANGE(""https://docs.google.com/spreadsheets/d/1bozxp9FwhaCNzy-RRGPVPfVYTttO4PUGDdaFvbz-Ue0/edit?gid=1870218791#gid=1870218791"", ""Rev vs Mktg &amp; Mktg Mix!I"" &amp; ROW(K21))
"),131.468)</f>
        <v>131.46799999999999</v>
      </c>
      <c r="J85" s="38">
        <f ca="1">IFERROR(__xludf.DUMMYFUNCTION("IMPORTRANGE(""https://docs.google.com/spreadsheets/d/1bozxp9FwhaCNzy-RRGPVPfVYTttO4PUGDdaFvbz-Ue0/edit?gid=1870218791#gid=1870218791"", ""Rev vs Mktg &amp; Mktg Mix!J"" &amp; ROW(J21))
"),152.917)</f>
        <v>152.917</v>
      </c>
      <c r="K85" s="28"/>
      <c r="L85" s="38">
        <f ca="1">IFERROR(__xludf.DUMMYFUNCTION("IMPORTRANGE(""https://docs.google.com/spreadsheets/d/1bozxp9FwhaCNzy-RRGPVPfVYTttO4PUGDdaFvbz-Ue0/edit?gid=1870218791#gid=1870218791"", ""Rev vs Mktg &amp; Mktg Mix!L"" &amp; ROW(N21))
"),130.421956707)</f>
        <v>130.42195670699999</v>
      </c>
      <c r="M85" s="28"/>
      <c r="N85" s="37">
        <f ca="1">IFERROR(__xludf.DUMMYFUNCTION("IMPORTRANGE(""https://docs.google.com/spreadsheets/d/1bozxp9FwhaCNzy-RRGPVPfVYTttO4PUGDdaFvbz-Ue0/edit?gid=1870218791#gid=1870218791"", ""Rev vs Mktg &amp; Mktg Mix!N"" &amp; ROW(N21))
"),3.249)</f>
        <v>3.2490000000000001</v>
      </c>
      <c r="O85" s="32">
        <f>VLOOKUP(VALUE(LEFT(A87, 4)), 'Raw Annual Revenue'!A:O, 15, FALSE) / 4</f>
        <v>140685</v>
      </c>
      <c r="P85" s="28"/>
      <c r="Q85" s="37"/>
      <c r="R85" s="31">
        <f>VLOOKUP(VALUE(LEFT(A85, 4)), 'Raw Annual Revenue'!A:R, 18, FALSE) / 4</f>
        <v>77603.75</v>
      </c>
      <c r="S85" s="30">
        <f>VLOOKUP(VALUE(LEFT(A88, 4)), 'Raw Annual Revenue'!A:S, 19, FALSE) / 4</f>
        <v>9678.25</v>
      </c>
      <c r="T85" s="28"/>
      <c r="U85" s="28"/>
      <c r="V85" s="28"/>
      <c r="W85" s="30">
        <f>VLOOKUP(VALUE(LEFT($A87, 4)), 'Raw Annual Revenue'!$A:W, 23, FALSE) / 4</f>
        <v>540590</v>
      </c>
      <c r="X85" s="31">
        <f>VLOOKUP(VALUE(LEFT(A85, 4)), 'Raw Annual Revenue'!A:X, 24, FALSE) / 4</f>
        <v>72355.095862500006</v>
      </c>
      <c r="Y85" s="31">
        <f>VLOOKUP(VALUE(LEFT($A85, 4)), 'Raw Annual Revenue'!$A:Y, 25, FALSE) / 4</f>
        <v>12384</v>
      </c>
      <c r="Z85" s="31">
        <f>VLOOKUP(VALUE(LEFT($A85, 4)), 'Raw Annual Revenue'!$A:Z, 26, FALSE) / 4</f>
        <v>215295</v>
      </c>
      <c r="AA85" s="31">
        <f>VLOOKUP(VALUE(LEFT($A85, 4)), 'Raw Annual Revenue'!$A:AA, 27, FALSE) / 4</f>
        <v>12071.5</v>
      </c>
      <c r="AB85" s="31">
        <f>VLOOKUP(VALUE(LEFT($A85, 4)), 'Raw Annual Revenue'!$A:AB, 28, FALSE) / 4</f>
        <v>26326.25</v>
      </c>
      <c r="AC85" s="28"/>
    </row>
    <row r="86" spans="1:29" ht="13">
      <c r="A86" s="27" t="s">
        <v>111</v>
      </c>
      <c r="B86" s="31">
        <f>VLOOKUP(VALUE(LEFT(A86, 4)), 'Raw Annual Revenue'!A:B, 2, FALSE) / 4</f>
        <v>640430.25</v>
      </c>
      <c r="C86" s="38">
        <f ca="1">IFERROR(__xludf.DUMMYFUNCTION("IMPORTRANGE(""https://docs.google.com/spreadsheets/d/1bozxp9FwhaCNzy-RRGPVPfVYTttO4PUGDdaFvbz-Ue0/edit?gid=1870218791#gid=1870218791"", ""Rev vs Mktg &amp; Mktg Mix!C"" &amp; ROW(B22))
"),2803)</f>
        <v>2803</v>
      </c>
      <c r="D86" s="38">
        <f ca="1">IFERROR(__xludf.DUMMYFUNCTION("IMPORTRANGE(""https://docs.google.com/spreadsheets/d/1bozxp9FwhaCNzy-RRGPVPfVYTttO4PUGDdaFvbz-Ue0/edit?gid=1870218791#gid=1870218791"", ""Rev vs Mktg &amp; Mktg Mix!D"" &amp; ROW(C22))
"),2319)</f>
        <v>2319</v>
      </c>
      <c r="E86" s="38">
        <f ca="1">IFERROR(__xludf.DUMMYFUNCTION("IMPORTRANGE(""https://docs.google.com/spreadsheets/d/1bozxp9FwhaCNzy-RRGPVPfVYTttO4PUGDdaFvbz-Ue0/edit?gid=1870218791#gid=1870218791"", ""Rev vs Mktg &amp; Mktg Mix!E"" &amp; ROW(E22))
"),988)</f>
        <v>988</v>
      </c>
      <c r="F86" s="38">
        <f ca="1">IFERROR(__xludf.DUMMYFUNCTION("IMPORTRANGE(""https://docs.google.com/spreadsheets/d/1bozxp9FwhaCNzy-RRGPVPfVYTttO4PUGDdaFvbz-Ue0/edit?gid=1870218791#gid=1870218791"", ""Rev vs Mktg &amp; Mktg Mix!F"" &amp; ROW(G22))
"),321)</f>
        <v>321</v>
      </c>
      <c r="G86" s="38">
        <f ca="1">IFERROR(__xludf.DUMMYFUNCTION("IMPORTRANGE(""https://docs.google.com/spreadsheets/d/1bozxp9FwhaCNzy-RRGPVPfVYTttO4PUGDdaFvbz-Ue0/edit?gid=1870218791#gid=1870218791"", ""Rev vs Mktg &amp; Mktg Mix!G"" &amp; ROW(I22))
"),181.543)</f>
        <v>181.54300000000001</v>
      </c>
      <c r="H86" s="38">
        <f ca="1">IFERROR(__xludf.DUMMYFUNCTION("IMPORTRANGE(""https://docs.google.com/spreadsheets/d/1bozxp9FwhaCNzy-RRGPVPfVYTttO4PUGDdaFvbz-Ue0/edit?gid=1870218791#gid=1870218791"", ""Rev vs Mktg &amp; Mktg Mix!H"" &amp; ROW(H22))
"),125.29)</f>
        <v>125.29</v>
      </c>
      <c r="I86" s="38">
        <f ca="1">IFERROR(__xludf.DUMMYFUNCTION("IMPORTRANGE(""https://docs.google.com/spreadsheets/d/1bozxp9FwhaCNzy-RRGPVPfVYTttO4PUGDdaFvbz-Ue0/edit?gid=1870218791#gid=1870218791"", ""Rev vs Mktg &amp; Mktg Mix!I"" &amp; ROW(K22))
"),144.011)</f>
        <v>144.011</v>
      </c>
      <c r="J86" s="38">
        <f ca="1">IFERROR(__xludf.DUMMYFUNCTION("IMPORTRANGE(""https://docs.google.com/spreadsheets/d/1bozxp9FwhaCNzy-RRGPVPfVYTttO4PUGDdaFvbz-Ue0/edit?gid=1870218791#gid=1870218791"", ""Rev vs Mktg &amp; Mktg Mix!J"" &amp; ROW(J22))
"),172.477)</f>
        <v>172.477</v>
      </c>
      <c r="K86" s="28"/>
      <c r="L86" s="38">
        <f ca="1">IFERROR(__xludf.DUMMYFUNCTION("IMPORTRANGE(""https://docs.google.com/spreadsheets/d/1bozxp9FwhaCNzy-RRGPVPfVYTttO4PUGDdaFvbz-Ue0/edit?gid=1870218791#gid=1870218791"", ""Rev vs Mktg &amp; Mktg Mix!L"" &amp; ROW(N22))
"),154.1173931997)</f>
        <v>154.11739319969999</v>
      </c>
      <c r="M86" s="28"/>
      <c r="N86" s="37">
        <f ca="1">IFERROR(__xludf.DUMMYFUNCTION("IMPORTRANGE(""https://docs.google.com/spreadsheets/d/1bozxp9FwhaCNzy-RRGPVPfVYTttO4PUGDdaFvbz-Ue0/edit?gid=1870218791#gid=1870218791"", ""Rev vs Mktg &amp; Mktg Mix!N"" &amp; ROW(N22))
"),2.923)</f>
        <v>2.923</v>
      </c>
      <c r="O86" s="32">
        <f>VLOOKUP(VALUE(LEFT(A88, 4)), 'Raw Annual Revenue'!A:O, 15, FALSE) / 4</f>
        <v>140685</v>
      </c>
      <c r="P86" s="28"/>
      <c r="Q86" s="37"/>
      <c r="R86" s="31">
        <f>VLOOKUP(VALUE(LEFT(A86, 4)), 'Raw Annual Revenue'!A:R, 18, FALSE) / 4</f>
        <v>77603.75</v>
      </c>
      <c r="S86" s="30">
        <f>VLOOKUP(VALUE(LEFT(A89, 4)), 'Raw Annual Revenue'!A:S, 19, FALSE) / 4</f>
        <v>9678.25</v>
      </c>
      <c r="T86" s="28"/>
      <c r="U86" s="28"/>
      <c r="V86" s="28"/>
      <c r="W86" s="30">
        <f>VLOOKUP(VALUE(LEFT($A88, 4)), 'Raw Annual Revenue'!$A:W, 23, FALSE) / 4</f>
        <v>540590</v>
      </c>
      <c r="X86" s="31">
        <f>VLOOKUP(VALUE(LEFT(A86, 4)), 'Raw Annual Revenue'!A:X, 24, FALSE) / 4</f>
        <v>72355.095862500006</v>
      </c>
      <c r="Y86" s="31">
        <f>VLOOKUP(VALUE(LEFT($A86, 4)), 'Raw Annual Revenue'!$A:Y, 25, FALSE) / 4</f>
        <v>12384</v>
      </c>
      <c r="Z86" s="31">
        <f>VLOOKUP(VALUE(LEFT($A86, 4)), 'Raw Annual Revenue'!$A:Z, 26, FALSE) / 4</f>
        <v>215295</v>
      </c>
      <c r="AA86" s="31">
        <f>VLOOKUP(VALUE(LEFT($A86, 4)), 'Raw Annual Revenue'!$A:AA, 27, FALSE) / 4</f>
        <v>12071.5</v>
      </c>
      <c r="AB86" s="31">
        <f>VLOOKUP(VALUE(LEFT($A86, 4)), 'Raw Annual Revenue'!$A:AB, 28, FALSE) / 4</f>
        <v>26326.25</v>
      </c>
      <c r="AC86" s="28"/>
    </row>
    <row r="87" spans="1:29" ht="13">
      <c r="A87" s="27" t="s">
        <v>112</v>
      </c>
      <c r="B87" s="31">
        <f>VLOOKUP(VALUE(LEFT(A87, 4)), 'Raw Annual Revenue'!A:B, 2, FALSE) / 4</f>
        <v>912996.25</v>
      </c>
      <c r="C87" s="38">
        <f ca="1">IFERROR(__xludf.DUMMYFUNCTION("IMPORTRANGE(""https://docs.google.com/spreadsheets/d/1bozxp9FwhaCNzy-RRGPVPfVYTttO4PUGDdaFvbz-Ue0/edit?gid=1870218791#gid=1870218791"", ""Rev vs Mktg &amp; Mktg Mix!C"" &amp; ROW(B23))
"),2928.201)</f>
        <v>2928.201</v>
      </c>
      <c r="D87" s="38">
        <f ca="1">IFERROR(__xludf.DUMMYFUNCTION("IMPORTRANGE(""https://docs.google.com/spreadsheets/d/1bozxp9FwhaCNzy-RRGPVPfVYTttO4PUGDdaFvbz-Ue0/edit?gid=1870218791#gid=1870218791"", ""Rev vs Mktg &amp; Mktg Mix!D"" &amp; ROW(C23))
"),2508)</f>
        <v>2508</v>
      </c>
      <c r="E87" s="38">
        <f ca="1">IFERROR(__xludf.DUMMYFUNCTION("IMPORTRANGE(""https://docs.google.com/spreadsheets/d/1bozxp9FwhaCNzy-RRGPVPfVYTttO4PUGDdaFvbz-Ue0/edit?gid=1870218791#gid=1870218791"", ""Rev vs Mktg &amp; Mktg Mix!E"" &amp; ROW(E23))
"),1079)</f>
        <v>1079</v>
      </c>
      <c r="F87" s="38">
        <f ca="1">IFERROR(__xludf.DUMMYFUNCTION("IMPORTRANGE(""https://docs.google.com/spreadsheets/d/1bozxp9FwhaCNzy-RRGPVPfVYTttO4PUGDdaFvbz-Ue0/edit?gid=1870218791#gid=1870218791"", ""Rev vs Mktg &amp; Mktg Mix!F"" &amp; ROW(G23))
"),378)</f>
        <v>378</v>
      </c>
      <c r="G87" s="38">
        <f ca="1">IFERROR(__xludf.DUMMYFUNCTION("IMPORTRANGE(""https://docs.google.com/spreadsheets/d/1bozxp9FwhaCNzy-RRGPVPfVYTttO4PUGDdaFvbz-Ue0/edit?gid=1870218791#gid=1870218791"", ""Rev vs Mktg &amp; Mktg Mix!G"" &amp; ROW(I23))
"),259.364)</f>
        <v>259.36399999999998</v>
      </c>
      <c r="H87" s="38">
        <f ca="1">IFERROR(__xludf.DUMMYFUNCTION("IMPORTRANGE(""https://docs.google.com/spreadsheets/d/1bozxp9FwhaCNzy-RRGPVPfVYTttO4PUGDdaFvbz-Ue0/edit?gid=1870218791#gid=1870218791"", ""Rev vs Mktg &amp; Mktg Mix!H"" &amp; ROW(H23))
"),154.22)</f>
        <v>154.22</v>
      </c>
      <c r="I87" s="38">
        <f ca="1">IFERROR(__xludf.DUMMYFUNCTION("IMPORTRANGE(""https://docs.google.com/spreadsheets/d/1bozxp9FwhaCNzy-RRGPVPfVYTttO4PUGDdaFvbz-Ue0/edit?gid=1870218791#gid=1870218791"", ""Rev vs Mktg &amp; Mktg Mix!I"" &amp; ROW(K23))
"),148.593)</f>
        <v>148.59299999999999</v>
      </c>
      <c r="J87" s="38">
        <f ca="1">IFERROR(__xludf.DUMMYFUNCTION("IMPORTRANGE(""https://docs.google.com/spreadsheets/d/1bozxp9FwhaCNzy-RRGPVPfVYTttO4PUGDdaFvbz-Ue0/edit?gid=1870218791#gid=1870218791"", ""Rev vs Mktg &amp; Mktg Mix!J"" &amp; ROW(J23))
"),157.806)</f>
        <v>157.80600000000001</v>
      </c>
      <c r="K87" s="28"/>
      <c r="L87" s="38">
        <f ca="1">IFERROR(__xludf.DUMMYFUNCTION("IMPORTRANGE(""https://docs.google.com/spreadsheets/d/1bozxp9FwhaCNzy-RRGPVPfVYTttO4PUGDdaFvbz-Ue0/edit?gid=1870218791#gid=1870218791"", ""Rev vs Mktg &amp; Mktg Mix!L"" &amp; ROW(N23))
"),128.4709752648)</f>
        <v>128.47097526479999</v>
      </c>
      <c r="M87" s="28"/>
      <c r="N87" s="37">
        <f ca="1">IFERROR(__xludf.DUMMYFUNCTION("IMPORTRANGE(""https://docs.google.com/spreadsheets/d/1bozxp9FwhaCNzy-RRGPVPfVYTttO4PUGDdaFvbz-Ue0/edit?gid=1870218791#gid=1870218791"", ""Rev vs Mktg &amp; Mktg Mix!N"" &amp; ROW(N23))
"),4.022)</f>
        <v>4.0220000000000002</v>
      </c>
      <c r="O87" s="32">
        <f>VLOOKUP(VALUE(LEFT(A89, 4)), 'Raw Annual Revenue'!A:O, 15, FALSE) / 4</f>
        <v>140685</v>
      </c>
      <c r="P87" s="28"/>
      <c r="Q87" s="37"/>
      <c r="R87" s="31">
        <f>VLOOKUP(VALUE(LEFT(A87, 4)), 'Raw Annual Revenue'!A:R, 18, FALSE) / 4</f>
        <v>83272.25</v>
      </c>
      <c r="S87" s="30">
        <f>VLOOKUP(VALUE(LEFT(A90, 4)), 'Raw Annual Revenue'!A:S, 19, FALSE) / 4</f>
        <v>9678.25</v>
      </c>
      <c r="T87" s="28"/>
      <c r="U87" s="28"/>
      <c r="V87" s="28"/>
      <c r="W87" s="30">
        <f>VLOOKUP(VALUE(LEFT($A89, 4)), 'Raw Annual Revenue'!$A:W, 23, FALSE) / 4</f>
        <v>540590</v>
      </c>
      <c r="X87" s="31">
        <f>VLOOKUP(VALUE(LEFT(A87, 4)), 'Raw Annual Revenue'!A:X, 24, FALSE) / 4</f>
        <v>82990.800887499994</v>
      </c>
      <c r="Y87" s="31">
        <f>VLOOKUP(VALUE(LEFT($A87, 4)), 'Raw Annual Revenue'!$A:Y, 25, FALSE) / 4</f>
        <v>16488.25</v>
      </c>
      <c r="Z87" s="31">
        <f>VLOOKUP(VALUE(LEFT($A87, 4)), 'Raw Annual Revenue'!$A:Z, 26, FALSE) / 4</f>
        <v>308997.5</v>
      </c>
      <c r="AA87" s="31">
        <f>VLOOKUP(VALUE(LEFT($A87, 4)), 'Raw Annual Revenue'!$A:AA, 27, FALSE) / 4</f>
        <v>11662.5</v>
      </c>
      <c r="AB87" s="31">
        <f>VLOOKUP(VALUE(LEFT($A87, 4)), 'Raw Annual Revenue'!$A:AB, 28, FALSE) / 4</f>
        <v>46508.75</v>
      </c>
      <c r="AC87" s="28"/>
    </row>
    <row r="88" spans="1:29" ht="13">
      <c r="A88" s="27" t="s">
        <v>113</v>
      </c>
      <c r="B88" s="31">
        <f>VLOOKUP(VALUE(LEFT(A88, 4)), 'Raw Annual Revenue'!A:B, 2, FALSE) / 4</f>
        <v>912996.25</v>
      </c>
      <c r="C88" s="38">
        <f ca="1">IFERROR(__xludf.DUMMYFUNCTION("IMPORTRANGE(""https://docs.google.com/spreadsheets/d/1bozxp9FwhaCNzy-RRGPVPfVYTttO4PUGDdaFvbz-Ue0/edit?gid=1870218791#gid=1870218791"", ""Rev vs Mktg &amp; Mktg Mix!C"" &amp; ROW(B24))
"),3537.094)</f>
        <v>3537.0940000000001</v>
      </c>
      <c r="D88" s="38">
        <f ca="1">IFERROR(__xludf.DUMMYFUNCTION("IMPORTRANGE(""https://docs.google.com/spreadsheets/d/1bozxp9FwhaCNzy-RRGPVPfVYTttO4PUGDdaFvbz-Ue0/edit?gid=1870218791#gid=1870218791"", ""Rev vs Mktg &amp; Mktg Mix!D"" &amp; ROW(C24))
"),2880)</f>
        <v>2880</v>
      </c>
      <c r="E88" s="38">
        <f ca="1">IFERROR(__xludf.DUMMYFUNCTION("IMPORTRANGE(""https://docs.google.com/spreadsheets/d/1bozxp9FwhaCNzy-RRGPVPfVYTttO4PUGDdaFvbz-Ue0/edit?gid=1870218791#gid=1870218791"", ""Rev vs Mktg &amp; Mktg Mix!E"" &amp; ROW(E24))
"),1112)</f>
        <v>1112</v>
      </c>
      <c r="F88" s="38">
        <f ca="1">IFERROR(__xludf.DUMMYFUNCTION("IMPORTRANGE(""https://docs.google.com/spreadsheets/d/1bozxp9FwhaCNzy-RRGPVPfVYTttO4PUGDdaFvbz-Ue0/edit?gid=1870218791#gid=1870218791"", ""Rev vs Mktg &amp; Mktg Mix!F"" &amp; ROW(G24))
"),433)</f>
        <v>433</v>
      </c>
      <c r="G88" s="38">
        <f ca="1">IFERROR(__xludf.DUMMYFUNCTION("IMPORTRANGE(""https://docs.google.com/spreadsheets/d/1bozxp9FwhaCNzy-RRGPVPfVYTttO4PUGDdaFvbz-Ue0/edit?gid=1870218791#gid=1870218791"", ""Rev vs Mktg &amp; Mktg Mix!G"" &amp; ROW(I24))
"),234.999)</f>
        <v>234.999</v>
      </c>
      <c r="H88" s="38">
        <f ca="1">IFERROR(__xludf.DUMMYFUNCTION("IMPORTRANGE(""https://docs.google.com/spreadsheets/d/1bozxp9FwhaCNzy-RRGPVPfVYTttO4PUGDdaFvbz-Ue0/edit?gid=1870218791#gid=1870218791"", ""Rev vs Mktg &amp; Mktg Mix!H"" &amp; ROW(H24))
"),148.06)</f>
        <v>148.06</v>
      </c>
      <c r="I88" s="38">
        <f ca="1">IFERROR(__xludf.DUMMYFUNCTION("IMPORTRANGE(""https://docs.google.com/spreadsheets/d/1bozxp9FwhaCNzy-RRGPVPfVYTttO4PUGDdaFvbz-Ue0/edit?gid=1870218791#gid=1870218791"", ""Rev vs Mktg &amp; Mktg Mix!I"" &amp; ROW(K24))
"),128.259)</f>
        <v>128.25899999999999</v>
      </c>
      <c r="J88" s="38">
        <f ca="1">IFERROR(__xludf.DUMMYFUNCTION("IMPORTRANGE(""https://docs.google.com/spreadsheets/d/1bozxp9FwhaCNzy-RRGPVPfVYTttO4PUGDdaFvbz-Ue0/edit?gid=1870218791#gid=1870218791"", ""Rev vs Mktg &amp; Mktg Mix!J"" &amp; ROW(J24))
"),137.41)</f>
        <v>137.41</v>
      </c>
      <c r="K88" s="28"/>
      <c r="L88" s="38">
        <f ca="1">IFERROR(__xludf.DUMMYFUNCTION("IMPORTRANGE(""https://docs.google.com/spreadsheets/d/1bozxp9FwhaCNzy-RRGPVPfVYTttO4PUGDdaFvbz-Ue0/edit?gid=1870218791#gid=1870218791"", ""Rev vs Mktg &amp; Mktg Mix!L"" &amp; ROW(N24))
"),141.595687648799)</f>
        <v>141.59568764879899</v>
      </c>
      <c r="M88" s="28"/>
      <c r="N88" s="37">
        <f ca="1">IFERROR(__xludf.DUMMYFUNCTION("IMPORTRANGE(""https://docs.google.com/spreadsheets/d/1bozxp9FwhaCNzy-RRGPVPfVYTttO4PUGDdaFvbz-Ue0/edit?gid=1870218791#gid=1870218791"", ""Rev vs Mktg &amp; Mktg Mix!N"" &amp; ROW(N24))
"),4.345)</f>
        <v>4.3449999999999998</v>
      </c>
      <c r="O88" s="32">
        <f>VLOOKUP(VALUE(LEFT(A90, 4)), 'Raw Annual Revenue'!A:O, 15, FALSE) / 4</f>
        <v>140685</v>
      </c>
      <c r="P88" s="28"/>
      <c r="Q88" s="37"/>
      <c r="R88" s="31">
        <f>VLOOKUP(VALUE(LEFT(A88, 4)), 'Raw Annual Revenue'!A:R, 18, FALSE) / 4</f>
        <v>83272.25</v>
      </c>
      <c r="S88" s="30">
        <f>VLOOKUP(VALUE(LEFT(A91, 4)), 'Raw Annual Revenue'!A:S, 19, FALSE) / 4</f>
        <v>7096.25</v>
      </c>
      <c r="T88" s="28"/>
      <c r="U88" s="28"/>
      <c r="V88" s="28"/>
      <c r="W88" s="30">
        <f>VLOOKUP(VALUE(LEFT($A90, 4)), 'Raw Annual Revenue'!$A:W, 23, FALSE) / 4</f>
        <v>540590</v>
      </c>
      <c r="X88" s="31">
        <f>VLOOKUP(VALUE(LEFT(A88, 4)), 'Raw Annual Revenue'!A:X, 24, FALSE) / 4</f>
        <v>82990.800887499994</v>
      </c>
      <c r="Y88" s="31">
        <f>VLOOKUP(VALUE(LEFT($A88, 4)), 'Raw Annual Revenue'!$A:Y, 25, FALSE) / 4</f>
        <v>16488.25</v>
      </c>
      <c r="Z88" s="31">
        <f>VLOOKUP(VALUE(LEFT($A88, 4)), 'Raw Annual Revenue'!$A:Z, 26, FALSE) / 4</f>
        <v>308997.5</v>
      </c>
      <c r="AA88" s="31">
        <f>VLOOKUP(VALUE(LEFT($A88, 4)), 'Raw Annual Revenue'!$A:AA, 27, FALSE) / 4</f>
        <v>11662.5</v>
      </c>
      <c r="AB88" s="31">
        <f>VLOOKUP(VALUE(LEFT($A88, 4)), 'Raw Annual Revenue'!$A:AB, 28, FALSE) / 4</f>
        <v>46508.75</v>
      </c>
      <c r="AC88" s="28"/>
    </row>
    <row r="89" spans="1:29" ht="13">
      <c r="A89" s="27" t="s">
        <v>114</v>
      </c>
      <c r="B89" s="31">
        <f>VLOOKUP(VALUE(LEFT(A89, 4)), 'Raw Annual Revenue'!A:B, 2, FALSE) / 4</f>
        <v>912996.25</v>
      </c>
      <c r="C89" s="38">
        <f ca="1">IFERROR(__xludf.DUMMYFUNCTION("IMPORTRANGE(""https://docs.google.com/spreadsheets/d/1bozxp9FwhaCNzy-RRGPVPfVYTttO4PUGDdaFvbz-Ue0/edit?gid=1870218791#gid=1870218791"", ""Rev vs Mktg &amp; Mktg Mix!C"" &amp; ROW(B25))
"),4849.09)</f>
        <v>4849.09</v>
      </c>
      <c r="D89" s="38">
        <f ca="1">IFERROR(__xludf.DUMMYFUNCTION("IMPORTRANGE(""https://docs.google.com/spreadsheets/d/1bozxp9FwhaCNzy-RRGPVPfVYTttO4PUGDdaFvbz-Ue0/edit?gid=1870218791#gid=1870218791"", ""Rev vs Mktg &amp; Mktg Mix!D"" &amp; ROW(C25))
"),3276)</f>
        <v>3276</v>
      </c>
      <c r="E89" s="38">
        <f ca="1">IFERROR(__xludf.DUMMYFUNCTION("IMPORTRANGE(""https://docs.google.com/spreadsheets/d/1bozxp9FwhaCNzy-RRGPVPfVYTttO4PUGDdaFvbz-Ue0/edit?gid=1870218791#gid=1870218791"", ""Rev vs Mktg &amp; Mktg Mix!E"" &amp; ROW(E25))
"),1368)</f>
        <v>1368</v>
      </c>
      <c r="F89" s="38">
        <f ca="1">IFERROR(__xludf.DUMMYFUNCTION("IMPORTRANGE(""https://docs.google.com/spreadsheets/d/1bozxp9FwhaCNzy-RRGPVPfVYTttO4PUGDdaFvbz-Ue0/edit?gid=1870218791#gid=1870218791"", ""Rev vs Mktg &amp; Mktg Mix!F"" &amp; ROW(G25))
"),458)</f>
        <v>458</v>
      </c>
      <c r="G89" s="38">
        <f ca="1">IFERROR(__xludf.DUMMYFUNCTION("IMPORTRANGE(""https://docs.google.com/spreadsheets/d/1bozxp9FwhaCNzy-RRGPVPfVYTttO4PUGDdaFvbz-Ue0/edit?gid=1870218791#gid=1870218791"", ""Rev vs Mktg &amp; Mktg Mix!G"" &amp; ROW(I25))
"),253.675)</f>
        <v>253.67500000000001</v>
      </c>
      <c r="H89" s="38">
        <f ca="1">IFERROR(__xludf.DUMMYFUNCTION("IMPORTRANGE(""https://docs.google.com/spreadsheets/d/1bozxp9FwhaCNzy-RRGPVPfVYTttO4PUGDdaFvbz-Ue0/edit?gid=1870218791#gid=1870218791"", ""Rev vs Mktg &amp; Mktg Mix!H"" &amp; ROW(H25))
"),146.19)</f>
        <v>146.19</v>
      </c>
      <c r="I89" s="38">
        <f ca="1">IFERROR(__xludf.DUMMYFUNCTION("IMPORTRANGE(""https://docs.google.com/spreadsheets/d/1bozxp9FwhaCNzy-RRGPVPfVYTttO4PUGDdaFvbz-Ue0/edit?gid=1870218791#gid=1870218791"", ""Rev vs Mktg &amp; Mktg Mix!I"" &amp; ROW(K25))
"),121.247)</f>
        <v>121.247</v>
      </c>
      <c r="J89" s="38">
        <f ca="1">IFERROR(__xludf.DUMMYFUNCTION("IMPORTRANGE(""https://docs.google.com/spreadsheets/d/1bozxp9FwhaCNzy-RRGPVPfVYTttO4PUGDdaFvbz-Ue0/edit?gid=1870218791#gid=1870218791"", ""Rev vs Mktg &amp; Mktg Mix!J"" &amp; ROW(J25))
"),103.609)</f>
        <v>103.60899999999999</v>
      </c>
      <c r="K89" s="30"/>
      <c r="L89" s="38">
        <f ca="1">IFERROR(__xludf.DUMMYFUNCTION("IMPORTRANGE(""https://docs.google.com/spreadsheets/d/1bozxp9FwhaCNzy-RRGPVPfVYTttO4PUGDdaFvbz-Ue0/edit?gid=1870218791#gid=1870218791"", ""Rev vs Mktg &amp; Mktg Mix!L"" &amp; ROW(N25))
"),131.0961532377)</f>
        <v>131.09615323770001</v>
      </c>
      <c r="M89" s="36"/>
      <c r="N89" s="37">
        <f ca="1">IFERROR(__xludf.DUMMYFUNCTION("IMPORTRANGE(""https://docs.google.com/spreadsheets/d/1bozxp9FwhaCNzy-RRGPVPfVYTttO4PUGDdaFvbz-Ue0/edit?gid=1870218791#gid=1870218791"", ""Rev vs Mktg &amp; Mktg Mix!N"" &amp; ROW(N25))
"),5.105)</f>
        <v>5.1050000000000004</v>
      </c>
      <c r="O89" s="39">
        <f ca="1">IFERROR(__xludf.DUMMYFUNCTION("IMPORTRANGE(""https://docs.google.com/spreadsheets/d/1bozxp9FwhaCNzy-RRGPVPfVYTttO4PUGDdaFvbz-Ue0/edit?gid=1870218791#gid=1870218791"", ""Rev vs Mktg &amp; Mktg Mix!O"" &amp; ROW(O25))
"),57.135)</f>
        <v>57.134999999999998</v>
      </c>
      <c r="P89" s="28"/>
      <c r="Q89" s="37"/>
      <c r="R89" s="31">
        <f>VLOOKUP(VALUE(LEFT(A89, 4)), 'Raw Annual Revenue'!A:R, 18, FALSE) / 4</f>
        <v>83272.25</v>
      </c>
      <c r="S89" s="30">
        <f>VLOOKUP(VALUE(LEFT(A92, 4)), 'Raw Annual Revenue'!A:S, 19, FALSE) / 4</f>
        <v>7096.25</v>
      </c>
      <c r="T89" s="28"/>
      <c r="U89" s="28"/>
      <c r="V89" s="28"/>
      <c r="W89" s="30">
        <f>VLOOKUP(VALUE(LEFT($A91, 4)), 'Raw Annual Revenue'!$A:W, 23, FALSE) / 4</f>
        <v>532422</v>
      </c>
      <c r="X89" s="31">
        <f>VLOOKUP(VALUE(LEFT(A89, 4)), 'Raw Annual Revenue'!A:X, 24, FALSE) / 4</f>
        <v>82990.800887499994</v>
      </c>
      <c r="Y89" s="31">
        <f>VLOOKUP(VALUE(LEFT($A89, 4)), 'Raw Annual Revenue'!$A:Y, 25, FALSE) / 4</f>
        <v>16488.25</v>
      </c>
      <c r="Z89" s="31">
        <f>VLOOKUP(VALUE(LEFT($A89, 4)), 'Raw Annual Revenue'!$A:Z, 26, FALSE) / 4</f>
        <v>308997.5</v>
      </c>
      <c r="AA89" s="31">
        <f>VLOOKUP(VALUE(LEFT($A89, 4)), 'Raw Annual Revenue'!$A:AA, 27, FALSE) / 4</f>
        <v>11662.5</v>
      </c>
      <c r="AB89" s="31">
        <f>VLOOKUP(VALUE(LEFT($A89, 4)), 'Raw Annual Revenue'!$A:AB, 28, FALSE) / 4</f>
        <v>46508.75</v>
      </c>
      <c r="AC89" s="28"/>
    </row>
    <row r="90" spans="1:29" ht="13">
      <c r="A90" s="27" t="s">
        <v>115</v>
      </c>
      <c r="B90" s="31">
        <f>VLOOKUP(VALUE(LEFT(A90, 4)), 'Raw Annual Revenue'!A:B, 2, FALSE) / 4</f>
        <v>912996.25</v>
      </c>
      <c r="C90" s="38">
        <f ca="1">IFERROR(__xludf.DUMMYFUNCTION("IMPORTRANGE(""https://docs.google.com/spreadsheets/d/1bozxp9FwhaCNzy-RRGPVPfVYTttO4PUGDdaFvbz-Ue0/edit?gid=1870218791#gid=1870218791"", ""Rev vs Mktg &amp; Mktg Mix!C"" &amp; ROW(B26))
"),3213)</f>
        <v>3213</v>
      </c>
      <c r="D90" s="38">
        <f ca="1">IFERROR(__xludf.DUMMYFUNCTION("IMPORTRANGE(""https://docs.google.com/spreadsheets/d/1bozxp9FwhaCNzy-RRGPVPfVYTttO4PUGDdaFvbz-Ue0/edit?gid=1870218791#gid=1870218791"", ""Rev vs Mktg &amp; Mktg Mix!D"" &amp; ROW(C26))
"),2559)</f>
        <v>2559</v>
      </c>
      <c r="E90" s="38">
        <f ca="1">IFERROR(__xludf.DUMMYFUNCTION("IMPORTRANGE(""https://docs.google.com/spreadsheets/d/1bozxp9FwhaCNzy-RRGPVPfVYTttO4PUGDdaFvbz-Ue0/edit?gid=1870218791#gid=1870218791"", ""Rev vs Mktg &amp; Mktg Mix!E"" &amp; ROW(E26))
"),1103)</f>
        <v>1103</v>
      </c>
      <c r="F90" s="38">
        <f ca="1">IFERROR(__xludf.DUMMYFUNCTION("IMPORTRANGE(""https://docs.google.com/spreadsheets/d/1bozxp9FwhaCNzy-RRGPVPfVYTttO4PUGDdaFvbz-Ue0/edit?gid=1870218791#gid=1870218791"", ""Rev vs Mktg &amp; Mktg Mix!F"" &amp; ROW(G26))
"),346)</f>
        <v>346</v>
      </c>
      <c r="G90" s="38">
        <f ca="1">IFERROR(__xludf.DUMMYFUNCTION("IMPORTRANGE(""https://docs.google.com/spreadsheets/d/1bozxp9FwhaCNzy-RRGPVPfVYTttO4PUGDdaFvbz-Ue0/edit?gid=1870218791#gid=1870218791"", ""Rev vs Mktg &amp; Mktg Mix!G"" &amp; ROW(I26))
"),166.778)</f>
        <v>166.77799999999999</v>
      </c>
      <c r="H90" s="38">
        <f ca="1">IFERROR(__xludf.DUMMYFUNCTION("IMPORTRANGE(""https://docs.google.com/spreadsheets/d/1bozxp9FwhaCNzy-RRGPVPfVYTttO4PUGDdaFvbz-Ue0/edit?gid=1870218791#gid=1870218791"", ""Rev vs Mktg &amp; Mktg Mix!H"" &amp; ROW(H26))
"),125.4)</f>
        <v>125.4</v>
      </c>
      <c r="I90" s="38">
        <f ca="1">IFERROR(__xludf.DUMMYFUNCTION("IMPORTRANGE(""https://docs.google.com/spreadsheets/d/1bozxp9FwhaCNzy-RRGPVPfVYTttO4PUGDdaFvbz-Ue0/edit?gid=1870218791#gid=1870218791"", ""Rev vs Mktg &amp; Mktg Mix!I"" &amp; ROW(K26))
"),132.515)</f>
        <v>132.51499999999999</v>
      </c>
      <c r="J90" s="38">
        <f ca="1">IFERROR(__xludf.DUMMYFUNCTION("IMPORTRANGE(""https://docs.google.com/spreadsheets/d/1bozxp9FwhaCNzy-RRGPVPfVYTttO4PUGDdaFvbz-Ue0/edit?gid=1870218791#gid=1870218791"", ""Rev vs Mktg &amp; Mktg Mix!J"" &amp; ROW(J26))
"),124.815)</f>
        <v>124.815</v>
      </c>
      <c r="K90" s="30"/>
      <c r="L90" s="38">
        <f ca="1">IFERROR(__xludf.DUMMYFUNCTION("IMPORTRANGE(""https://docs.google.com/spreadsheets/d/1bozxp9FwhaCNzy-RRGPVPfVYTttO4PUGDdaFvbz-Ue0/edit?gid=1870218791#gid=1870218791"", ""Rev vs Mktg &amp; Mktg Mix!L"" &amp; ROW(N26))
"),118.264680970799)</f>
        <v>118.26468097079901</v>
      </c>
      <c r="M90" s="28"/>
      <c r="N90" s="37">
        <f ca="1">IFERROR(__xludf.DUMMYFUNCTION("IMPORTRANGE(""https://docs.google.com/spreadsheets/d/1bozxp9FwhaCNzy-RRGPVPfVYTttO4PUGDdaFvbz-Ue0/edit?gid=1870218791#gid=1870218791"", ""Rev vs Mktg &amp; Mktg Mix!N"" &amp; ROW(N26))
"),5.52)</f>
        <v>5.52</v>
      </c>
      <c r="O90" s="37">
        <f ca="1">IFERROR(__xludf.DUMMYFUNCTION("IMPORTRANGE(""https://docs.google.com/spreadsheets/d/1bozxp9FwhaCNzy-RRGPVPfVYTttO4PUGDdaFvbz-Ue0/edit?gid=1870218791#gid=1870218791"", ""Rev vs Mktg &amp; Mktg Mix!O"" &amp; ROW(O26))
"),57.135)</f>
        <v>57.134999999999998</v>
      </c>
      <c r="P90" s="28"/>
      <c r="Q90" s="37"/>
      <c r="R90" s="31">
        <f>VLOOKUP(VALUE(LEFT(A90, 4)), 'Raw Annual Revenue'!A:R, 18, FALSE) / 4</f>
        <v>83272.25</v>
      </c>
      <c r="S90" s="30">
        <f>VLOOKUP(VALUE(LEFT(A93, 4)), 'Raw Annual Revenue'!A:S, 19, FALSE) / 4</f>
        <v>7096.25</v>
      </c>
      <c r="T90" s="28"/>
      <c r="U90" s="28"/>
      <c r="V90" s="28"/>
      <c r="W90" s="30">
        <f>VLOOKUP(VALUE(LEFT($A92, 4)), 'Raw Annual Revenue'!$A:W, 23, FALSE) / 4</f>
        <v>532422</v>
      </c>
      <c r="X90" s="31">
        <f>VLOOKUP(VALUE(LEFT(A90, 4)), 'Raw Annual Revenue'!A:X, 24, FALSE) / 4</f>
        <v>82990.800887499994</v>
      </c>
      <c r="Y90" s="31">
        <f>VLOOKUP(VALUE(LEFT($A90, 4)), 'Raw Annual Revenue'!$A:Y, 25, FALSE) / 4</f>
        <v>16488.25</v>
      </c>
      <c r="Z90" s="31">
        <f>VLOOKUP(VALUE(LEFT($A90, 4)), 'Raw Annual Revenue'!$A:Z, 26, FALSE) / 4</f>
        <v>308997.5</v>
      </c>
      <c r="AA90" s="31">
        <f>VLOOKUP(VALUE(LEFT($A90, 4)), 'Raw Annual Revenue'!$A:AA, 27, FALSE) / 4</f>
        <v>11662.5</v>
      </c>
      <c r="AB90" s="31">
        <f>VLOOKUP(VALUE(LEFT($A90, 4)), 'Raw Annual Revenue'!$A:AB, 28, FALSE) / 4</f>
        <v>46508.75</v>
      </c>
      <c r="AC90" s="28"/>
    </row>
    <row r="91" spans="1:29" ht="13">
      <c r="A91" s="27" t="s">
        <v>116</v>
      </c>
      <c r="B91" s="35">
        <f ca="1">IFERROR(__xludf.DUMMYFUNCTION("IMPORTRANGE(""https://docs.google.com/spreadsheets/d/1bozxp9FwhaCNzy-RRGPVPfVYTttO4PUGDdaFvbz-Ue0/edit?gid=1870218791#gid=1870218791"", ""Rev vs Mktg &amp; Mktg Mix!B"" &amp; ROW(A27))
"),839)</f>
        <v>839</v>
      </c>
      <c r="C91" s="38">
        <f ca="1">IFERROR(__xludf.DUMMYFUNCTION("IMPORTRANGE(""https://docs.google.com/spreadsheets/d/1bozxp9FwhaCNzy-RRGPVPfVYTttO4PUGDdaFvbz-Ue0/edit?gid=1870218791#gid=1870218791"", ""Rev vs Mktg &amp; Mktg Mix!C"" &amp; ROW(B27))
"),2837)</f>
        <v>2837</v>
      </c>
      <c r="D91" s="38">
        <f ca="1">IFERROR(__xludf.DUMMYFUNCTION("IMPORTRANGE(""https://docs.google.com/spreadsheets/d/1bozxp9FwhaCNzy-RRGPVPfVYTttO4PUGDdaFvbz-Ue0/edit?gid=1870218791#gid=1870218791"", ""Rev vs Mktg &amp; Mktg Mix!D"" &amp; ROW(C27))
"),2609)</f>
        <v>2609</v>
      </c>
      <c r="E91" s="38">
        <f ca="1">IFERROR(__xludf.DUMMYFUNCTION("IMPORTRANGE(""https://docs.google.com/spreadsheets/d/1bozxp9FwhaCNzy-RRGPVPfVYTttO4PUGDdaFvbz-Ue0/edit?gid=1870218791#gid=1870218791"", ""Rev vs Mktg &amp; Mktg Mix!E"" &amp; ROW(E27))
"),1218)</f>
        <v>1218</v>
      </c>
      <c r="F91" s="38">
        <f ca="1">IFERROR(__xludf.DUMMYFUNCTION("IMPORTRANGE(""https://docs.google.com/spreadsheets/d/1bozxp9FwhaCNzy-RRGPVPfVYTttO4PUGDdaFvbz-Ue0/edit?gid=1870218791#gid=1870218791"", ""Rev vs Mktg &amp; Mktg Mix!F"" &amp; ROW(G27))
"),376)</f>
        <v>376</v>
      </c>
      <c r="G91" s="38">
        <f ca="1">IFERROR(__xludf.DUMMYFUNCTION("IMPORTRANGE(""https://docs.google.com/spreadsheets/d/1bozxp9FwhaCNzy-RRGPVPfVYTttO4PUGDdaFvbz-Ue0/edit?gid=1870218791#gid=1870218791"", ""Rev vs Mktg &amp; Mktg Mix!G"" &amp; ROW(I27))
"),208.96)</f>
        <v>208.96</v>
      </c>
      <c r="H91" s="38">
        <f ca="1">IFERROR(__xludf.DUMMYFUNCTION("IMPORTRANGE(""https://docs.google.com/spreadsheets/d/1bozxp9FwhaCNzy-RRGPVPfVYTttO4PUGDdaFvbz-Ue0/edit?gid=1870218791#gid=1870218791"", ""Rev vs Mktg &amp; Mktg Mix!H"" &amp; ROW(H27))
"),166.54)</f>
        <v>166.54</v>
      </c>
      <c r="I91" s="38">
        <f ca="1">IFERROR(__xludf.DUMMYFUNCTION("IMPORTRANGE(""https://docs.google.com/spreadsheets/d/1bozxp9FwhaCNzy-RRGPVPfVYTttO4PUGDdaFvbz-Ue0/edit?gid=1870218791#gid=1870218791"", ""Rev vs Mktg &amp; Mktg Mix!I"" &amp; ROW(K27))
"),133.1)</f>
        <v>133.1</v>
      </c>
      <c r="J91" s="38">
        <f ca="1">IFERROR(__xludf.DUMMYFUNCTION("IMPORTRANGE(""https://docs.google.com/spreadsheets/d/1bozxp9FwhaCNzy-RRGPVPfVYTttO4PUGDdaFvbz-Ue0/edit?gid=1870218791#gid=1870218791"", ""Rev vs Mktg &amp; Mktg Mix!J"" &amp; ROW(J27))
"),120.177)</f>
        <v>120.17700000000001</v>
      </c>
      <c r="K91" s="30"/>
      <c r="L91" s="38">
        <f ca="1">IFERROR(__xludf.DUMMYFUNCTION("IMPORTRANGE(""https://docs.google.com/spreadsheets/d/1bozxp9FwhaCNzy-RRGPVPfVYTttO4PUGDdaFvbz-Ue0/edit?gid=1870218791#gid=1870218791"", ""Rev vs Mktg &amp; Mktg Mix!L"" &amp; ROW(N27))
"),80.6095416)</f>
        <v>80.6095416</v>
      </c>
      <c r="M91" s="37">
        <f ca="1">IFERROR(__xludf.DUMMYFUNCTION("IMPORTRANGE(""https://docs.google.com/spreadsheets/d/1bozxp9FwhaCNzy-RRGPVPfVYTttO4PUGDdaFvbz-Ue0/edit?gid=1870218791#gid=1870218791"", ""Rev vs Mktg &amp; Mktg Mix!M"" &amp; ROW(M27))
"),17.1780476308609)</f>
        <v>17.178047630860899</v>
      </c>
      <c r="N91" s="37">
        <f ca="1">IFERROR(__xludf.DUMMYFUNCTION("IMPORTRANGE(""https://docs.google.com/spreadsheets/d/1bozxp9FwhaCNzy-RRGPVPfVYTttO4PUGDdaFvbz-Ue0/edit?gid=1870218791#gid=1870218791"", ""Rev vs Mktg &amp; Mktg Mix!N"" &amp; ROW(N27))
"),6.081)</f>
        <v>6.0810000000000004</v>
      </c>
      <c r="O91" s="37">
        <f ca="1">IFERROR(__xludf.DUMMYFUNCTION("IMPORTRANGE(""https://docs.google.com/spreadsheets/d/1bozxp9FwhaCNzy-RRGPVPfVYTttO4PUGDdaFvbz-Ue0/edit?gid=1870218791#gid=1870218791"", ""Rev vs Mktg &amp; Mktg Mix!O"" &amp; ROW(O27))
"),62.2699999999999)</f>
        <v>62.269999999999897</v>
      </c>
      <c r="P91" s="28"/>
      <c r="Q91" s="37"/>
      <c r="R91" s="31">
        <f>VLOOKUP(VALUE(LEFT(A91, 4)), 'Raw Annual Revenue'!A:R, 18, FALSE) / 4</f>
        <v>98029</v>
      </c>
      <c r="S91" s="30">
        <f>VLOOKUP(VALUE(LEFT(A94, 4)), 'Raw Annual Revenue'!A:S, 19, FALSE) / 4</f>
        <v>7096.25</v>
      </c>
      <c r="T91" s="40" t="str">
        <f ca="1">IFERROR(__xludf.DUMMYFUNCTION("IMPORTRANGE(""https://docs.google.com/spreadsheets/d/1bozxp9FwhaCNzy-RRGPVPfVYTttO4PUGDdaFvbz-Ue0/edit?gid=1870218791#gid=1870218791"", ""Rev vs Mktg &amp; Mktg Mix!T"" &amp; ROW(Y27))
"),"")</f>
        <v/>
      </c>
      <c r="U91" s="28"/>
      <c r="V91" s="28"/>
      <c r="W91" s="30">
        <f>VLOOKUP(VALUE(LEFT($A93, 4)), 'Raw Annual Revenue'!$A:W, 23, FALSE) / 4</f>
        <v>532422</v>
      </c>
      <c r="X91" s="31">
        <f>VLOOKUP(VALUE(LEFT(A91, 4)), 'Raw Annual Revenue'!A:X, 24, FALSE) / 4</f>
        <v>102150.221425</v>
      </c>
      <c r="Y91" s="31">
        <f>VLOOKUP(VALUE(LEFT($A91, 4)), 'Raw Annual Revenue'!$A:Y, 25, FALSE) / 4</f>
        <v>24060.5</v>
      </c>
      <c r="Z91" s="31">
        <f>VLOOKUP(VALUE(LEFT($A91, 4)), 'Raw Annual Revenue'!$A:Z, 26, FALSE) / 4</f>
        <v>356927.5</v>
      </c>
      <c r="AA91" s="31">
        <f>VLOOKUP(VALUE(LEFT($A91, 4)), 'Raw Annual Revenue'!$A:AA, 27, FALSE) / 4</f>
        <v>10254.25</v>
      </c>
      <c r="AB91" s="31">
        <f>VLOOKUP(VALUE(LEFT($A91, 4)), 'Raw Annual Revenue'!$A:AB, 28, FALSE) / 4</f>
        <v>58839.25</v>
      </c>
      <c r="AC91" s="28"/>
    </row>
    <row r="92" spans="1:29" ht="13">
      <c r="A92" s="27" t="s">
        <v>117</v>
      </c>
      <c r="B92" s="38">
        <f ca="1">IFERROR(__xludf.DUMMYFUNCTION("IMPORTRANGE(""https://docs.google.com/spreadsheets/d/1bozxp9FwhaCNzy-RRGPVPfVYTttO4PUGDdaFvbz-Ue0/edit?gid=1870218791#gid=1870218791"", ""Rev vs Mktg &amp; Mktg Mix!B"" &amp; ROW(A28))
"),1214)</f>
        <v>1214</v>
      </c>
      <c r="C92" s="38">
        <f ca="1">IFERROR(__xludf.DUMMYFUNCTION("IMPORTRANGE(""https://docs.google.com/spreadsheets/d/1bozxp9FwhaCNzy-RRGPVPfVYTttO4PUGDdaFvbz-Ue0/edit?gid=1870218791#gid=1870218791"", ""Rev vs Mktg &amp; Mktg Mix!C"" &amp; ROW(B28))
"),3850)</f>
        <v>3850</v>
      </c>
      <c r="D92" s="38">
        <f ca="1">IFERROR(__xludf.DUMMYFUNCTION("IMPORTRANGE(""https://docs.google.com/spreadsheets/d/1bozxp9FwhaCNzy-RRGPVPfVYTttO4PUGDdaFvbz-Ue0/edit?gid=1870218791#gid=1870218791"", ""Rev vs Mktg &amp; Mktg Mix!D"" &amp; ROW(C28))
"),3153)</f>
        <v>3153</v>
      </c>
      <c r="E92" s="38">
        <f ca="1">IFERROR(__xludf.DUMMYFUNCTION("IMPORTRANGE(""https://docs.google.com/spreadsheets/d/1bozxp9FwhaCNzy-RRGPVPfVYTttO4PUGDdaFvbz-Ue0/edit?gid=1870218791#gid=1870218791"", ""Rev vs Mktg &amp; Mktg Mix!E"" &amp; ROW(E28))
"),1267)</f>
        <v>1267</v>
      </c>
      <c r="F92" s="38">
        <f ca="1">IFERROR(__xludf.DUMMYFUNCTION("IMPORTRANGE(""https://docs.google.com/spreadsheets/d/1bozxp9FwhaCNzy-RRGPVPfVYTttO4PUGDdaFvbz-Ue0/edit?gid=1870218791#gid=1870218791"", ""Rev vs Mktg &amp; Mktg Mix!F"" &amp; ROW(G28))
"),422)</f>
        <v>422</v>
      </c>
      <c r="G92" s="38">
        <f ca="1">IFERROR(__xludf.DUMMYFUNCTION("IMPORTRANGE(""https://docs.google.com/spreadsheets/d/1bozxp9FwhaCNzy-RRGPVPfVYTttO4PUGDdaFvbz-Ue0/edit?gid=1870218791#gid=1870218791"", ""Rev vs Mktg &amp; Mktg Mix!G"" &amp; ROW(I28))
"),223.7)</f>
        <v>223.7</v>
      </c>
      <c r="H92" s="38">
        <f ca="1">IFERROR(__xludf.DUMMYFUNCTION("IMPORTRANGE(""https://docs.google.com/spreadsheets/d/1bozxp9FwhaCNzy-RRGPVPfVYTttO4PUGDdaFvbz-Ue0/edit?gid=1870218791#gid=1870218791"", ""Rev vs Mktg &amp; Mktg Mix!H"" &amp; ROW(H28))
"),155.65)</f>
        <v>155.65</v>
      </c>
      <c r="I92" s="38">
        <f ca="1">IFERROR(__xludf.DUMMYFUNCTION("IMPORTRANGE(""https://docs.google.com/spreadsheets/d/1bozxp9FwhaCNzy-RRGPVPfVYTttO4PUGDdaFvbz-Ue0/edit?gid=1870218791#gid=1870218791"", ""Rev vs Mktg &amp; Mktg Mix!I"" &amp; ROW(K28))
"),114.1)</f>
        <v>114.1</v>
      </c>
      <c r="J92" s="38">
        <f ca="1">IFERROR(__xludf.DUMMYFUNCTION("IMPORTRANGE(""https://docs.google.com/spreadsheets/d/1bozxp9FwhaCNzy-RRGPVPfVYTttO4PUGDdaFvbz-Ue0/edit?gid=1870218791#gid=1870218791"", ""Rev vs Mktg &amp; Mktg Mix!J"" &amp; ROW(J28))
"),141.737)</f>
        <v>141.73699999999999</v>
      </c>
      <c r="K92" s="30"/>
      <c r="L92" s="38">
        <f ca="1">IFERROR(__xludf.DUMMYFUNCTION("IMPORTRANGE(""https://docs.google.com/spreadsheets/d/1bozxp9FwhaCNzy-RRGPVPfVYTttO4PUGDdaFvbz-Ue0/edit?gid=1870218791#gid=1870218791"", ""Rev vs Mktg &amp; Mktg Mix!L"" &amp; ROW(N28))
"),91.0117731831)</f>
        <v>91.011773183100004</v>
      </c>
      <c r="M92" s="37">
        <f ca="1">IFERROR(__xludf.DUMMYFUNCTION("IMPORTRANGE(""https://docs.google.com/spreadsheets/d/1bozxp9FwhaCNzy-RRGPVPfVYTttO4PUGDdaFvbz-Ue0/edit?gid=1870218791#gid=1870218791"", ""Rev vs Mktg &amp; Mktg Mix!M"" &amp; ROW(M28))
"),58.249721916057)</f>
        <v>58.249721916056998</v>
      </c>
      <c r="N92" s="37">
        <f ca="1">IFERROR(__xludf.DUMMYFUNCTION("IMPORTRANGE(""https://docs.google.com/spreadsheets/d/1bozxp9FwhaCNzy-RRGPVPfVYTttO4PUGDdaFvbz-Ue0/edit?gid=1870218791#gid=1870218791"", ""Rev vs Mktg &amp; Mktg Mix!N"" &amp; ROW(N28))
"),7.423)</f>
        <v>7.423</v>
      </c>
      <c r="O92" s="37">
        <f ca="1">IFERROR(__xludf.DUMMYFUNCTION("IMPORTRANGE(""https://docs.google.com/spreadsheets/d/1bozxp9FwhaCNzy-RRGPVPfVYTttO4PUGDdaFvbz-Ue0/edit?gid=1870218791#gid=1870218791"", ""Rev vs Mktg &amp; Mktg Mix!O"" &amp; ROW(O28))
"),62.2699999999999)</f>
        <v>62.269999999999897</v>
      </c>
      <c r="P92" s="28"/>
      <c r="Q92" s="37"/>
      <c r="R92" s="31">
        <f>VLOOKUP(VALUE(LEFT(A92, 4)), 'Raw Annual Revenue'!A:R, 18, FALSE) / 4</f>
        <v>98029</v>
      </c>
      <c r="S92" s="30">
        <f>VLOOKUP(VALUE(LEFT(A95, 4)), 'Raw Annual Revenue'!A:S, 19, FALSE) / 4</f>
        <v>5648.75</v>
      </c>
      <c r="T92" s="36" t="str">
        <f ca="1">IFERROR(__xludf.DUMMYFUNCTION("IMPORTRANGE(""https://docs.google.com/spreadsheets/d/1bozxp9FwhaCNzy-RRGPVPfVYTttO4PUGDdaFvbz-Ue0/edit?gid=1870218791#gid=1870218791"", ""Rev vs Mktg &amp; Mktg Mix!T"" &amp; ROW(Y28))
"),"")</f>
        <v/>
      </c>
      <c r="U92" s="28"/>
      <c r="V92" s="28"/>
      <c r="W92" s="30">
        <f>VLOOKUP(VALUE(LEFT($A94, 4)), 'Raw Annual Revenue'!$A:W, 23, FALSE) / 4</f>
        <v>532422</v>
      </c>
      <c r="X92" s="31">
        <f>VLOOKUP(VALUE(LEFT(A92, 4)), 'Raw Annual Revenue'!A:X, 24, FALSE) / 4</f>
        <v>102150.221425</v>
      </c>
      <c r="Y92" s="31">
        <f>VLOOKUP(VALUE(LEFT($A92, 4)), 'Raw Annual Revenue'!$A:Y, 25, FALSE) / 4</f>
        <v>24060.5</v>
      </c>
      <c r="Z92" s="31">
        <f>VLOOKUP(VALUE(LEFT($A92, 4)), 'Raw Annual Revenue'!$A:Z, 26, FALSE) / 4</f>
        <v>356927.5</v>
      </c>
      <c r="AA92" s="31">
        <f>VLOOKUP(VALUE(LEFT($A92, 4)), 'Raw Annual Revenue'!$A:AA, 27, FALSE) / 4</f>
        <v>10254.25</v>
      </c>
      <c r="AB92" s="31">
        <f>VLOOKUP(VALUE(LEFT($A92, 4)), 'Raw Annual Revenue'!$A:AB, 28, FALSE) / 4</f>
        <v>58839.25</v>
      </c>
      <c r="AC92" s="28"/>
    </row>
    <row r="93" spans="1:29" ht="13">
      <c r="A93" s="27" t="s">
        <v>118</v>
      </c>
      <c r="B93" s="38">
        <f ca="1">IFERROR(__xludf.DUMMYFUNCTION("IMPORTRANGE(""https://docs.google.com/spreadsheets/d/1bozxp9FwhaCNzy-RRGPVPfVYTttO4PUGDdaFvbz-Ue0/edit?gid=1870218791#gid=1870218791"", ""Rev vs Mktg &amp; Mktg Mix!B"" &amp; ROW(A29))
"),1646)</f>
        <v>1646</v>
      </c>
      <c r="C93" s="38">
        <f ca="1">IFERROR(__xludf.DUMMYFUNCTION("IMPORTRANGE(""https://docs.google.com/spreadsheets/d/1bozxp9FwhaCNzy-RRGPVPfVYTttO4PUGDdaFvbz-Ue0/edit?gid=1870218791#gid=1870218791"", ""Rev vs Mktg &amp; Mktg Mix!C"" &amp; ROW(B29))
"),5040)</f>
        <v>5040</v>
      </c>
      <c r="D93" s="38">
        <f ca="1">IFERROR(__xludf.DUMMYFUNCTION("IMPORTRANGE(""https://docs.google.com/spreadsheets/d/1bozxp9FwhaCNzy-RRGPVPfVYTttO4PUGDdaFvbz-Ue0/edit?gid=1870218791#gid=1870218791"", ""Rev vs Mktg &amp; Mktg Mix!D"" &amp; ROW(C29))
"),3558)</f>
        <v>3558</v>
      </c>
      <c r="E93" s="38">
        <f ca="1">IFERROR(__xludf.DUMMYFUNCTION("IMPORTRANGE(""https://docs.google.com/spreadsheets/d/1bozxp9FwhaCNzy-RRGPVPfVYTttO4PUGDdaFvbz-Ue0/edit?gid=1870218791#gid=1870218791"", ""Rev vs Mktg &amp; Mktg Mix!E"" &amp; ROW(E29))
"),1469)</f>
        <v>1469</v>
      </c>
      <c r="F93" s="38">
        <f ca="1">IFERROR(__xludf.DUMMYFUNCTION("IMPORTRANGE(""https://docs.google.com/spreadsheets/d/1bozxp9FwhaCNzy-RRGPVPfVYTttO4PUGDdaFvbz-Ue0/edit?gid=1870218791#gid=1870218791"", ""Rev vs Mktg &amp; Mktg Mix!F"" &amp; ROW(G29))
"),428)</f>
        <v>428</v>
      </c>
      <c r="G93" s="38">
        <f ca="1">IFERROR(__xludf.DUMMYFUNCTION("IMPORTRANGE(""https://docs.google.com/spreadsheets/d/1bozxp9FwhaCNzy-RRGPVPfVYTttO4PUGDdaFvbz-Ue0/edit?gid=1870218791#gid=1870218791"", ""Rev vs Mktg &amp; Mktg Mix!G"" &amp; ROW(I29))
"),250.5)</f>
        <v>250.5</v>
      </c>
      <c r="H93" s="38">
        <f ca="1">IFERROR(__xludf.DUMMYFUNCTION("IMPORTRANGE(""https://docs.google.com/spreadsheets/d/1bozxp9FwhaCNzy-RRGPVPfVYTttO4PUGDdaFvbz-Ue0/edit?gid=1870218791#gid=1870218791"", ""Rev vs Mktg &amp; Mktg Mix!H"" &amp; ROW(H29))
"),153.67)</f>
        <v>153.66999999999999</v>
      </c>
      <c r="I93" s="38">
        <f ca="1">IFERROR(__xludf.DUMMYFUNCTION("IMPORTRANGE(""https://docs.google.com/spreadsheets/d/1bozxp9FwhaCNzy-RRGPVPfVYTttO4PUGDdaFvbz-Ue0/edit?gid=1870218791#gid=1870218791"", ""Rev vs Mktg &amp; Mktg Mix!I"" &amp; ROW(K29))
"),132)</f>
        <v>132</v>
      </c>
      <c r="J93" s="38">
        <f ca="1">IFERROR(__xludf.DUMMYFUNCTION("IMPORTRANGE(""https://docs.google.com/spreadsheets/d/1bozxp9FwhaCNzy-RRGPVPfVYTttO4PUGDdaFvbz-Ue0/edit?gid=1870218791#gid=1870218791"", ""Rev vs Mktg &amp; Mktg Mix!J"" &amp; ROW(J29))
"),117.957)</f>
        <v>117.95699999999999</v>
      </c>
      <c r="K93" s="30"/>
      <c r="L93" s="38">
        <f ca="1">IFERROR(__xludf.DUMMYFUNCTION("IMPORTRANGE(""https://docs.google.com/spreadsheets/d/1bozxp9FwhaCNzy-RRGPVPfVYTttO4PUGDdaFvbz-Ue0/edit?gid=1870218791#gid=1870218791"", ""Rev vs Mktg &amp; Mktg Mix!L"" &amp; ROW(N29))
"),93.142308)</f>
        <v>93.142308</v>
      </c>
      <c r="M93" s="37">
        <f ca="1">IFERROR(__xludf.DUMMYFUNCTION("IMPORTRANGE(""https://docs.google.com/spreadsheets/d/1bozxp9FwhaCNzy-RRGPVPfVYTttO4PUGDdaFvbz-Ue0/edit?gid=1870218791#gid=1870218791"", ""Rev vs Mktg &amp; Mktg Mix!M"" &amp; ROW(M29))
"),64.9364787119626)</f>
        <v>64.936478711962593</v>
      </c>
      <c r="N93" s="37">
        <f ca="1">IFERROR(__xludf.DUMMYFUNCTION("IMPORTRANGE(""https://docs.google.com/spreadsheets/d/1bozxp9FwhaCNzy-RRGPVPfVYTttO4PUGDdaFvbz-Ue0/edit?gid=1870218791#gid=1870218791"", ""Rev vs Mktg &amp; Mktg Mix!N"" &amp; ROW(N29))
"),8.043)</f>
        <v>8.0429999999999993</v>
      </c>
      <c r="O93" s="37">
        <f ca="1">IFERROR(__xludf.DUMMYFUNCTION("IMPORTRANGE(""https://docs.google.com/spreadsheets/d/1bozxp9FwhaCNzy-RRGPVPfVYTttO4PUGDdaFvbz-Ue0/edit?gid=1870218791#gid=1870218791"", ""Rev vs Mktg &amp; Mktg Mix!O"" &amp; ROW(O29))
"),70.9149999999999)</f>
        <v>70.914999999999907</v>
      </c>
      <c r="P93" s="28"/>
      <c r="Q93" s="37"/>
      <c r="R93" s="31">
        <f>VLOOKUP(VALUE(LEFT(A93, 4)), 'Raw Annual Revenue'!A:R, 18, FALSE) / 4</f>
        <v>98029</v>
      </c>
      <c r="S93" s="30">
        <f>VLOOKUP(VALUE(LEFT(A96, 4)), 'Raw Annual Revenue'!A:S, 19, FALSE) / 4</f>
        <v>5648.75</v>
      </c>
      <c r="T93" s="36" t="str">
        <f ca="1">IFERROR(__xludf.DUMMYFUNCTION("IMPORTRANGE(""https://docs.google.com/spreadsheets/d/1bozxp9FwhaCNzy-RRGPVPfVYTttO4PUGDdaFvbz-Ue0/edit?gid=1870218791#gid=1870218791"", ""Rev vs Mktg &amp; Mktg Mix!T"" &amp; ROW(Y29))
"),"")</f>
        <v/>
      </c>
      <c r="U93" s="28"/>
      <c r="V93" s="28"/>
      <c r="W93" s="30">
        <f>VLOOKUP(VALUE(LEFT($A95, 4)), 'Raw Annual Revenue'!$A:W, 23, FALSE) / 4</f>
        <v>350714.75</v>
      </c>
      <c r="X93" s="31">
        <f>VLOOKUP(VALUE(LEFT(A93, 4)), 'Raw Annual Revenue'!A:X, 24, FALSE) / 4</f>
        <v>102150.221425</v>
      </c>
      <c r="Y93" s="31">
        <f>VLOOKUP(VALUE(LEFT($A93, 4)), 'Raw Annual Revenue'!$A:Y, 25, FALSE) / 4</f>
        <v>24060.5</v>
      </c>
      <c r="Z93" s="31">
        <f>VLOOKUP(VALUE(LEFT($A93, 4)), 'Raw Annual Revenue'!$A:Z, 26, FALSE) / 4</f>
        <v>356927.5</v>
      </c>
      <c r="AA93" s="31">
        <f>VLOOKUP(VALUE(LEFT($A93, 4)), 'Raw Annual Revenue'!$A:AA, 27, FALSE) / 4</f>
        <v>10254.25</v>
      </c>
      <c r="AB93" s="31">
        <f>VLOOKUP(VALUE(LEFT($A93, 4)), 'Raw Annual Revenue'!$A:AB, 28, FALSE) / 4</f>
        <v>58839.25</v>
      </c>
      <c r="AC93" s="28"/>
    </row>
    <row r="94" spans="1:29" ht="13">
      <c r="A94" s="27" t="s">
        <v>119</v>
      </c>
      <c r="B94" s="38">
        <f ca="1">IFERROR(__xludf.DUMMYFUNCTION("IMPORTRANGE(""https://docs.google.com/spreadsheets/d/1bozxp9FwhaCNzy-RRGPVPfVYTttO4PUGDdaFvbz-Ue0/edit?gid=1870218791#gid=1870218791"", ""Rev vs Mktg &amp; Mktg Mix!B"" &amp; ROW(A30))
"),1107)</f>
        <v>1107</v>
      </c>
      <c r="C94" s="38">
        <f ca="1">IFERROR(__xludf.DUMMYFUNCTION("IMPORTRANGE(""https://docs.google.com/spreadsheets/d/1bozxp9FwhaCNzy-RRGPVPfVYTttO4PUGDdaFvbz-Ue0/edit?gid=1870218791#gid=1870218791"", ""Rev vs Mktg &amp; Mktg Mix!C"" &amp; ROW(B30))
"),3339)</f>
        <v>3339</v>
      </c>
      <c r="D94" s="38">
        <f ca="1">IFERROR(__xludf.DUMMYFUNCTION("IMPORTRANGE(""https://docs.google.com/spreadsheets/d/1bozxp9FwhaCNzy-RRGPVPfVYTttO4PUGDdaFvbz-Ue0/edit?gid=1870218791#gid=1870218791"", ""Rev vs Mktg &amp; Mktg Mix!D"" &amp; ROW(C30))
"),2747)</f>
        <v>2747</v>
      </c>
      <c r="E94" s="38">
        <f ca="1">IFERROR(__xludf.DUMMYFUNCTION("IMPORTRANGE(""https://docs.google.com/spreadsheets/d/1bozxp9FwhaCNzy-RRGPVPfVYTttO4PUGDdaFvbz-Ue0/edit?gid=1870218791#gid=1870218791"", ""Rev vs Mktg &amp; Mktg Mix!E"" &amp; ROW(E30))
"),1150)</f>
        <v>1150</v>
      </c>
      <c r="F94" s="38">
        <f ca="1">IFERROR(__xludf.DUMMYFUNCTION("IMPORTRANGE(""https://docs.google.com/spreadsheets/d/1bozxp9FwhaCNzy-RRGPVPfVYTttO4PUGDdaFvbz-Ue0/edit?gid=1870218791#gid=1870218791"", ""Rev vs Mktg &amp; Mktg Mix!F"" &amp; ROW(G30))
"),335)</f>
        <v>335</v>
      </c>
      <c r="G94" s="38">
        <f ca="1">IFERROR(__xludf.DUMMYFUNCTION("IMPORTRANGE(""https://docs.google.com/spreadsheets/d/1bozxp9FwhaCNzy-RRGPVPfVYTttO4PUGDdaFvbz-Ue0/edit?gid=1870218791#gid=1870218791"", ""Rev vs Mktg &amp; Mktg Mix!G"" &amp; ROW(I30))
"),155.5)</f>
        <v>155.5</v>
      </c>
      <c r="H94" s="38">
        <f ca="1">IFERROR(__xludf.DUMMYFUNCTION("IMPORTRANGE(""https://docs.google.com/spreadsheets/d/1bozxp9FwhaCNzy-RRGPVPfVYTttO4PUGDdaFvbz-Ue0/edit?gid=1870218791#gid=1870218791"", ""Rev vs Mktg &amp; Mktg Mix!H"" &amp; ROW(H30))
"),144.87)</f>
        <v>144.87</v>
      </c>
      <c r="I94" s="38">
        <f ca="1">IFERROR(__xludf.DUMMYFUNCTION("IMPORTRANGE(""https://docs.google.com/spreadsheets/d/1bozxp9FwhaCNzy-RRGPVPfVYTttO4PUGDdaFvbz-Ue0/edit?gid=1870218791#gid=1870218791"", ""Rev vs Mktg &amp; Mktg Mix!I"" &amp; ROW(K30))
"),145.6)</f>
        <v>145.6</v>
      </c>
      <c r="J94" s="38">
        <f ca="1">IFERROR(__xludf.DUMMYFUNCTION("IMPORTRANGE(""https://docs.google.com/spreadsheets/d/1bozxp9FwhaCNzy-RRGPVPfVYTttO4PUGDdaFvbz-Ue0/edit?gid=1870218791#gid=1870218791"", ""Rev vs Mktg &amp; Mktg Mix!J"" &amp; ROW(J30))
"),146.889)</f>
        <v>146.88900000000001</v>
      </c>
      <c r="K94" s="30"/>
      <c r="L94" s="38">
        <f ca="1">IFERROR(__xludf.DUMMYFUNCTION("IMPORTRANGE(""https://docs.google.com/spreadsheets/d/1bozxp9FwhaCNzy-RRGPVPfVYTttO4PUGDdaFvbz-Ue0/edit?gid=1870218791#gid=1870218791"", ""Rev vs Mktg &amp; Mktg Mix!L"" &amp; ROW(N30))
"),74.7462773169)</f>
        <v>74.746277316900006</v>
      </c>
      <c r="M94" s="37">
        <f ca="1">IFERROR(__xludf.DUMMYFUNCTION("IMPORTRANGE(""https://docs.google.com/spreadsheets/d/1bozxp9FwhaCNzy-RRGPVPfVYTttO4PUGDdaFvbz-Ue0/edit?gid=1870218791#gid=1870218791"", ""Rev vs Mktg &amp; Mktg Mix!M"" &amp; ROW(M30))
"),60.5266778939731)</f>
        <v>60.526677893973101</v>
      </c>
      <c r="N94" s="37">
        <f ca="1">IFERROR(__xludf.DUMMYFUNCTION("IMPORTRANGE(""https://docs.google.com/spreadsheets/d/1bozxp9FwhaCNzy-RRGPVPfVYTttO4PUGDdaFvbz-Ue0/edit?gid=1870218791#gid=1870218791"", ""Rev vs Mktg &amp; Mktg Mix!N"" &amp; ROW(N30))
"),7.562)</f>
        <v>7.5620000000000003</v>
      </c>
      <c r="O94" s="37">
        <f ca="1">IFERROR(__xludf.DUMMYFUNCTION("IMPORTRANGE(""https://docs.google.com/spreadsheets/d/1bozxp9FwhaCNzy-RRGPVPfVYTttO4PUGDdaFvbz-Ue0/edit?gid=1870218791#gid=1870218791"", ""Rev vs Mktg &amp; Mktg Mix!O"" &amp; ROW(O30))
"),70.9149999999999)</f>
        <v>70.914999999999907</v>
      </c>
      <c r="P94" s="28"/>
      <c r="Q94" s="37"/>
      <c r="R94" s="31">
        <f>VLOOKUP(VALUE(LEFT(A94, 4)), 'Raw Annual Revenue'!A:R, 18, FALSE) / 4</f>
        <v>98029</v>
      </c>
      <c r="S94" s="30">
        <f>VLOOKUP(VALUE(LEFT(A97, 4)), 'Raw Annual Revenue'!A:S, 19, FALSE) / 4</f>
        <v>5648.75</v>
      </c>
      <c r="T94" s="36" t="str">
        <f ca="1">IFERROR(__xludf.DUMMYFUNCTION("IMPORTRANGE(""https://docs.google.com/spreadsheets/d/1bozxp9FwhaCNzy-RRGPVPfVYTttO4PUGDdaFvbz-Ue0/edit?gid=1870218791#gid=1870218791"", ""Rev vs Mktg &amp; Mktg Mix!T"" &amp; ROW(Y30))
"),"")</f>
        <v/>
      </c>
      <c r="U94" s="28"/>
      <c r="V94" s="28"/>
      <c r="W94" s="30">
        <f>VLOOKUP(VALUE(LEFT($A96, 4)), 'Raw Annual Revenue'!$A:W, 23, FALSE) / 4</f>
        <v>350714.75</v>
      </c>
      <c r="X94" s="31">
        <f>VLOOKUP(VALUE(LEFT(A94, 4)), 'Raw Annual Revenue'!A:X, 24, FALSE) / 4</f>
        <v>102150.221425</v>
      </c>
      <c r="Y94" s="31">
        <f>VLOOKUP(VALUE(LEFT($A94, 4)), 'Raw Annual Revenue'!$A:Y, 25, FALSE) / 4</f>
        <v>24060.5</v>
      </c>
      <c r="Z94" s="31">
        <f>VLOOKUP(VALUE(LEFT($A94, 4)), 'Raw Annual Revenue'!$A:Z, 26, FALSE) / 4</f>
        <v>356927.5</v>
      </c>
      <c r="AA94" s="31">
        <f>VLOOKUP(VALUE(LEFT($A94, 4)), 'Raw Annual Revenue'!$A:AA, 27, FALSE) / 4</f>
        <v>10254.25</v>
      </c>
      <c r="AB94" s="31">
        <f>VLOOKUP(VALUE(LEFT($A94, 4)), 'Raw Annual Revenue'!$A:AB, 28, FALSE) / 4</f>
        <v>58839.25</v>
      </c>
      <c r="AC94" s="28"/>
    </row>
    <row r="95" spans="1:29" ht="13">
      <c r="A95" s="27" t="s">
        <v>120</v>
      </c>
      <c r="B95" s="38">
        <f ca="1">IFERROR(__xludf.DUMMYFUNCTION("IMPORTRANGE(""https://docs.google.com/spreadsheets/d/1bozxp9FwhaCNzy-RRGPVPfVYTttO4PUGDdaFvbz-Ue0/edit?gid=1870218791#gid=1870218791"", ""Rev vs Mktg &amp; Mktg Mix!B"" &amp; ROW(A31))
"),841.83)</f>
        <v>841.83</v>
      </c>
      <c r="C95" s="38">
        <f ca="1">IFERROR(__xludf.DUMMYFUNCTION("IMPORTRANGE(""https://docs.google.com/spreadsheets/d/1bozxp9FwhaCNzy-RRGPVPfVYTttO4PUGDdaFvbz-Ue0/edit?gid=1870218791#gid=1870218791"", ""Rev vs Mktg &amp; Mktg Mix!C"" &amp; ROW(B31))
"),2288)</f>
        <v>2288</v>
      </c>
      <c r="D95" s="38">
        <f ca="1">IFERROR(__xludf.DUMMYFUNCTION("IMPORTRANGE(""https://docs.google.com/spreadsheets/d/1bozxp9FwhaCNzy-RRGPVPfVYTttO4PUGDdaFvbz-Ue0/edit?gid=1870218791#gid=1870218791"", ""Rev vs Mktg &amp; Mktg Mix!D"" &amp; ROW(C31))
"),2209)</f>
        <v>2209</v>
      </c>
      <c r="E95" s="38">
        <f ca="1">IFERROR(__xludf.DUMMYFUNCTION("IMPORTRANGE(""https://docs.google.com/spreadsheets/d/1bozxp9FwhaCNzy-RRGPVPfVYTttO4PUGDdaFvbz-Ue0/edit?gid=1870218791#gid=1870218791"", ""Rev vs Mktg &amp; Mktg Mix!E"" &amp; ROW(E31))
"),669)</f>
        <v>669</v>
      </c>
      <c r="F95" s="38">
        <f ca="1">IFERROR(__xludf.DUMMYFUNCTION("IMPORTRANGE(""https://docs.google.com/spreadsheets/d/1bozxp9FwhaCNzy-RRGPVPfVYTttO4PUGDdaFvbz-Ue0/edit?gid=1870218791#gid=1870218791"", ""Rev vs Mktg &amp; Mktg Mix!F"" &amp; ROW(G31))
"),278)</f>
        <v>278</v>
      </c>
      <c r="G95" s="38">
        <f ca="1">IFERROR(__xludf.DUMMYFUNCTION("IMPORTRANGE(""https://docs.google.com/spreadsheets/d/1bozxp9FwhaCNzy-RRGPVPfVYTttO4PUGDdaFvbz-Ue0/edit?gid=1870218791#gid=1870218791"", ""Rev vs Mktg &amp; Mktg Mix!G"" &amp; ROW(I31))
"),139.8)</f>
        <v>139.80000000000001</v>
      </c>
      <c r="H95" s="38">
        <f ca="1">IFERROR(__xludf.DUMMYFUNCTION("IMPORTRANGE(""https://docs.google.com/spreadsheets/d/1bozxp9FwhaCNzy-RRGPVPfVYTttO4PUGDdaFvbz-Ue0/edit?gid=1870218791#gid=1870218791"", ""Rev vs Mktg &amp; Mktg Mix!H"" &amp; ROW(H31))
"),127.27)</f>
        <v>127.27</v>
      </c>
      <c r="I95" s="38">
        <f ca="1">IFERROR(__xludf.DUMMYFUNCTION("IMPORTRANGE(""https://docs.google.com/spreadsheets/d/1bozxp9FwhaCNzy-RRGPVPfVYTttO4PUGDdaFvbz-Ue0/edit?gid=1870218791#gid=1870218791"", ""Rev vs Mktg &amp; Mktg Mix!I"" &amp; ROW(K31))
"),76.1)</f>
        <v>76.099999999999994</v>
      </c>
      <c r="J95" s="38">
        <f ca="1">IFERROR(__xludf.DUMMYFUNCTION("IMPORTRANGE(""https://docs.google.com/spreadsheets/d/1bozxp9FwhaCNzy-RRGPVPfVYTttO4PUGDdaFvbz-Ue0/edit?gid=1870218791#gid=1870218791"", ""Rev vs Mktg &amp; Mktg Mix!J"" &amp; ROW(J31))
"),104.946)</f>
        <v>104.946</v>
      </c>
      <c r="K95" s="30"/>
      <c r="L95" s="38">
        <f ca="1">IFERROR(__xludf.DUMMYFUNCTION("IMPORTRANGE(""https://docs.google.com/spreadsheets/d/1bozxp9FwhaCNzy-RRGPVPfVYTttO4PUGDdaFvbz-Ue0/edit?gid=1870218791#gid=1870218791"", ""Rev vs Mktg &amp; Mktg Mix!L"" &amp; ROW(N31))
"),49.3937697162)</f>
        <v>49.393769716199998</v>
      </c>
      <c r="M95" s="37">
        <f ca="1">IFERROR(__xludf.DUMMYFUNCTION("IMPORTRANGE(""https://docs.google.com/spreadsheets/d/1bozxp9FwhaCNzy-RRGPVPfVYTttO4PUGDdaFvbz-Ue0/edit?gid=1870218791#gid=1870218791"", ""Rev vs Mktg &amp; Mktg Mix!M"" &amp; ROW(M31))
"),34.0678729860363)</f>
        <v>34.067872986036299</v>
      </c>
      <c r="N95" s="37">
        <f ca="1">IFERROR(__xludf.DUMMYFUNCTION("IMPORTRANGE(""https://docs.google.com/spreadsheets/d/1bozxp9FwhaCNzy-RRGPVPfVYTttO4PUGDdaFvbz-Ue0/edit?gid=1870218791#gid=1870218791"", ""Rev vs Mktg &amp; Mktg Mix!N"" &amp; ROW(N31))
"),5.335)</f>
        <v>5.335</v>
      </c>
      <c r="O95" s="37">
        <f ca="1">IFERROR(__xludf.DUMMYFUNCTION("IMPORTRANGE(""https://docs.google.com/spreadsheets/d/1bozxp9FwhaCNzy-RRGPVPfVYTttO4PUGDdaFvbz-Ue0/edit?gid=1870218791#gid=1870218791"", ""Rev vs Mktg &amp; Mktg Mix!O"" &amp; ROW(O31))
"),15.8274999999999)</f>
        <v>15.827499999999899</v>
      </c>
      <c r="P95" s="28"/>
      <c r="Q95" s="37"/>
      <c r="R95" s="31">
        <f>VLOOKUP(VALUE(LEFT(A95, 4)), 'Raw Annual Revenue'!A:R, 18, FALSE) / 4</f>
        <v>32231.5</v>
      </c>
      <c r="S95" s="30">
        <f>VLOOKUP(VALUE(LEFT(A98, 4)), 'Raw Annual Revenue'!A:S, 19, FALSE) / 4</f>
        <v>5648.75</v>
      </c>
      <c r="T95" s="36" t="str">
        <f ca="1">IFERROR(__xludf.DUMMYFUNCTION("IMPORTRANGE(""https://docs.google.com/spreadsheets/d/1bozxp9FwhaCNzy-RRGPVPfVYTttO4PUGDdaFvbz-Ue0/edit?gid=1870218791#gid=1870218791"", ""Rev vs Mktg &amp; Mktg Mix!T"" &amp; ROW(Y31))
"),"")</f>
        <v/>
      </c>
      <c r="U95" s="28"/>
      <c r="V95" s="28"/>
      <c r="W95" s="30">
        <f>VLOOKUP(VALUE(LEFT($A97, 4)), 'Raw Annual Revenue'!$A:W, 23, FALSE) / 4</f>
        <v>350714.75</v>
      </c>
      <c r="X95" s="31">
        <f>VLOOKUP(VALUE(LEFT(A95, 4)), 'Raw Annual Revenue'!A:X, 24, FALSE) / 4</f>
        <v>34439.745999999999</v>
      </c>
      <c r="Y95" s="31">
        <f>VLOOKUP(VALUE(LEFT($A95, 4)), 'Raw Annual Revenue'!$A:Y, 25, FALSE) / 4</f>
        <v>9721</v>
      </c>
      <c r="Z95" s="31">
        <f>VLOOKUP(VALUE(LEFT($A95, 4)), 'Raw Annual Revenue'!$A:Z, 26, FALSE) / 4</f>
        <v>137360.25</v>
      </c>
      <c r="AA95" s="31">
        <f>VLOOKUP(VALUE(LEFT($A95, 4)), 'Raw Annual Revenue'!$A:AA, 27, FALSE) / 4</f>
        <v>3658.75</v>
      </c>
      <c r="AB95" s="31">
        <f>VLOOKUP(VALUE(LEFT($A95, 4)), 'Raw Annual Revenue'!$A:AB, 28, FALSE) / 4</f>
        <v>37002.75</v>
      </c>
      <c r="AC95" s="28"/>
    </row>
    <row r="96" spans="1:29" ht="13">
      <c r="A96" s="27" t="s">
        <v>121</v>
      </c>
      <c r="B96" s="38">
        <f ca="1">IFERROR(__xludf.DUMMYFUNCTION("IMPORTRANGE(""https://docs.google.com/spreadsheets/d/1bozxp9FwhaCNzy-RRGPVPfVYTttO4PUGDdaFvbz-Ue0/edit?gid=1870218791#gid=1870218791"", ""Rev vs Mktg &amp; Mktg Mix!B"" &amp; ROW(A32))
"),334.774)</f>
        <v>334.774</v>
      </c>
      <c r="C96" s="38">
        <f ca="1">IFERROR(__xludf.DUMMYFUNCTION("IMPORTRANGE(""https://docs.google.com/spreadsheets/d/1bozxp9FwhaCNzy-RRGPVPfVYTttO4PUGDdaFvbz-Ue0/edit?gid=1870218791#gid=1870218791"", ""Rev vs Mktg &amp; Mktg Mix!C"" &amp; ROW(B32))
"),630)</f>
        <v>630</v>
      </c>
      <c r="D96" s="38">
        <f ca="1">IFERROR(__xludf.DUMMYFUNCTION("IMPORTRANGE(""https://docs.google.com/spreadsheets/d/1bozxp9FwhaCNzy-RRGPVPfVYTttO4PUGDdaFvbz-Ue0/edit?gid=1870218791#gid=1870218791"", ""Rev vs Mktg &amp; Mktg Mix!D"" &amp; ROW(C32))
"),566)</f>
        <v>566</v>
      </c>
      <c r="E96" s="38">
        <f ca="1">IFERROR(__xludf.DUMMYFUNCTION("IMPORTRANGE(""https://docs.google.com/spreadsheets/d/1bozxp9FwhaCNzy-RRGPVPfVYTttO4PUGDdaFvbz-Ue0/edit?gid=1870218791#gid=1870218791"", ""Rev vs Mktg &amp; Mktg Mix!E"" &amp; ROW(E32))
"),448)</f>
        <v>448</v>
      </c>
      <c r="F96" s="38">
        <f ca="1">IFERROR(__xludf.DUMMYFUNCTION("IMPORTRANGE(""https://docs.google.com/spreadsheets/d/1bozxp9FwhaCNzy-RRGPVPfVYTttO4PUGDdaFvbz-Ue0/edit?gid=1870218791#gid=1870218791"", ""Rev vs Mktg &amp; Mktg Mix!F"" &amp; ROW(G32))
"),59)</f>
        <v>59</v>
      </c>
      <c r="G96" s="38">
        <f ca="1">IFERROR(__xludf.DUMMYFUNCTION("IMPORTRANGE(""https://docs.google.com/spreadsheets/d/1bozxp9FwhaCNzy-RRGPVPfVYTttO4PUGDdaFvbz-Ue0/edit?gid=1870218791#gid=1870218791"", ""Rev vs Mktg &amp; Mktg Mix!G"" &amp; ROW(I32))
"),16.1)</f>
        <v>16.100000000000001</v>
      </c>
      <c r="H96" s="38">
        <f ca="1">IFERROR(__xludf.DUMMYFUNCTION("IMPORTRANGE(""https://docs.google.com/spreadsheets/d/1bozxp9FwhaCNzy-RRGPVPfVYTttO4PUGDdaFvbz-Ue0/edit?gid=1870218791#gid=1870218791"", ""Rev vs Mktg &amp; Mktg Mix!H"" &amp; ROW(H32))
"),18.26)</f>
        <v>18.260000000000002</v>
      </c>
      <c r="I96" s="38">
        <f ca="1">IFERROR(__xludf.DUMMYFUNCTION("IMPORTRANGE(""https://docs.google.com/spreadsheets/d/1bozxp9FwhaCNzy-RRGPVPfVYTttO4PUGDdaFvbz-Ue0/edit?gid=1870218791#gid=1870218791"", ""Rev vs Mktg &amp; Mktg Mix!I"" &amp; ROW(K32))
"),-9.7)</f>
        <v>-9.6999999999999993</v>
      </c>
      <c r="J96" s="38">
        <f ca="1">IFERROR(__xludf.DUMMYFUNCTION("IMPORTRANGE(""https://docs.google.com/spreadsheets/d/1bozxp9FwhaCNzy-RRGPVPfVYTttO4PUGDdaFvbz-Ue0/edit?gid=1870218791#gid=1870218791"", ""Rev vs Mktg &amp; Mktg Mix!J"" &amp; ROW(J32))
"),6.361)</f>
        <v>6.3609999999999998</v>
      </c>
      <c r="K96" s="31">
        <f>VLOOKUP(VALUE(LEFT(A99, 4)), 'Raw Annual Revenue'!A:K, 11, FALSE) / 4</f>
        <v>4673.25</v>
      </c>
      <c r="L96" s="38">
        <f ca="1">IFERROR(__xludf.DUMMYFUNCTION("IMPORTRANGE(""https://docs.google.com/spreadsheets/d/1bozxp9FwhaCNzy-RRGPVPfVYTttO4PUGDdaFvbz-Ue0/edit?gid=1870218791#gid=1870218791"", ""Rev vs Mktg &amp; Mktg Mix!L"" &amp; ROW(N32))
"),7.02434459999999)</f>
        <v>7.0243445999999903</v>
      </c>
      <c r="M96" s="37">
        <f ca="1">IFERROR(__xludf.DUMMYFUNCTION("IMPORTRANGE(""https://docs.google.com/spreadsheets/d/1bozxp9FwhaCNzy-RRGPVPfVYTttO4PUGDdaFvbz-Ue0/edit?gid=1870218791#gid=1870218791"", ""Rev vs Mktg &amp; Mktg Mix!M"" &amp; ROW(M32))
"),5.73562328614317)</f>
        <v>5.73562328614317</v>
      </c>
      <c r="N96" s="37">
        <f ca="1">IFERROR(__xludf.DUMMYFUNCTION("IMPORTRANGE(""https://docs.google.com/spreadsheets/d/1bozxp9FwhaCNzy-RRGPVPfVYTttO4PUGDdaFvbz-Ue0/edit?gid=1870218791#gid=1870218791"", ""Rev vs Mktg &amp; Mktg Mix!N"" &amp; ROW(N32))
"),0.27)</f>
        <v>0.27</v>
      </c>
      <c r="O96" s="37">
        <f ca="1">IFERROR(__xludf.DUMMYFUNCTION("IMPORTRANGE(""https://docs.google.com/spreadsheets/d/1bozxp9FwhaCNzy-RRGPVPfVYTttO4PUGDdaFvbz-Ue0/edit?gid=1870218791#gid=1870218791"", ""Rev vs Mktg &amp; Mktg Mix!O"" &amp; ROW(O32))
"),15.8274999999999)</f>
        <v>15.827499999999899</v>
      </c>
      <c r="P96" s="28"/>
      <c r="Q96" s="37"/>
      <c r="R96" s="31">
        <f>VLOOKUP(VALUE(LEFT(A96, 4)), 'Raw Annual Revenue'!A:R, 18, FALSE) / 4</f>
        <v>32231.5</v>
      </c>
      <c r="S96" s="30">
        <f>VLOOKUP(VALUE(LEFT(A99, 4)), 'Raw Annual Revenue'!A:S, 19, FALSE) / 4</f>
        <v>4755.25</v>
      </c>
      <c r="T96" s="41">
        <f ca="1">IFERROR(__xludf.DUMMYFUNCTION("IMPORTRANGE(""https://docs.google.com/spreadsheets/d/1bozxp9FwhaCNzy-RRGPVPfVYTttO4PUGDdaFvbz-Ue0/edit?gid=1870218791#gid=1870218791"", ""Rev vs Mktg &amp; Mktg Mix!T"" &amp; ROW(Y32))
"),1.46341463414634)</f>
        <v>1.4634146341463401</v>
      </c>
      <c r="U96" s="28"/>
      <c r="V96" s="28"/>
      <c r="W96" s="30">
        <f>VLOOKUP(VALUE(LEFT($A98, 4)), 'Raw Annual Revenue'!$A:W, 23, FALSE) / 4</f>
        <v>350714.75</v>
      </c>
      <c r="X96" s="31">
        <f>VLOOKUP(VALUE(LEFT(A96, 4)), 'Raw Annual Revenue'!A:X, 24, FALSE) / 4</f>
        <v>34439.745999999999</v>
      </c>
      <c r="Y96" s="31">
        <f>VLOOKUP(VALUE(LEFT($A96, 4)), 'Raw Annual Revenue'!$A:Y, 25, FALSE) / 4</f>
        <v>9721</v>
      </c>
      <c r="Z96" s="31">
        <f>VLOOKUP(VALUE(LEFT($A96, 4)), 'Raw Annual Revenue'!$A:Z, 26, FALSE) / 4</f>
        <v>137360.25</v>
      </c>
      <c r="AA96" s="31">
        <f>VLOOKUP(VALUE(LEFT($A96, 4)), 'Raw Annual Revenue'!$A:AA, 27, FALSE) / 4</f>
        <v>3658.75</v>
      </c>
      <c r="AB96" s="31">
        <f>VLOOKUP(VALUE(LEFT($A96, 4)), 'Raw Annual Revenue'!$A:AB, 28, FALSE) / 4</f>
        <v>37002.75</v>
      </c>
      <c r="AC96" s="28"/>
    </row>
    <row r="97" spans="1:29" ht="13">
      <c r="A97" s="27" t="s">
        <v>122</v>
      </c>
      <c r="B97" s="38">
        <f ca="1">IFERROR(__xludf.DUMMYFUNCTION("IMPORTRANGE(""https://docs.google.com/spreadsheets/d/1bozxp9FwhaCNzy-RRGPVPfVYTttO4PUGDdaFvbz-Ue0/edit?gid=1870218791#gid=1870218791"", ""Rev vs Mktg &amp; Mktg Mix!B"" &amp; ROW(A33))
"),1342)</f>
        <v>1342</v>
      </c>
      <c r="C97" s="38">
        <f ca="1">IFERROR(__xludf.DUMMYFUNCTION("IMPORTRANGE(""https://docs.google.com/spreadsheets/d/1bozxp9FwhaCNzy-RRGPVPfVYTttO4PUGDdaFvbz-Ue0/edit?gid=1870218791#gid=1870218791"", ""Rev vs Mktg &amp; Mktg Mix!C"" &amp; ROW(B33))
"),2640)</f>
        <v>2640</v>
      </c>
      <c r="D97" s="38">
        <f ca="1">IFERROR(__xludf.DUMMYFUNCTION("IMPORTRANGE(""https://docs.google.com/spreadsheets/d/1bozxp9FwhaCNzy-RRGPVPfVYTttO4PUGDdaFvbz-Ue0/edit?gid=1870218791#gid=1870218791"", ""Rev vs Mktg &amp; Mktg Mix!D"" &amp; ROW(C33))
"),1504)</f>
        <v>1504</v>
      </c>
      <c r="E97" s="38">
        <f ca="1">IFERROR(__xludf.DUMMYFUNCTION("IMPORTRANGE(""https://docs.google.com/spreadsheets/d/1bozxp9FwhaCNzy-RRGPVPfVYTttO4PUGDdaFvbz-Ue0/edit?gid=1870218791#gid=1870218791"", ""Rev vs Mktg &amp; Mktg Mix!E"" &amp; ROW(E33))
"),805)</f>
        <v>805</v>
      </c>
      <c r="F97" s="38">
        <f ca="1">IFERROR(__xludf.DUMMYFUNCTION("IMPORTRANGE(""https://docs.google.com/spreadsheets/d/1bozxp9FwhaCNzy-RRGPVPfVYTttO4PUGDdaFvbz-Ue0/edit?gid=1870218791#gid=1870218791"", ""Rev vs Mktg &amp; Mktg Mix!F"" &amp; ROW(G33))
"),151)</f>
        <v>151</v>
      </c>
      <c r="G97" s="38">
        <f ca="1">IFERROR(__xludf.DUMMYFUNCTION("IMPORTRANGE(""https://docs.google.com/spreadsheets/d/1bozxp9FwhaCNzy-RRGPVPfVYTttO4PUGDdaFvbz-Ue0/edit?gid=1870218791#gid=1870218791"", ""Rev vs Mktg &amp; Mktg Mix!G"" &amp; ROW(I33))
"),60.6)</f>
        <v>60.6</v>
      </c>
      <c r="H97" s="38">
        <f ca="1">IFERROR(__xludf.DUMMYFUNCTION("IMPORTRANGE(""https://docs.google.com/spreadsheets/d/1bozxp9FwhaCNzy-RRGPVPfVYTttO4PUGDdaFvbz-Ue0/edit?gid=1870218791#gid=1870218791"", ""Rev vs Mktg &amp; Mktg Mix!H"" &amp; ROW(H33))
"),37.84)</f>
        <v>37.840000000000003</v>
      </c>
      <c r="I97" s="38">
        <f ca="1">IFERROR(__xludf.DUMMYFUNCTION("IMPORTRANGE(""https://docs.google.com/spreadsheets/d/1bozxp9FwhaCNzy-RRGPVPfVYTttO4PUGDdaFvbz-Ue0/edit?gid=1870218791#gid=1870218791"", ""Rev vs Mktg &amp; Mktg Mix!I"" &amp; ROW(K33))
"),11.7)</f>
        <v>11.7</v>
      </c>
      <c r="J97" s="38">
        <f ca="1">IFERROR(__xludf.DUMMYFUNCTION("IMPORTRANGE(""https://docs.google.com/spreadsheets/d/1bozxp9FwhaCNzy-RRGPVPfVYTttO4PUGDdaFvbz-Ue0/edit?gid=1870218791#gid=1870218791"", ""Rev vs Mktg &amp; Mktg Mix!J"" &amp; ROW(J33))
"),23.0389999999999)</f>
        <v>23.038999999999898</v>
      </c>
      <c r="K97" s="31">
        <f>VLOOKUP(VALUE(LEFT(A100, 4)), 'Raw Annual Revenue'!A:K, 11, FALSE) / 4</f>
        <v>4673.25</v>
      </c>
      <c r="L97" s="38">
        <f ca="1">IFERROR(__xludf.DUMMYFUNCTION("IMPORTRANGE(""https://docs.google.com/spreadsheets/d/1bozxp9FwhaCNzy-RRGPVPfVYTttO4PUGDdaFvbz-Ue0/edit?gid=1870218791#gid=1870218791"", ""Rev vs Mktg &amp; Mktg Mix!L"" &amp; ROW(N33))
"),8.0420718)</f>
        <v>8.0420718000000004</v>
      </c>
      <c r="M97" s="37">
        <f ca="1">IFERROR(__xludf.DUMMYFUNCTION("IMPORTRANGE(""https://docs.google.com/spreadsheets/d/1bozxp9FwhaCNzy-RRGPVPfVYTttO4PUGDdaFvbz-Ue0/edit?gid=1870218791#gid=1870218791"", ""Rev vs Mktg &amp; Mktg Mix!M"" &amp; ROW(M33))
"),12.1918022615003)</f>
        <v>12.1918022615003</v>
      </c>
      <c r="N97" s="37">
        <f ca="1">IFERROR(__xludf.DUMMYFUNCTION("IMPORTRANGE(""https://docs.google.com/spreadsheets/d/1bozxp9FwhaCNzy-RRGPVPfVYTttO4PUGDdaFvbz-Ue0/edit?gid=1870218791#gid=1870218791"", ""Rev vs Mktg &amp; Mktg Mix!N"" &amp; ROW(N33))
"),0.921)</f>
        <v>0.92100000000000004</v>
      </c>
      <c r="O97" s="37">
        <f ca="1">IFERROR(__xludf.DUMMYFUNCTION("IMPORTRANGE(""https://docs.google.com/spreadsheets/d/1bozxp9FwhaCNzy-RRGPVPfVYTttO4PUGDdaFvbz-Ue0/edit?gid=1870218791#gid=1870218791"", ""Rev vs Mktg &amp; Mktg Mix!O"" &amp; ROW(O33))
"),7.4425)</f>
        <v>7.4424999999999999</v>
      </c>
      <c r="P97" s="28"/>
      <c r="Q97" s="37"/>
      <c r="R97" s="31">
        <f>VLOOKUP(VALUE(LEFT(A97, 4)), 'Raw Annual Revenue'!A:R, 18, FALSE) / 4</f>
        <v>32231.5</v>
      </c>
      <c r="S97" s="30">
        <f>VLOOKUP(VALUE(LEFT(A100, 4)), 'Raw Annual Revenue'!A:S, 19, FALSE) / 4</f>
        <v>4755.25</v>
      </c>
      <c r="T97" s="41" t="str">
        <f ca="1">IFERROR(__xludf.DUMMYFUNCTION("IMPORTRANGE(""https://docs.google.com/spreadsheets/d/1bozxp9FwhaCNzy-RRGPVPfVYTttO4PUGDdaFvbz-Ue0/edit?gid=1870218791#gid=1870218791"", ""Rev vs Mktg &amp; Mktg Mix!T"" &amp; ROW(Y33))
"),"")</f>
        <v/>
      </c>
      <c r="U97" s="28"/>
      <c r="V97" s="28"/>
      <c r="W97" s="30">
        <f>VLOOKUP(VALUE(LEFT($A99, 4)), 'Raw Annual Revenue'!$A:W, 23, FALSE) / 4</f>
        <v>118636.5</v>
      </c>
      <c r="X97" s="31">
        <f>VLOOKUP(VALUE(LEFT(A97, 4)), 'Raw Annual Revenue'!A:X, 24, FALSE) / 4</f>
        <v>34439.745999999999</v>
      </c>
      <c r="Y97" s="31">
        <f>VLOOKUP(VALUE(LEFT($A97, 4)), 'Raw Annual Revenue'!$A:Y, 25, FALSE) / 4</f>
        <v>9721</v>
      </c>
      <c r="Z97" s="31">
        <f>VLOOKUP(VALUE(LEFT($A97, 4)), 'Raw Annual Revenue'!$A:Z, 26, FALSE) / 4</f>
        <v>137360.25</v>
      </c>
      <c r="AA97" s="31">
        <f>VLOOKUP(VALUE(LEFT($A97, 4)), 'Raw Annual Revenue'!$A:AA, 27, FALSE) / 4</f>
        <v>3658.75</v>
      </c>
      <c r="AB97" s="31">
        <f>VLOOKUP(VALUE(LEFT($A97, 4)), 'Raw Annual Revenue'!$A:AB, 28, FALSE) / 4</f>
        <v>37002.75</v>
      </c>
      <c r="AC97" s="28"/>
    </row>
    <row r="98" spans="1:29" ht="13">
      <c r="A98" s="27" t="s">
        <v>123</v>
      </c>
      <c r="B98" s="38">
        <f ca="1">IFERROR(__xludf.DUMMYFUNCTION("IMPORTRANGE(""https://docs.google.com/spreadsheets/d/1bozxp9FwhaCNzy-RRGPVPfVYTttO4PUGDdaFvbz-Ue0/edit?gid=1870218791#gid=1870218791"", ""Rev vs Mktg &amp; Mktg Mix!B"" &amp; ROW(A34))
"),859)</f>
        <v>859</v>
      </c>
      <c r="C98" s="38">
        <f ca="1">IFERROR(__xludf.DUMMYFUNCTION("IMPORTRANGE(""https://docs.google.com/spreadsheets/d/1bozxp9FwhaCNzy-RRGPVPfVYTttO4PUGDdaFvbz-Ue0/edit?gid=1870218791#gid=1870218791"", ""Rev vs Mktg &amp; Mktg Mix!C"" &amp; ROW(B34))
"),1238)</f>
        <v>1238</v>
      </c>
      <c r="D98" s="38">
        <f ca="1">IFERROR(__xludf.DUMMYFUNCTION("IMPORTRANGE(""https://docs.google.com/spreadsheets/d/1bozxp9FwhaCNzy-RRGPVPfVYTttO4PUGDdaFvbz-Ue0/edit?gid=1870218791#gid=1870218791"", ""Rev vs Mktg &amp; Mktg Mix!D"" &amp; ROW(C34))
"),920)</f>
        <v>920</v>
      </c>
      <c r="E98" s="38">
        <f ca="1">IFERROR(__xludf.DUMMYFUNCTION("IMPORTRANGE(""https://docs.google.com/spreadsheets/d/1bozxp9FwhaCNzy-RRGPVPfVYTttO4PUGDdaFvbz-Ue0/edit?gid=1870218791#gid=1870218791"", ""Rev vs Mktg &amp; Mktg Mix!E"" &amp; ROW(E34))
"),761)</f>
        <v>761</v>
      </c>
      <c r="F98" s="38">
        <f ca="1">IFERROR(__xludf.DUMMYFUNCTION("IMPORTRANGE(""https://docs.google.com/spreadsheets/d/1bozxp9FwhaCNzy-RRGPVPfVYTttO4PUGDdaFvbz-Ue0/edit?gid=1870218791#gid=1870218791"", ""Rev vs Mktg &amp; Mktg Mix!F"" &amp; ROW(G34))
"),116)</f>
        <v>116</v>
      </c>
      <c r="G98" s="38">
        <f ca="1">IFERROR(__xludf.DUMMYFUNCTION("IMPORTRANGE(""https://docs.google.com/spreadsheets/d/1bozxp9FwhaCNzy-RRGPVPfVYTttO4PUGDdaFvbz-Ue0/edit?gid=1870218791#gid=1870218791"", ""Rev vs Mktg &amp; Mktg Mix!G"" &amp; ROW(I34))
"),32.3)</f>
        <v>32.299999999999997</v>
      </c>
      <c r="H98" s="38">
        <f ca="1">IFERROR(__xludf.DUMMYFUNCTION("IMPORTRANGE(""https://docs.google.com/spreadsheets/d/1bozxp9FwhaCNzy-RRGPVPfVYTttO4PUGDdaFvbz-Ue0/edit?gid=1870218791#gid=1870218791"", ""Rev vs Mktg &amp; Mktg Mix!H"" &amp; ROW(H34))
"),33)</f>
        <v>33</v>
      </c>
      <c r="I98" s="38">
        <f ca="1">IFERROR(__xludf.DUMMYFUNCTION("IMPORTRANGE(""https://docs.google.com/spreadsheets/d/1bozxp9FwhaCNzy-RRGPVPfVYTttO4PUGDdaFvbz-Ue0/edit?gid=1870218791#gid=1870218791"", ""Rev vs Mktg &amp; Mktg Mix!I"" &amp; ROW(K34))
"),53.246)</f>
        <v>53.246000000000002</v>
      </c>
      <c r="J98" s="38">
        <f ca="1">IFERROR(__xludf.DUMMYFUNCTION("IMPORTRANGE(""https://docs.google.com/spreadsheets/d/1bozxp9FwhaCNzy-RRGPVPfVYTttO4PUGDdaFvbz-Ue0/edit?gid=1870218791#gid=1870218791"", ""Rev vs Mktg &amp; Mktg Mix!J"" &amp; ROW(J34))
"),56.806)</f>
        <v>56.805999999999997</v>
      </c>
      <c r="K98" s="31">
        <f>VLOOKUP(VALUE(LEFT(A101, 4)), 'Raw Annual Revenue'!A:K, 11, FALSE) / 4</f>
        <v>4673.25</v>
      </c>
      <c r="L98" s="38">
        <f ca="1">IFERROR(__xludf.DUMMYFUNCTION("IMPORTRANGE(""https://docs.google.com/spreadsheets/d/1bozxp9FwhaCNzy-RRGPVPfVYTttO4PUGDdaFvbz-Ue0/edit?gid=1870218791#gid=1870218791"", ""Rev vs Mktg &amp; Mktg Mix!L"" &amp; ROW(N34))
"),17.4055124838)</f>
        <v>17.405512483799999</v>
      </c>
      <c r="M98" s="37">
        <f ca="1">IFERROR(__xludf.DUMMYFUNCTION("IMPORTRANGE(""https://docs.google.com/spreadsheets/d/1bozxp9FwhaCNzy-RRGPVPfVYTttO4PUGDdaFvbz-Ue0/edit?gid=1870218791#gid=1870218791"", ""Rev vs Mktg &amp; Mktg Mix!M"" &amp; ROW(M34))
"),17.8409588649378)</f>
        <v>17.8409588649378</v>
      </c>
      <c r="N98" s="37">
        <f ca="1">IFERROR(__xludf.DUMMYFUNCTION("IMPORTRANGE(""https://docs.google.com/spreadsheets/d/1bozxp9FwhaCNzy-RRGPVPfVYTttO4PUGDdaFvbz-Ue0/edit?gid=1870218791#gid=1870218791"", ""Rev vs Mktg &amp; Mktg Mix!N"" &amp; ROW(N34))
"),1.671)</f>
        <v>1.671</v>
      </c>
      <c r="O98" s="37">
        <f ca="1">IFERROR(__xludf.DUMMYFUNCTION("IMPORTRANGE(""https://docs.google.com/spreadsheets/d/1bozxp9FwhaCNzy-RRGPVPfVYTttO4PUGDdaFvbz-Ue0/edit?gid=1870218791#gid=1870218791"", ""Rev vs Mktg &amp; Mktg Mix!O"" &amp; ROW(O34))
"),7.4425)</f>
        <v>7.4424999999999999</v>
      </c>
      <c r="P98" s="28"/>
      <c r="Q98" s="37"/>
      <c r="R98" s="31">
        <f>VLOOKUP(VALUE(LEFT(A98, 4)), 'Raw Annual Revenue'!A:R, 18, FALSE) / 4</f>
        <v>32231.5</v>
      </c>
      <c r="S98" s="30">
        <f>VLOOKUP(VALUE(LEFT(A101, 4)), 'Raw Annual Revenue'!A:S, 19, FALSE) / 4</f>
        <v>4755.25</v>
      </c>
      <c r="T98" s="41" t="str">
        <f ca="1">IFERROR(__xludf.DUMMYFUNCTION("IMPORTRANGE(""https://docs.google.com/spreadsheets/d/1bozxp9FwhaCNzy-RRGPVPfVYTttO4PUGDdaFvbz-Ue0/edit?gid=1870218791#gid=1870218791"", ""Rev vs Mktg &amp; Mktg Mix!T"" &amp; ROW(Y34))
"),"")</f>
        <v/>
      </c>
      <c r="U98" s="28"/>
      <c r="V98" s="28"/>
      <c r="W98" s="30">
        <f>VLOOKUP(VALUE(LEFT($A100, 4)), 'Raw Annual Revenue'!$A:W, 23, FALSE) / 4</f>
        <v>118636.5</v>
      </c>
      <c r="X98" s="31">
        <f>VLOOKUP(VALUE(LEFT(A98, 4)), 'Raw Annual Revenue'!A:X, 24, FALSE) / 4</f>
        <v>34439.745999999999</v>
      </c>
      <c r="Y98" s="31">
        <f>VLOOKUP(VALUE(LEFT($A98, 4)), 'Raw Annual Revenue'!$A:Y, 25, FALSE) / 4</f>
        <v>9721</v>
      </c>
      <c r="Z98" s="31">
        <f>VLOOKUP(VALUE(LEFT($A98, 4)), 'Raw Annual Revenue'!$A:Z, 26, FALSE) / 4</f>
        <v>137360.25</v>
      </c>
      <c r="AA98" s="31">
        <f>VLOOKUP(VALUE(LEFT($A98, 4)), 'Raw Annual Revenue'!$A:AA, 27, FALSE) / 4</f>
        <v>3658.75</v>
      </c>
      <c r="AB98" s="31">
        <f>VLOOKUP(VALUE(LEFT($A98, 4)), 'Raw Annual Revenue'!$A:AB, 28, FALSE) / 4</f>
        <v>37002.75</v>
      </c>
      <c r="AC98" s="28"/>
    </row>
    <row r="99" spans="1:29" ht="13">
      <c r="A99" s="27" t="s">
        <v>124</v>
      </c>
      <c r="B99" s="38">
        <f ca="1">IFERROR(__xludf.DUMMYFUNCTION("IMPORTRANGE(""https://docs.google.com/spreadsheets/d/1bozxp9FwhaCNzy-RRGPVPfVYTttO4PUGDdaFvbz-Ue0/edit?gid=1870218791#gid=1870218791"", ""Rev vs Mktg &amp; Mktg Mix!B"" &amp; ROW(A35))
"),886.936)</f>
        <v>886.93600000000004</v>
      </c>
      <c r="C99" s="38">
        <f ca="1">IFERROR(__xludf.DUMMYFUNCTION("IMPORTRANGE(""https://docs.google.com/spreadsheets/d/1bozxp9FwhaCNzy-RRGPVPfVYTttO4PUGDdaFvbz-Ue0/edit?gid=1870218791#gid=1870218791"", ""Rev vs Mktg &amp; Mktg Mix!C"" &amp; ROW(B35))
"),1141)</f>
        <v>1141</v>
      </c>
      <c r="D99" s="38">
        <f ca="1">IFERROR(__xludf.DUMMYFUNCTION("IMPORTRANGE(""https://docs.google.com/spreadsheets/d/1bozxp9FwhaCNzy-RRGPVPfVYTttO4PUGDdaFvbz-Ue0/edit?gid=1870218791#gid=1870218791"", ""Rev vs Mktg &amp; Mktg Mix!D"" &amp; ROW(C35))
"),1246)</f>
        <v>1246</v>
      </c>
      <c r="E99" s="38">
        <f ca="1">IFERROR(__xludf.DUMMYFUNCTION("IMPORTRANGE(""https://docs.google.com/spreadsheets/d/1bozxp9FwhaCNzy-RRGPVPfVYTttO4PUGDdaFvbz-Ue0/edit?gid=1870218791#gid=1870218791"", ""Rev vs Mktg &amp; Mktg Mix!E"" &amp; ROW(E35))
"),628)</f>
        <v>628</v>
      </c>
      <c r="F99" s="38">
        <f ca="1">IFERROR(__xludf.DUMMYFUNCTION("IMPORTRANGE(""https://docs.google.com/spreadsheets/d/1bozxp9FwhaCNzy-RRGPVPfVYTttO4PUGDdaFvbz-Ue0/edit?gid=1870218791#gid=1870218791"", ""Rev vs Mktg &amp; Mktg Mix!F"" &amp; ROW(G35))
"),123)</f>
        <v>123</v>
      </c>
      <c r="G99" s="38">
        <f ca="1">IFERROR(__xludf.DUMMYFUNCTION("IMPORTRANGE(""https://docs.google.com/spreadsheets/d/1bozxp9FwhaCNzy-RRGPVPfVYTttO4PUGDdaFvbz-Ue0/edit?gid=1870218791#gid=1870218791"", ""Rev vs Mktg &amp; Mktg Mix!G"" &amp; ROW(I35))
"),38.2)</f>
        <v>38.200000000000003</v>
      </c>
      <c r="H99" s="38">
        <f ca="1">IFERROR(__xludf.DUMMYFUNCTION("IMPORTRANGE(""https://docs.google.com/spreadsheets/d/1bozxp9FwhaCNzy-RRGPVPfVYTttO4PUGDdaFvbz-Ue0/edit?gid=1870218791#gid=1870218791"", ""Rev vs Mktg &amp; Mktg Mix!H"" &amp; ROW(H35))
"),33.11)</f>
        <v>33.11</v>
      </c>
      <c r="I99" s="38">
        <f ca="1">IFERROR(__xludf.DUMMYFUNCTION("IMPORTRANGE(""https://docs.google.com/spreadsheets/d/1bozxp9FwhaCNzy-RRGPVPfVYTttO4PUGDdaFvbz-Ue0/edit?gid=1870218791#gid=1870218791"", ""Rev vs Mktg &amp; Mktg Mix!I"" &amp; ROW(K35))
"),51.85)</f>
        <v>51.85</v>
      </c>
      <c r="J99" s="38">
        <f ca="1">IFERROR(__xludf.DUMMYFUNCTION("IMPORTRANGE(""https://docs.google.com/spreadsheets/d/1bozxp9FwhaCNzy-RRGPVPfVYTttO4PUGDdaFvbz-Ue0/edit?gid=1870218791#gid=1870218791"", ""Rev vs Mktg &amp; Mktg Mix!J"" &amp; ROW(J35))
"),79.221)</f>
        <v>79.221000000000004</v>
      </c>
      <c r="K99" s="31">
        <f>VLOOKUP(VALUE(LEFT(A102, 4)), 'Raw Annual Revenue'!A:K, 11, FALSE) / 4</f>
        <v>4673.25</v>
      </c>
      <c r="L99" s="38">
        <f ca="1">IFERROR(__xludf.DUMMYFUNCTION("IMPORTRANGE(""https://docs.google.com/spreadsheets/d/1bozxp9FwhaCNzy-RRGPVPfVYTttO4PUGDdaFvbz-Ue0/edit?gid=1870218791#gid=1870218791"", ""Rev vs Mktg &amp; Mktg Mix!L"" &amp; ROW(N35))
"),15.6171519)</f>
        <v>15.6171519</v>
      </c>
      <c r="M99" s="37">
        <f ca="1">IFERROR(__xludf.DUMMYFUNCTION("IMPORTRANGE(""https://docs.google.com/spreadsheets/d/1bozxp9FwhaCNzy-RRGPVPfVYTttO4PUGDdaFvbz-Ue0/edit?gid=1870218791#gid=1870218791"", ""Rev vs Mktg &amp; Mktg Mix!M"" &amp; ROW(M35))
"),20.2620259806967)</f>
        <v>20.262025980696698</v>
      </c>
      <c r="N99" s="37">
        <f ca="1">IFERROR(__xludf.DUMMYFUNCTION("IMPORTRANGE(""https://docs.google.com/spreadsheets/d/1bozxp9FwhaCNzy-RRGPVPfVYTttO4PUGDdaFvbz-Ue0/edit?gid=1870218791#gid=1870218791"", ""Rev vs Mktg &amp; Mktg Mix!N"" &amp; ROW(N35))
"),1.655)</f>
        <v>1.655</v>
      </c>
      <c r="O99" s="37">
        <f ca="1">IFERROR(__xludf.DUMMYFUNCTION("IMPORTRANGE(""https://docs.google.com/spreadsheets/d/1bozxp9FwhaCNzy-RRGPVPfVYTttO4PUGDdaFvbz-Ue0/edit?gid=1870218791#gid=1870218791"", ""Rev vs Mktg &amp; Mktg Mix!O"" &amp; ROW(O35))
"),5.135)</f>
        <v>5.1349999999999998</v>
      </c>
      <c r="P99" s="37">
        <f ca="1">IFERROR(__xludf.DUMMYFUNCTION("IMPORTRANGE(""https://docs.google.com/spreadsheets/d/1bozxp9FwhaCNzy-RRGPVPfVYTttO4PUGDdaFvbz-Ue0/edit?gid=1870218791#gid=1870218791"", ""Rev vs Mktg &amp; Mktg Mix!P"" &amp; ROW(P35))
"),7.41)</f>
        <v>7.41</v>
      </c>
      <c r="Q99" s="37"/>
      <c r="R99" s="31">
        <f>VLOOKUP(VALUE(LEFT(A99, 4)), 'Raw Annual Revenue'!A:R, 18, FALSE) / 4</f>
        <v>46606</v>
      </c>
      <c r="S99" s="30">
        <f>VLOOKUP(VALUE(LEFT(A102, 4)), 'Raw Annual Revenue'!A:S, 19, FALSE) / 4</f>
        <v>4755.25</v>
      </c>
      <c r="T99" s="41" t="str">
        <f ca="1">IFERROR(__xludf.DUMMYFUNCTION("IMPORTRANGE(""https://docs.google.com/spreadsheets/d/1bozxp9FwhaCNzy-RRGPVPfVYTttO4PUGDdaFvbz-Ue0/edit?gid=1870218791#gid=1870218791"", ""Rev vs Mktg &amp; Mktg Mix!T"" &amp; ROW(Y35))
"),"")</f>
        <v/>
      </c>
      <c r="U99" s="28"/>
      <c r="V99" s="28"/>
      <c r="W99" s="30">
        <f>VLOOKUP(VALUE(LEFT($A101, 4)), 'Raw Annual Revenue'!$A:W, 23, FALSE) / 4</f>
        <v>118636.5</v>
      </c>
      <c r="X99" s="31">
        <f>VLOOKUP(VALUE(LEFT(A99, 4)), 'Raw Annual Revenue'!A:X, 24, FALSE) / 4</f>
        <v>38294.288699999997</v>
      </c>
      <c r="Y99" s="31">
        <f>VLOOKUP(VALUE(LEFT($A99, 4)), 'Raw Annual Revenue'!$A:Y, 25, FALSE) / 4</f>
        <v>12928.5</v>
      </c>
      <c r="Z99" s="31">
        <f>VLOOKUP(VALUE(LEFT($A99, 4)), 'Raw Annual Revenue'!$A:Z, 26, FALSE) / 4</f>
        <v>194090.5</v>
      </c>
      <c r="AA99" s="31">
        <f>VLOOKUP(VALUE(LEFT($A99, 4)), 'Raw Annual Revenue'!$A:AA, 27, FALSE) / 4</f>
        <v>3825.75</v>
      </c>
      <c r="AB99" s="31">
        <f>VLOOKUP(VALUE(LEFT($A99, 4)), 'Raw Annual Revenue'!$A:AB, 28, FALSE) / 4</f>
        <v>32912</v>
      </c>
      <c r="AC99" s="28"/>
    </row>
    <row r="100" spans="1:29" ht="13">
      <c r="A100" s="27" t="s">
        <v>125</v>
      </c>
      <c r="B100" s="38">
        <f ca="1">IFERROR(__xludf.DUMMYFUNCTION("IMPORTRANGE(""https://docs.google.com/spreadsheets/d/1bozxp9FwhaCNzy-RRGPVPfVYTttO4PUGDdaFvbz-Ue0/edit?gid=1870218791#gid=1870218791"", ""Rev vs Mktg &amp; Mktg Mix!B"" &amp; ROW(A36))
"),1335.196)</f>
        <v>1335.1959999999999</v>
      </c>
      <c r="C100" s="38">
        <f ca="1">IFERROR(__xludf.DUMMYFUNCTION("IMPORTRANGE(""https://docs.google.com/spreadsheets/d/1bozxp9FwhaCNzy-RRGPVPfVYTttO4PUGDdaFvbz-Ue0/edit?gid=1870218791#gid=1870218791"", ""Rev vs Mktg &amp; Mktg Mix!C"" &amp; ROW(B36))
"),2160)</f>
        <v>2160</v>
      </c>
      <c r="D100" s="38">
        <f ca="1">IFERROR(__xludf.DUMMYFUNCTION("IMPORTRANGE(""https://docs.google.com/spreadsheets/d/1bozxp9FwhaCNzy-RRGPVPfVYTttO4PUGDdaFvbz-Ue0/edit?gid=1870218791#gid=1870218791"", ""Rev vs Mktg &amp; Mktg Mix!D"" &amp; ROW(C36))
"),2111)</f>
        <v>2111</v>
      </c>
      <c r="E100" s="38">
        <f ca="1">IFERROR(__xludf.DUMMYFUNCTION("IMPORTRANGE(""https://docs.google.com/spreadsheets/d/1bozxp9FwhaCNzy-RRGPVPfVYTttO4PUGDdaFvbz-Ue0/edit?gid=1870218791#gid=1870218791"", ""Rev vs Mktg &amp; Mktg Mix!E"" &amp; ROW(E36))
"),912)</f>
        <v>912</v>
      </c>
      <c r="F100" s="38">
        <f ca="1">IFERROR(__xludf.DUMMYFUNCTION("IMPORTRANGE(""https://docs.google.com/spreadsheets/d/1bozxp9FwhaCNzy-RRGPVPfVYTttO4PUGDdaFvbz-Ue0/edit?gid=1870218791#gid=1870218791"", ""Rev vs Mktg &amp; Mktg Mix!F"" &amp; ROW(G36))
"),235)</f>
        <v>235</v>
      </c>
      <c r="G100" s="38">
        <f ca="1">IFERROR(__xludf.DUMMYFUNCTION("IMPORTRANGE(""https://docs.google.com/spreadsheets/d/1bozxp9FwhaCNzy-RRGPVPfVYTttO4PUGDdaFvbz-Ue0/edit?gid=1870218791#gid=1870218791"", ""Rev vs Mktg &amp; Mktg Mix!G"" &amp; ROW(I36))
"),95.474)</f>
        <v>95.474000000000004</v>
      </c>
      <c r="H100" s="38">
        <f ca="1">IFERROR(__xludf.DUMMYFUNCTION("IMPORTRANGE(""https://docs.google.com/spreadsheets/d/1bozxp9FwhaCNzy-RRGPVPfVYTttO4PUGDdaFvbz-Ue0/edit?gid=1870218791#gid=1870218791"", ""Rev vs Mktg &amp; Mktg Mix!H"" &amp; ROW(H36))
"),75.24)</f>
        <v>75.239999999999995</v>
      </c>
      <c r="I100" s="38">
        <f ca="1">IFERROR(__xludf.DUMMYFUNCTION("IMPORTRANGE(""https://docs.google.com/spreadsheets/d/1bozxp9FwhaCNzy-RRGPVPfVYTttO4PUGDdaFvbz-Ue0/edit?gid=1870218791#gid=1870218791"", ""Rev vs Mktg &amp; Mktg Mix!I"" &amp; ROW(K36))
"),63.069)</f>
        <v>63.069000000000003</v>
      </c>
      <c r="J100" s="38">
        <f ca="1">IFERROR(__xludf.DUMMYFUNCTION("IMPORTRANGE(""https://docs.google.com/spreadsheets/d/1bozxp9FwhaCNzy-RRGPVPfVYTttO4PUGDdaFvbz-Ue0/edit?gid=1870218791#gid=1870218791"", ""Rev vs Mktg &amp; Mktg Mix!J"" &amp; ROW(J36))
"),32.833)</f>
        <v>32.832999999999998</v>
      </c>
      <c r="K100" s="31">
        <f>VLOOKUP(VALUE(LEFT(A103, 4)), 'Raw Annual Revenue'!A:K, 11, FALSE) / 4</f>
        <v>12553.25</v>
      </c>
      <c r="L100" s="38">
        <f ca="1">IFERROR(__xludf.DUMMYFUNCTION("IMPORTRANGE(""https://docs.google.com/spreadsheets/d/1bozxp9FwhaCNzy-RRGPVPfVYTttO4PUGDdaFvbz-Ue0/edit?gid=1870218791#gid=1870218791"", ""Rev vs Mktg &amp; Mktg Mix!L"" &amp; ROW(N36))
"),46.5334151499)</f>
        <v>46.533415149900001</v>
      </c>
      <c r="M100" s="37">
        <f ca="1">IFERROR(__xludf.DUMMYFUNCTION("IMPORTRANGE(""https://docs.google.com/spreadsheets/d/1bozxp9FwhaCNzy-RRGPVPfVYTttO4PUGDdaFvbz-Ue0/edit?gid=1870218791#gid=1870218791"", ""Rev vs Mktg &amp; Mktg Mix!M"" &amp; ROW(M36))
"),23.7495155164923)</f>
        <v>23.749515516492298</v>
      </c>
      <c r="N100" s="37">
        <f ca="1">IFERROR(__xludf.DUMMYFUNCTION("IMPORTRANGE(""https://docs.google.com/spreadsheets/d/1bozxp9FwhaCNzy-RRGPVPfVYTttO4PUGDdaFvbz-Ue0/edit?gid=1870218791#gid=1870218791"", ""Rev vs Mktg &amp; Mktg Mix!N"" &amp; ROW(N36))
"),2.132)</f>
        <v>2.1320000000000001</v>
      </c>
      <c r="O100" s="37">
        <f ca="1">IFERROR(__xludf.DUMMYFUNCTION("IMPORTRANGE(""https://docs.google.com/spreadsheets/d/1bozxp9FwhaCNzy-RRGPVPfVYTttO4PUGDdaFvbz-Ue0/edit?gid=1870218791#gid=1870218791"", ""Rev vs Mktg &amp; Mktg Mix!O"" &amp; ROW(O36))
"),18.1025)</f>
        <v>18.102499999999999</v>
      </c>
      <c r="P100" s="37">
        <f ca="1">IFERROR(__xludf.DUMMYFUNCTION("IMPORTRANGE(""https://docs.google.com/spreadsheets/d/1bozxp9FwhaCNzy-RRGPVPfVYTttO4PUGDdaFvbz-Ue0/edit?gid=1870218791#gid=1870218791"", ""Rev vs Mktg &amp; Mktg Mix!P"" &amp; ROW(P36))
"),7.41)</f>
        <v>7.41</v>
      </c>
      <c r="Q100" s="37"/>
      <c r="R100" s="31">
        <f>VLOOKUP(VALUE(LEFT(A100, 4)), 'Raw Annual Revenue'!A:R, 18, FALSE) / 4</f>
        <v>46606</v>
      </c>
      <c r="S100" s="30">
        <f>VLOOKUP(VALUE(LEFT(A103, 4)), 'Raw Annual Revenue'!A:S, 19, FALSE) / 4</f>
        <v>7847</v>
      </c>
      <c r="T100" s="41">
        <f ca="1">IFERROR(__xludf.DUMMYFUNCTION("IMPORTRANGE(""https://docs.google.com/spreadsheets/d/1bozxp9FwhaCNzy-RRGPVPfVYTttO4PUGDdaFvbz-Ue0/edit?gid=1870218791#gid=1870218791"", ""Rev vs Mktg &amp; Mktg Mix!T"" &amp; ROW(Y36))
"),4.23780487804878)</f>
        <v>4.23780487804878</v>
      </c>
      <c r="U100" s="28"/>
      <c r="V100" s="28"/>
      <c r="W100" s="30">
        <f>VLOOKUP(VALUE(LEFT($A102, 4)), 'Raw Annual Revenue'!$A:W, 23, FALSE) / 4</f>
        <v>118636.5</v>
      </c>
      <c r="X100" s="31">
        <f>VLOOKUP(VALUE(LEFT(A100, 4)), 'Raw Annual Revenue'!A:X, 24, FALSE) / 4</f>
        <v>38294.288699999997</v>
      </c>
      <c r="Y100" s="31">
        <f>VLOOKUP(VALUE(LEFT($A100, 4)), 'Raw Annual Revenue'!$A:Y, 25, FALSE) / 4</f>
        <v>12928.5</v>
      </c>
      <c r="Z100" s="31">
        <f>VLOOKUP(VALUE(LEFT($A100, 4)), 'Raw Annual Revenue'!$A:Z, 26, FALSE) / 4</f>
        <v>194090.5</v>
      </c>
      <c r="AA100" s="31">
        <f>VLOOKUP(VALUE(LEFT($A100, 4)), 'Raw Annual Revenue'!$A:AA, 27, FALSE) / 4</f>
        <v>3825.75</v>
      </c>
      <c r="AB100" s="31">
        <f>VLOOKUP(VALUE(LEFT($A100, 4)), 'Raw Annual Revenue'!$A:AB, 28, FALSE) / 4</f>
        <v>32912</v>
      </c>
      <c r="AC100" s="28"/>
    </row>
    <row r="101" spans="1:29" ht="13">
      <c r="A101" s="27" t="s">
        <v>126</v>
      </c>
      <c r="B101" s="38">
        <f ca="1">IFERROR(__xludf.DUMMYFUNCTION("IMPORTRANGE(""https://docs.google.com/spreadsheets/d/1bozxp9FwhaCNzy-RRGPVPfVYTttO4PUGDdaFvbz-Ue0/edit?gid=1870218791#gid=1870218791"", ""Rev vs Mktg &amp; Mktg Mix!B"" &amp; ROW(A37))
"),2237.432)</f>
        <v>2237.4319999999998</v>
      </c>
      <c r="C101" s="38">
        <f ca="1">IFERROR(__xludf.DUMMYFUNCTION("IMPORTRANGE(""https://docs.google.com/spreadsheets/d/1bozxp9FwhaCNzy-RRGPVPfVYTttO4PUGDdaFvbz-Ue0/edit?gid=1870218791#gid=1870218791"", ""Rev vs Mktg &amp; Mktg Mix!C"" &amp; ROW(B37))
"),4676)</f>
        <v>4676</v>
      </c>
      <c r="D101" s="38">
        <f ca="1">IFERROR(__xludf.DUMMYFUNCTION("IMPORTRANGE(""https://docs.google.com/spreadsheets/d/1bozxp9FwhaCNzy-RRGPVPfVYTttO4PUGDdaFvbz-Ue0/edit?gid=1870218791#gid=1870218791"", ""Rev vs Mktg &amp; Mktg Mix!D"" &amp; ROW(C37))
"),2962)</f>
        <v>2962</v>
      </c>
      <c r="E101" s="38">
        <f ca="1">IFERROR(__xludf.DUMMYFUNCTION("IMPORTRANGE(""https://docs.google.com/spreadsheets/d/1bozxp9FwhaCNzy-RRGPVPfVYTttO4PUGDdaFvbz-Ue0/edit?gid=1870218791#gid=1870218791"", ""Rev vs Mktg &amp; Mktg Mix!E"" &amp; ROW(E37))
"),831)</f>
        <v>831</v>
      </c>
      <c r="F101" s="38">
        <f ca="1">IFERROR(__xludf.DUMMYFUNCTION("IMPORTRANGE(""https://docs.google.com/spreadsheets/d/1bozxp9FwhaCNzy-RRGPVPfVYTttO4PUGDdaFvbz-Ue0/edit?gid=1870218791#gid=1870218791"", ""Rev vs Mktg &amp; Mktg Mix!F"" &amp; ROW(G37))
"),303)</f>
        <v>303</v>
      </c>
      <c r="G101" s="38">
        <f ca="1">IFERROR(__xludf.DUMMYFUNCTION("IMPORTRANGE(""https://docs.google.com/spreadsheets/d/1bozxp9FwhaCNzy-RRGPVPfVYTttO4PUGDdaFvbz-Ue0/edit?gid=1870218791#gid=1870218791"", ""Rev vs Mktg &amp; Mktg Mix!G"" &amp; ROW(I37))
"),138.6)</f>
        <v>138.6</v>
      </c>
      <c r="H101" s="38">
        <f ca="1">IFERROR(__xludf.DUMMYFUNCTION("IMPORTRANGE(""https://docs.google.com/spreadsheets/d/1bozxp9FwhaCNzy-RRGPVPfVYTttO4PUGDdaFvbz-Ue0/edit?gid=1870218791#gid=1870218791"", ""Rev vs Mktg &amp; Mktg Mix!H"" &amp; ROW(H37))
"),109.89)</f>
        <v>109.89</v>
      </c>
      <c r="I101" s="38">
        <f ca="1">IFERROR(__xludf.DUMMYFUNCTION("IMPORTRANGE(""https://docs.google.com/spreadsheets/d/1bozxp9FwhaCNzy-RRGPVPfVYTttO4PUGDdaFvbz-Ue0/edit?gid=1870218791#gid=1870218791"", ""Rev vs Mktg &amp; Mktg Mix!I"" &amp; ROW(K37))
"),83.368)</f>
        <v>83.367999999999995</v>
      </c>
      <c r="J101" s="38">
        <f ca="1">IFERROR(__xludf.DUMMYFUNCTION("IMPORTRANGE(""https://docs.google.com/spreadsheets/d/1bozxp9FwhaCNzy-RRGPVPfVYTttO4PUGDdaFvbz-Ue0/edit?gid=1870218791#gid=1870218791"", ""Rev vs Mktg &amp; Mktg Mix!J"" &amp; ROW(J37))
"),67.479)</f>
        <v>67.478999999999999</v>
      </c>
      <c r="K101" s="31">
        <f>VLOOKUP(VALUE(LEFT(A104, 4)), 'Raw Annual Revenue'!A:K, 11, FALSE) / 4</f>
        <v>12553.25</v>
      </c>
      <c r="L101" s="38">
        <f ca="1">IFERROR(__xludf.DUMMYFUNCTION("IMPORTRANGE(""https://docs.google.com/spreadsheets/d/1bozxp9FwhaCNzy-RRGPVPfVYTttO4PUGDdaFvbz-Ue0/edit?gid=1870218791#gid=1870218791"", ""Rev vs Mktg &amp; Mktg Mix!L"" &amp; ROW(N37))
"),49.6275245318999)</f>
        <v>49.627524531899901</v>
      </c>
      <c r="M101" s="37">
        <f ca="1">IFERROR(__xludf.DUMMYFUNCTION("IMPORTRANGE(""https://docs.google.com/spreadsheets/d/1bozxp9FwhaCNzy-RRGPVPfVYTttO4PUGDdaFvbz-Ue0/edit?gid=1870218791#gid=1870218791"", ""Rev vs Mktg &amp; Mktg Mix!M"" &amp; ROW(M37))
"),17.7544921822321)</f>
        <v>17.754492182232099</v>
      </c>
      <c r="N101" s="37">
        <f ca="1">IFERROR(__xludf.DUMMYFUNCTION("IMPORTRANGE(""https://docs.google.com/spreadsheets/d/1bozxp9FwhaCNzy-RRGPVPfVYTttO4PUGDdaFvbz-Ue0/edit?gid=1870218791#gid=1870218791"", ""Rev vs Mktg &amp; Mktg Mix!N"" &amp; ROW(N37))
"),3.014)</f>
        <v>3.0139999999999998</v>
      </c>
      <c r="O101" s="37">
        <f ca="1">IFERROR(__xludf.DUMMYFUNCTION("IMPORTRANGE(""https://docs.google.com/spreadsheets/d/1bozxp9FwhaCNzy-RRGPVPfVYTttO4PUGDdaFvbz-Ue0/edit?gid=1870218791#gid=1870218791"", ""Rev vs Mktg &amp; Mktg Mix!O"" &amp; ROW(O37))
"),18.1025)</f>
        <v>18.102499999999999</v>
      </c>
      <c r="P101" s="37">
        <f ca="1">IFERROR(__xludf.DUMMYFUNCTION("IMPORTRANGE(""https://docs.google.com/spreadsheets/d/1bozxp9FwhaCNzy-RRGPVPfVYTttO4PUGDdaFvbz-Ue0/edit?gid=1870218791#gid=1870218791"", ""Rev vs Mktg &amp; Mktg Mix!P"" &amp; ROW(P37))
"),7.41)</f>
        <v>7.41</v>
      </c>
      <c r="Q101" s="37"/>
      <c r="R101" s="31">
        <f>VLOOKUP(VALUE(LEFT(A101, 4)), 'Raw Annual Revenue'!A:R, 18, FALSE) / 4</f>
        <v>46606</v>
      </c>
      <c r="S101" s="30">
        <f>VLOOKUP(VALUE(LEFT(A104, 4)), 'Raw Annual Revenue'!A:S, 19, FALSE) / 4</f>
        <v>7847</v>
      </c>
      <c r="T101" s="41" t="str">
        <f ca="1">IFERROR(__xludf.DUMMYFUNCTION("IMPORTRANGE(""https://docs.google.com/spreadsheets/d/1bozxp9FwhaCNzy-RRGPVPfVYTttO4PUGDdaFvbz-Ue0/edit?gid=1870218791#gid=1870218791"", ""Rev vs Mktg &amp; Mktg Mix!T"" &amp; ROW(Y37))
"),"")</f>
        <v/>
      </c>
      <c r="U101" s="28"/>
      <c r="V101" s="28"/>
      <c r="W101" s="30">
        <f>VLOOKUP(VALUE(LEFT($A103, 4)), 'Raw Annual Revenue'!$A:W, 23, FALSE) / 4</f>
        <v>180008.5</v>
      </c>
      <c r="X101" s="31">
        <f>VLOOKUP(VALUE(LEFT(A101, 4)), 'Raw Annual Revenue'!A:X, 24, FALSE) / 4</f>
        <v>38294.288699999997</v>
      </c>
      <c r="Y101" s="31">
        <f>VLOOKUP(VALUE(LEFT($A101, 4)), 'Raw Annual Revenue'!$A:Y, 25, FALSE) / 4</f>
        <v>12928.5</v>
      </c>
      <c r="Z101" s="31">
        <f>VLOOKUP(VALUE(LEFT($A101, 4)), 'Raw Annual Revenue'!$A:Z, 26, FALSE) / 4</f>
        <v>194090.5</v>
      </c>
      <c r="AA101" s="31">
        <f>VLOOKUP(VALUE(LEFT($A101, 4)), 'Raw Annual Revenue'!$A:AA, 27, FALSE) / 4</f>
        <v>3825.75</v>
      </c>
      <c r="AB101" s="31">
        <f>VLOOKUP(VALUE(LEFT($A101, 4)), 'Raw Annual Revenue'!$A:AB, 28, FALSE) / 4</f>
        <v>32912</v>
      </c>
      <c r="AC101" s="28"/>
    </row>
    <row r="102" spans="1:29" ht="13">
      <c r="A102" s="27" t="s">
        <v>127</v>
      </c>
      <c r="B102" s="38">
        <f ca="1">IFERROR(__xludf.DUMMYFUNCTION("IMPORTRANGE(""https://docs.google.com/spreadsheets/d/1bozxp9FwhaCNzy-RRGPVPfVYTttO4PUGDdaFvbz-Ue0/edit?gid=1870218791#gid=1870218791"", ""Rev vs Mktg &amp; Mktg Mix!B"" &amp; ROW(A38))
"),1532.196)</f>
        <v>1532.1959999999999</v>
      </c>
      <c r="C102" s="38">
        <f ca="1">IFERROR(__xludf.DUMMYFUNCTION("IMPORTRANGE(""https://docs.google.com/spreadsheets/d/1bozxp9FwhaCNzy-RRGPVPfVYTttO4PUGDdaFvbz-Ue0/edit?gid=1870218791#gid=1870218791"", ""Rev vs Mktg &amp; Mktg Mix!C"" &amp; ROW(B38))
"),2981)</f>
        <v>2981</v>
      </c>
      <c r="D102" s="38">
        <f ca="1">IFERROR(__xludf.DUMMYFUNCTION("IMPORTRANGE(""https://docs.google.com/spreadsheets/d/1bozxp9FwhaCNzy-RRGPVPfVYTttO4PUGDdaFvbz-Ue0/edit?gid=1870218791#gid=1870218791"", ""Rev vs Mktg &amp; Mktg Mix!D"" &amp; ROW(C38))
"),2279)</f>
        <v>2279</v>
      </c>
      <c r="E102" s="38">
        <f ca="1">IFERROR(__xludf.DUMMYFUNCTION("IMPORTRANGE(""https://docs.google.com/spreadsheets/d/1bozxp9FwhaCNzy-RRGPVPfVYTttO4PUGDdaFvbz-Ue0/edit?gid=1870218791#gid=1870218791"", ""Rev vs Mktg &amp; Mktg Mix!E"" &amp; ROW(E38))
"),735)</f>
        <v>735</v>
      </c>
      <c r="F102" s="38">
        <f ca="1">IFERROR(__xludf.DUMMYFUNCTION("IMPORTRANGE(""https://docs.google.com/spreadsheets/d/1bozxp9FwhaCNzy-RRGPVPfVYTttO4PUGDdaFvbz-Ue0/edit?gid=1870218791#gid=1870218791"", ""Rev vs Mktg &amp; Mktg Mix!F"" &amp; ROW(G38))
"),241)</f>
        <v>241</v>
      </c>
      <c r="G102" s="38">
        <f ca="1">IFERROR(__xludf.DUMMYFUNCTION("IMPORTRANGE(""https://docs.google.com/spreadsheets/d/1bozxp9FwhaCNzy-RRGPVPfVYTttO4PUGDdaFvbz-Ue0/edit?gid=1870218791#gid=1870218791"", ""Rev vs Mktg &amp; Mktg Mix!G"" &amp; ROW(I38))
"),89.126)</f>
        <v>89.126000000000005</v>
      </c>
      <c r="H102" s="38">
        <f ca="1">IFERROR(__xludf.DUMMYFUNCTION("IMPORTRANGE(""https://docs.google.com/spreadsheets/d/1bozxp9FwhaCNzy-RRGPVPfVYTttO4PUGDdaFvbz-Ue0/edit?gid=1870218791#gid=1870218791"", ""Rev vs Mktg &amp; Mktg Mix!H"" &amp; ROW(H38))
"),104.94)</f>
        <v>104.94</v>
      </c>
      <c r="I102" s="38">
        <f ca="1">IFERROR(__xludf.DUMMYFUNCTION("IMPORTRANGE(""https://docs.google.com/spreadsheets/d/1bozxp9FwhaCNzy-RRGPVPfVYTttO4PUGDdaFvbz-Ue0/edit?gid=1870218791#gid=1870218791"", ""Rev vs Mktg &amp; Mktg Mix!I"" &amp; ROW(K38))
"),124.556)</f>
        <v>124.556</v>
      </c>
      <c r="J102" s="38">
        <f ca="1">IFERROR(__xludf.DUMMYFUNCTION("IMPORTRANGE(""https://docs.google.com/spreadsheets/d/1bozxp9FwhaCNzy-RRGPVPfVYTttO4PUGDdaFvbz-Ue0/edit?gid=1870218791#gid=1870218791"", ""Rev vs Mktg &amp; Mktg Mix!J"" &amp; ROW(J38))
"),115.023)</f>
        <v>115.023</v>
      </c>
      <c r="K102" s="31">
        <f>VLOOKUP(VALUE(LEFT(A105, 4)), 'Raw Annual Revenue'!A:K, 11, FALSE) / 4</f>
        <v>12553.25</v>
      </c>
      <c r="L102" s="38">
        <f ca="1">IFERROR(__xludf.DUMMYFUNCTION("IMPORTRANGE(""https://docs.google.com/spreadsheets/d/1bozxp9FwhaCNzy-RRGPVPfVYTttO4PUGDdaFvbz-Ue0/edit?gid=1870218791#gid=1870218791"", ""Rev vs Mktg &amp; Mktg Mix!L"" &amp; ROW(N38))
"),50.0815124733)</f>
        <v>50.081512473300002</v>
      </c>
      <c r="M102" s="37">
        <f ca="1">IFERROR(__xludf.DUMMYFUNCTION("IMPORTRANGE(""https://docs.google.com/spreadsheets/d/1bozxp9FwhaCNzy-RRGPVPfVYTttO4PUGDdaFvbz-Ue0/edit?gid=1870218791#gid=1870218791"", ""Rev vs Mktg &amp; Mktg Mix!M"" &amp; ROW(M38))
"),38.7370738521428)</f>
        <v>38.7370738521428</v>
      </c>
      <c r="N102" s="37">
        <f ca="1">IFERROR(__xludf.DUMMYFUNCTION("IMPORTRANGE(""https://docs.google.com/spreadsheets/d/1bozxp9FwhaCNzy-RRGPVPfVYTttO4PUGDdaFvbz-Ue0/edit?gid=1870218791#gid=1870218791"", ""Rev vs Mktg &amp; Mktg Mix!N"" &amp; ROW(N38))
"),3.837)</f>
        <v>3.8370000000000002</v>
      </c>
      <c r="O102" s="37">
        <f ca="1">IFERROR(__xludf.DUMMYFUNCTION("IMPORTRANGE(""https://docs.google.com/spreadsheets/d/1bozxp9FwhaCNzy-RRGPVPfVYTttO4PUGDdaFvbz-Ue0/edit?gid=1870218791#gid=1870218791"", ""Rev vs Mktg &amp; Mktg Mix!O"" &amp; ROW(O38))
"),26.9749999999999)</f>
        <v>26.974999999999898</v>
      </c>
      <c r="P102" s="37">
        <f ca="1">IFERROR(__xludf.DUMMYFUNCTION("IMPORTRANGE(""https://docs.google.com/spreadsheets/d/1bozxp9FwhaCNzy-RRGPVPfVYTttO4PUGDdaFvbz-Ue0/edit?gid=1870218791#gid=1870218791"", ""Rev vs Mktg &amp; Mktg Mix!P"" &amp; ROW(P38))
"),6.2075)</f>
        <v>6.2074999999999996</v>
      </c>
      <c r="Q102" s="37"/>
      <c r="R102" s="31">
        <f>VLOOKUP(VALUE(LEFT(A102, 4)), 'Raw Annual Revenue'!A:R, 18, FALSE) / 4</f>
        <v>46606</v>
      </c>
      <c r="S102" s="30">
        <f>VLOOKUP(VALUE(LEFT(A105, 4)), 'Raw Annual Revenue'!A:S, 19, FALSE) / 4</f>
        <v>7847</v>
      </c>
      <c r="T102" s="41" t="str">
        <f ca="1">IFERROR(__xludf.DUMMYFUNCTION("IMPORTRANGE(""https://docs.google.com/spreadsheets/d/1bozxp9FwhaCNzy-RRGPVPfVYTttO4PUGDdaFvbz-Ue0/edit?gid=1870218791#gid=1870218791"", ""Rev vs Mktg &amp; Mktg Mix!T"" &amp; ROW(Y38))
"),"")</f>
        <v/>
      </c>
      <c r="U102" s="28"/>
      <c r="V102" s="28"/>
      <c r="W102" s="30">
        <f>VLOOKUP(VALUE(LEFT($A104, 4)), 'Raw Annual Revenue'!$A:W, 23, FALSE) / 4</f>
        <v>180008.5</v>
      </c>
      <c r="X102" s="31">
        <f>VLOOKUP(VALUE(LEFT(A102, 4)), 'Raw Annual Revenue'!A:X, 24, FALSE) / 4</f>
        <v>38294.288699999997</v>
      </c>
      <c r="Y102" s="31">
        <f>VLOOKUP(VALUE(LEFT($A102, 4)), 'Raw Annual Revenue'!$A:Y, 25, FALSE) / 4</f>
        <v>12928.5</v>
      </c>
      <c r="Z102" s="31">
        <f>VLOOKUP(VALUE(LEFT($A102, 4)), 'Raw Annual Revenue'!$A:Z, 26, FALSE) / 4</f>
        <v>194090.5</v>
      </c>
      <c r="AA102" s="31">
        <f>VLOOKUP(VALUE(LEFT($A102, 4)), 'Raw Annual Revenue'!$A:AA, 27, FALSE) / 4</f>
        <v>3825.75</v>
      </c>
      <c r="AB102" s="31">
        <f>VLOOKUP(VALUE(LEFT($A102, 4)), 'Raw Annual Revenue'!$A:AB, 28, FALSE) / 4</f>
        <v>32912</v>
      </c>
      <c r="AC102" s="28"/>
    </row>
    <row r="103" spans="1:29" ht="13">
      <c r="A103" s="27" t="s">
        <v>128</v>
      </c>
      <c r="B103" s="38">
        <f ca="1">IFERROR(__xludf.DUMMYFUNCTION("IMPORTRANGE(""https://docs.google.com/spreadsheets/d/1bozxp9FwhaCNzy-RRGPVPfVYTttO4PUGDdaFvbz-Ue0/edit?gid=1870218791#gid=1870218791"", ""Rev vs Mktg &amp; Mktg Mix!B"" &amp; ROW(A39))
"),1508.937)</f>
        <v>1508.9369999999999</v>
      </c>
      <c r="C103" s="38">
        <f ca="1">IFERROR(__xludf.DUMMYFUNCTION("IMPORTRANGE(""https://docs.google.com/spreadsheets/d/1bozxp9FwhaCNzy-RRGPVPfVYTttO4PUGDdaFvbz-Ue0/edit?gid=1870218791#gid=1870218791"", ""Rev vs Mktg &amp; Mktg Mix!C"" &amp; ROW(B39))
"),2695)</f>
        <v>2695</v>
      </c>
      <c r="D103" s="38">
        <f ca="1">IFERROR(__xludf.DUMMYFUNCTION("IMPORTRANGE(""https://docs.google.com/spreadsheets/d/1bozxp9FwhaCNzy-RRGPVPfVYTttO4PUGDdaFvbz-Ue0/edit?gid=1870218791#gid=1870218791"", ""Rev vs Mktg &amp; Mktg Mix!D"" &amp; ROW(C39))
"),2249)</f>
        <v>2249</v>
      </c>
      <c r="E103" s="38">
        <f ca="1">IFERROR(__xludf.DUMMYFUNCTION("IMPORTRANGE(""https://docs.google.com/spreadsheets/d/1bozxp9FwhaCNzy-RRGPVPfVYTttO4PUGDdaFvbz-Ue0/edit?gid=1870218791#gid=1870218791"", ""Rev vs Mktg &amp; Mktg Mix!E"" &amp; ROW(E39))
"),649)</f>
        <v>649</v>
      </c>
      <c r="F103" s="38">
        <f ca="1">IFERROR(__xludf.DUMMYFUNCTION("IMPORTRANGE(""https://docs.google.com/spreadsheets/d/1bozxp9FwhaCNzy-RRGPVPfVYTttO4PUGDdaFvbz-Ue0/edit?gid=1870218791#gid=1870218791"", ""Rev vs Mktg &amp; Mktg Mix!F"" &amp; ROW(G39))
"),262)</f>
        <v>262</v>
      </c>
      <c r="G103" s="38">
        <f ca="1">IFERROR(__xludf.DUMMYFUNCTION("IMPORTRANGE(""https://docs.google.com/spreadsheets/d/1bozxp9FwhaCNzy-RRGPVPfVYTttO4PUGDdaFvbz-Ue0/edit?gid=1870218791#gid=1870218791"", ""Rev vs Mktg &amp; Mktg Mix!G"" &amp; ROW(I39))
"),101.638)</f>
        <v>101.63800000000001</v>
      </c>
      <c r="H103" s="38">
        <f ca="1">IFERROR(__xludf.DUMMYFUNCTION("IMPORTRANGE(""https://docs.google.com/spreadsheets/d/1bozxp9FwhaCNzy-RRGPVPfVYTttO4PUGDdaFvbz-Ue0/edit?gid=1870218791#gid=1870218791"", ""Rev vs Mktg &amp; Mktg Mix!H"" &amp; ROW(H39))
"),130.79)</f>
        <v>130.79</v>
      </c>
      <c r="I103" s="38">
        <f ca="1">IFERROR(__xludf.DUMMYFUNCTION("IMPORTRANGE(""https://docs.google.com/spreadsheets/d/1bozxp9FwhaCNzy-RRGPVPfVYTttO4PUGDdaFvbz-Ue0/edit?gid=1870218791#gid=1870218791"", ""Rev vs Mktg &amp; Mktg Mix!I"" &amp; ROW(K39))
"),112.414)</f>
        <v>112.414</v>
      </c>
      <c r="J103" s="38">
        <f ca="1">IFERROR(__xludf.DUMMYFUNCTION("IMPORTRANGE(""https://docs.google.com/spreadsheets/d/1bozxp9FwhaCNzy-RRGPVPfVYTttO4PUGDdaFvbz-Ue0/edit?gid=1870218791#gid=1870218791"", ""Rev vs Mktg &amp; Mktg Mix!J"" &amp; ROW(J39))
"),88.587)</f>
        <v>88.587000000000003</v>
      </c>
      <c r="K103" s="31">
        <f>VLOOKUP(VALUE(LEFT(A106, 4)), 'Raw Annual Revenue'!A:K, 11, FALSE) / 4</f>
        <v>12553.25</v>
      </c>
      <c r="L103" s="38">
        <f ca="1">IFERROR(__xludf.DUMMYFUNCTION("IMPORTRANGE(""https://docs.google.com/spreadsheets/d/1bozxp9FwhaCNzy-RRGPVPfVYTttO4PUGDdaFvbz-Ue0/edit?gid=1870218791#gid=1870218791"", ""Rev vs Mktg &amp; Mktg Mix!L"" &amp; ROW(N39))
"),42.05933676)</f>
        <v>42.059336760000001</v>
      </c>
      <c r="M103" s="37">
        <f ca="1">IFERROR(__xludf.DUMMYFUNCTION("IMPORTRANGE(""https://docs.google.com/spreadsheets/d/1bozxp9FwhaCNzy-RRGPVPfVYTttO4PUGDdaFvbz-Ue0/edit?gid=1870218791#gid=1870218791"", ""Rev vs Mktg &amp; Mktg Mix!M"" &amp; ROW(M39))
"),35.4711)</f>
        <v>35.4711</v>
      </c>
      <c r="N103" s="37">
        <f ca="1">IFERROR(__xludf.DUMMYFUNCTION("IMPORTRANGE(""https://docs.google.com/spreadsheets/d/1bozxp9FwhaCNzy-RRGPVPfVYTttO4PUGDdaFvbz-Ue0/edit?gid=1870218791#gid=1870218791"", ""Rev vs Mktg &amp; Mktg Mix!N"" &amp; ROW(N39))
"),4.076)</f>
        <v>4.0759999999999996</v>
      </c>
      <c r="O103" s="37">
        <f ca="1">IFERROR(__xludf.DUMMYFUNCTION("IMPORTRANGE(""https://docs.google.com/spreadsheets/d/1bozxp9FwhaCNzy-RRGPVPfVYTttO4PUGDdaFvbz-Ue0/edit?gid=1870218791#gid=1870218791"", ""Rev vs Mktg &amp; Mktg Mix!O"" &amp; ROW(O39))
"),26.9749999999999)</f>
        <v>26.974999999999898</v>
      </c>
      <c r="P103" s="37">
        <f ca="1">IFERROR(__xludf.DUMMYFUNCTION("IMPORTRANGE(""https://docs.google.com/spreadsheets/d/1bozxp9FwhaCNzy-RRGPVPfVYTttO4PUGDdaFvbz-Ue0/edit?gid=1870218791#gid=1870218791"", ""Rev vs Mktg &amp; Mktg Mix!P"" &amp; ROW(P39))
"),6.2075)</f>
        <v>6.2074999999999996</v>
      </c>
      <c r="Q103" s="37"/>
      <c r="R103" s="31">
        <f>VLOOKUP(VALUE(LEFT(A103, 4)), 'Raw Annual Revenue'!A:R, 18, FALSE) / 4</f>
        <v>82029.5</v>
      </c>
      <c r="S103" s="30">
        <f>VLOOKUP(VALUE(LEFT(A106, 4)), 'Raw Annual Revenue'!A:S, 19, FALSE) / 4</f>
        <v>7847</v>
      </c>
      <c r="T103" s="41" t="str">
        <f ca="1">IFERROR(__xludf.DUMMYFUNCTION("IMPORTRANGE(""https://docs.google.com/spreadsheets/d/1bozxp9FwhaCNzy-RRGPVPfVYTttO4PUGDdaFvbz-Ue0/edit?gid=1870218791#gid=1870218791"", ""Rev vs Mktg &amp; Mktg Mix!T"" &amp; ROW(Y39))
"),"")</f>
        <v/>
      </c>
      <c r="U103" s="28"/>
      <c r="V103" s="28"/>
      <c r="W103" s="30">
        <f>VLOOKUP(VALUE(LEFT($A105, 4)), 'Raw Annual Revenue'!$A:W, 23, FALSE) / 4</f>
        <v>180008.5</v>
      </c>
      <c r="X103" s="31">
        <f>VLOOKUP(VALUE(LEFT(A103, 4)), 'Raw Annual Revenue'!A:X, 24, FALSE) / 4</f>
        <v>85651.121500000008</v>
      </c>
      <c r="Y103" s="31">
        <f>VLOOKUP(VALUE(LEFT($A103, 4)), 'Raw Annual Revenue'!$A:Y, 25, FALSE) / 4</f>
        <v>28811.75</v>
      </c>
      <c r="Z103" s="31">
        <f>VLOOKUP(VALUE(LEFT($A103, 4)), 'Raw Annual Revenue'!$A:Z, 26, FALSE) / 4</f>
        <v>66020.25</v>
      </c>
      <c r="AA103" s="31">
        <f>VLOOKUP(VALUE(LEFT($A103, 4)), 'Raw Annual Revenue'!$A:AA, 27, FALSE) / 4</f>
        <v>2910</v>
      </c>
      <c r="AB103" s="31">
        <f>VLOOKUP(VALUE(LEFT($A103, 4)), 'Raw Annual Revenue'!$A:AB, 28, FALSE) / 4</f>
        <v>56762.75</v>
      </c>
      <c r="AC103" s="28"/>
    </row>
    <row r="104" spans="1:29" ht="13">
      <c r="A104" s="27" t="s">
        <v>129</v>
      </c>
      <c r="B104" s="38">
        <f ca="1">IFERROR(__xludf.DUMMYFUNCTION("IMPORTRANGE(""https://docs.google.com/spreadsheets/d/1bozxp9FwhaCNzy-RRGPVPfVYTttO4PUGDdaFvbz-Ue0/edit?gid=1870218791#gid=1870218791"", ""Rev vs Mktg &amp; Mktg Mix!B"" &amp; ROW(A40))
"),2104.107)</f>
        <v>2104.107</v>
      </c>
      <c r="C104" s="38">
        <f ca="1">IFERROR(__xludf.DUMMYFUNCTION("IMPORTRANGE(""https://docs.google.com/spreadsheets/d/1bozxp9FwhaCNzy-RRGPVPfVYTttO4PUGDdaFvbz-Ue0/edit?gid=1870218791#gid=1870218791"", ""Rev vs Mktg &amp; Mktg Mix!C"" &amp; ROW(B40))
"),4294)</f>
        <v>4294</v>
      </c>
      <c r="D104" s="38">
        <f ca="1">IFERROR(__xludf.DUMMYFUNCTION("IMPORTRANGE(""https://docs.google.com/spreadsheets/d/1bozxp9FwhaCNzy-RRGPVPfVYTttO4PUGDdaFvbz-Ue0/edit?gid=1870218791#gid=1870218791"", ""Rev vs Mktg &amp; Mktg Mix!D"" &amp; ROW(C40))
"),3181)</f>
        <v>3181</v>
      </c>
      <c r="E104" s="38">
        <f ca="1">IFERROR(__xludf.DUMMYFUNCTION("IMPORTRANGE(""https://docs.google.com/spreadsheets/d/1bozxp9FwhaCNzy-RRGPVPfVYTttO4PUGDdaFvbz-Ue0/edit?gid=1870218791#gid=1870218791"", ""Rev vs Mktg &amp; Mktg Mix!E"" &amp; ROW(E40))
"),599)</f>
        <v>599</v>
      </c>
      <c r="F104" s="38">
        <f ca="1">IFERROR(__xludf.DUMMYFUNCTION("IMPORTRANGE(""https://docs.google.com/spreadsheets/d/1bozxp9FwhaCNzy-RRGPVPfVYTttO4PUGDdaFvbz-Ue0/edit?gid=1870218791#gid=1870218791"", ""Rev vs Mktg &amp; Mktg Mix!F"" &amp; ROW(G40))
"),417)</f>
        <v>417</v>
      </c>
      <c r="G104" s="38">
        <f ca="1">IFERROR(__xludf.DUMMYFUNCTION("IMPORTRANGE(""https://docs.google.com/spreadsheets/d/1bozxp9FwhaCNzy-RRGPVPfVYTttO4PUGDdaFvbz-Ue0/edit?gid=1870218791#gid=1870218791"", ""Rev vs Mktg &amp; Mktg Mix!G"" &amp; ROW(I40))
"),144.769)</f>
        <v>144.76900000000001</v>
      </c>
      <c r="H104" s="38">
        <f ca="1">IFERROR(__xludf.DUMMYFUNCTION("IMPORTRANGE(""https://docs.google.com/spreadsheets/d/1bozxp9FwhaCNzy-RRGPVPfVYTttO4PUGDdaFvbz-Ue0/edit?gid=1870218791#gid=1870218791"", ""Rev vs Mktg &amp; Mktg Mix!H"" &amp; ROW(H40))
"),160.27)</f>
        <v>160.27000000000001</v>
      </c>
      <c r="I104" s="38">
        <f ca="1">IFERROR(__xludf.DUMMYFUNCTION("IMPORTRANGE(""https://docs.google.com/spreadsheets/d/1bozxp9FwhaCNzy-RRGPVPfVYTttO4PUGDdaFvbz-Ue0/edit?gid=1870218791#gid=1870218791"", ""Rev vs Mktg &amp; Mktg Mix!I"" &amp; ROW(K40))
"),134.421)</f>
        <v>134.42099999999999</v>
      </c>
      <c r="J104" s="38">
        <f ca="1">IFERROR(__xludf.DUMMYFUNCTION("IMPORTRANGE(""https://docs.google.com/spreadsheets/d/1bozxp9FwhaCNzy-RRGPVPfVYTttO4PUGDdaFvbz-Ue0/edit?gid=1870218791#gid=1870218791"", ""Rev vs Mktg &amp; Mktg Mix!J"" &amp; ROW(J40))
"),142.733)</f>
        <v>142.733</v>
      </c>
      <c r="K104" s="31">
        <f>VLOOKUP(VALUE(LEFT(A107, 4)), 'Raw Annual Revenue'!A:K, 11, FALSE) / 4</f>
        <v>15251.75</v>
      </c>
      <c r="L104" s="38">
        <f ca="1">IFERROR(__xludf.DUMMYFUNCTION("IMPORTRANGE(""https://docs.google.com/spreadsheets/d/1bozxp9FwhaCNzy-RRGPVPfVYTttO4PUGDdaFvbz-Ue0/edit?gid=1870218791#gid=1870218791"", ""Rev vs Mktg &amp; Mktg Mix!L"" &amp; ROW(N40))
"),59.3056621479)</f>
        <v>59.305662147900001</v>
      </c>
      <c r="M104" s="37">
        <f ca="1">IFERROR(__xludf.DUMMYFUNCTION("IMPORTRANGE(""https://docs.google.com/spreadsheets/d/1bozxp9FwhaCNzy-RRGPVPfVYTttO4PUGDdaFvbz-Ue0/edit?gid=1870218791#gid=1870218791"", ""Rev vs Mktg &amp; Mktg Mix!M"" &amp; ROW(M40))
"),32.004)</f>
        <v>32.003999999999998</v>
      </c>
      <c r="N104" s="37">
        <f ca="1">IFERROR(__xludf.DUMMYFUNCTION("IMPORTRANGE(""https://docs.google.com/spreadsheets/d/1bozxp9FwhaCNzy-RRGPVPfVYTttO4PUGDdaFvbz-Ue0/edit?gid=1870218791#gid=1870218791"", ""Rev vs Mktg &amp; Mktg Mix!N"" &amp; ROW(N40))
"),5.556)</f>
        <v>5.556</v>
      </c>
      <c r="O104" s="37">
        <f ca="1">IFERROR(__xludf.DUMMYFUNCTION("IMPORTRANGE(""https://docs.google.com/spreadsheets/d/1bozxp9FwhaCNzy-RRGPVPfVYTttO4PUGDdaFvbz-Ue0/edit?gid=1870218791#gid=1870218791"", ""Rev vs Mktg &amp; Mktg Mix!O"" &amp; ROW(O40))
"),57.135)</f>
        <v>57.134999999999998</v>
      </c>
      <c r="P104" s="37">
        <f ca="1">IFERROR(__xludf.DUMMYFUNCTION("IMPORTRANGE(""https://docs.google.com/spreadsheets/d/1bozxp9FwhaCNzy-RRGPVPfVYTttO4PUGDdaFvbz-Ue0/edit?gid=1870218791#gid=1870218791"", ""Rev vs Mktg &amp; Mktg Mix!P"" &amp; ROW(P40))
"),16.835)</f>
        <v>16.835000000000001</v>
      </c>
      <c r="Q104" s="37"/>
      <c r="R104" s="31">
        <f>VLOOKUP(VALUE(LEFT(A104, 4)), 'Raw Annual Revenue'!A:R, 18, FALSE) / 4</f>
        <v>82029.5</v>
      </c>
      <c r="S104" s="50">
        <f ca="1">IFERROR(__xludf.DUMMYFUNCTION("IMPORTRANGE(""https://docs.google.com/spreadsheets/d/1bozxp9FwhaCNzy-RRGPVPfVYTttO4PUGDdaFvbz-Ue0/edit?gid=1870218791#gid=1870218791"", ""Rev vs Mktg &amp; Mktg Mix!T"" &amp; ROW(X40))*1000
"),10697.4390243902)</f>
        <v>10697.4390243902</v>
      </c>
      <c r="T104" s="41">
        <f ca="1">IFERROR(__xludf.DUMMYFUNCTION("IMPORTRANGE(""https://docs.google.com/spreadsheets/d/1bozxp9FwhaCNzy-RRGPVPfVYTttO4PUGDdaFvbz-Ue0/edit?gid=1870218791#gid=1870218791"", ""Rev vs Mktg &amp; Mktg Mix!U"" &amp; ROW(Y40))
"),11.377)</f>
        <v>11.377000000000001</v>
      </c>
      <c r="U104" s="28"/>
      <c r="V104" s="28"/>
      <c r="W104" s="30">
        <f>VLOOKUP(VALUE(LEFT($A106, 4)), 'Raw Annual Revenue'!$A:W, 23, FALSE) / 4</f>
        <v>180008.5</v>
      </c>
      <c r="X104" s="31">
        <f>VLOOKUP(VALUE(LEFT(A104, 4)), 'Raw Annual Revenue'!A:X, 24, FALSE) / 4</f>
        <v>85651.121500000008</v>
      </c>
      <c r="Y104" s="31">
        <f>VLOOKUP(VALUE(LEFT($A104, 4)), 'Raw Annual Revenue'!$A:Y, 25, FALSE) / 4</f>
        <v>28811.75</v>
      </c>
      <c r="Z104" s="31">
        <f>VLOOKUP(VALUE(LEFT($A104, 4)), 'Raw Annual Revenue'!$A:Z, 26, FALSE) / 4</f>
        <v>66020.25</v>
      </c>
      <c r="AA104" s="31">
        <f>VLOOKUP(VALUE(LEFT($A104, 4)), 'Raw Annual Revenue'!$A:AA, 27, FALSE) / 4</f>
        <v>2910</v>
      </c>
      <c r="AB104" s="31">
        <f>VLOOKUP(VALUE(LEFT($A104, 4)), 'Raw Annual Revenue'!$A:AB, 28, FALSE) / 4</f>
        <v>56762.75</v>
      </c>
      <c r="AC104" s="28"/>
    </row>
    <row r="105" spans="1:29" ht="13">
      <c r="A105" s="27" t="s">
        <v>130</v>
      </c>
      <c r="B105" s="38">
        <f ca="1">IFERROR(__xludf.DUMMYFUNCTION("IMPORTRANGE(""https://docs.google.com/spreadsheets/d/1bozxp9FwhaCNzy-RRGPVPfVYTttO4PUGDdaFvbz-Ue0/edit?gid=1870218791#gid=1870218791"", ""Rev vs Mktg &amp; Mktg Mix!B"" &amp; ROW(A41))
"),2884.41)</f>
        <v>2884.41</v>
      </c>
      <c r="C105" s="38">
        <f ca="1">IFERROR(__xludf.DUMMYFUNCTION("IMPORTRANGE(""https://docs.google.com/spreadsheets/d/1bozxp9FwhaCNzy-RRGPVPfVYTttO4PUGDdaFvbz-Ue0/edit?gid=1870218791#gid=1870218791"", ""Rev vs Mktg &amp; Mktg Mix!C"" &amp; ROW(B41))
"),6052)</f>
        <v>6052</v>
      </c>
      <c r="D105" s="38">
        <f ca="1">IFERROR(__xludf.DUMMYFUNCTION("IMPORTRANGE(""https://docs.google.com/spreadsheets/d/1bozxp9FwhaCNzy-RRGPVPfVYTttO4PUGDdaFvbz-Ue0/edit?gid=1870218791#gid=1870218791"", ""Rev vs Mktg &amp; Mktg Mix!D"" &amp; ROW(C41))
"),3619)</f>
        <v>3619</v>
      </c>
      <c r="E105" s="38">
        <f ca="1">IFERROR(__xludf.DUMMYFUNCTION("IMPORTRANGE(""https://docs.google.com/spreadsheets/d/1bozxp9FwhaCNzy-RRGPVPfVYTttO4PUGDdaFvbz-Ue0/edit?gid=1870218791#gid=1870218791"", ""Rev vs Mktg &amp; Mktg Mix!E"" &amp; ROW(E41))
"),969)</f>
        <v>969</v>
      </c>
      <c r="F105" s="38">
        <f ca="1">IFERROR(__xludf.DUMMYFUNCTION("IMPORTRANGE(""https://docs.google.com/spreadsheets/d/1bozxp9FwhaCNzy-RRGPVPfVYTttO4PUGDdaFvbz-Ue0/edit?gid=1870218791#gid=1870218791"", ""Rev vs Mktg &amp; Mktg Mix!F"" &amp; ROW(G41))
"),459)</f>
        <v>459</v>
      </c>
      <c r="G105" s="38">
        <f ca="1">IFERROR(__xludf.DUMMYFUNCTION("IMPORTRANGE(""https://docs.google.com/spreadsheets/d/1bozxp9FwhaCNzy-RRGPVPfVYTttO4PUGDdaFvbz-Ue0/edit?gid=1870218791#gid=1870218791"", ""Rev vs Mktg &amp; Mktg Mix!G"" &amp; ROW(I41))
"),183.7)</f>
        <v>183.7</v>
      </c>
      <c r="H105" s="38">
        <f ca="1">IFERROR(__xludf.DUMMYFUNCTION("IMPORTRANGE(""https://docs.google.com/spreadsheets/d/1bozxp9FwhaCNzy-RRGPVPfVYTttO4PUGDdaFvbz-Ue0/edit?gid=1870218791#gid=1870218791"", ""Rev vs Mktg &amp; Mktg Mix!H"" &amp; ROW(H41))
"),157.63)</f>
        <v>157.63</v>
      </c>
      <c r="I105" s="38">
        <f ca="1">IFERROR(__xludf.DUMMYFUNCTION("IMPORTRANGE(""https://docs.google.com/spreadsheets/d/1bozxp9FwhaCNzy-RRGPVPfVYTttO4PUGDdaFvbz-Ue0/edit?gid=1870218791#gid=1870218791"", ""Rev vs Mktg &amp; Mktg Mix!I"" &amp; ROW(K41))
"),145.596)</f>
        <v>145.596</v>
      </c>
      <c r="J105" s="38">
        <f ca="1">IFERROR(__xludf.DUMMYFUNCTION("IMPORTRANGE(""https://docs.google.com/spreadsheets/d/1bozxp9FwhaCNzy-RRGPVPfVYTttO4PUGDdaFvbz-Ue0/edit?gid=1870218791#gid=1870218791"", ""Rev vs Mktg &amp; Mktg Mix!J"" &amp; ROW(J41))
"),131.254)</f>
        <v>131.25399999999999</v>
      </c>
      <c r="K105" s="31">
        <f>VLOOKUP(VALUE(LEFT(A108, 4)), 'Raw Annual Revenue'!A:K, 11, FALSE) / 4</f>
        <v>15251.75</v>
      </c>
      <c r="L105" s="38">
        <f ca="1">IFERROR(__xludf.DUMMYFUNCTION("IMPORTRANGE(""https://docs.google.com/spreadsheets/d/1bozxp9FwhaCNzy-RRGPVPfVYTttO4PUGDdaFvbz-Ue0/edit?gid=1870218791#gid=1870218791"", ""Rev vs Mktg &amp; Mktg Mix!L"" &amp; ROW(N41))
"),67.9769752598999)</f>
        <v>67.976975259899902</v>
      </c>
      <c r="M105" s="37">
        <f ca="1">IFERROR(__xludf.DUMMYFUNCTION("IMPORTRANGE(""https://docs.google.com/spreadsheets/d/1bozxp9FwhaCNzy-RRGPVPfVYTttO4PUGDdaFvbz-Ue0/edit?gid=1870218791#gid=1870218791"", ""Rev vs Mktg &amp; Mktg Mix!M"" &amp; ROW(M41))
"),35.2044)</f>
        <v>35.2044</v>
      </c>
      <c r="N105" s="37">
        <f ca="1">IFERROR(__xludf.DUMMYFUNCTION("IMPORTRANGE(""https://docs.google.com/spreadsheets/d/1bozxp9FwhaCNzy-RRGPVPfVYTttO4PUGDdaFvbz-Ue0/edit?gid=1870218791#gid=1870218791"", ""Rev vs Mktg &amp; Mktg Mix!N"" &amp; ROW(N41))
"),6.112)</f>
        <v>6.1120000000000001</v>
      </c>
      <c r="O105" s="37">
        <f ca="1">IFERROR(__xludf.DUMMYFUNCTION("IMPORTRANGE(""https://docs.google.com/spreadsheets/d/1bozxp9FwhaCNzy-RRGPVPfVYTttO4PUGDdaFvbz-Ue0/edit?gid=1870218791#gid=1870218791"", ""Rev vs Mktg &amp; Mktg Mix!O"" &amp; ROW(O41))
"),57.135)</f>
        <v>57.134999999999998</v>
      </c>
      <c r="P105" s="37">
        <f ca="1">IFERROR(__xludf.DUMMYFUNCTION("IMPORTRANGE(""https://docs.google.com/spreadsheets/d/1bozxp9FwhaCNzy-RRGPVPfVYTttO4PUGDdaFvbz-Ue0/edit?gid=1870218791#gid=1870218791"", ""Rev vs Mktg &amp; Mktg Mix!P"" &amp; ROW(P41))
"),16.835)</f>
        <v>16.835000000000001</v>
      </c>
      <c r="Q105" s="37"/>
      <c r="R105" s="31">
        <f>VLOOKUP(VALUE(LEFT(A105, 4)), 'Raw Annual Revenue'!A:R, 18, FALSE) / 4</f>
        <v>82029.5</v>
      </c>
      <c r="S105" s="50">
        <f ca="1">IFERROR(__xludf.DUMMYFUNCTION("IMPORTRANGE(""https://docs.google.com/spreadsheets/d/1bozxp9FwhaCNzy-RRGPVPfVYTttO4PUGDdaFvbz-Ue0/edit?gid=1870218791#gid=1870218791"", ""Rev vs Mktg &amp; Mktg Mix!T"" &amp; ROW(X41))*1000
"),13176.0975609756)</f>
        <v>13176.097560975601</v>
      </c>
      <c r="T105" s="41">
        <f ca="1">IFERROR(__xludf.DUMMYFUNCTION("IMPORTRANGE(""https://docs.google.com/spreadsheets/d/1bozxp9FwhaCNzy-RRGPVPfVYTttO4PUGDdaFvbz-Ue0/edit?gid=1870218791#gid=1870218791"", ""Rev vs Mktg &amp; Mktg Mix!U"" &amp; ROW(Y41))
"),10.217)</f>
        <v>10.217000000000001</v>
      </c>
      <c r="U105" s="28"/>
      <c r="V105" s="28"/>
      <c r="W105" s="30">
        <f>VLOOKUP(VALUE(LEFT($A107, 4)), 'Raw Annual Revenue'!$A:W, 23, FALSE) / 4</f>
        <v>378176.25</v>
      </c>
      <c r="X105" s="31">
        <f>VLOOKUP(VALUE(LEFT(A105, 4)), 'Raw Annual Revenue'!A:X, 24, FALSE) / 4</f>
        <v>85651.121500000008</v>
      </c>
      <c r="Y105" s="31">
        <f>VLOOKUP(VALUE(LEFT($A105, 4)), 'Raw Annual Revenue'!$A:Y, 25, FALSE) / 4</f>
        <v>28811.75</v>
      </c>
      <c r="Z105" s="31">
        <f>VLOOKUP(VALUE(LEFT($A105, 4)), 'Raw Annual Revenue'!$A:Z, 26, FALSE) / 4</f>
        <v>66020.25</v>
      </c>
      <c r="AA105" s="31">
        <f>VLOOKUP(VALUE(LEFT($A105, 4)), 'Raw Annual Revenue'!$A:AA, 27, FALSE) / 4</f>
        <v>2910</v>
      </c>
      <c r="AB105" s="31">
        <f>VLOOKUP(VALUE(LEFT($A105, 4)), 'Raw Annual Revenue'!$A:AB, 28, FALSE) / 4</f>
        <v>56762.75</v>
      </c>
      <c r="AC105" s="28"/>
    </row>
    <row r="106" spans="1:29" ht="13">
      <c r="A106" s="27" t="s">
        <v>131</v>
      </c>
      <c r="B106" s="38">
        <f ca="1">IFERROR(__xludf.DUMMYFUNCTION("IMPORTRANGE(""https://docs.google.com/spreadsheets/d/1bozxp9FwhaCNzy-RRGPVPfVYTttO4PUGDdaFvbz-Ue0/edit?gid=1870218791#gid=1870218791"", ""Rev vs Mktg &amp; Mktg Mix!B"" &amp; ROW(A42))
"),1902)</f>
        <v>1902</v>
      </c>
      <c r="C106" s="38">
        <f ca="1">IFERROR(__xludf.DUMMYFUNCTION("IMPORTRANGE(""https://docs.google.com/spreadsheets/d/1bozxp9FwhaCNzy-RRGPVPfVYTttO4PUGDdaFvbz-Ue0/edit?gid=1870218791#gid=1870218791"", ""Rev vs Mktg &amp; Mktg Mix!C"" &amp; ROW(B42))
"),4049)</f>
        <v>4049</v>
      </c>
      <c r="D106" s="38">
        <f ca="1">IFERROR(__xludf.DUMMYFUNCTION("IMPORTRANGE(""https://docs.google.com/spreadsheets/d/1bozxp9FwhaCNzy-RRGPVPfVYTttO4PUGDdaFvbz-Ue0/edit?gid=1870218791#gid=1870218791"", ""Rev vs Mktg &amp; Mktg Mix!D"" &amp; ROW(C42))
"),2618)</f>
        <v>2618</v>
      </c>
      <c r="E106" s="38">
        <f ca="1">IFERROR(__xludf.DUMMYFUNCTION("IMPORTRANGE(""https://docs.google.com/spreadsheets/d/1bozxp9FwhaCNzy-RRGPVPfVYTttO4PUGDdaFvbz-Ue0/edit?gid=1870218791#gid=1870218791"", ""Rev vs Mktg &amp; Mktg Mix!E"" &amp; ROW(E42))
"),730)</f>
        <v>730</v>
      </c>
      <c r="F106" s="38">
        <f ca="1">IFERROR(__xludf.DUMMYFUNCTION("IMPORTRANGE(""https://docs.google.com/spreadsheets/d/1bozxp9FwhaCNzy-RRGPVPfVYTttO4PUGDdaFvbz-Ue0/edit?gid=1870218791#gid=1870218791"", ""Rev vs Mktg &amp; Mktg Mix!F"" &amp; ROW(G42))
"),354)</f>
        <v>354</v>
      </c>
      <c r="G106" s="38">
        <f ca="1">IFERROR(__xludf.DUMMYFUNCTION("IMPORTRANGE(""https://docs.google.com/spreadsheets/d/1bozxp9FwhaCNzy-RRGPVPfVYTttO4PUGDdaFvbz-Ue0/edit?gid=1870218791#gid=1870218791"", ""Rev vs Mktg &amp; Mktg Mix!G"" &amp; ROW(I42))
"),104.889)</f>
        <v>104.889</v>
      </c>
      <c r="H106" s="38">
        <f ca="1">IFERROR(__xludf.DUMMYFUNCTION("IMPORTRANGE(""https://docs.google.com/spreadsheets/d/1bozxp9FwhaCNzy-RRGPVPfVYTttO4PUGDdaFvbz-Ue0/edit?gid=1870218791#gid=1870218791"", ""Rev vs Mktg &amp; Mktg Mix!H"" &amp; ROW(H42))
"),143.55)</f>
        <v>143.55000000000001</v>
      </c>
      <c r="I106" s="38">
        <f ca="1">IFERROR(__xludf.DUMMYFUNCTION("IMPORTRANGE(""https://docs.google.com/spreadsheets/d/1bozxp9FwhaCNzy-RRGPVPfVYTttO4PUGDdaFvbz-Ue0/edit?gid=1870218791#gid=1870218791"", ""Rev vs Mktg &amp; Mktg Mix!I"" &amp; ROW(K42))
"),145.542)</f>
        <v>145.542</v>
      </c>
      <c r="J106" s="38">
        <f ca="1">IFERROR(__xludf.DUMMYFUNCTION("IMPORTRANGE(""https://docs.google.com/spreadsheets/d/1bozxp9FwhaCNzy-RRGPVPfVYTttO4PUGDdaFvbz-Ue0/edit?gid=1870218791#gid=1870218791"", ""Rev vs Mktg &amp; Mktg Mix!J"" &amp; ROW(J42))
"),170.526)</f>
        <v>170.52600000000001</v>
      </c>
      <c r="K106" s="31">
        <f>VLOOKUP(VALUE(LEFT(A109, 4)), 'Raw Annual Revenue'!A:K, 11, FALSE) / 4</f>
        <v>15251.75</v>
      </c>
      <c r="L106" s="38">
        <f ca="1">IFERROR(__xludf.DUMMYFUNCTION("IMPORTRANGE(""https://docs.google.com/spreadsheets/d/1bozxp9FwhaCNzy-RRGPVPfVYTttO4PUGDdaFvbz-Ue0/edit?gid=1870218791#gid=1870218791"", ""Rev vs Mktg &amp; Mktg Mix!L"" &amp; ROW(N42))
"),77.1258984656999)</f>
        <v>77.125898465699905</v>
      </c>
      <c r="M106" s="37">
        <f ca="1">IFERROR(__xludf.DUMMYFUNCTION("IMPORTRANGE(""https://docs.google.com/spreadsheets/d/1bozxp9FwhaCNzy-RRGPVPfVYTttO4PUGDdaFvbz-Ue0/edit?gid=1870218791#gid=1870218791"", ""Rev vs Mktg &amp; Mktg Mix!M"" &amp; ROW(M42))
"),30.6705)</f>
        <v>30.670500000000001</v>
      </c>
      <c r="N106" s="37">
        <f ca="1">IFERROR(__xludf.DUMMYFUNCTION("IMPORTRANGE(""https://docs.google.com/spreadsheets/d/1bozxp9FwhaCNzy-RRGPVPfVYTttO4PUGDdaFvbz-Ue0/edit?gid=1870218791#gid=1870218791"", ""Rev vs Mktg &amp; Mktg Mix!N"" &amp; ROW(N42))
"),5.487)</f>
        <v>5.4870000000000001</v>
      </c>
      <c r="O106" s="37">
        <f ca="1">IFERROR(__xludf.DUMMYFUNCTION("IMPORTRANGE(""https://docs.google.com/spreadsheets/d/1bozxp9FwhaCNzy-RRGPVPfVYTttO4PUGDdaFvbz-Ue0/edit?gid=1870218791#gid=1870218791"", ""Rev vs Mktg &amp; Mktg Mix!O"" &amp; ROW(O42))
"),61.2949999999999)</f>
        <v>61.294999999999902</v>
      </c>
      <c r="P106" s="37">
        <f ca="1">IFERROR(__xludf.DUMMYFUNCTION("IMPORTRANGE(""https://docs.google.com/spreadsheets/d/1bozxp9FwhaCNzy-RRGPVPfVYTttO4PUGDdaFvbz-Ue0/edit?gid=1870218791#gid=1870218791"", ""Rev vs Mktg &amp; Mktg Mix!P"" &amp; ROW(P42))
"),18.2)</f>
        <v>18.2</v>
      </c>
      <c r="Q106" s="37"/>
      <c r="R106" s="31">
        <f>VLOOKUP(VALUE(LEFT(A106, 4)), 'Raw Annual Revenue'!A:R, 18, FALSE) / 4</f>
        <v>82029.5</v>
      </c>
      <c r="S106" s="50">
        <f ca="1">IFERROR(__xludf.DUMMYFUNCTION("IMPORTRANGE(""https://docs.google.com/spreadsheets/d/1bozxp9FwhaCNzy-RRGPVPfVYTttO4PUGDdaFvbz-Ue0/edit?gid=1870218791#gid=1870218791"", ""Rev vs Mktg &amp; Mktg Mix!T"" &amp; ROW(X42))*1000
"),16368.4146341463)</f>
        <v>16368.4146341463</v>
      </c>
      <c r="T106" s="41">
        <f ca="1">IFERROR(__xludf.DUMMYFUNCTION("IMPORTRANGE(""https://docs.google.com/spreadsheets/d/1bozxp9FwhaCNzy-RRGPVPfVYTttO4PUGDdaFvbz-Ue0/edit?gid=1870218791#gid=1870218791"", ""Rev vs Mktg &amp; Mktg Mix!U"" &amp; ROW(Y42))
"),10.911)</f>
        <v>10.911</v>
      </c>
      <c r="U106" s="28"/>
      <c r="V106" s="28"/>
      <c r="W106" s="30">
        <f>VLOOKUP(VALUE(LEFT($A108, 4)), 'Raw Annual Revenue'!$A:W, 23, FALSE) / 4</f>
        <v>378176.25</v>
      </c>
      <c r="X106" s="31">
        <f>VLOOKUP(VALUE(LEFT(A106, 4)), 'Raw Annual Revenue'!A:X, 24, FALSE) / 4</f>
        <v>85651.121500000008</v>
      </c>
      <c r="Y106" s="31">
        <f>VLOOKUP(VALUE(LEFT($A106, 4)), 'Raw Annual Revenue'!$A:Y, 25, FALSE) / 4</f>
        <v>28811.75</v>
      </c>
      <c r="Z106" s="31">
        <f>VLOOKUP(VALUE(LEFT($A106, 4)), 'Raw Annual Revenue'!$A:Z, 26, FALSE) / 4</f>
        <v>66020.25</v>
      </c>
      <c r="AA106" s="31">
        <f>VLOOKUP(VALUE(LEFT($A106, 4)), 'Raw Annual Revenue'!$A:AA, 27, FALSE) / 4</f>
        <v>2910</v>
      </c>
      <c r="AB106" s="31">
        <f>VLOOKUP(VALUE(LEFT($A106, 4)), 'Raw Annual Revenue'!$A:AB, 28, FALSE) / 4</f>
        <v>56762.75</v>
      </c>
      <c r="AC106" s="28"/>
    </row>
    <row r="107" spans="1:29" ht="13">
      <c r="A107" s="27" t="s">
        <v>132</v>
      </c>
      <c r="B107" s="38">
        <f ca="1">IFERROR(__xludf.DUMMYFUNCTION("IMPORTRANGE(""https://docs.google.com/spreadsheets/d/1bozxp9FwhaCNzy-RRGPVPfVYTttO4PUGDdaFvbz-Ue0/edit?gid=1870218791#gid=1870218791"", ""Rev vs Mktg &amp; Mktg Mix!B"" &amp; ROW(A43))
"),1818)</f>
        <v>1818</v>
      </c>
      <c r="C107" s="38">
        <f ca="1">IFERROR(__xludf.DUMMYFUNCTION("IMPORTRANGE(""https://docs.google.com/spreadsheets/d/1bozxp9FwhaCNzy-RRGPVPfVYTttO4PUGDdaFvbz-Ue0/edit?gid=1870218791#gid=1870218791"", ""Rev vs Mktg &amp; Mktg Mix!C"" &amp; ROW(B43))
"),3778)</f>
        <v>3778</v>
      </c>
      <c r="D107" s="38">
        <f ca="1">IFERROR(__xludf.DUMMYFUNCTION("IMPORTRANGE(""https://docs.google.com/spreadsheets/d/1bozxp9FwhaCNzy-RRGPVPfVYTttO4PUGDdaFvbz-Ue0/edit?gid=1870218791#gid=1870218791"", ""Rev vs Mktg &amp; Mktg Mix!D"" &amp; ROW(C43))
"),2665)</f>
        <v>2665</v>
      </c>
      <c r="E107" s="38">
        <f ca="1">IFERROR(__xludf.DUMMYFUNCTION("IMPORTRANGE(""https://docs.google.com/spreadsheets/d/1bozxp9FwhaCNzy-RRGPVPfVYTttO4PUGDdaFvbz-Ue0/edit?gid=1870218791#gid=1870218791"", ""Rev vs Mktg &amp; Mktg Mix!E"" &amp; ROW(E43))
"),1341)</f>
        <v>1341</v>
      </c>
      <c r="F107" s="38">
        <f ca="1">IFERROR(__xludf.DUMMYFUNCTION("IMPORTRANGE(""https://docs.google.com/spreadsheets/d/1bozxp9FwhaCNzy-RRGPVPfVYTttO4PUGDdaFvbz-Ue0/edit?gid=1870218791#gid=1870218791"", ""Rev vs Mktg &amp; Mktg Mix!F"" &amp; ROW(G43))
"),371)</f>
        <v>371</v>
      </c>
      <c r="G107" s="38">
        <f ca="1">IFERROR(__xludf.DUMMYFUNCTION("IMPORTRANGE(""https://docs.google.com/spreadsheets/d/1bozxp9FwhaCNzy-RRGPVPfVYTttO4PUGDdaFvbz-Ue0/edit?gid=1870218791#gid=1870218791"", ""Rev vs Mktg &amp; Mktg Mix!G"" &amp; ROW(I43))
"),111.036)</f>
        <v>111.036</v>
      </c>
      <c r="H107" s="38">
        <f ca="1">IFERROR(__xludf.DUMMYFUNCTION("IMPORTRANGE(""https://docs.google.com/spreadsheets/d/1bozxp9FwhaCNzy-RRGPVPfVYTttO4PUGDdaFvbz-Ue0/edit?gid=1870218791#gid=1870218791"", ""Rev vs Mktg &amp; Mktg Mix!H"" &amp; ROW(H43))
"),165.11)</f>
        <v>165.11</v>
      </c>
      <c r="I107" s="38">
        <f ca="1">IFERROR(__xludf.DUMMYFUNCTION("IMPORTRANGE(""https://docs.google.com/spreadsheets/d/1bozxp9FwhaCNzy-RRGPVPfVYTttO4PUGDdaFvbz-Ue0/edit?gid=1870218791#gid=1870218791"", ""Rev vs Mktg &amp; Mktg Mix!I"" &amp; ROW(K43))
"),158.707)</f>
        <v>158.70699999999999</v>
      </c>
      <c r="J107" s="38">
        <f ca="1">IFERROR(__xludf.DUMMYFUNCTION("IMPORTRANGE(""https://docs.google.com/spreadsheets/d/1bozxp9FwhaCNzy-RRGPVPfVYTttO4PUGDdaFvbz-Ue0/edit?gid=1870218791#gid=1870218791"", ""Rev vs Mktg &amp; Mktg Mix!J"" &amp; ROW(J43))
"),148.523)</f>
        <v>148.523</v>
      </c>
      <c r="K107" s="31">
        <f>VLOOKUP(VALUE(LEFT(A110, 4)), 'Raw Annual Revenue'!A:K, 11, FALSE) / 4</f>
        <v>15251.75</v>
      </c>
      <c r="L107" s="38">
        <f ca="1">IFERROR(__xludf.DUMMYFUNCTION("IMPORTRANGE(""https://docs.google.com/spreadsheets/d/1bozxp9FwhaCNzy-RRGPVPfVYTttO4PUGDdaFvbz-Ue0/edit?gid=1870218791#gid=1870218791"", ""Rev vs Mktg &amp; Mktg Mix!L"" &amp; ROW(N43))
"),83.1454142778)</f>
        <v>83.1454142778</v>
      </c>
      <c r="M107" s="37">
        <f ca="1">IFERROR(__xludf.DUMMYFUNCTION("IMPORTRANGE(""https://docs.google.com/spreadsheets/d/1bozxp9FwhaCNzy-RRGPVPfVYTttO4PUGDdaFvbz-Ue0/edit?gid=1870218791#gid=1870218791"", ""Rev vs Mktg &amp; Mktg Mix!M"" &amp; ROW(M43))
"),45.0723)</f>
        <v>45.072299999999998</v>
      </c>
      <c r="N107" s="37">
        <f ca="1">IFERROR(__xludf.DUMMYFUNCTION("IMPORTRANGE(""https://docs.google.com/spreadsheets/d/1bozxp9FwhaCNzy-RRGPVPfVYTttO4PUGDdaFvbz-Ue0/edit?gid=1870218791#gid=1870218791"", ""Rev vs Mktg &amp; Mktg Mix!N"" &amp; ROW(N43))
"),6.422)</f>
        <v>6.4219999999999997</v>
      </c>
      <c r="O107" s="37">
        <f ca="1">IFERROR(__xludf.DUMMYFUNCTION("IMPORTRANGE(""https://docs.google.com/spreadsheets/d/1bozxp9FwhaCNzy-RRGPVPfVYTttO4PUGDdaFvbz-Ue0/edit?gid=1870218791#gid=1870218791"", ""Rev vs Mktg &amp; Mktg Mix!O"" &amp; ROW(O43))
"),61.2949999999999)</f>
        <v>61.294999999999902</v>
      </c>
      <c r="P107" s="37">
        <f ca="1">IFERROR(__xludf.DUMMYFUNCTION("IMPORTRANGE(""https://docs.google.com/spreadsheets/d/1bozxp9FwhaCNzy-RRGPVPfVYTttO4PUGDdaFvbz-Ue0/edit?gid=1870218791#gid=1870218791"", ""Rev vs Mktg &amp; Mktg Mix!P"" &amp; ROW(P43))
"),18.2)</f>
        <v>18.2</v>
      </c>
      <c r="Q107" s="37"/>
      <c r="R107" s="43">
        <f ca="1">IFERROR(__xludf.DUMMYFUNCTION("IMPORTRANGE(""https://docs.google.com/spreadsheets/d/1bozxp9FwhaCNzy-RRGPVPfVYTttO4PUGDdaFvbz-Ue0/edit?gid=1870218791#gid=1870218791"", ""Rev vs Mktg &amp; Mktg Mix!S"" &amp; ROW(S43))*1000
"),98010)</f>
        <v>98010</v>
      </c>
      <c r="S107" s="50">
        <f ca="1">IFERROR(__xludf.DUMMYFUNCTION("IMPORTRANGE(""https://docs.google.com/spreadsheets/d/1bozxp9FwhaCNzy-RRGPVPfVYTttO4PUGDdaFvbz-Ue0/edit?gid=1870218791#gid=1870218791"", ""Rev vs Mktg &amp; Mktg Mix!T"" &amp; ROW(X43))*1000
"),14122.8048780487)</f>
        <v>14122.804878048701</v>
      </c>
      <c r="T107" s="41">
        <f ca="1">IFERROR(__xludf.DUMMYFUNCTION("IMPORTRANGE(""https://docs.google.com/spreadsheets/d/1bozxp9FwhaCNzy-RRGPVPfVYTttO4PUGDdaFvbz-Ue0/edit?gid=1870218791#gid=1870218791"", ""Rev vs Mktg &amp; Mktg Mix!U"" &amp; ROW(Y43))
"),14.531)</f>
        <v>14.531000000000001</v>
      </c>
      <c r="U107" s="28"/>
      <c r="V107" s="28"/>
      <c r="W107" s="30">
        <f>VLOOKUP(VALUE(LEFT($A109, 4)), 'Raw Annual Revenue'!$A:W, 23, FALSE) / 4</f>
        <v>378176.25</v>
      </c>
      <c r="X107" s="31">
        <f>VLOOKUP(VALUE(LEFT(A107, 4)), 'Raw Annual Revenue'!A:X, 24, FALSE) / 4</f>
        <v>109197.5</v>
      </c>
      <c r="Y107" s="31">
        <f>VLOOKUP(VALUE(LEFT($A107, 4)), 'Raw Annual Revenue'!$A:Y, 25, FALSE) / 4</f>
        <v>51823.75</v>
      </c>
      <c r="Z107" s="31">
        <f>VLOOKUP(VALUE(LEFT($A107, 4)), 'Raw Annual Revenue'!$A:Z, 26, FALSE) / 4</f>
        <v>78524</v>
      </c>
      <c r="AA107" s="31"/>
      <c r="AB107" s="31">
        <f>VLOOKUP(VALUE(LEFT($A107, 4)), 'Raw Annual Revenue'!$A:AB, 28, FALSE) / 4</f>
        <v>74501</v>
      </c>
      <c r="AC107" s="28"/>
    </row>
    <row r="108" spans="1:29" ht="13">
      <c r="A108" s="27" t="s">
        <v>133</v>
      </c>
      <c r="B108" s="38">
        <f ca="1">IFERROR(__xludf.DUMMYFUNCTION("IMPORTRANGE(""https://docs.google.com/spreadsheets/d/1bozxp9FwhaCNzy-RRGPVPfVYTttO4PUGDdaFvbz-Ue0/edit?gid=1870218791#gid=1870218791"", ""Rev vs Mktg &amp; Mktg Mix!B"" &amp; ROW(A44))
"),2484)</f>
        <v>2484</v>
      </c>
      <c r="C108" s="38">
        <f ca="1">IFERROR(__xludf.DUMMYFUNCTION("IMPORTRANGE(""https://docs.google.com/spreadsheets/d/1bozxp9FwhaCNzy-RRGPVPfVYTttO4PUGDdaFvbz-Ue0/edit?gid=1870218791#gid=1870218791"", ""Rev vs Mktg &amp; Mktg Mix!C"" &amp; ROW(B44))
"),5462)</f>
        <v>5462</v>
      </c>
      <c r="D108" s="38">
        <f ca="1">IFERROR(__xludf.DUMMYFUNCTION("IMPORTRANGE(""https://docs.google.com/spreadsheets/d/1bozxp9FwhaCNzy-RRGPVPfVYTttO4PUGDdaFvbz-Ue0/edit?gid=1870218791#gid=1870218791"", ""Rev vs Mktg &amp; Mktg Mix!D"" &amp; ROW(C44))
"),3358)</f>
        <v>3358</v>
      </c>
      <c r="E108" s="38">
        <f ca="1">IFERROR(__xludf.DUMMYFUNCTION("IMPORTRANGE(""https://docs.google.com/spreadsheets/d/1bozxp9FwhaCNzy-RRGPVPfVYTttO4PUGDdaFvbz-Ue0/edit?gid=1870218791#gid=1870218791"", ""Rev vs Mktg &amp; Mktg Mix!E"" &amp; ROW(E44))
"),1554)</f>
        <v>1554</v>
      </c>
      <c r="F108" s="38">
        <f ca="1">IFERROR(__xludf.DUMMYFUNCTION("IMPORTRANGE(""https://docs.google.com/spreadsheets/d/1bozxp9FwhaCNzy-RRGPVPfVYTttO4PUGDdaFvbz-Ue0/edit?gid=1870218791#gid=1870218791"", ""Rev vs Mktg &amp; Mktg Mix!F"" &amp; ROW(G44))
"),494)</f>
        <v>494</v>
      </c>
      <c r="G108" s="38">
        <f ca="1">IFERROR(__xludf.DUMMYFUNCTION("IMPORTRANGE(""https://docs.google.com/spreadsheets/d/1bozxp9FwhaCNzy-RRGPVPfVYTttO4PUGDdaFvbz-Ue0/edit?gid=1870218791#gid=1870218791"", ""Rev vs Mktg &amp; Mktg Mix!G"" &amp; ROW(I44))
"),124.436)</f>
        <v>124.43600000000001</v>
      </c>
      <c r="H108" s="38">
        <f ca="1">IFERROR(__xludf.DUMMYFUNCTION("IMPORTRANGE(""https://docs.google.com/spreadsheets/d/1bozxp9FwhaCNzy-RRGPVPfVYTttO4PUGDdaFvbz-Ue0/edit?gid=1870218791#gid=1870218791"", ""Rev vs Mktg &amp; Mktg Mix!H"" &amp; ROW(H44))
"),173.25)</f>
        <v>173.25</v>
      </c>
      <c r="I108" s="38">
        <f ca="1">IFERROR(__xludf.DUMMYFUNCTION("IMPORTRANGE(""https://docs.google.com/spreadsheets/d/1bozxp9FwhaCNzy-RRGPVPfVYTttO4PUGDdaFvbz-Ue0/edit?gid=1870218791#gid=1870218791"", ""Rev vs Mktg &amp; Mktg Mix!I"" &amp; ROW(K44))
"),165.524)</f>
        <v>165.524</v>
      </c>
      <c r="J108" s="38">
        <f ca="1">IFERROR(__xludf.DUMMYFUNCTION("IMPORTRANGE(""https://docs.google.com/spreadsheets/d/1bozxp9FwhaCNzy-RRGPVPfVYTttO4PUGDdaFvbz-Ue0/edit?gid=1870218791#gid=1870218791"", ""Rev vs Mktg &amp; Mktg Mix!J"" &amp; ROW(J44))
"),196.731)</f>
        <v>196.73099999999999</v>
      </c>
      <c r="K108" s="31">
        <f>VLOOKUP(VALUE(LEFT(A111, 4)), 'Raw Annual Revenue'!A:K, 11, FALSE) / 4</f>
        <v>19943</v>
      </c>
      <c r="L108" s="38">
        <f ca="1">IFERROR(__xludf.DUMMYFUNCTION("IMPORTRANGE(""https://docs.google.com/spreadsheets/d/1bozxp9FwhaCNzy-RRGPVPfVYTttO4PUGDdaFvbz-Ue0/edit?gid=1870218791#gid=1870218791"", ""Rev vs Mktg &amp; Mktg Mix!L"" &amp; ROW(N44))
"),91.962064488)</f>
        <v>91.962064487999996</v>
      </c>
      <c r="M108" s="37">
        <f ca="1">IFERROR(__xludf.DUMMYFUNCTION("IMPORTRANGE(""https://docs.google.com/spreadsheets/d/1bozxp9FwhaCNzy-RRGPVPfVYTttO4PUGDdaFvbz-Ue0/edit?gid=1870218791#gid=1870218791"", ""Rev vs Mktg &amp; Mktg Mix!M"" &amp; ROW(M44))
"),49.6062)</f>
        <v>49.606200000000001</v>
      </c>
      <c r="N108" s="37">
        <f ca="1">IFERROR(__xludf.DUMMYFUNCTION("IMPORTRANGE(""https://docs.google.com/spreadsheets/d/1bozxp9FwhaCNzy-RRGPVPfVYTttO4PUGDdaFvbz-Ue0/edit?gid=1870218791#gid=1870218791"", ""Rev vs Mktg &amp; Mktg Mix!N"" &amp; ROW(N44))
"),7.795)</f>
        <v>7.7949999999999999</v>
      </c>
      <c r="O108" s="37">
        <f ca="1">IFERROR(__xludf.DUMMYFUNCTION("IMPORTRANGE(""https://docs.google.com/spreadsheets/d/1bozxp9FwhaCNzy-RRGPVPfVYTttO4PUGDdaFvbz-Ue0/edit?gid=1870218791#gid=1870218791"", ""Rev vs Mktg &amp; Mktg Mix!O"" &amp; ROW(O44))
"),79.4625)</f>
        <v>79.462500000000006</v>
      </c>
      <c r="P108" s="37">
        <f ca="1">IFERROR(__xludf.DUMMYFUNCTION("IMPORTRANGE(""https://docs.google.com/spreadsheets/d/1bozxp9FwhaCNzy-RRGPVPfVYTttO4PUGDdaFvbz-Ue0/edit?gid=1870218791#gid=1870218791"", ""Rev vs Mktg &amp; Mktg Mix!P"" &amp; ROW(P44))
"),17.8425)</f>
        <v>17.842500000000001</v>
      </c>
      <c r="Q108" s="37"/>
      <c r="R108" s="43">
        <f ca="1">IFERROR(__xludf.DUMMYFUNCTION("IMPORTRANGE(""https://docs.google.com/spreadsheets/d/1bozxp9FwhaCNzy-RRGPVPfVYTttO4PUGDdaFvbz-Ue0/edit?gid=1870218791#gid=1870218791"", ""Rev vs Mktg &amp; Mktg Mix!S"" &amp; ROW(S44))*1000
"),99990)</f>
        <v>99990</v>
      </c>
      <c r="S108" s="50">
        <f ca="1">IFERROR(__xludf.DUMMYFUNCTION("IMPORTRANGE(""https://docs.google.com/spreadsheets/d/1bozxp9FwhaCNzy-RRGPVPfVYTttO4PUGDdaFvbz-Ue0/edit?gid=1870218791#gid=1870218791"", ""Rev vs Mktg &amp; Mktg Mix!T"" &amp; ROW(X44))*1000
"),12860.3658536585)</f>
        <v>12860.365853658501</v>
      </c>
      <c r="T108" s="41">
        <f ca="1">IFERROR(__xludf.DUMMYFUNCTION("IMPORTRANGE(""https://docs.google.com/spreadsheets/d/1bozxp9FwhaCNzy-RRGPVPfVYTttO4PUGDdaFvbz-Ue0/edit?gid=1870218791#gid=1870218791"", ""Rev vs Mktg &amp; Mktg Mix!U"" &amp; ROW(Y44))
"),13.476)</f>
        <v>13.476000000000001</v>
      </c>
      <c r="U108" s="28"/>
      <c r="V108" s="28"/>
      <c r="W108" s="30">
        <f>VLOOKUP(VALUE(LEFT($A110, 4)), 'Raw Annual Revenue'!$A:W, 23, FALSE) / 4</f>
        <v>378176.25</v>
      </c>
      <c r="X108" s="31">
        <f>VLOOKUP(VALUE(LEFT(A108, 4)), 'Raw Annual Revenue'!A:X, 24, FALSE) / 4</f>
        <v>109197.5</v>
      </c>
      <c r="Y108" s="31">
        <f>VLOOKUP(VALUE(LEFT($A108, 4)), 'Raw Annual Revenue'!$A:Y, 25, FALSE) / 4</f>
        <v>51823.75</v>
      </c>
      <c r="Z108" s="31">
        <f>VLOOKUP(VALUE(LEFT($A108, 4)), 'Raw Annual Revenue'!$A:Z, 26, FALSE) / 4</f>
        <v>78524</v>
      </c>
      <c r="AA108" s="31"/>
      <c r="AB108" s="31">
        <f>VLOOKUP(VALUE(LEFT($A108, 4)), 'Raw Annual Revenue'!$A:AB, 28, FALSE) / 4</f>
        <v>74501</v>
      </c>
      <c r="AC108" s="28"/>
    </row>
    <row r="109" spans="1:29" ht="13">
      <c r="A109" s="27" t="s">
        <v>134</v>
      </c>
      <c r="B109" s="38">
        <f ca="1">IFERROR(__xludf.DUMMYFUNCTION("IMPORTRANGE(""https://docs.google.com/spreadsheets/d/1bozxp9FwhaCNzy-RRGPVPfVYTttO4PUGDdaFvbz-Ue0/edit?gid=1870218791#gid=1870218791"", ""Rev vs Mktg &amp; Mktg Mix!B"" &amp; ROW(A45))
"),3397)</f>
        <v>3397</v>
      </c>
      <c r="C109" s="38">
        <f ca="1">IFERROR(__xludf.DUMMYFUNCTION("IMPORTRANGE(""https://docs.google.com/spreadsheets/d/1bozxp9FwhaCNzy-RRGPVPfVYTttO4PUGDdaFvbz-Ue0/edit?gid=1870218791#gid=1870218791"", ""Rev vs Mktg &amp; Mktg Mix!C"" &amp; ROW(B45))
"),7341)</f>
        <v>7341</v>
      </c>
      <c r="D109" s="38">
        <f ca="1">IFERROR(__xludf.DUMMYFUNCTION("IMPORTRANGE(""https://docs.google.com/spreadsheets/d/1bozxp9FwhaCNzy-RRGPVPfVYTttO4PUGDdaFvbz-Ue0/edit?gid=1870218791#gid=1870218791"", ""Rev vs Mktg &amp; Mktg Mix!D"" &amp; ROW(C45))
"),3929)</f>
        <v>3929</v>
      </c>
      <c r="E109" s="38">
        <f ca="1">IFERROR(__xludf.DUMMYFUNCTION("IMPORTRANGE(""https://docs.google.com/spreadsheets/d/1bozxp9FwhaCNzy-RRGPVPfVYTttO4PUGDdaFvbz-Ue0/edit?gid=1870218791#gid=1870218791"", ""Rev vs Mktg &amp; Mktg Mix!E"" &amp; ROW(E45))
"),1885)</f>
        <v>1885</v>
      </c>
      <c r="F109" s="38">
        <f ca="1">IFERROR(__xludf.DUMMYFUNCTION("IMPORTRANGE(""https://docs.google.com/spreadsheets/d/1bozxp9FwhaCNzy-RRGPVPfVYTttO4PUGDdaFvbz-Ue0/edit?gid=1870218791#gid=1870218791"", ""Rev vs Mktg &amp; Mktg Mix!F"" &amp; ROW(G45))
"),533)</f>
        <v>533</v>
      </c>
      <c r="G109" s="38">
        <f ca="1">IFERROR(__xludf.DUMMYFUNCTION("IMPORTRANGE(""https://docs.google.com/spreadsheets/d/1bozxp9FwhaCNzy-RRGPVPfVYTttO4PUGDdaFvbz-Ue0/edit?gid=1870218791#gid=1870218791"", ""Rev vs Mktg &amp; Mktg Mix!G"" &amp; ROW(I45))
"),157.862)</f>
        <v>157.86199999999999</v>
      </c>
      <c r="H109" s="38">
        <f ca="1">IFERROR(__xludf.DUMMYFUNCTION("IMPORTRANGE(""https://docs.google.com/spreadsheets/d/1bozxp9FwhaCNzy-RRGPVPfVYTttO4PUGDdaFvbz-Ue0/edit?gid=1870218791#gid=1870218791"", ""Rev vs Mktg &amp; Mktg Mix!H"" &amp; ROW(H45))
"),186.45)</f>
        <v>186.45</v>
      </c>
      <c r="I109" s="38">
        <f ca="1">IFERROR(__xludf.DUMMYFUNCTION("IMPORTRANGE(""https://docs.google.com/spreadsheets/d/1bozxp9FwhaCNzy-RRGPVPfVYTttO4PUGDdaFvbz-Ue0/edit?gid=1870218791#gid=1870218791"", ""Rev vs Mktg &amp; Mktg Mix!I"" &amp; ROW(K45))
"),178.1)</f>
        <v>178.1</v>
      </c>
      <c r="J109" s="38">
        <f ca="1">IFERROR(__xludf.DUMMYFUNCTION("IMPORTRANGE(""https://docs.google.com/spreadsheets/d/1bozxp9FwhaCNzy-RRGPVPfVYTttO4PUGDdaFvbz-Ue0/edit?gid=1870218791#gid=1870218791"", ""Rev vs Mktg &amp; Mktg Mix!J"" &amp; ROW(J45))
"),168.69)</f>
        <v>168.69</v>
      </c>
      <c r="K109" s="31">
        <f>VLOOKUP(VALUE(LEFT(A112, 4)), 'Raw Annual Revenue'!A:K, 11, FALSE) / 4</f>
        <v>19943</v>
      </c>
      <c r="L109" s="38">
        <f ca="1">IFERROR(__xludf.DUMMYFUNCTION("IMPORTRANGE(""https://docs.google.com/spreadsheets/d/1bozxp9FwhaCNzy-RRGPVPfVYTttO4PUGDdaFvbz-Ue0/edit?gid=1870218791#gid=1870218791"", ""Rev vs Mktg &amp; Mktg Mix!L"" &amp; ROW(N45))
"),94.8913778063999)</f>
        <v>94.891377806399902</v>
      </c>
      <c r="M109" s="37">
        <f ca="1">IFERROR(__xludf.DUMMYFUNCTION("IMPORTRANGE(""https://docs.google.com/spreadsheets/d/1bozxp9FwhaCNzy-RRGPVPfVYTttO4PUGDdaFvbz-Ue0/edit?gid=1870218791#gid=1870218791"", ""Rev vs Mktg &amp; Mktg Mix!M"" &amp; ROW(M45))
"),55.7403)</f>
        <v>55.740299999999998</v>
      </c>
      <c r="N109" s="37">
        <f ca="1">IFERROR(__xludf.DUMMYFUNCTION("IMPORTRANGE(""https://docs.google.com/spreadsheets/d/1bozxp9FwhaCNzy-RRGPVPfVYTttO4PUGDdaFvbz-Ue0/edit?gid=1870218791#gid=1870218791"", ""Rev vs Mktg &amp; Mktg Mix!N"" &amp; ROW(N45))
"),8.136)</f>
        <v>8.1359999999999992</v>
      </c>
      <c r="O109" s="37">
        <f ca="1">IFERROR(__xludf.DUMMYFUNCTION("IMPORTRANGE(""https://docs.google.com/spreadsheets/d/1bozxp9FwhaCNzy-RRGPVPfVYTttO4PUGDdaFvbz-Ue0/edit?gid=1870218791#gid=1870218791"", ""Rev vs Mktg &amp; Mktg Mix!O"" &amp; ROW(O45))
"),79.4625)</f>
        <v>79.462500000000006</v>
      </c>
      <c r="P109" s="37">
        <f ca="1">IFERROR(__xludf.DUMMYFUNCTION("IMPORTRANGE(""https://docs.google.com/spreadsheets/d/1bozxp9FwhaCNzy-RRGPVPfVYTttO4PUGDdaFvbz-Ue0/edit?gid=1870218791#gid=1870218791"", ""Rev vs Mktg &amp; Mktg Mix!P"" &amp; ROW(P45))
"),17.8425)</f>
        <v>17.842500000000001</v>
      </c>
      <c r="Q109" s="37"/>
      <c r="R109" s="43">
        <f ca="1">IFERROR(__xludf.DUMMYFUNCTION("IMPORTRANGE(""https://docs.google.com/spreadsheets/d/1bozxp9FwhaCNzy-RRGPVPfVYTttO4PUGDdaFvbz-Ue0/edit?gid=1870218791#gid=1870218791"", ""Rev vs Mktg &amp; Mktg Mix!S"" &amp; ROW(S45))*1000
"),89650)</f>
        <v>89650</v>
      </c>
      <c r="S109" s="50">
        <f ca="1">IFERROR(__xludf.DUMMYFUNCTION("IMPORTRANGE(""https://docs.google.com/spreadsheets/d/1bozxp9FwhaCNzy-RRGPVPfVYTttO4PUGDdaFvbz-Ue0/edit?gid=1870218791#gid=1870218791"", ""Rev vs Mktg &amp; Mktg Mix!T"" &amp; ROW(X45))*1000
"),15058.6585365853)</f>
        <v>15058.658536585301</v>
      </c>
      <c r="T109" s="41">
        <f ca="1">IFERROR(__xludf.DUMMYFUNCTION("IMPORTRANGE(""https://docs.google.com/spreadsheets/d/1bozxp9FwhaCNzy-RRGPVPfVYTttO4PUGDdaFvbz-Ue0/edit?gid=1870218791#gid=1870218791"", ""Rev vs Mktg &amp; Mktg Mix!U"" &amp; ROW(Y45))
"),11.405)</f>
        <v>11.404999999999999</v>
      </c>
      <c r="U109" s="28"/>
      <c r="V109" s="28"/>
      <c r="W109" s="30">
        <f>VLOOKUP(VALUE(LEFT($A111, 4)), 'Raw Annual Revenue'!$A:W, 23, FALSE) / 4</f>
        <v>457716.25</v>
      </c>
      <c r="X109" s="31">
        <f>VLOOKUP(VALUE(LEFT(A109, 4)), 'Raw Annual Revenue'!A:X, 24, FALSE) / 4</f>
        <v>109197.5</v>
      </c>
      <c r="Y109" s="31">
        <f>VLOOKUP(VALUE(LEFT($A109, 4)), 'Raw Annual Revenue'!$A:Y, 25, FALSE) / 4</f>
        <v>51823.75</v>
      </c>
      <c r="Z109" s="31">
        <f>VLOOKUP(VALUE(LEFT($A109, 4)), 'Raw Annual Revenue'!$A:Z, 26, FALSE) / 4</f>
        <v>78524</v>
      </c>
      <c r="AA109" s="31"/>
      <c r="AB109" s="31">
        <f>VLOOKUP(VALUE(LEFT($A109, 4)), 'Raw Annual Revenue'!$A:AB, 28, FALSE) / 4</f>
        <v>74501</v>
      </c>
      <c r="AC109" s="28"/>
    </row>
    <row r="110" spans="1:29" ht="13">
      <c r="A110" s="27" t="s">
        <v>135</v>
      </c>
      <c r="B110" s="38">
        <f ca="1">IFERROR(__xludf.DUMMYFUNCTION("IMPORTRANGE(""https://docs.google.com/spreadsheets/d/1bozxp9FwhaCNzy-RRGPVPfVYTttO4PUGDdaFvbz-Ue0/edit?gid=1870218791#gid=1870218791"", ""Rev vs Mktg &amp; Mktg Mix!B"" &amp; ROW(A46))
"),2218)</f>
        <v>2218</v>
      </c>
      <c r="C110" s="38">
        <f ca="1">IFERROR(__xludf.DUMMYFUNCTION("IMPORTRANGE(""https://docs.google.com/spreadsheets/d/1bozxp9FwhaCNzy-RRGPVPfVYTttO4PUGDdaFvbz-Ue0/edit?gid=1870218791#gid=1870218791"", ""Rev vs Mktg &amp; Mktg Mix!C"" &amp; ROW(B46))
"),4784)</f>
        <v>4784</v>
      </c>
      <c r="D110" s="38">
        <f ca="1">IFERROR(__xludf.DUMMYFUNCTION("IMPORTRANGE(""https://docs.google.com/spreadsheets/d/1bozxp9FwhaCNzy-RRGPVPfVYTttO4PUGDdaFvbz-Ue0/edit?gid=1870218791#gid=1870218791"", ""Rev vs Mktg &amp; Mktg Mix!D"" &amp; ROW(C46))
"),2887)</f>
        <v>2887</v>
      </c>
      <c r="E110" s="38">
        <f ca="1">IFERROR(__xludf.DUMMYFUNCTION("IMPORTRANGE(""https://docs.google.com/spreadsheets/d/1bozxp9FwhaCNzy-RRGPVPfVYTttO4PUGDdaFvbz-Ue0/edit?gid=1870218791#gid=1870218791"", ""Rev vs Mktg &amp; Mktg Mix!E"" &amp; ROW(E46))
"),1456)</f>
        <v>1456</v>
      </c>
      <c r="F110" s="38">
        <f ca="1">IFERROR(__xludf.DUMMYFUNCTION("IMPORTRANGE(""https://docs.google.com/spreadsheets/d/1bozxp9FwhaCNzy-RRGPVPfVYTttO4PUGDdaFvbz-Ue0/edit?gid=1870218791#gid=1870218791"", ""Rev vs Mktg &amp; Mktg Mix!F"" &amp; ROW(G46))
"),390)</f>
        <v>390</v>
      </c>
      <c r="G110" s="38">
        <f ca="1">IFERROR(__xludf.DUMMYFUNCTION("IMPORTRANGE(""https://docs.google.com/spreadsheets/d/1bozxp9FwhaCNzy-RRGPVPfVYTttO4PUGDdaFvbz-Ue0/edit?gid=1870218791#gid=1870218791"", ""Rev vs Mktg &amp; Mktg Mix!G"" &amp; ROW(I46))
"),91.697)</f>
        <v>91.697000000000003</v>
      </c>
      <c r="H110" s="38">
        <f ca="1">IFERROR(__xludf.DUMMYFUNCTION("IMPORTRANGE(""https://docs.google.com/spreadsheets/d/1bozxp9FwhaCNzy-RRGPVPfVYTttO4PUGDdaFvbz-Ue0/edit?gid=1870218791#gid=1870218791"", ""Rev vs Mktg &amp; Mktg Mix!H"" &amp; ROW(H46))
"),161.92)</f>
        <v>161.91999999999999</v>
      </c>
      <c r="I110" s="38">
        <f ca="1">IFERROR(__xludf.DUMMYFUNCTION("IMPORTRANGE(""https://docs.google.com/spreadsheets/d/1bozxp9FwhaCNzy-RRGPVPfVYTttO4PUGDdaFvbz-Ue0/edit?gid=1870218791#gid=1870218791"", ""Rev vs Mktg &amp; Mktg Mix!I"" &amp; ROW(K46))
"),203.66)</f>
        <v>203.66</v>
      </c>
      <c r="J110" s="38">
        <f ca="1">IFERROR(__xludf.DUMMYFUNCTION("IMPORTRANGE(""https://docs.google.com/spreadsheets/d/1bozxp9FwhaCNzy-RRGPVPfVYTttO4PUGDdaFvbz-Ue0/edit?gid=1870218791#gid=1870218791"", ""Rev vs Mktg &amp; Mktg Mix!J"" &amp; ROW(J46))
"),214.216)</f>
        <v>214.21600000000001</v>
      </c>
      <c r="K110" s="31">
        <f>VLOOKUP(VALUE(LEFT(A113, 4)), 'Raw Annual Revenue'!A:K, 11, FALSE) / 4</f>
        <v>19943</v>
      </c>
      <c r="L110" s="38">
        <f ca="1">IFERROR(__xludf.DUMMYFUNCTION("IMPORTRANGE(""https://docs.google.com/spreadsheets/d/1bozxp9FwhaCNzy-RRGPVPfVYTttO4PUGDdaFvbz-Ue0/edit?gid=1870218791#gid=1870218791"", ""Rev vs Mktg &amp; Mktg Mix!L"" &amp; ROW(N46))
"),106.6247488278)</f>
        <v>106.6247488278</v>
      </c>
      <c r="M110" s="37">
        <f ca="1">IFERROR(__xludf.DUMMYFUNCTION("IMPORTRANGE(""https://docs.google.com/spreadsheets/d/1bozxp9FwhaCNzy-RRGPVPfVYTttO4PUGDdaFvbz-Ue0/edit?gid=1870218791#gid=1870218791"", ""Rev vs Mktg &amp; Mktg Mix!M"" &amp; ROW(M46))
"),68.7223806906)</f>
        <v>68.722380690600005</v>
      </c>
      <c r="N110" s="37">
        <f ca="1">IFERROR(__xludf.DUMMYFUNCTION("IMPORTRANGE(""https://docs.google.com/spreadsheets/d/1bozxp9FwhaCNzy-RRGPVPfVYTttO4PUGDdaFvbz-Ue0/edit?gid=1870218791#gid=1870218791"", ""Rev vs Mktg &amp; Mktg Mix!N"" &amp; ROW(N46))
"),8.255)</f>
        <v>8.2550000000000008</v>
      </c>
      <c r="O110" s="37">
        <f ca="1">IFERROR(__xludf.DUMMYFUNCTION("IMPORTRANGE(""https://docs.google.com/spreadsheets/d/1bozxp9FwhaCNzy-RRGPVPfVYTttO4PUGDdaFvbz-Ue0/edit?gid=1870218791#gid=1870218791"", ""Rev vs Mktg &amp; Mktg Mix!O"" &amp; ROW(O46))
"),73.775)</f>
        <v>73.775000000000006</v>
      </c>
      <c r="P110" s="37">
        <f ca="1">IFERROR(__xludf.DUMMYFUNCTION("IMPORTRANGE(""https://docs.google.com/spreadsheets/d/1bozxp9FwhaCNzy-RRGPVPfVYTttO4PUGDdaFvbz-Ue0/edit?gid=1870218791#gid=1870218791"", ""Rev vs Mktg &amp; Mktg Mix!P"" &amp; ROW(P46))
"),19.5)</f>
        <v>19.5</v>
      </c>
      <c r="Q110" s="37"/>
      <c r="R110" s="43">
        <f ca="1">IFERROR(__xludf.DUMMYFUNCTION("IMPORTRANGE(""https://docs.google.com/spreadsheets/d/1bozxp9FwhaCNzy-RRGPVPfVYTttO4PUGDdaFvbz-Ue0/edit?gid=1870218791#gid=1870218791"", ""Rev vs Mktg &amp; Mktg Mix!S"" &amp; ROW(S46))*1000
"),65780)</f>
        <v>65780</v>
      </c>
      <c r="S110" s="50">
        <f ca="1">IFERROR(__xludf.DUMMYFUNCTION("IMPORTRANGE(""https://docs.google.com/spreadsheets/d/1bozxp9FwhaCNzy-RRGPVPfVYTttO4PUGDdaFvbz-Ue0/edit?gid=1870218791#gid=1870218791"", ""Rev vs Mktg &amp; Mktg Mix!T"" &amp; ROW(X46))*1000
"),16254.0243902439)</f>
        <v>16254.0243902439</v>
      </c>
      <c r="T110" s="41">
        <f ca="1">IFERROR(__xludf.DUMMYFUNCTION("IMPORTRANGE(""https://docs.google.com/spreadsheets/d/1bozxp9FwhaCNzy-RRGPVPfVYTttO4PUGDdaFvbz-Ue0/edit?gid=1870218791#gid=1870218791"", ""Rev vs Mktg &amp; Mktg Mix!U"" &amp; ROW(Y46))
"),13.368)</f>
        <v>13.368</v>
      </c>
      <c r="U110" s="28"/>
      <c r="V110" s="28"/>
      <c r="W110" s="30">
        <f>VLOOKUP(VALUE(LEFT($A112, 4)), 'Raw Annual Revenue'!$A:W, 23, FALSE) / 4</f>
        <v>457716.25</v>
      </c>
      <c r="X110" s="31">
        <f>VLOOKUP(VALUE(LEFT(A110, 4)), 'Raw Annual Revenue'!A:X, 24, FALSE) / 4</f>
        <v>109197.5</v>
      </c>
      <c r="Y110" s="31">
        <f>VLOOKUP(VALUE(LEFT($A110, 4)), 'Raw Annual Revenue'!$A:Y, 25, FALSE) / 4</f>
        <v>51823.75</v>
      </c>
      <c r="Z110" s="31">
        <f>VLOOKUP(VALUE(LEFT($A110, 4)), 'Raw Annual Revenue'!$A:Z, 26, FALSE) / 4</f>
        <v>78524</v>
      </c>
      <c r="AA110" s="31"/>
      <c r="AB110" s="31">
        <f>VLOOKUP(VALUE(LEFT($A110, 4)), 'Raw Annual Revenue'!$A:AB, 28, FALSE) / 4</f>
        <v>74501</v>
      </c>
      <c r="AC110" s="28"/>
    </row>
    <row r="111" spans="1:29" ht="13">
      <c r="A111" s="27" t="s">
        <v>136</v>
      </c>
      <c r="B111" s="38">
        <f ca="1">IFERROR(__xludf.DUMMYFUNCTION("IMPORTRANGE(""https://docs.google.com/spreadsheets/d/1bozxp9FwhaCNzy-RRGPVPfVYTttO4PUGDdaFvbz-Ue0/edit?gid=1870218791#gid=1870218791"", ""Rev vs Mktg &amp; Mktg Mix!B"" &amp; ROW(A47))
"),2142)</f>
        <v>2142</v>
      </c>
      <c r="C111" s="38">
        <f ca="1">IFERROR(__xludf.DUMMYFUNCTION("IMPORTRANGE(""https://docs.google.com/spreadsheets/d/1bozxp9FwhaCNzy-RRGPVPfVYTttO4PUGDdaFvbz-Ue0/edit?gid=1870218791#gid=1870218791"", ""Rev vs Mktg &amp; Mktg Mix!C"" &amp; ROW(B47))
"),4415)</f>
        <v>4415</v>
      </c>
      <c r="D111" s="38">
        <f ca="1">IFERROR(__xludf.DUMMYFUNCTION("IMPORTRANGE(""https://docs.google.com/spreadsheets/d/1bozxp9FwhaCNzy-RRGPVPfVYTttO4PUGDdaFvbz-Ue0/edit?gid=1870218791#gid=1870218791"", ""Rev vs Mktg &amp; Mktg Mix!D"" &amp; ROW(C47))
"),2889)</f>
        <v>2889</v>
      </c>
      <c r="E111" s="38">
        <f ca="1">IFERROR(__xludf.DUMMYFUNCTION("IMPORTRANGE(""https://docs.google.com/spreadsheets/d/1bozxp9FwhaCNzy-RRGPVPfVYTttO4PUGDdaFvbz-Ue0/edit?gid=1870218791#gid=1870218791"", ""Rev vs Mktg &amp; Mktg Mix!E"" &amp; ROW(E47))
"),1651)</f>
        <v>1651</v>
      </c>
      <c r="F111" s="38">
        <f ca="1">IFERROR(__xludf.DUMMYFUNCTION("IMPORTRANGE(""https://docs.google.com/spreadsheets/d/1bozxp9FwhaCNzy-RRGPVPfVYTttO4PUGDdaFvbz-Ue0/edit?gid=1870218791#gid=1870218791"", ""Rev vs Mktg &amp; Mktg Mix!F"" &amp; ROW(G47))
"),395)</f>
        <v>395</v>
      </c>
      <c r="G111" s="38">
        <f ca="1">IFERROR(__xludf.DUMMYFUNCTION("IMPORTRANGE(""https://docs.google.com/spreadsheets/d/1bozxp9FwhaCNzy-RRGPVPfVYTttO4PUGDdaFvbz-Ue0/edit?gid=1870218791#gid=1870218791"", ""Rev vs Mktg &amp; Mktg Mix!G"" &amp; ROW(I47))
"),101.43)</f>
        <v>101.43</v>
      </c>
      <c r="H111" s="38">
        <f ca="1">IFERROR(__xludf.DUMMYFUNCTION("IMPORTRANGE(""https://docs.google.com/spreadsheets/d/1bozxp9FwhaCNzy-RRGPVPfVYTttO4PUGDdaFvbz-Ue0/edit?gid=1870218791#gid=1870218791"", ""Rev vs Mktg &amp; Mktg Mix!H"" &amp; ROW(H47))
"),185.24)</f>
        <v>185.24</v>
      </c>
      <c r="I111" s="38">
        <f ca="1">IFERROR(__xludf.DUMMYFUNCTION("IMPORTRANGE(""https://docs.google.com/spreadsheets/d/1bozxp9FwhaCNzy-RRGPVPfVYTttO4PUGDdaFvbz-Ue0/edit?gid=1870218791#gid=1870218791"", ""Rev vs Mktg &amp; Mktg Mix!I"" &amp; ROW(K47))
"),173.7)</f>
        <v>173.7</v>
      </c>
      <c r="J111" s="38">
        <f ca="1">IFERROR(__xludf.DUMMYFUNCTION("IMPORTRANGE(""https://docs.google.com/spreadsheets/d/1bozxp9FwhaCNzy-RRGPVPfVYTttO4PUGDdaFvbz-Ue0/edit?gid=1870218791#gid=1870218791"", ""Rev vs Mktg &amp; Mktg Mix!J"" &amp; ROW(J47))
"),202.887)</f>
        <v>202.887</v>
      </c>
      <c r="K111" s="43">
        <f ca="1">IFERROR(__xludf.DUMMYFUNCTION("IMPORTRANGE(""https://docs.google.com/spreadsheets/d/1bozxp9FwhaCNzy-RRGPVPfVYTttO4PUGDdaFvbz-Ue0/edit?gid=1870218791#gid=1870218791"", ""Rev vs Mktg &amp; Mktg Mix!K"" &amp; ROW(M47))*1000
"),20486.9512195121)</f>
        <v>20486.951219512099</v>
      </c>
      <c r="L111" s="38">
        <f ca="1">IFERROR(__xludf.DUMMYFUNCTION("IMPORTRANGE(""https://docs.google.com/spreadsheets/d/1bozxp9FwhaCNzy-RRGPVPfVYTttO4PUGDdaFvbz-Ue0/edit?gid=1870218791#gid=1870218791"", ""Rev vs Mktg &amp; Mktg Mix!L"" &amp; ROW(N47))
"),122.772867090299)</f>
        <v>122.772867090299</v>
      </c>
      <c r="M111" s="37">
        <f ca="1">IFERROR(__xludf.DUMMYFUNCTION("IMPORTRANGE(""https://docs.google.com/spreadsheets/d/1bozxp9FwhaCNzy-RRGPVPfVYTttO4PUGDdaFvbz-Ue0/edit?gid=1870218791#gid=1870218791"", ""Rev vs Mktg &amp; Mktg Mix!M"" &amp; ROW(M47))
"),54.2572157043)</f>
        <v>54.257215704300002</v>
      </c>
      <c r="N111" s="37">
        <f ca="1">IFERROR(__xludf.DUMMYFUNCTION("IMPORTRANGE(""https://docs.google.com/spreadsheets/d/1bozxp9FwhaCNzy-RRGPVPfVYTttO4PUGDdaFvbz-Ue0/edit?gid=1870218791#gid=1870218791"", ""Rev vs Mktg &amp; Mktg Mix!N"" &amp; ROW(N47))
"),8.969)</f>
        <v>8.9689999999999994</v>
      </c>
      <c r="O111" s="37">
        <f ca="1">IFERROR(__xludf.DUMMYFUNCTION("IMPORTRANGE(""https://docs.google.com/spreadsheets/d/1bozxp9FwhaCNzy-RRGPVPfVYTttO4PUGDdaFvbz-Ue0/edit?gid=1870218791#gid=1870218791"", ""Rev vs Mktg &amp; Mktg Mix!O"" &amp; ROW(O47))
"),73.775)</f>
        <v>73.775000000000006</v>
      </c>
      <c r="P111" s="37">
        <f ca="1">IFERROR(__xludf.DUMMYFUNCTION("IMPORTRANGE(""https://docs.google.com/spreadsheets/d/1bozxp9FwhaCNzy-RRGPVPfVYTttO4PUGDdaFvbz-Ue0/edit?gid=1870218791#gid=1870218791"", ""Rev vs Mktg &amp; Mktg Mix!P"" &amp; ROW(P47))
"),19.5)</f>
        <v>19.5</v>
      </c>
      <c r="Q111" s="37"/>
      <c r="R111" s="43">
        <f ca="1">IFERROR(__xludf.DUMMYFUNCTION("IMPORTRANGE(""https://docs.google.com/spreadsheets/d/1bozxp9FwhaCNzy-RRGPVPfVYTttO4PUGDdaFvbz-Ue0/edit?gid=1870218791#gid=1870218791"", ""Rev vs Mktg &amp; Mktg Mix!S"" &amp; ROW(S47))*1000
"),86240)</f>
        <v>86240</v>
      </c>
      <c r="S111" s="50">
        <f ca="1">IFERROR(__xludf.DUMMYFUNCTION("IMPORTRANGE(""https://docs.google.com/spreadsheets/d/1bozxp9FwhaCNzy-RRGPVPfVYTttO4PUGDdaFvbz-Ue0/edit?gid=1870218791#gid=1870218791"", ""Rev vs Mktg &amp; Mktg Mix!T"" &amp; ROW(X47))*1000
"),16743.6585365853)</f>
        <v>16743.658536585299</v>
      </c>
      <c r="T111" s="41">
        <f ca="1">IFERROR(__xludf.DUMMYFUNCTION("IMPORTRANGE(""https://docs.google.com/spreadsheets/d/1bozxp9FwhaCNzy-RRGPVPfVYTttO4PUGDdaFvbz-Ue0/edit?gid=1870218791#gid=1870218791"", ""Rev vs Mktg &amp; Mktg Mix!U"" &amp; ROW(Y47))
"),12.872)</f>
        <v>12.872</v>
      </c>
      <c r="U111" s="28"/>
      <c r="V111" s="28"/>
      <c r="W111" s="30">
        <f>VLOOKUP(VALUE(LEFT($A113, 4)), 'Raw Annual Revenue'!$A:W, 23, FALSE) / 4</f>
        <v>457716.25</v>
      </c>
      <c r="X111" s="31"/>
      <c r="Y111" s="31"/>
      <c r="Z111" s="31"/>
      <c r="AA111" s="31"/>
      <c r="AB111" s="31"/>
      <c r="AC111" s="28"/>
    </row>
    <row r="112" spans="1:29" ht="13">
      <c r="A112" s="27" t="s">
        <v>137</v>
      </c>
      <c r="B112" s="38">
        <f ca="1">IFERROR(__xludf.DUMMYFUNCTION("IMPORTRANGE(""https://docs.google.com/spreadsheets/d/1bozxp9FwhaCNzy-RRGPVPfVYTttO4PUGDdaFvbz-Ue0/edit?gid=1870218791#gid=1870218791"", ""Rev vs Mktg &amp; Mktg Mix!B"" &amp; ROW(A48))
"),2748)</f>
        <v>2748</v>
      </c>
      <c r="C112" s="38">
        <f ca="1">IFERROR(__xludf.DUMMYFUNCTION("IMPORTRANGE(""https://docs.google.com/spreadsheets/d/1bozxp9FwhaCNzy-RRGPVPfVYTttO4PUGDdaFvbz-Ue0/edit?gid=1870218791#gid=1870218791"", ""Rev vs Mktg &amp; Mktg Mix!C"" &amp; ROW(B48))
"),5859)</f>
        <v>5859</v>
      </c>
      <c r="D112" s="38">
        <f ca="1">IFERROR(__xludf.DUMMYFUNCTION("IMPORTRANGE(""https://docs.google.com/spreadsheets/d/1bozxp9FwhaCNzy-RRGPVPfVYTttO4PUGDdaFvbz-Ue0/edit?gid=1870218791#gid=1870218791"", ""Rev vs Mktg &amp; Mktg Mix!D"" &amp; ROW(C48))
"),3558)</f>
        <v>3558</v>
      </c>
      <c r="E112" s="38">
        <f ca="1">IFERROR(__xludf.DUMMYFUNCTION("IMPORTRANGE(""https://docs.google.com/spreadsheets/d/1bozxp9FwhaCNzy-RRGPVPfVYTttO4PUGDdaFvbz-Ue0/edit?gid=1870218791#gid=1870218791"", ""Rev vs Mktg &amp; Mktg Mix!E"" &amp; ROW(E48))
"),1759)</f>
        <v>1759</v>
      </c>
      <c r="F112" s="38">
        <f ca="1">IFERROR(__xludf.DUMMYFUNCTION("IMPORTRANGE(""https://docs.google.com/spreadsheets/d/1bozxp9FwhaCNzy-RRGPVPfVYTttO4PUGDdaFvbz-Ue0/edit?gid=1870218791#gid=1870218791"", ""Rev vs Mktg &amp; Mktg Mix!F"" &amp; ROW(G48))
"),497)</f>
        <v>497</v>
      </c>
      <c r="G112" s="38">
        <f ca="1">IFERROR(__xludf.DUMMYFUNCTION("IMPORTRANGE(""https://docs.google.com/spreadsheets/d/1bozxp9FwhaCNzy-RRGPVPfVYTttO4PUGDdaFvbz-Ue0/edit?gid=1870218791#gid=1870218791"", ""Rev vs Mktg &amp; Mktg Mix!G"" &amp; ROW(I48))
"),118.557)</f>
        <v>118.557</v>
      </c>
      <c r="H112" s="38">
        <f ca="1">IFERROR(__xludf.DUMMYFUNCTION("IMPORTRANGE(""https://docs.google.com/spreadsheets/d/1bozxp9FwhaCNzy-RRGPVPfVYTttO4PUGDdaFvbz-Ue0/edit?gid=1870218791#gid=1870218791"", ""Rev vs Mktg &amp; Mktg Mix!H"" &amp; ROW(H48))
"),176)</f>
        <v>176</v>
      </c>
      <c r="I112" s="38">
        <f ca="1">IFERROR(__xludf.DUMMYFUNCTION("IMPORTRANGE(""https://docs.google.com/spreadsheets/d/1bozxp9FwhaCNzy-RRGPVPfVYTttO4PUGDdaFvbz-Ue0/edit?gid=1870218791#gid=1870218791"", ""Rev vs Mktg &amp; Mktg Mix!I"" &amp; ROW(K48))
"),185.047)</f>
        <v>185.047</v>
      </c>
      <c r="J112" s="38">
        <f ca="1">IFERROR(__xludf.DUMMYFUNCTION("IMPORTRANGE(""https://docs.google.com/spreadsheets/d/1bozxp9FwhaCNzy-RRGPVPfVYTttO4PUGDdaFvbz-Ue0/edit?gid=1870218791#gid=1870218791"", ""Rev vs Mktg &amp; Mktg Mix!J"" &amp; ROW(J48))
"),254.519)</f>
        <v>254.51900000000001</v>
      </c>
      <c r="K112" s="31">
        <f ca="1">IFERROR(__xludf.DUMMYFUNCTION("IMPORTRANGE(""https://docs.google.com/spreadsheets/d/1bozxp9FwhaCNzy-RRGPVPfVYTttO4PUGDdaFvbz-Ue0/edit?gid=1870218791#gid=1870218791"", ""Rev vs Mktg &amp; Mktg Mix!K"" &amp; ROW(M48))*1000
"),22473.1707317073)</f>
        <v>22473.170731707301</v>
      </c>
      <c r="L112" s="38">
        <f ca="1">IFERROR(__xludf.DUMMYFUNCTION("IMPORTRANGE(""https://docs.google.com/spreadsheets/d/1bozxp9FwhaCNzy-RRGPVPfVYTttO4PUGDdaFvbz-Ue0/edit?gid=1870218791#gid=1870218791"", ""Rev vs Mktg &amp; Mktg Mix!L"" &amp; ROW(N48))
"),115.729635863099)</f>
        <v>115.72963586309901</v>
      </c>
      <c r="M112" s="37">
        <f ca="1">IFERROR(__xludf.DUMMYFUNCTION("IMPORTRANGE(""https://docs.google.com/spreadsheets/d/1bozxp9FwhaCNzy-RRGPVPfVYTttO4PUGDdaFvbz-Ue0/edit?gid=1870218791#gid=1870218791"", ""Rev vs Mktg &amp; Mktg Mix!M"" &amp; ROW(M48))
"),86.4108)</f>
        <v>86.410799999999995</v>
      </c>
      <c r="N112" s="37">
        <f ca="1">IFERROR(__xludf.DUMMYFUNCTION("IMPORTRANGE(""https://docs.google.com/spreadsheets/d/1bozxp9FwhaCNzy-RRGPVPfVYTttO4PUGDdaFvbz-Ue0/edit?gid=1870218791#gid=1870218791"", ""Rev vs Mktg &amp; Mktg Mix!N"" &amp; ROW(N48))
"),12.68)</f>
        <v>12.68</v>
      </c>
      <c r="O112" s="37" t="str">
        <f ca="1">IFERROR(__xludf.DUMMYFUNCTION("IMPORTRANGE(""https://docs.google.com/spreadsheets/d/1bozxp9FwhaCNzy-RRGPVPfVYTttO4PUGDdaFvbz-Ue0/edit?gid=1870218791#gid=1870218791"", ""Rev vs Mktg &amp; Mktg Mix!O"" &amp; ROW(O48))
"),"")</f>
        <v/>
      </c>
      <c r="P112" s="37">
        <f ca="1">IFERROR(__xludf.DUMMYFUNCTION("IMPORTRANGE(""https://docs.google.com/spreadsheets/d/1bozxp9FwhaCNzy-RRGPVPfVYTttO4PUGDdaFvbz-Ue0/edit?gid=1870218791#gid=1870218791"", ""Rev vs Mktg &amp; Mktg Mix!P"" &amp; ROW(P48))
"),20.1825)</f>
        <v>20.182500000000001</v>
      </c>
      <c r="Q112" s="37"/>
      <c r="R112" s="43">
        <f ca="1">IFERROR(__xludf.DUMMYFUNCTION("IMPORTRANGE(""https://docs.google.com/spreadsheets/d/1bozxp9FwhaCNzy-RRGPVPfVYTttO4PUGDdaFvbz-Ue0/edit?gid=1870218791#gid=1870218791"", ""Rev vs Mktg &amp; Mktg Mix!S"" &amp; ROW(S48))*1000
"),94820)</f>
        <v>94820</v>
      </c>
      <c r="S112" s="50">
        <f ca="1">IFERROR(__xludf.DUMMYFUNCTION("IMPORTRANGE(""https://docs.google.com/spreadsheets/d/1bozxp9FwhaCNzy-RRGPVPfVYTttO4PUGDdaFvbz-Ue0/edit?gid=1870218791#gid=1870218791"", ""Rev vs Mktg &amp; Mktg Mix!T"" &amp; ROW(X48))*1000
"),13370.3658536585)</f>
        <v>13370.365853658501</v>
      </c>
      <c r="T112" s="41">
        <f ca="1">IFERROR(__xludf.DUMMYFUNCTION("IMPORTRANGE(""https://docs.google.com/spreadsheets/d/1bozxp9FwhaCNzy-RRGPVPfVYTttO4PUGDdaFvbz-Ue0/edit?gid=1870218791#gid=1870218791"", ""Rev vs Mktg &amp; Mktg Mix!U"" &amp; ROW(Y48))
"),12.609)</f>
        <v>12.609</v>
      </c>
      <c r="U112" s="28"/>
      <c r="V112" s="28"/>
      <c r="W112" s="30">
        <f>VLOOKUP(VALUE(LEFT($A114, 4)), 'Raw Annual Revenue'!$A:W, 23, FALSE) / 4</f>
        <v>457716.25</v>
      </c>
      <c r="X112" s="31"/>
      <c r="Y112" s="31"/>
      <c r="Z112" s="31"/>
      <c r="AA112" s="31"/>
      <c r="AB112" s="31"/>
      <c r="AC112" s="28"/>
    </row>
    <row r="113" spans="1:29" ht="13">
      <c r="A113" s="27" t="s">
        <v>138</v>
      </c>
      <c r="B113" s="38">
        <f ca="1">IFERROR(__xludf.DUMMYFUNCTION("IMPORTRANGE(""https://docs.google.com/spreadsheets/d/1bozxp9FwhaCNzy-RRGPVPfVYTttO4PUGDdaFvbz-Ue0/edit?gid=1870218791#gid=1870218791"", ""Rev vs Mktg &amp; Mktg Mix!B"" &amp; ROW(A49))
"),3732)</f>
        <v>3732</v>
      </c>
      <c r="C113" s="38">
        <f ca="1">IFERROR(__xludf.DUMMYFUNCTION("IMPORTRANGE(""https://docs.google.com/spreadsheets/d/1bozxp9FwhaCNzy-RRGPVPfVYTttO4PUGDdaFvbz-Ue0/edit?gid=1870218791#gid=1870218791"", ""Rev vs Mktg &amp; Mktg Mix!C"" &amp; ROW(B49))
"),7994)</f>
        <v>7994</v>
      </c>
      <c r="D113" s="38">
        <f ca="1">IFERROR(__xludf.DUMMYFUNCTION("IMPORTRANGE(""https://docs.google.com/spreadsheets/d/1bozxp9FwhaCNzy-RRGPVPfVYTttO4PUGDdaFvbz-Ue0/edit?gid=1870218791#gid=1870218791"", ""Rev vs Mktg &amp; Mktg Mix!D"" &amp; ROW(C49))
"),4060)</f>
        <v>4060</v>
      </c>
      <c r="E113" s="38">
        <f ca="1">IFERROR(__xludf.DUMMYFUNCTION("IMPORTRANGE(""https://docs.google.com/spreadsheets/d/1bozxp9FwhaCNzy-RRGPVPfVYTttO4PUGDdaFvbz-Ue0/edit?gid=1870218791#gid=1870218791"", ""Rev vs Mktg &amp; Mktg Mix!E"" &amp; ROW(E49))
"),2265)</f>
        <v>2265</v>
      </c>
      <c r="F113" s="38">
        <f ca="1">IFERROR(__xludf.DUMMYFUNCTION("IMPORTRANGE(""https://docs.google.com/spreadsheets/d/1bozxp9FwhaCNzy-RRGPVPfVYTttO4PUGDdaFvbz-Ue0/edit?gid=1870218791#gid=1870218791"", ""Rev vs Mktg &amp; Mktg Mix!F"" &amp; ROW(G49))
"),532)</f>
        <v>532</v>
      </c>
      <c r="G113" s="38">
        <f ca="1">IFERROR(__xludf.DUMMYFUNCTION("IMPORTRANGE(""https://docs.google.com/spreadsheets/d/1bozxp9FwhaCNzy-RRGPVPfVYTttO4PUGDdaFvbz-Ue0/edit?gid=1870218791#gid=1870218791"", ""Rev vs Mktg &amp; Mktg Mix!G"" &amp; ROW(I49))
"),146.087)</f>
        <v>146.08699999999999</v>
      </c>
      <c r="H113" s="38">
        <f ca="1">IFERROR(__xludf.DUMMYFUNCTION("IMPORTRANGE(""https://docs.google.com/spreadsheets/d/1bozxp9FwhaCNzy-RRGPVPfVYTttO4PUGDdaFvbz-Ue0/edit?gid=1870218791#gid=1870218791"", ""Rev vs Mktg &amp; Mktg Mix!H"" &amp; ROW(H49))
"),184.58)</f>
        <v>184.58</v>
      </c>
      <c r="I113" s="38">
        <f ca="1">IFERROR(__xludf.DUMMYFUNCTION("IMPORTRANGE(""https://docs.google.com/spreadsheets/d/1bozxp9FwhaCNzy-RRGPVPfVYTttO4PUGDdaFvbz-Ue0/edit?gid=1870218791#gid=1870218791"", ""Rev vs Mktg &amp; Mktg Mix!I"" &amp; ROW(K49))
"),193.9)</f>
        <v>193.9</v>
      </c>
      <c r="J113" s="38">
        <f ca="1">IFERROR(__xludf.DUMMYFUNCTION("IMPORTRANGE(""https://docs.google.com/spreadsheets/d/1bozxp9FwhaCNzy-RRGPVPfVYTttO4PUGDdaFvbz-Ue0/edit?gid=1870218791#gid=1870218791"", ""Rev vs Mktg &amp; Mktg Mix!J"" &amp; ROW(J49))
"),210.993)</f>
        <v>210.99299999999999</v>
      </c>
      <c r="K113" s="31">
        <f ca="1">IFERROR(__xludf.DUMMYFUNCTION("IMPORTRANGE(""https://docs.google.com/spreadsheets/d/1bozxp9FwhaCNzy-RRGPVPfVYTttO4PUGDdaFvbz-Ue0/edit?gid=1870218791#gid=1870218791"", ""Rev vs Mktg &amp; Mktg Mix!K"" &amp; ROW(M49))*1000
"),25716.4634146341)</f>
        <v>25716.463414634101</v>
      </c>
      <c r="L113" s="38">
        <f ca="1">IFERROR(__xludf.DUMMYFUNCTION("IMPORTRANGE(""https://docs.google.com/spreadsheets/d/1bozxp9FwhaCNzy-RRGPVPfVYTttO4PUGDdaFvbz-Ue0/edit?gid=1870218791#gid=1870218791"", ""Rev vs Mktg &amp; Mktg Mix!L"" &amp; ROW(N49))
"),117.8816667)</f>
        <v>117.8816667</v>
      </c>
      <c r="M113" s="37">
        <f ca="1">IFERROR(__xludf.DUMMYFUNCTION("IMPORTRANGE(""https://docs.google.com/spreadsheets/d/1bozxp9FwhaCNzy-RRGPVPfVYTttO4PUGDdaFvbz-Ue0/edit?gid=1870218791#gid=1870218791"", ""Rev vs Mktg &amp; Mktg Mix!M"" &amp; ROW(M49))
"),56.187881274)</f>
        <v>56.187881273999999</v>
      </c>
      <c r="N113" s="37">
        <f ca="1">IFERROR(__xludf.DUMMYFUNCTION("IMPORTRANGE(""https://docs.google.com/spreadsheets/d/1bozxp9FwhaCNzy-RRGPVPfVYTttO4PUGDdaFvbz-Ue0/edit?gid=1870218791#gid=1870218791"", ""Rev vs Mktg &amp; Mktg Mix!N"" &amp; ROW(N49))
"),14.33)</f>
        <v>14.33</v>
      </c>
      <c r="O113" s="29"/>
      <c r="P113" s="37">
        <f ca="1">IFERROR(__xludf.DUMMYFUNCTION("IMPORTRANGE(""https://docs.google.com/spreadsheets/d/1bozxp9FwhaCNzy-RRGPVPfVYTttO4PUGDdaFvbz-Ue0/edit?gid=1870218791#gid=1870218791"", ""Rev vs Mktg &amp; Mktg Mix!P"" &amp; ROW(P49))
"),20.1825)</f>
        <v>20.182500000000001</v>
      </c>
      <c r="Q113" s="28"/>
      <c r="R113" s="43">
        <f ca="1">IFERROR(__xludf.DUMMYFUNCTION("IMPORTRANGE(""https://docs.google.com/spreadsheets/d/1bozxp9FwhaCNzy-RRGPVPfVYTttO4PUGDdaFvbz-Ue0/edit?gid=1870218791#gid=1870218791"", ""Rev vs Mktg &amp; Mktg Mix!S"" &amp; ROW(S49))*1000
"),95370)</f>
        <v>95370</v>
      </c>
      <c r="S113" s="50">
        <f ca="1">IFERROR(__xludf.DUMMYFUNCTION("IMPORTRANGE(""https://docs.google.com/spreadsheets/d/1bozxp9FwhaCNzy-RRGPVPfVYTttO4PUGDdaFvbz-Ue0/edit?gid=1870218791#gid=1870218791"", ""Rev vs Mktg &amp; Mktg Mix!T"" &amp; ROW(X49))*1000
"),13314.3902439024)</f>
        <v>13314.3902439024</v>
      </c>
      <c r="T113" s="41">
        <f ca="1">IFERROR(__xludf.DUMMYFUNCTION("IMPORTRANGE(""https://docs.google.com/spreadsheets/d/1bozxp9FwhaCNzy-RRGPVPfVYTttO4PUGDdaFvbz-Ue0/edit?gid=1870218791#gid=1870218791"", ""Rev vs Mktg &amp; Mktg Mix!U"" &amp; ROW(Y49))
"),28.216)</f>
        <v>28.216000000000001</v>
      </c>
      <c r="U113" s="28"/>
      <c r="V113" s="28"/>
      <c r="W113" s="30"/>
      <c r="X113" s="31"/>
      <c r="Y113" s="31"/>
      <c r="Z113" s="31"/>
      <c r="AA113" s="31"/>
      <c r="AB113" s="31"/>
      <c r="AC113" s="28"/>
    </row>
    <row r="114" spans="1:29" ht="13">
      <c r="A114" s="27" t="s">
        <v>139</v>
      </c>
      <c r="B114" s="31">
        <v>11</v>
      </c>
      <c r="C114" s="28"/>
      <c r="D114" s="44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9"/>
      <c r="P114" s="28"/>
      <c r="Q114" s="28"/>
      <c r="R114" s="36"/>
      <c r="S114" s="28"/>
      <c r="T114" s="28"/>
      <c r="U114" s="28"/>
      <c r="V114" s="28"/>
      <c r="W114" s="30"/>
      <c r="X114" s="31"/>
      <c r="Y114" s="31"/>
      <c r="Z114" s="31"/>
      <c r="AA114" s="31"/>
      <c r="AB114" s="31"/>
      <c r="AC114" s="28"/>
    </row>
    <row r="115" spans="1:29" ht="13">
      <c r="A115" s="28"/>
      <c r="B115" s="51"/>
      <c r="C115" s="51"/>
      <c r="D115" s="51"/>
      <c r="E115" s="51"/>
      <c r="F115" s="51"/>
      <c r="G115" s="51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28"/>
    </row>
    <row r="116" spans="1:29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36" t="str">
        <f ca="1">IFERROR(__xludf.DUMMYFUNCTION("IMPORTRANGE(""https://docs.google.com/spreadsheets/d/1bozxp9FwhaCNzy-RRGPVPfVYTttO4PUGDdaFvbz-Ue0/edit?gid=1870218791#gid=1870218791"", ""Rev vs Mktg &amp; Mktg Mix!K"" &amp; ROW(M46))
"),"")</f>
        <v/>
      </c>
      <c r="L116" s="28"/>
      <c r="M116" s="28"/>
      <c r="N116" s="28"/>
      <c r="O116" s="29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3">
      <c r="A117" s="27" t="s">
        <v>322</v>
      </c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9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3">
      <c r="A118" s="27" t="s">
        <v>28</v>
      </c>
      <c r="B118" s="28"/>
      <c r="C118" s="28"/>
      <c r="D118" s="30">
        <f>VLOOKUP(VALUE(LEFT(A118, 4)), 'Raw Annual EBITDA'!A:D, 4, FALSE) / 4</f>
        <v>-7108.5</v>
      </c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9"/>
      <c r="P118" s="28"/>
      <c r="Q118" s="28"/>
      <c r="R118" s="28"/>
      <c r="S118" s="28"/>
      <c r="T118" s="28"/>
      <c r="U118" s="28"/>
      <c r="V118" s="30">
        <f>VLOOKUP(VALUE(LEFT($A118, 4)), 'Raw Annual EBITDA'!$A:V, 22, FALSE) / 4</f>
        <v>-4680</v>
      </c>
      <c r="W118" s="30">
        <f>VLOOKUP(VALUE(LEFT($A120, 4)), 'Raw Annual EBITDA'!$A:W, 23, FALSE) / 4</f>
        <v>4318.25</v>
      </c>
      <c r="X118" s="28"/>
      <c r="Y118" s="28"/>
      <c r="Z118" s="28"/>
      <c r="AA118" s="28"/>
      <c r="AB118" s="28"/>
      <c r="AC118" s="28"/>
    </row>
    <row r="119" spans="1:29" ht="13">
      <c r="A119" s="27" t="s">
        <v>29</v>
      </c>
      <c r="B119" s="28"/>
      <c r="C119" s="28"/>
      <c r="D119" s="30">
        <f>VLOOKUP(VALUE(LEFT(A119, 4)), 'Raw Annual EBITDA'!A:D, 4, FALSE) / 4</f>
        <v>-7108.5</v>
      </c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9"/>
      <c r="P119" s="28"/>
      <c r="Q119" s="28"/>
      <c r="R119" s="28"/>
      <c r="S119" s="28"/>
      <c r="T119" s="28"/>
      <c r="U119" s="28"/>
      <c r="V119" s="30">
        <f>VLOOKUP(VALUE(LEFT($A119, 4)), 'Raw Annual EBITDA'!$A:V, 22, FALSE) / 4</f>
        <v>-4680</v>
      </c>
      <c r="W119" s="30">
        <f>VLOOKUP(VALUE(LEFT($A121, 4)), 'Raw Annual EBITDA'!$A:W, 23, FALSE) / 4</f>
        <v>4318.25</v>
      </c>
      <c r="X119" s="28"/>
      <c r="Y119" s="28"/>
      <c r="Z119" s="28"/>
      <c r="AA119" s="28"/>
      <c r="AB119" s="28"/>
      <c r="AC119" s="28"/>
    </row>
    <row r="120" spans="1:29" ht="13">
      <c r="A120" s="27" t="s">
        <v>30</v>
      </c>
      <c r="B120" s="28"/>
      <c r="C120" s="28"/>
      <c r="D120" s="30">
        <f>VLOOKUP(VALUE(LEFT(A120, 4)), 'Raw Annual EBITDA'!A:D, 4, FALSE) / 4</f>
        <v>-7108.5</v>
      </c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32"/>
      <c r="P120" s="28"/>
      <c r="Q120" s="28"/>
      <c r="R120" s="28"/>
      <c r="S120" s="28"/>
      <c r="T120" s="28"/>
      <c r="U120" s="28"/>
      <c r="V120" s="30">
        <f>VLOOKUP(VALUE(LEFT($A120, 4)), 'Raw Annual EBITDA'!$A:V, 22, FALSE) / 4</f>
        <v>-4680</v>
      </c>
      <c r="W120" s="30">
        <f>VLOOKUP(VALUE(LEFT($A122, 4)), 'Raw Annual EBITDA'!$A:W, 23, FALSE) / 4</f>
        <v>5093</v>
      </c>
      <c r="X120" s="28"/>
      <c r="Y120" s="28"/>
      <c r="Z120" s="28"/>
      <c r="AA120" s="28"/>
      <c r="AB120" s="28"/>
      <c r="AC120" s="28"/>
    </row>
    <row r="121" spans="1:29" ht="13">
      <c r="A121" s="27" t="s">
        <v>31</v>
      </c>
      <c r="B121" s="28"/>
      <c r="C121" s="28"/>
      <c r="D121" s="30">
        <f>VLOOKUP(VALUE(LEFT(A121, 4)), 'Raw Annual EBITDA'!A:D, 4, FALSE) / 4</f>
        <v>-7108.5</v>
      </c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32"/>
      <c r="P121" s="28"/>
      <c r="Q121" s="28"/>
      <c r="R121" s="28"/>
      <c r="S121" s="28"/>
      <c r="T121" s="28"/>
      <c r="U121" s="28"/>
      <c r="V121" s="30">
        <f>VLOOKUP(VALUE(LEFT($A121, 4)), 'Raw Annual EBITDA'!$A:V, 22, FALSE) / 4</f>
        <v>-4680</v>
      </c>
      <c r="W121" s="30">
        <f>VLOOKUP(VALUE(LEFT($A123, 4)), 'Raw Annual EBITDA'!$A:W, 23, FALSE) / 4</f>
        <v>5093</v>
      </c>
      <c r="X121" s="28"/>
      <c r="Y121" s="28"/>
      <c r="Z121" s="28"/>
      <c r="AA121" s="28"/>
      <c r="AB121" s="28"/>
      <c r="AC121" s="28"/>
    </row>
    <row r="122" spans="1:29" ht="13">
      <c r="A122" s="27" t="s">
        <v>32</v>
      </c>
      <c r="B122" s="28"/>
      <c r="C122" s="30">
        <f>VLOOKUP(VALUE(LEFT(A122, 4)), 'Raw Annual EBITDA'!A:C, 3, FALSE) / 4</f>
        <v>-13238</v>
      </c>
      <c r="D122" s="30">
        <f>VLOOKUP(VALUE(LEFT(A122, 4)), 'Raw Annual EBITDA'!A:D, 4, FALSE) / 4</f>
        <v>-7182</v>
      </c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32"/>
      <c r="P122" s="28"/>
      <c r="Q122" s="28"/>
      <c r="R122" s="28"/>
      <c r="S122" s="28"/>
      <c r="T122" s="28"/>
      <c r="U122" s="28"/>
      <c r="V122" s="30">
        <f>VLOOKUP(VALUE(LEFT($A122, 4)), 'Raw Annual EBITDA'!$A:V, 22, FALSE) / 4</f>
        <v>-5320</v>
      </c>
      <c r="W122" s="30">
        <f>VLOOKUP(VALUE(LEFT($A124, 4)), 'Raw Annual EBITDA'!$A:W, 23, FALSE) / 4</f>
        <v>5093</v>
      </c>
      <c r="X122" s="28"/>
      <c r="Y122" s="28"/>
      <c r="Z122" s="28"/>
      <c r="AA122" s="28"/>
      <c r="AB122" s="28"/>
      <c r="AC122" s="28"/>
    </row>
    <row r="123" spans="1:29" ht="13">
      <c r="A123" s="27" t="s">
        <v>33</v>
      </c>
      <c r="B123" s="28"/>
      <c r="C123" s="30">
        <f>VLOOKUP(VALUE(LEFT(A123, 4)), 'Raw Annual EBITDA'!A:C, 3, FALSE) / 4</f>
        <v>-13238</v>
      </c>
      <c r="D123" s="30">
        <f>VLOOKUP(VALUE(LEFT(A123, 4)), 'Raw Annual EBITDA'!A:D, 4, FALSE) / 4</f>
        <v>-7182</v>
      </c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32"/>
      <c r="P123" s="28"/>
      <c r="Q123" s="28"/>
      <c r="R123" s="28"/>
      <c r="S123" s="28"/>
      <c r="T123" s="28"/>
      <c r="U123" s="28"/>
      <c r="V123" s="30">
        <f>VLOOKUP(VALUE(LEFT($A123, 4)), 'Raw Annual EBITDA'!$A:V, 22, FALSE) / 4</f>
        <v>-5320</v>
      </c>
      <c r="W123" s="30">
        <f>VLOOKUP(VALUE(LEFT($A125, 4)), 'Raw Annual EBITDA'!$A:W, 23, FALSE) / 4</f>
        <v>5093</v>
      </c>
      <c r="X123" s="28"/>
      <c r="Y123" s="28"/>
      <c r="Z123" s="28"/>
      <c r="AA123" s="28"/>
      <c r="AB123" s="28"/>
      <c r="AC123" s="28"/>
    </row>
    <row r="124" spans="1:29" ht="13">
      <c r="A124" s="27" t="s">
        <v>34</v>
      </c>
      <c r="B124" s="28"/>
      <c r="C124" s="30">
        <f>VLOOKUP(VALUE(LEFT(A124, 4)), 'Raw Annual EBITDA'!A:C, 3, FALSE) / 4</f>
        <v>-13238</v>
      </c>
      <c r="D124" s="30">
        <f>VLOOKUP(VALUE(LEFT(A124, 4)), 'Raw Annual EBITDA'!A:D, 4, FALSE) / 4</f>
        <v>-7182</v>
      </c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32"/>
      <c r="P124" s="28"/>
      <c r="Q124" s="28"/>
      <c r="R124" s="28"/>
      <c r="S124" s="28"/>
      <c r="T124" s="28"/>
      <c r="U124" s="28"/>
      <c r="V124" s="30">
        <f>VLOOKUP(VALUE(LEFT($A124, 4)), 'Raw Annual EBITDA'!$A:V, 22, FALSE) / 4</f>
        <v>-5320</v>
      </c>
      <c r="W124" s="30">
        <f>VLOOKUP(VALUE(LEFT($A126, 4)), 'Raw Annual EBITDA'!$A:W, 23, FALSE) / 4</f>
        <v>5219</v>
      </c>
      <c r="X124" s="28"/>
      <c r="Y124" s="28"/>
      <c r="Z124" s="28"/>
      <c r="AA124" s="28"/>
      <c r="AB124" s="28"/>
      <c r="AC124" s="28"/>
    </row>
    <row r="125" spans="1:29" ht="13">
      <c r="A125" s="27" t="s">
        <v>35</v>
      </c>
      <c r="B125" s="28"/>
      <c r="C125" s="30">
        <f>VLOOKUP(VALUE(LEFT(A125, 4)), 'Raw Annual EBITDA'!A:C, 3, FALSE) / 4</f>
        <v>-13238</v>
      </c>
      <c r="D125" s="30">
        <f>VLOOKUP(VALUE(LEFT(A125, 4)), 'Raw Annual EBITDA'!A:D, 4, FALSE) / 4</f>
        <v>-7182</v>
      </c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32"/>
      <c r="P125" s="28"/>
      <c r="Q125" s="28"/>
      <c r="R125" s="28"/>
      <c r="S125" s="28"/>
      <c r="T125" s="28"/>
      <c r="U125" s="28"/>
      <c r="V125" s="30">
        <f>VLOOKUP(VALUE(LEFT($A125, 4)), 'Raw Annual EBITDA'!$A:V, 22, FALSE) / 4</f>
        <v>-5320</v>
      </c>
      <c r="W125" s="30">
        <f>VLOOKUP(VALUE(LEFT($A127, 4)), 'Raw Annual EBITDA'!$A:W, 23, FALSE) / 4</f>
        <v>5219</v>
      </c>
      <c r="X125" s="28"/>
      <c r="Y125" s="28"/>
      <c r="Z125" s="28"/>
      <c r="AA125" s="28"/>
      <c r="AB125" s="28"/>
      <c r="AC125" s="28"/>
    </row>
    <row r="126" spans="1:29" ht="13">
      <c r="A126" s="27" t="s">
        <v>36</v>
      </c>
      <c r="B126" s="28"/>
      <c r="C126" s="30">
        <f>VLOOKUP(VALUE(LEFT(A126, 4)), 'Raw Annual EBITDA'!A:C, 3, FALSE) / 4</f>
        <v>-14510.25</v>
      </c>
      <c r="D126" s="30">
        <f>VLOOKUP(VALUE(LEFT(A126, 4)), 'Raw Annual EBITDA'!A:D, 4, FALSE) / 4</f>
        <v>-4706</v>
      </c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52"/>
      <c r="P126" s="28"/>
      <c r="Q126" s="28"/>
      <c r="R126" s="30">
        <f>VLOOKUP(VALUE(LEFT($A126, 4)), 'Raw Annual EBITDA'!$A:R, 18, FALSE) / 4</f>
        <v>-1665.25</v>
      </c>
      <c r="S126" s="28"/>
      <c r="T126" s="28"/>
      <c r="U126" s="28"/>
      <c r="V126" s="30">
        <f>VLOOKUP(VALUE(LEFT($A126, 4)), 'Raw Annual EBITDA'!$A:V, 22, FALSE) / 4</f>
        <v>-5157.75</v>
      </c>
      <c r="W126" s="30">
        <f>VLOOKUP(VALUE(LEFT($A128, 4)), 'Raw Annual EBITDA'!$A:W, 23, FALSE) / 4</f>
        <v>5219</v>
      </c>
      <c r="X126" s="28"/>
      <c r="Y126" s="28"/>
      <c r="Z126" s="28"/>
      <c r="AA126" s="28"/>
      <c r="AB126" s="28"/>
      <c r="AC126" s="28"/>
    </row>
    <row r="127" spans="1:29" ht="13">
      <c r="A127" s="27" t="s">
        <v>37</v>
      </c>
      <c r="B127" s="28"/>
      <c r="C127" s="30">
        <f>VLOOKUP(VALUE(LEFT(A127, 4)), 'Raw Annual EBITDA'!A:C, 3, FALSE) / 4</f>
        <v>-14510.25</v>
      </c>
      <c r="D127" s="30">
        <f>VLOOKUP(VALUE(LEFT(A127, 4)), 'Raw Annual EBITDA'!A:D, 4, FALSE) / 4</f>
        <v>-4706</v>
      </c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32"/>
      <c r="P127" s="28"/>
      <c r="Q127" s="28"/>
      <c r="R127" s="30">
        <f>VLOOKUP(VALUE(LEFT($A127, 4)), 'Raw Annual EBITDA'!$A:R, 18, FALSE) / 4</f>
        <v>-1665.25</v>
      </c>
      <c r="S127" s="28"/>
      <c r="T127" s="28"/>
      <c r="U127" s="28"/>
      <c r="V127" s="30">
        <f>VLOOKUP(VALUE(LEFT($A127, 4)), 'Raw Annual EBITDA'!$A:V, 22, FALSE) / 4</f>
        <v>-5157.75</v>
      </c>
      <c r="W127" s="30">
        <f>VLOOKUP(VALUE(LEFT($A129, 4)), 'Raw Annual EBITDA'!$A:W, 23, FALSE) / 4</f>
        <v>5219</v>
      </c>
      <c r="X127" s="28"/>
      <c r="Y127" s="28"/>
      <c r="Z127" s="28"/>
      <c r="AA127" s="28"/>
      <c r="AB127" s="28"/>
      <c r="AC127" s="28"/>
    </row>
    <row r="128" spans="1:29" ht="13">
      <c r="A128" s="27" t="s">
        <v>38</v>
      </c>
      <c r="B128" s="28"/>
      <c r="C128" s="30">
        <f>VLOOKUP(VALUE(LEFT(A128, 4)), 'Raw Annual EBITDA'!A:C, 3, FALSE) / 4</f>
        <v>-14510.25</v>
      </c>
      <c r="D128" s="30">
        <f>VLOOKUP(VALUE(LEFT(A128, 4)), 'Raw Annual EBITDA'!A:D, 4, FALSE) / 4</f>
        <v>-4706</v>
      </c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32"/>
      <c r="P128" s="28"/>
      <c r="Q128" s="28"/>
      <c r="R128" s="30">
        <f>VLOOKUP(VALUE(LEFT($A128, 4)), 'Raw Annual EBITDA'!$A:R, 18, FALSE) / 4</f>
        <v>-1665.25</v>
      </c>
      <c r="S128" s="28"/>
      <c r="T128" s="28"/>
      <c r="U128" s="28"/>
      <c r="V128" s="30">
        <f>VLOOKUP(VALUE(LEFT($A128, 4)), 'Raw Annual EBITDA'!$A:V, 22, FALSE) / 4</f>
        <v>-5157.75</v>
      </c>
      <c r="W128" s="30">
        <f>VLOOKUP(VALUE(LEFT($A130, 4)), 'Raw Annual EBITDA'!$A:W, 23, FALSE) / 4</f>
        <v>8500.75</v>
      </c>
      <c r="X128" s="28"/>
      <c r="Y128" s="28"/>
      <c r="Z128" s="28"/>
      <c r="AA128" s="28"/>
      <c r="AB128" s="28"/>
      <c r="AC128" s="28"/>
    </row>
    <row r="129" spans="1:29" ht="13">
      <c r="A129" s="27" t="s">
        <v>39</v>
      </c>
      <c r="B129" s="28"/>
      <c r="C129" s="30">
        <f>VLOOKUP(VALUE(LEFT(A129, 4)), 'Raw Annual EBITDA'!A:C, 3, FALSE) / 4</f>
        <v>-14510.25</v>
      </c>
      <c r="D129" s="30">
        <f>VLOOKUP(VALUE(LEFT(A129, 4)), 'Raw Annual EBITDA'!A:D, 4, FALSE) / 4</f>
        <v>-4706</v>
      </c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32"/>
      <c r="P129" s="28"/>
      <c r="Q129" s="28"/>
      <c r="R129" s="30">
        <f>VLOOKUP(VALUE(LEFT($A129, 4)), 'Raw Annual EBITDA'!$A:R, 18, FALSE) / 4</f>
        <v>-1665.25</v>
      </c>
      <c r="S129" s="28"/>
      <c r="T129" s="28"/>
      <c r="U129" s="28"/>
      <c r="V129" s="30">
        <f>VLOOKUP(VALUE(LEFT($A129, 4)), 'Raw Annual EBITDA'!$A:V, 22, FALSE) / 4</f>
        <v>-5157.75</v>
      </c>
      <c r="W129" s="30">
        <f>VLOOKUP(VALUE(LEFT($A131, 4)), 'Raw Annual EBITDA'!$A:W, 23, FALSE) / 4</f>
        <v>8500.75</v>
      </c>
      <c r="X129" s="28"/>
      <c r="Y129" s="28"/>
      <c r="Z129" s="28"/>
      <c r="AA129" s="28"/>
      <c r="AB129" s="28"/>
      <c r="AC129" s="28"/>
    </row>
    <row r="130" spans="1:29" ht="13">
      <c r="A130" s="27" t="s">
        <v>40</v>
      </c>
      <c r="B130" s="28"/>
      <c r="C130" s="30">
        <f>VLOOKUP(VALUE(LEFT(A130, 4)), 'Raw Annual EBITDA'!A:C, 3, FALSE) / 4</f>
        <v>-7881.25</v>
      </c>
      <c r="D130" s="30">
        <f>VLOOKUP(VALUE(LEFT(A130, 4)), 'Raw Annual EBITDA'!A:D, 4, FALSE) / 4</f>
        <v>-27337.75</v>
      </c>
      <c r="E130" s="30">
        <f>VLOOKUP(VALUE(LEFT(A130, 4)), 'Raw Annual EBITDA'!A:E, 5, FALSE) / 4</f>
        <v>-932.25</v>
      </c>
      <c r="F130" s="28"/>
      <c r="G130" s="28"/>
      <c r="H130" s="28"/>
      <c r="I130" s="28"/>
      <c r="J130" s="28"/>
      <c r="K130" s="28"/>
      <c r="L130" s="28"/>
      <c r="M130" s="28"/>
      <c r="N130" s="28"/>
      <c r="O130" s="32"/>
      <c r="P130" s="28"/>
      <c r="Q130" s="28"/>
      <c r="R130" s="30">
        <f>VLOOKUP(VALUE(LEFT($A130, 4)), 'Raw Annual EBITDA'!$A:R, 18, FALSE) / 4</f>
        <v>-14005.75</v>
      </c>
      <c r="S130" s="28"/>
      <c r="T130" s="28"/>
      <c r="U130" s="30"/>
      <c r="V130" s="30">
        <f>VLOOKUP(VALUE(LEFT($A130, 4)), 'Raw Annual EBITDA'!$A:V, 22, FALSE) / 4</f>
        <v>-27247</v>
      </c>
      <c r="W130" s="30">
        <f>VLOOKUP(VALUE(LEFT($A132, 4)), 'Raw Annual EBITDA'!$A:W, 23, FALSE) / 4</f>
        <v>8500.75</v>
      </c>
      <c r="X130" s="28"/>
      <c r="Y130" s="28"/>
      <c r="Z130" s="28"/>
      <c r="AA130" s="28"/>
      <c r="AB130" s="28"/>
      <c r="AC130" s="28"/>
    </row>
    <row r="131" spans="1:29" ht="13">
      <c r="A131" s="27" t="s">
        <v>41</v>
      </c>
      <c r="B131" s="28"/>
      <c r="C131" s="30">
        <f>VLOOKUP(VALUE(LEFT(A131, 4)), 'Raw Annual EBITDA'!A:C, 3, FALSE) / 4</f>
        <v>-7881.25</v>
      </c>
      <c r="D131" s="30">
        <f>VLOOKUP(VALUE(LEFT(A131, 4)), 'Raw Annual EBITDA'!A:D, 4, FALSE) / 4</f>
        <v>-27337.75</v>
      </c>
      <c r="E131" s="30">
        <f>VLOOKUP(VALUE(LEFT(A131, 4)), 'Raw Annual EBITDA'!A:E, 5, FALSE) / 4</f>
        <v>-932.25</v>
      </c>
      <c r="F131" s="28"/>
      <c r="G131" s="28"/>
      <c r="H131" s="28"/>
      <c r="I131" s="28"/>
      <c r="J131" s="28"/>
      <c r="K131" s="28"/>
      <c r="L131" s="28"/>
      <c r="M131" s="28"/>
      <c r="N131" s="28"/>
      <c r="O131" s="32"/>
      <c r="P131" s="28"/>
      <c r="Q131" s="28"/>
      <c r="R131" s="30">
        <f>VLOOKUP(VALUE(LEFT($A131, 4)), 'Raw Annual EBITDA'!$A:R, 18, FALSE) / 4</f>
        <v>-14005.75</v>
      </c>
      <c r="S131" s="28"/>
      <c r="T131" s="28"/>
      <c r="U131" s="30"/>
      <c r="V131" s="30">
        <f>VLOOKUP(VALUE(LEFT($A131, 4)), 'Raw Annual EBITDA'!$A:V, 22, FALSE) / 4</f>
        <v>-27247</v>
      </c>
      <c r="W131" s="30">
        <f>VLOOKUP(VALUE(LEFT($A133, 4)), 'Raw Annual EBITDA'!$A:W, 23, FALSE) / 4</f>
        <v>8500.75</v>
      </c>
      <c r="X131" s="28"/>
      <c r="Y131" s="28"/>
      <c r="Z131" s="28"/>
      <c r="AA131" s="28"/>
      <c r="AB131" s="28"/>
      <c r="AC131" s="28"/>
    </row>
    <row r="132" spans="1:29" ht="13">
      <c r="A132" s="27" t="s">
        <v>42</v>
      </c>
      <c r="B132" s="28"/>
      <c r="C132" s="30">
        <f>VLOOKUP(VALUE(LEFT(A132, 4)), 'Raw Annual EBITDA'!A:C, 3, FALSE) / 4</f>
        <v>-7881.25</v>
      </c>
      <c r="D132" s="30">
        <f>VLOOKUP(VALUE(LEFT(A132, 4)), 'Raw Annual EBITDA'!A:D, 4, FALSE) / 4</f>
        <v>-27337.75</v>
      </c>
      <c r="E132" s="30">
        <f>VLOOKUP(VALUE(LEFT(A132, 4)), 'Raw Annual EBITDA'!A:E, 5, FALSE) / 4</f>
        <v>-932.25</v>
      </c>
      <c r="F132" s="28"/>
      <c r="G132" s="28"/>
      <c r="H132" s="28"/>
      <c r="I132" s="28"/>
      <c r="J132" s="28"/>
      <c r="K132" s="28"/>
      <c r="L132" s="28"/>
      <c r="M132" s="28"/>
      <c r="N132" s="28"/>
      <c r="O132" s="32"/>
      <c r="P132" s="28"/>
      <c r="Q132" s="28"/>
      <c r="R132" s="30">
        <f>VLOOKUP(VALUE(LEFT($A132, 4)), 'Raw Annual EBITDA'!$A:R, 18, FALSE) / 4</f>
        <v>-14005.75</v>
      </c>
      <c r="S132" s="28"/>
      <c r="T132" s="28"/>
      <c r="U132" s="30"/>
      <c r="V132" s="30">
        <f>VLOOKUP(VALUE(LEFT($A132, 4)), 'Raw Annual EBITDA'!$A:V, 22, FALSE) / 4</f>
        <v>-27247</v>
      </c>
      <c r="W132" s="30">
        <f>VLOOKUP(VALUE(LEFT($A134, 4)), 'Raw Annual EBITDA'!$A:W, 23, FALSE) / 4</f>
        <v>10650.75</v>
      </c>
      <c r="X132" s="28"/>
      <c r="Y132" s="28"/>
      <c r="Z132" s="28"/>
      <c r="AA132" s="28"/>
      <c r="AB132" s="28"/>
      <c r="AC132" s="28"/>
    </row>
    <row r="133" spans="1:29" ht="13">
      <c r="A133" s="27" t="s">
        <v>43</v>
      </c>
      <c r="B133" s="28"/>
      <c r="C133" s="30">
        <f>VLOOKUP(VALUE(LEFT(A133, 4)), 'Raw Annual EBITDA'!A:C, 3, FALSE) / 4</f>
        <v>-7881.25</v>
      </c>
      <c r="D133" s="30">
        <f>VLOOKUP(VALUE(LEFT(A133, 4)), 'Raw Annual EBITDA'!A:D, 4, FALSE) / 4</f>
        <v>-27337.75</v>
      </c>
      <c r="E133" s="30">
        <f>VLOOKUP(VALUE(LEFT(A133, 4)), 'Raw Annual EBITDA'!A:E, 5, FALSE) / 4</f>
        <v>-932.25</v>
      </c>
      <c r="F133" s="28"/>
      <c r="G133" s="28"/>
      <c r="H133" s="28"/>
      <c r="I133" s="28"/>
      <c r="J133" s="28"/>
      <c r="K133" s="28"/>
      <c r="L133" s="28"/>
      <c r="M133" s="28"/>
      <c r="N133" s="28"/>
      <c r="O133" s="32"/>
      <c r="P133" s="28"/>
      <c r="Q133" s="28"/>
      <c r="R133" s="30">
        <f>VLOOKUP(VALUE(LEFT($A133, 4)), 'Raw Annual EBITDA'!$A:R, 18, FALSE) / 4</f>
        <v>-14005.75</v>
      </c>
      <c r="S133" s="28"/>
      <c r="T133" s="28"/>
      <c r="U133" s="30"/>
      <c r="V133" s="30">
        <f>VLOOKUP(VALUE(LEFT($A133, 4)), 'Raw Annual EBITDA'!$A:V, 22, FALSE) / 4</f>
        <v>-27247</v>
      </c>
      <c r="W133" s="30">
        <f>VLOOKUP(VALUE(LEFT($A135, 4)), 'Raw Annual EBITDA'!$A:W, 23, FALSE) / 4</f>
        <v>10650.75</v>
      </c>
      <c r="X133" s="28"/>
      <c r="Y133" s="28"/>
      <c r="Z133" s="28"/>
      <c r="AA133" s="28"/>
      <c r="AB133" s="28"/>
      <c r="AC133" s="28"/>
    </row>
    <row r="134" spans="1:29" ht="13">
      <c r="A134" s="27" t="s">
        <v>44</v>
      </c>
      <c r="B134" s="28"/>
      <c r="C134" s="30">
        <f>VLOOKUP(VALUE(LEFT(A134, 4)), 'Raw Annual EBITDA'!A:C, 3, FALSE) / 4</f>
        <v>1687.5</v>
      </c>
      <c r="D134" s="30">
        <f>VLOOKUP(VALUE(LEFT(A134, 4)), 'Raw Annual EBITDA'!A:D, 4, FALSE) / 4</f>
        <v>-3244.25</v>
      </c>
      <c r="E134" s="30">
        <f>VLOOKUP(VALUE(LEFT(A134, 4)), 'Raw Annual EBITDA'!A:E, 5, FALSE) / 4</f>
        <v>-494.25</v>
      </c>
      <c r="F134" s="28"/>
      <c r="G134" s="28"/>
      <c r="H134" s="28"/>
      <c r="I134" s="28"/>
      <c r="J134" s="28"/>
      <c r="K134" s="28"/>
      <c r="L134" s="28"/>
      <c r="M134" s="28"/>
      <c r="N134" s="28"/>
      <c r="O134" s="32">
        <f>VLOOKUP(VALUE(LEFT(A134, 4)), 'Raw Annual EBITDA'!A:O, 15, FALSE) / 4</f>
        <v>-224.25</v>
      </c>
      <c r="P134" s="28"/>
      <c r="Q134" s="28"/>
      <c r="R134" s="30">
        <f>VLOOKUP(VALUE(LEFT($A134, 4)), 'Raw Annual EBITDA'!$A:R, 18, FALSE) / 4</f>
        <v>-12336.5</v>
      </c>
      <c r="S134" s="28"/>
      <c r="T134" s="28"/>
      <c r="U134" s="30">
        <f>VLOOKUP(VALUE(LEFT($A134, 4)), 'Raw Annual EBITDA'!$A:U, 21, FALSE) / 4</f>
        <v>-25809.25</v>
      </c>
      <c r="V134" s="30">
        <f>VLOOKUP(VALUE(LEFT($A134, 4)), 'Raw Annual EBITDA'!$A:V, 22, FALSE) / 4</f>
        <v>-22910.25</v>
      </c>
      <c r="W134" s="30">
        <f>VLOOKUP(VALUE(LEFT($A136, 4)), 'Raw Annual EBITDA'!$A:W, 23, FALSE) / 4</f>
        <v>10650.75</v>
      </c>
      <c r="X134" s="28"/>
      <c r="Y134" s="28"/>
      <c r="Z134" s="28"/>
      <c r="AA134" s="28"/>
      <c r="AB134" s="28"/>
      <c r="AC134" s="28"/>
    </row>
    <row r="135" spans="1:29" ht="13">
      <c r="A135" s="27" t="s">
        <v>45</v>
      </c>
      <c r="B135" s="28"/>
      <c r="C135" s="30">
        <f>VLOOKUP(VALUE(LEFT(A135, 4)), 'Raw Annual EBITDA'!A:C, 3, FALSE) / 4</f>
        <v>1687.5</v>
      </c>
      <c r="D135" s="30">
        <f>VLOOKUP(VALUE(LEFT(A135, 4)), 'Raw Annual EBITDA'!A:D, 4, FALSE) / 4</f>
        <v>-3244.25</v>
      </c>
      <c r="E135" s="30">
        <f>VLOOKUP(VALUE(LEFT(A135, 4)), 'Raw Annual EBITDA'!A:E, 5, FALSE) / 4</f>
        <v>-494.25</v>
      </c>
      <c r="F135" s="28"/>
      <c r="G135" s="28"/>
      <c r="H135" s="28"/>
      <c r="I135" s="28"/>
      <c r="J135" s="28"/>
      <c r="K135" s="28"/>
      <c r="L135" s="28"/>
      <c r="M135" s="28"/>
      <c r="N135" s="28"/>
      <c r="O135" s="32">
        <f>VLOOKUP(VALUE(LEFT(A135, 4)), 'Raw Annual EBITDA'!A:O, 15, FALSE) / 4</f>
        <v>-224.25</v>
      </c>
      <c r="P135" s="28"/>
      <c r="Q135" s="28"/>
      <c r="R135" s="30">
        <f>VLOOKUP(VALUE(LEFT($A135, 4)), 'Raw Annual EBITDA'!$A:R, 18, FALSE) / 4</f>
        <v>-12336.5</v>
      </c>
      <c r="S135" s="28"/>
      <c r="T135" s="28"/>
      <c r="U135" s="30">
        <f>VLOOKUP(VALUE(LEFT($A135, 4)), 'Raw Annual EBITDA'!$A:U, 21, FALSE) / 4</f>
        <v>-25809.25</v>
      </c>
      <c r="V135" s="30">
        <f>VLOOKUP(VALUE(LEFT($A135, 4)), 'Raw Annual EBITDA'!$A:V, 22, FALSE) / 4</f>
        <v>-22910.25</v>
      </c>
      <c r="W135" s="30">
        <f>VLOOKUP(VALUE(LEFT($A137, 4)), 'Raw Annual EBITDA'!$A:W, 23, FALSE) / 4</f>
        <v>10650.75</v>
      </c>
      <c r="X135" s="28"/>
      <c r="Y135" s="28"/>
      <c r="Z135" s="28"/>
      <c r="AA135" s="28"/>
      <c r="AB135" s="28"/>
      <c r="AC135" s="28"/>
    </row>
    <row r="136" spans="1:29" ht="13">
      <c r="A136" s="27" t="s">
        <v>46</v>
      </c>
      <c r="B136" s="28"/>
      <c r="C136" s="30">
        <f>VLOOKUP(VALUE(LEFT(A136, 4)), 'Raw Annual EBITDA'!A:C, 3, FALSE) / 4</f>
        <v>1687.5</v>
      </c>
      <c r="D136" s="30">
        <f>VLOOKUP(VALUE(LEFT(A136, 4)), 'Raw Annual EBITDA'!A:D, 4, FALSE) / 4</f>
        <v>-3244.25</v>
      </c>
      <c r="E136" s="30">
        <f>VLOOKUP(VALUE(LEFT(A136, 4)), 'Raw Annual EBITDA'!A:E, 5, FALSE) / 4</f>
        <v>-494.25</v>
      </c>
      <c r="F136" s="28"/>
      <c r="G136" s="28"/>
      <c r="H136" s="28"/>
      <c r="I136" s="28"/>
      <c r="J136" s="28"/>
      <c r="K136" s="28"/>
      <c r="L136" s="28"/>
      <c r="M136" s="28"/>
      <c r="N136" s="28"/>
      <c r="O136" s="32">
        <f>VLOOKUP(VALUE(LEFT(A138, 4)), 'Raw Annual EBITDA'!A:O, 15, FALSE) / 4</f>
        <v>-103.5</v>
      </c>
      <c r="P136" s="28"/>
      <c r="Q136" s="28"/>
      <c r="R136" s="30">
        <f>VLOOKUP(VALUE(LEFT($A136, 4)), 'Raw Annual EBITDA'!$A:R, 18, FALSE) / 4</f>
        <v>-12336.5</v>
      </c>
      <c r="S136" s="28"/>
      <c r="T136" s="28"/>
      <c r="U136" s="30">
        <f>VLOOKUP(VALUE(LEFT($A136, 4)), 'Raw Annual EBITDA'!$A:U, 21, FALSE) / 4</f>
        <v>-25809.25</v>
      </c>
      <c r="V136" s="30">
        <f>VLOOKUP(VALUE(LEFT($A136, 4)), 'Raw Annual EBITDA'!$A:V, 22, FALSE) / 4</f>
        <v>-22910.25</v>
      </c>
      <c r="W136" s="30">
        <f>VLOOKUP(VALUE(LEFT($A138, 4)), 'Raw Annual EBITDA'!$A:W, 23, FALSE) / 4</f>
        <v>10622.75</v>
      </c>
      <c r="X136" s="28"/>
      <c r="Y136" s="28"/>
      <c r="Z136" s="28"/>
      <c r="AA136" s="28"/>
      <c r="AB136" s="28"/>
      <c r="AC136" s="28"/>
    </row>
    <row r="137" spans="1:29" ht="13">
      <c r="A137" s="27" t="s">
        <v>47</v>
      </c>
      <c r="B137" s="28"/>
      <c r="C137" s="30">
        <f>VLOOKUP(VALUE(LEFT(A137, 4)), 'Raw Annual EBITDA'!A:C, 3, FALSE) / 4</f>
        <v>1687.5</v>
      </c>
      <c r="D137" s="30">
        <f>VLOOKUP(VALUE(LEFT(A137, 4)), 'Raw Annual EBITDA'!A:D, 4, FALSE) / 4</f>
        <v>-3244.25</v>
      </c>
      <c r="E137" s="30">
        <f>VLOOKUP(VALUE(LEFT(A137, 4)), 'Raw Annual EBITDA'!A:E, 5, FALSE) / 4</f>
        <v>-494.25</v>
      </c>
      <c r="F137" s="28"/>
      <c r="G137" s="28"/>
      <c r="H137" s="28"/>
      <c r="I137" s="28"/>
      <c r="J137" s="28"/>
      <c r="K137" s="28"/>
      <c r="L137" s="28"/>
      <c r="M137" s="28"/>
      <c r="N137" s="28"/>
      <c r="O137" s="32">
        <f>VLOOKUP(VALUE(LEFT(A139, 4)), 'Raw Annual EBITDA'!A:O, 15, FALSE) / 4</f>
        <v>-103.5</v>
      </c>
      <c r="P137" s="28"/>
      <c r="Q137" s="28"/>
      <c r="R137" s="30">
        <f>VLOOKUP(VALUE(LEFT($A137, 4)), 'Raw Annual EBITDA'!$A:R, 18, FALSE) / 4</f>
        <v>-12336.5</v>
      </c>
      <c r="S137" s="28"/>
      <c r="T137" s="28"/>
      <c r="U137" s="30">
        <f>VLOOKUP(VALUE(LEFT($A137, 4)), 'Raw Annual EBITDA'!$A:U, 21, FALSE) / 4</f>
        <v>-25809.25</v>
      </c>
      <c r="V137" s="30">
        <f>VLOOKUP(VALUE(LEFT($A137, 4)), 'Raw Annual EBITDA'!$A:V, 22, FALSE) / 4</f>
        <v>-22910.25</v>
      </c>
      <c r="W137" s="30">
        <f>VLOOKUP(VALUE(LEFT($A139, 4)), 'Raw Annual EBITDA'!$A:W, 23, FALSE) / 4</f>
        <v>10622.75</v>
      </c>
      <c r="X137" s="28"/>
      <c r="Y137" s="28"/>
      <c r="Z137" s="28"/>
      <c r="AA137" s="28"/>
      <c r="AB137" s="28"/>
      <c r="AC137" s="28"/>
    </row>
    <row r="138" spans="1:29" ht="13">
      <c r="A138" s="27" t="s">
        <v>48</v>
      </c>
      <c r="B138" s="28"/>
      <c r="C138" s="30">
        <f>VLOOKUP(VALUE(LEFT(A138, 4)), 'Raw Annual EBITDA'!A:C, 3, FALSE) / 4</f>
        <v>5663.5</v>
      </c>
      <c r="D138" s="30">
        <f>VLOOKUP(VALUE(LEFT(A138, 4)), 'Raw Annual EBITDA'!A:D, 4, FALSE) / 4</f>
        <v>64350</v>
      </c>
      <c r="E138" s="30">
        <f>VLOOKUP(VALUE(LEFT(A138, 4)), 'Raw Annual EBITDA'!A:E, 5, FALSE) / 4</f>
        <v>829.75</v>
      </c>
      <c r="F138" s="28"/>
      <c r="G138" s="28"/>
      <c r="H138" s="28"/>
      <c r="I138" s="28"/>
      <c r="J138" s="28"/>
      <c r="K138" s="28"/>
      <c r="L138" s="28"/>
      <c r="M138" s="28"/>
      <c r="N138" s="28"/>
      <c r="O138" s="32">
        <f>VLOOKUP(VALUE(LEFT(A140, 4)), 'Raw Annual EBITDA'!A:O, 15, FALSE) / 4</f>
        <v>-103.5</v>
      </c>
      <c r="P138" s="28"/>
      <c r="Q138" s="28"/>
      <c r="R138" s="30">
        <f>VLOOKUP(VALUE(LEFT($A138, 4)), 'Raw Annual EBITDA'!$A:R, 18, FALSE) / 4</f>
        <v>-2875.5</v>
      </c>
      <c r="S138" s="28"/>
      <c r="T138" s="28"/>
      <c r="U138" s="30">
        <f>VLOOKUP(VALUE(LEFT($A138, 4)), 'Raw Annual EBITDA'!$A:U, 21, FALSE) / 4</f>
        <v>-4468.75</v>
      </c>
      <c r="V138" s="30"/>
      <c r="W138" s="30">
        <f>VLOOKUP(VALUE(LEFT($A140, 4)), 'Raw Annual EBITDA'!$A:W, 23, FALSE) / 4</f>
        <v>10622.75</v>
      </c>
      <c r="X138" s="28"/>
      <c r="Y138" s="28"/>
      <c r="Z138" s="28"/>
      <c r="AA138" s="28"/>
      <c r="AB138" s="28"/>
      <c r="AC138" s="28"/>
    </row>
    <row r="139" spans="1:29" ht="13">
      <c r="A139" s="27" t="s">
        <v>49</v>
      </c>
      <c r="B139" s="28"/>
      <c r="C139" s="30">
        <f>VLOOKUP(VALUE(LEFT(A139, 4)), 'Raw Annual EBITDA'!A:C, 3, FALSE) / 4</f>
        <v>5663.5</v>
      </c>
      <c r="D139" s="30">
        <f>VLOOKUP(VALUE(LEFT(A139, 4)), 'Raw Annual EBITDA'!A:D, 4, FALSE) / 4</f>
        <v>64350</v>
      </c>
      <c r="E139" s="30">
        <f>VLOOKUP(VALUE(LEFT(A139, 4)), 'Raw Annual EBITDA'!A:E, 5, FALSE) / 4</f>
        <v>829.75</v>
      </c>
      <c r="F139" s="28"/>
      <c r="G139" s="28"/>
      <c r="H139" s="28"/>
      <c r="I139" s="28"/>
      <c r="J139" s="28"/>
      <c r="K139" s="28"/>
      <c r="L139" s="28"/>
      <c r="M139" s="28"/>
      <c r="N139" s="28"/>
      <c r="O139" s="32">
        <f>VLOOKUP(VALUE(LEFT(A141, 4)), 'Raw Annual EBITDA'!A:O, 15, FALSE) / 4</f>
        <v>-103.5</v>
      </c>
      <c r="P139" s="28"/>
      <c r="Q139" s="28"/>
      <c r="R139" s="30">
        <f>VLOOKUP(VALUE(LEFT($A139, 4)), 'Raw Annual EBITDA'!$A:R, 18, FALSE) / 4</f>
        <v>-2875.5</v>
      </c>
      <c r="S139" s="28"/>
      <c r="T139" s="28"/>
      <c r="U139" s="30">
        <f>VLOOKUP(VALUE(LEFT($A139, 4)), 'Raw Annual EBITDA'!$A:U, 21, FALSE) / 4</f>
        <v>-4468.75</v>
      </c>
      <c r="V139" s="30"/>
      <c r="W139" s="30">
        <f>VLOOKUP(VALUE(LEFT($A141, 4)), 'Raw Annual EBITDA'!$A:W, 23, FALSE) / 4</f>
        <v>10622.75</v>
      </c>
      <c r="X139" s="28"/>
      <c r="Y139" s="28"/>
      <c r="Z139" s="28"/>
      <c r="AA139" s="28"/>
      <c r="AB139" s="28"/>
      <c r="AC139" s="28"/>
    </row>
    <row r="140" spans="1:29" ht="13">
      <c r="A140" s="27" t="s">
        <v>50</v>
      </c>
      <c r="B140" s="28"/>
      <c r="C140" s="30">
        <f>VLOOKUP(VALUE(LEFT(A140, 4)), 'Raw Annual EBITDA'!A:C, 3, FALSE) / 4</f>
        <v>5663.5</v>
      </c>
      <c r="D140" s="30">
        <f>VLOOKUP(VALUE(LEFT(A140, 4)), 'Raw Annual EBITDA'!A:D, 4, FALSE) / 4</f>
        <v>64350</v>
      </c>
      <c r="E140" s="30">
        <f>VLOOKUP(VALUE(LEFT(A140, 4)), 'Raw Annual EBITDA'!A:E, 5, FALSE) / 4</f>
        <v>829.75</v>
      </c>
      <c r="F140" s="28"/>
      <c r="G140" s="28"/>
      <c r="H140" s="28"/>
      <c r="I140" s="28"/>
      <c r="J140" s="28"/>
      <c r="K140" s="28"/>
      <c r="L140" s="28"/>
      <c r="M140" s="28"/>
      <c r="N140" s="28"/>
      <c r="O140" s="32">
        <f>VLOOKUP(VALUE(LEFT(A142, 4)), 'Raw Annual EBITDA'!A:O, 15, FALSE) / 4</f>
        <v>-106.75</v>
      </c>
      <c r="P140" s="28"/>
      <c r="Q140" s="28"/>
      <c r="R140" s="30">
        <f>VLOOKUP(VALUE(LEFT($A140, 4)), 'Raw Annual EBITDA'!$A:R, 18, FALSE) / 4</f>
        <v>-2875.5</v>
      </c>
      <c r="S140" s="28"/>
      <c r="T140" s="28"/>
      <c r="U140" s="30">
        <f>VLOOKUP(VALUE(LEFT($A140, 4)), 'Raw Annual EBITDA'!$A:U, 21, FALSE) / 4</f>
        <v>-4468.75</v>
      </c>
      <c r="V140" s="30"/>
      <c r="W140" s="30">
        <f>VLOOKUP(VALUE(LEFT($A142, 4)), 'Raw Annual EBITDA'!$A:W, 23, FALSE) / 4</f>
        <v>15673.5</v>
      </c>
      <c r="X140" s="28"/>
      <c r="Y140" s="28"/>
      <c r="Z140" s="28"/>
      <c r="AA140" s="28"/>
      <c r="AB140" s="28"/>
      <c r="AC140" s="28"/>
    </row>
    <row r="141" spans="1:29" ht="13">
      <c r="A141" s="27" t="s">
        <v>51</v>
      </c>
      <c r="B141" s="28"/>
      <c r="C141" s="30">
        <f>VLOOKUP(VALUE(LEFT(A141, 4)), 'Raw Annual EBITDA'!A:C, 3, FALSE) / 4</f>
        <v>5663.5</v>
      </c>
      <c r="D141" s="30">
        <f>VLOOKUP(VALUE(LEFT(A141, 4)), 'Raw Annual EBITDA'!A:D, 4, FALSE) / 4</f>
        <v>64350</v>
      </c>
      <c r="E141" s="30">
        <f>VLOOKUP(VALUE(LEFT(A141, 4)), 'Raw Annual EBITDA'!A:E, 5, FALSE) / 4</f>
        <v>829.75</v>
      </c>
      <c r="F141" s="28"/>
      <c r="G141" s="28"/>
      <c r="H141" s="28"/>
      <c r="I141" s="28"/>
      <c r="J141" s="28"/>
      <c r="K141" s="28"/>
      <c r="L141" s="28"/>
      <c r="M141" s="28"/>
      <c r="N141" s="28"/>
      <c r="O141" s="32">
        <f>VLOOKUP(VALUE(LEFT(A143, 4)), 'Raw Annual EBITDA'!A:O, 15, FALSE) / 4</f>
        <v>-106.75</v>
      </c>
      <c r="P141" s="28"/>
      <c r="Q141" s="28"/>
      <c r="R141" s="30">
        <f>VLOOKUP(VALUE(LEFT($A141, 4)), 'Raw Annual EBITDA'!$A:R, 18, FALSE) / 4</f>
        <v>-2875.5</v>
      </c>
      <c r="S141" s="28"/>
      <c r="T141" s="28"/>
      <c r="U141" s="30">
        <f>VLOOKUP(VALUE(LEFT($A141, 4)), 'Raw Annual EBITDA'!$A:U, 21, FALSE) / 4</f>
        <v>-4468.75</v>
      </c>
      <c r="V141" s="30"/>
      <c r="W141" s="30">
        <f>VLOOKUP(VALUE(LEFT($A143, 4)), 'Raw Annual EBITDA'!$A:W, 23, FALSE) / 4</f>
        <v>15673.5</v>
      </c>
      <c r="X141" s="28"/>
      <c r="Y141" s="28"/>
      <c r="Z141" s="28"/>
      <c r="AA141" s="28"/>
      <c r="AB141" s="28"/>
      <c r="AC141" s="28"/>
    </row>
    <row r="142" spans="1:29" ht="13">
      <c r="A142" s="27" t="s">
        <v>52</v>
      </c>
      <c r="B142" s="28"/>
      <c r="C142" s="30">
        <f>VLOOKUP(VALUE(LEFT(A142, 4)), 'Raw Annual EBITDA'!A:C, 3, FALSE) / 4</f>
        <v>6500.75</v>
      </c>
      <c r="D142" s="30">
        <f>VLOOKUP(VALUE(LEFT(A142, 4)), 'Raw Annual EBITDA'!A:D, 4, FALSE) / 4</f>
        <v>91506.75</v>
      </c>
      <c r="E142" s="30">
        <f>VLOOKUP(VALUE(LEFT(A142, 4)), 'Raw Annual EBITDA'!A:E, 5, FALSE) / 4</f>
        <v>1937</v>
      </c>
      <c r="F142" s="28"/>
      <c r="G142" s="28"/>
      <c r="H142" s="28"/>
      <c r="I142" s="28"/>
      <c r="J142" s="28"/>
      <c r="K142" s="28"/>
      <c r="L142" s="28"/>
      <c r="M142" s="28"/>
      <c r="N142" s="28"/>
      <c r="O142" s="32">
        <f>VLOOKUP(VALUE(LEFT(A144, 4)), 'Raw Annual EBITDA'!A:O, 15, FALSE) / 4</f>
        <v>-106.75</v>
      </c>
      <c r="P142" s="28"/>
      <c r="Q142" s="28"/>
      <c r="R142" s="30">
        <f>VLOOKUP(VALUE(LEFT($A142, 4)), 'Raw Annual EBITDA'!$A:R, 18, FALSE) / 4</f>
        <v>-22457.75</v>
      </c>
      <c r="S142" s="28"/>
      <c r="T142" s="28"/>
      <c r="U142" s="30">
        <f>VLOOKUP(VALUE(LEFT($A142, 4)), 'Raw Annual EBITDA'!$A:U, 21, FALSE) / 4</f>
        <v>-4007.25</v>
      </c>
      <c r="V142" s="28"/>
      <c r="W142" s="30">
        <f>VLOOKUP(VALUE(LEFT($A144, 4)), 'Raw Annual EBITDA'!$A:W, 23, FALSE) / 4</f>
        <v>15673.5</v>
      </c>
      <c r="X142" s="28"/>
      <c r="Y142" s="28"/>
      <c r="Z142" s="28"/>
      <c r="AA142" s="28"/>
      <c r="AB142" s="28"/>
      <c r="AC142" s="28"/>
    </row>
    <row r="143" spans="1:29" ht="13">
      <c r="A143" s="27" t="s">
        <v>53</v>
      </c>
      <c r="B143" s="28"/>
      <c r="C143" s="30">
        <f>VLOOKUP(VALUE(LEFT(A143, 4)), 'Raw Annual EBITDA'!A:C, 3, FALSE) / 4</f>
        <v>6500.75</v>
      </c>
      <c r="D143" s="30">
        <f>VLOOKUP(VALUE(LEFT(A143, 4)), 'Raw Annual EBITDA'!A:D, 4, FALSE) / 4</f>
        <v>91506.75</v>
      </c>
      <c r="E143" s="30">
        <f>VLOOKUP(VALUE(LEFT(A143, 4)), 'Raw Annual EBITDA'!A:E, 5, FALSE) / 4</f>
        <v>1937</v>
      </c>
      <c r="F143" s="28"/>
      <c r="G143" s="28"/>
      <c r="H143" s="28"/>
      <c r="I143" s="28"/>
      <c r="J143" s="28"/>
      <c r="K143" s="28"/>
      <c r="L143" s="28"/>
      <c r="M143" s="28"/>
      <c r="N143" s="28"/>
      <c r="O143" s="32">
        <f>VLOOKUP(VALUE(LEFT(A145, 4)), 'Raw Annual EBITDA'!A:O, 15, FALSE) / 4</f>
        <v>-106.75</v>
      </c>
      <c r="P143" s="28"/>
      <c r="Q143" s="28"/>
      <c r="R143" s="30">
        <f>VLOOKUP(VALUE(LEFT($A143, 4)), 'Raw Annual EBITDA'!$A:R, 18, FALSE) / 4</f>
        <v>-22457.75</v>
      </c>
      <c r="S143" s="28"/>
      <c r="T143" s="28"/>
      <c r="U143" s="30">
        <f>VLOOKUP(VALUE(LEFT($A143, 4)), 'Raw Annual EBITDA'!$A:U, 21, FALSE) / 4</f>
        <v>-4007.25</v>
      </c>
      <c r="V143" s="28"/>
      <c r="W143" s="30">
        <f>VLOOKUP(VALUE(LEFT($A145, 4)), 'Raw Annual EBITDA'!$A:W, 23, FALSE) / 4</f>
        <v>15673.5</v>
      </c>
      <c r="X143" s="28"/>
      <c r="Y143" s="28"/>
      <c r="Z143" s="28"/>
      <c r="AA143" s="28"/>
      <c r="AB143" s="28"/>
      <c r="AC143" s="28"/>
    </row>
    <row r="144" spans="1:29" ht="13">
      <c r="A144" s="27" t="s">
        <v>54</v>
      </c>
      <c r="B144" s="28"/>
      <c r="C144" s="30">
        <f>VLOOKUP(VALUE(LEFT(A144, 4)), 'Raw Annual EBITDA'!A:C, 3, FALSE) / 4</f>
        <v>6500.75</v>
      </c>
      <c r="D144" s="30">
        <f>VLOOKUP(VALUE(LEFT(A144, 4)), 'Raw Annual EBITDA'!A:D, 4, FALSE) / 4</f>
        <v>91506.75</v>
      </c>
      <c r="E144" s="30">
        <f>VLOOKUP(VALUE(LEFT(A144, 4)), 'Raw Annual EBITDA'!A:E, 5, FALSE) / 4</f>
        <v>1937</v>
      </c>
      <c r="F144" s="28"/>
      <c r="G144" s="28"/>
      <c r="H144" s="28"/>
      <c r="I144" s="28"/>
      <c r="J144" s="28"/>
      <c r="K144" s="28"/>
      <c r="L144" s="28"/>
      <c r="M144" s="28"/>
      <c r="N144" s="28"/>
      <c r="O144" s="32">
        <f>VLOOKUP(VALUE(LEFT(A146, 4)), 'Raw Annual EBITDA'!A:O, 15, FALSE) / 4</f>
        <v>-172</v>
      </c>
      <c r="P144" s="28"/>
      <c r="Q144" s="28"/>
      <c r="R144" s="30">
        <f>VLOOKUP(VALUE(LEFT($A144, 4)), 'Raw Annual EBITDA'!$A:R, 18, FALSE) / 4</f>
        <v>-22457.75</v>
      </c>
      <c r="S144" s="28"/>
      <c r="T144" s="28"/>
      <c r="U144" s="30">
        <f>VLOOKUP(VALUE(LEFT($A144, 4)), 'Raw Annual EBITDA'!$A:U, 21, FALSE) / 4</f>
        <v>-4007.25</v>
      </c>
      <c r="V144" s="28"/>
      <c r="W144" s="30">
        <f>VLOOKUP(VALUE(LEFT($A146, 4)), 'Raw Annual EBITDA'!$A:W, 23, FALSE) / 4</f>
        <v>20857.25</v>
      </c>
      <c r="X144" s="28"/>
      <c r="Y144" s="28"/>
      <c r="Z144" s="28"/>
      <c r="AA144" s="28"/>
      <c r="AB144" s="28"/>
      <c r="AC144" s="28"/>
    </row>
    <row r="145" spans="1:29" ht="13">
      <c r="A145" s="27" t="s">
        <v>55</v>
      </c>
      <c r="B145" s="28"/>
      <c r="C145" s="30">
        <f>VLOOKUP(VALUE(LEFT(A145, 4)), 'Raw Annual EBITDA'!A:C, 3, FALSE) / 4</f>
        <v>6500.75</v>
      </c>
      <c r="D145" s="30">
        <f>VLOOKUP(VALUE(LEFT(A145, 4)), 'Raw Annual EBITDA'!A:D, 4, FALSE) / 4</f>
        <v>91506.75</v>
      </c>
      <c r="E145" s="30">
        <f>VLOOKUP(VALUE(LEFT(A145, 4)), 'Raw Annual EBITDA'!A:E, 5, FALSE) / 4</f>
        <v>1937</v>
      </c>
      <c r="F145" s="28"/>
      <c r="G145" s="28"/>
      <c r="H145" s="28"/>
      <c r="I145" s="28"/>
      <c r="J145" s="28"/>
      <c r="K145" s="28"/>
      <c r="L145" s="28"/>
      <c r="M145" s="28"/>
      <c r="N145" s="28"/>
      <c r="O145" s="32">
        <f>VLOOKUP(VALUE(LEFT(A147, 4)), 'Raw Annual EBITDA'!A:O, 15, FALSE) / 4</f>
        <v>-172</v>
      </c>
      <c r="P145" s="28"/>
      <c r="Q145" s="28"/>
      <c r="R145" s="30">
        <f>VLOOKUP(VALUE(LEFT($A145, 4)), 'Raw Annual EBITDA'!$A:R, 18, FALSE) / 4</f>
        <v>-22457.75</v>
      </c>
      <c r="S145" s="28"/>
      <c r="T145" s="28"/>
      <c r="U145" s="30">
        <f>VLOOKUP(VALUE(LEFT($A145, 4)), 'Raw Annual EBITDA'!$A:U, 21, FALSE) / 4</f>
        <v>-4007.25</v>
      </c>
      <c r="V145" s="28"/>
      <c r="W145" s="30">
        <f>VLOOKUP(VALUE(LEFT($A147, 4)), 'Raw Annual EBITDA'!$A:W, 23, FALSE) / 4</f>
        <v>20857.25</v>
      </c>
      <c r="X145" s="28"/>
      <c r="Y145" s="28"/>
      <c r="Z145" s="28"/>
      <c r="AA145" s="28"/>
      <c r="AB145" s="28"/>
      <c r="AC145" s="28"/>
    </row>
    <row r="146" spans="1:29" ht="13">
      <c r="A146" s="27" t="s">
        <v>56</v>
      </c>
      <c r="B146" s="28"/>
      <c r="C146" s="30">
        <f>VLOOKUP(VALUE(LEFT(A146, 4)), 'Raw Annual EBITDA'!A:C, 3, FALSE) / 4</f>
        <v>11199.75</v>
      </c>
      <c r="D146" s="30">
        <f>VLOOKUP(VALUE(LEFT(A146, 4)), 'Raw Annual EBITDA'!A:D, 4, FALSE) / 4</f>
        <v>102407.5</v>
      </c>
      <c r="E146" s="30">
        <f>VLOOKUP(VALUE(LEFT(A146, 4)), 'Raw Annual EBITDA'!A:E, 5, FALSE) / 4</f>
        <v>4248</v>
      </c>
      <c r="F146" s="28"/>
      <c r="G146" s="28"/>
      <c r="H146" s="28"/>
      <c r="I146" s="28"/>
      <c r="J146" s="28"/>
      <c r="K146" s="28"/>
      <c r="L146" s="28"/>
      <c r="M146" s="28"/>
      <c r="N146" s="28"/>
      <c r="O146" s="32">
        <f>VLOOKUP(VALUE(LEFT(A148, 4)), 'Raw Annual EBITDA'!A:O, 15, FALSE) / 4</f>
        <v>-172</v>
      </c>
      <c r="P146" s="28"/>
      <c r="Q146" s="28"/>
      <c r="R146" s="30"/>
      <c r="S146" s="28"/>
      <c r="T146" s="28"/>
      <c r="U146" s="30">
        <f>VLOOKUP(VALUE(LEFT($A146, 4)), 'Raw Annual EBITDA'!$A:U, 21, FALSE) / 4</f>
        <v>-15000</v>
      </c>
      <c r="V146" s="28"/>
      <c r="W146" s="30">
        <f>VLOOKUP(VALUE(LEFT($A148, 4)), 'Raw Annual EBITDA'!$A:W, 23, FALSE) / 4</f>
        <v>20857.25</v>
      </c>
      <c r="X146" s="28"/>
      <c r="Y146" s="28"/>
      <c r="Z146" s="28"/>
      <c r="AA146" s="28"/>
      <c r="AB146" s="28"/>
      <c r="AC146" s="28"/>
    </row>
    <row r="147" spans="1:29" ht="13">
      <c r="A147" s="27" t="s">
        <v>57</v>
      </c>
      <c r="B147" s="28"/>
      <c r="C147" s="30">
        <f>VLOOKUP(VALUE(LEFT(A147, 4)), 'Raw Annual EBITDA'!A:C, 3, FALSE) / 4</f>
        <v>11199.75</v>
      </c>
      <c r="D147" s="30">
        <f>VLOOKUP(VALUE(LEFT(A147, 4)), 'Raw Annual EBITDA'!A:D, 4, FALSE) / 4</f>
        <v>102407.5</v>
      </c>
      <c r="E147" s="30">
        <f>VLOOKUP(VALUE(LEFT(A147, 4)), 'Raw Annual EBITDA'!A:E, 5, FALSE) / 4</f>
        <v>4248</v>
      </c>
      <c r="F147" s="28"/>
      <c r="G147" s="28"/>
      <c r="H147" s="28"/>
      <c r="I147" s="28"/>
      <c r="J147" s="28"/>
      <c r="K147" s="28"/>
      <c r="L147" s="28"/>
      <c r="M147" s="28"/>
      <c r="N147" s="28"/>
      <c r="O147" s="32">
        <f>VLOOKUP(VALUE(LEFT(A149, 4)), 'Raw Annual EBITDA'!A:O, 15, FALSE) / 4</f>
        <v>-172</v>
      </c>
      <c r="P147" s="28"/>
      <c r="Q147" s="28"/>
      <c r="R147" s="28"/>
      <c r="S147" s="28"/>
      <c r="T147" s="28"/>
      <c r="U147" s="30">
        <f>VLOOKUP(VALUE(LEFT($A147, 4)), 'Raw Annual EBITDA'!$A:U, 21, FALSE) / 4</f>
        <v>-15000</v>
      </c>
      <c r="V147" s="28"/>
      <c r="W147" s="30">
        <f>VLOOKUP(VALUE(LEFT($A149, 4)), 'Raw Annual EBITDA'!$A:W, 23, FALSE) / 4</f>
        <v>20857.25</v>
      </c>
      <c r="X147" s="28"/>
      <c r="Y147" s="28"/>
      <c r="Z147" s="28"/>
      <c r="AA147" s="28"/>
      <c r="AB147" s="28"/>
      <c r="AC147" s="28"/>
    </row>
    <row r="148" spans="1:29" ht="13">
      <c r="A148" s="27" t="s">
        <v>58</v>
      </c>
      <c r="B148" s="28"/>
      <c r="C148" s="30">
        <f>VLOOKUP(VALUE(LEFT(A148, 4)), 'Raw Annual EBITDA'!A:C, 3, FALSE) / 4</f>
        <v>11199.75</v>
      </c>
      <c r="D148" s="30">
        <f>VLOOKUP(VALUE(LEFT(A148, 4)), 'Raw Annual EBITDA'!A:D, 4, FALSE) / 4</f>
        <v>102407.5</v>
      </c>
      <c r="E148" s="30">
        <f>VLOOKUP(VALUE(LEFT(A148, 4)), 'Raw Annual EBITDA'!A:E, 5, FALSE) / 4</f>
        <v>4248</v>
      </c>
      <c r="F148" s="28"/>
      <c r="G148" s="28"/>
      <c r="H148" s="28"/>
      <c r="I148" s="28"/>
      <c r="J148" s="28"/>
      <c r="K148" s="28"/>
      <c r="L148" s="28"/>
      <c r="M148" s="28"/>
      <c r="N148" s="28"/>
      <c r="O148" s="32">
        <f>VLOOKUP(VALUE(LEFT(A150, 4)), 'Raw Annual EBITDA'!A:O, 15, FALSE) / 4</f>
        <v>324.5</v>
      </c>
      <c r="P148" s="28"/>
      <c r="Q148" s="28"/>
      <c r="R148" s="28"/>
      <c r="S148" s="28"/>
      <c r="T148" s="28"/>
      <c r="U148" s="30">
        <f>VLOOKUP(VALUE(LEFT($A148, 4)), 'Raw Annual EBITDA'!$A:U, 21, FALSE) / 4</f>
        <v>-15000</v>
      </c>
      <c r="V148" s="28"/>
      <c r="W148" s="30">
        <f>VLOOKUP(VALUE(LEFT($A150, 4)), 'Raw Annual EBITDA'!$A:W, 23, FALSE) / 4</f>
        <v>26915.25</v>
      </c>
      <c r="X148" s="28"/>
      <c r="Y148" s="28"/>
      <c r="Z148" s="28"/>
      <c r="AA148" s="28"/>
      <c r="AB148" s="28"/>
      <c r="AC148" s="28"/>
    </row>
    <row r="149" spans="1:29" ht="13">
      <c r="A149" s="27" t="s">
        <v>59</v>
      </c>
      <c r="B149" s="28"/>
      <c r="C149" s="30">
        <f>VLOOKUP(VALUE(LEFT(A149, 4)), 'Raw Annual EBITDA'!A:C, 3, FALSE) / 4</f>
        <v>11199.75</v>
      </c>
      <c r="D149" s="30">
        <f>VLOOKUP(VALUE(LEFT(A149, 4)), 'Raw Annual EBITDA'!A:D, 4, FALSE) / 4</f>
        <v>102407.5</v>
      </c>
      <c r="E149" s="30">
        <f>VLOOKUP(VALUE(LEFT(A149, 4)), 'Raw Annual EBITDA'!A:E, 5, FALSE) / 4</f>
        <v>4248</v>
      </c>
      <c r="F149" s="28"/>
      <c r="G149" s="28"/>
      <c r="H149" s="28"/>
      <c r="I149" s="28"/>
      <c r="J149" s="28"/>
      <c r="K149" s="28"/>
      <c r="L149" s="28"/>
      <c r="M149" s="28"/>
      <c r="N149" s="28"/>
      <c r="O149" s="32">
        <f>VLOOKUP(VALUE(LEFT(A151, 4)), 'Raw Annual EBITDA'!A:O, 15, FALSE) / 4</f>
        <v>324.5</v>
      </c>
      <c r="P149" s="28"/>
      <c r="Q149" s="28"/>
      <c r="R149" s="28"/>
      <c r="S149" s="28"/>
      <c r="T149" s="28"/>
      <c r="U149" s="30"/>
      <c r="V149" s="28"/>
      <c r="W149" s="30">
        <f>VLOOKUP(VALUE(LEFT($A151, 4)), 'Raw Annual EBITDA'!$A:W, 23, FALSE) / 4</f>
        <v>26915.25</v>
      </c>
      <c r="X149" s="28"/>
      <c r="Y149" s="28"/>
      <c r="Z149" s="28"/>
      <c r="AA149" s="28"/>
      <c r="AB149" s="28"/>
      <c r="AC149" s="28"/>
    </row>
    <row r="150" spans="1:29" ht="13">
      <c r="A150" s="27" t="s">
        <v>60</v>
      </c>
      <c r="B150" s="28"/>
      <c r="C150" s="30">
        <f>VLOOKUP(VALUE(LEFT(A150, 4)), 'Raw Annual EBITDA'!A:C, 3, FALSE) / 4</f>
        <v>16212</v>
      </c>
      <c r="D150" s="30">
        <f>VLOOKUP(VALUE(LEFT(A150, 4)), 'Raw Annual EBITDA'!A:D, 4, FALSE) / 4</f>
        <v>143391</v>
      </c>
      <c r="E150" s="30">
        <f>VLOOKUP(VALUE(LEFT(A150, 4)), 'Raw Annual EBITDA'!A:E, 5, FALSE) / 4</f>
        <v>7783.75</v>
      </c>
      <c r="F150" s="28"/>
      <c r="G150" s="28"/>
      <c r="H150" s="28"/>
      <c r="I150" s="28"/>
      <c r="J150" s="28"/>
      <c r="K150" s="28"/>
      <c r="L150" s="28"/>
      <c r="M150" s="28"/>
      <c r="N150" s="28"/>
      <c r="O150" s="32">
        <f>VLOOKUP(VALUE(LEFT(A152, 4)), 'Raw Annual EBITDA'!A:O, 15, FALSE) / 4</f>
        <v>324.5</v>
      </c>
      <c r="P150" s="28"/>
      <c r="Q150" s="28"/>
      <c r="R150" s="28"/>
      <c r="S150" s="28"/>
      <c r="T150" s="28"/>
      <c r="U150" s="30"/>
      <c r="V150" s="28"/>
      <c r="W150" s="30">
        <f>VLOOKUP(VALUE(LEFT($A152, 4)), 'Raw Annual EBITDA'!$A:W, 23, FALSE) / 4</f>
        <v>26915.25</v>
      </c>
      <c r="X150" s="28"/>
      <c r="Y150" s="28"/>
      <c r="Z150" s="28"/>
      <c r="AA150" s="28"/>
      <c r="AB150" s="28"/>
      <c r="AC150" s="28"/>
    </row>
    <row r="151" spans="1:29" ht="13">
      <c r="A151" s="27" t="s">
        <v>61</v>
      </c>
      <c r="B151" s="28"/>
      <c r="C151" s="30">
        <f>VLOOKUP(VALUE(LEFT(A151, 4)), 'Raw Annual EBITDA'!A:C, 3, FALSE) / 4</f>
        <v>16212</v>
      </c>
      <c r="D151" s="30">
        <f>VLOOKUP(VALUE(LEFT(A151, 4)), 'Raw Annual EBITDA'!A:D, 4, FALSE) / 4</f>
        <v>143391</v>
      </c>
      <c r="E151" s="30">
        <f>VLOOKUP(VALUE(LEFT(A151, 4)), 'Raw Annual EBITDA'!A:E, 5, FALSE) / 4</f>
        <v>7783.75</v>
      </c>
      <c r="F151" s="28"/>
      <c r="G151" s="28"/>
      <c r="H151" s="28"/>
      <c r="I151" s="28"/>
      <c r="J151" s="28"/>
      <c r="K151" s="28"/>
      <c r="L151" s="28"/>
      <c r="M151" s="28"/>
      <c r="N151" s="28"/>
      <c r="O151" s="32">
        <f>VLOOKUP(VALUE(LEFT(A153, 4)), 'Raw Annual EBITDA'!A:O, 15, FALSE) / 4</f>
        <v>324.5</v>
      </c>
      <c r="P151" s="28"/>
      <c r="Q151" s="28"/>
      <c r="R151" s="28"/>
      <c r="S151" s="28"/>
      <c r="T151" s="28"/>
      <c r="U151" s="30"/>
      <c r="V151" s="28"/>
      <c r="W151" s="30">
        <f>VLOOKUP(VALUE(LEFT($A153, 4)), 'Raw Annual EBITDA'!$A:W, 23, FALSE) / 4</f>
        <v>26915.25</v>
      </c>
      <c r="X151" s="28"/>
      <c r="Y151" s="28"/>
      <c r="Z151" s="28"/>
      <c r="AA151" s="28"/>
      <c r="AB151" s="28"/>
      <c r="AC151" s="28"/>
    </row>
    <row r="152" spans="1:29" ht="13">
      <c r="A152" s="27" t="s">
        <v>62</v>
      </c>
      <c r="B152" s="28"/>
      <c r="C152" s="30">
        <f>VLOOKUP(VALUE(LEFT(A152, 4)), 'Raw Annual EBITDA'!A:C, 3, FALSE) / 4</f>
        <v>16212</v>
      </c>
      <c r="D152" s="30">
        <f>VLOOKUP(VALUE(LEFT(A152, 4)), 'Raw Annual EBITDA'!A:D, 4, FALSE) / 4</f>
        <v>143391</v>
      </c>
      <c r="E152" s="30">
        <f>VLOOKUP(VALUE(LEFT(A152, 4)), 'Raw Annual EBITDA'!A:E, 5, FALSE) / 4</f>
        <v>7783.75</v>
      </c>
      <c r="F152" s="28"/>
      <c r="G152" s="28"/>
      <c r="H152" s="28"/>
      <c r="I152" s="28"/>
      <c r="J152" s="28"/>
      <c r="K152" s="28"/>
      <c r="L152" s="28"/>
      <c r="M152" s="28"/>
      <c r="N152" s="28"/>
      <c r="O152" s="32">
        <f>VLOOKUP(VALUE(LEFT(A154, 4)), 'Raw Annual EBITDA'!A:O, 15, FALSE) / 4</f>
        <v>716</v>
      </c>
      <c r="P152" s="28"/>
      <c r="Q152" s="28"/>
      <c r="R152" s="28"/>
      <c r="S152" s="28"/>
      <c r="T152" s="28"/>
      <c r="U152" s="30"/>
      <c r="V152" s="28"/>
      <c r="W152" s="30">
        <f>VLOOKUP(VALUE(LEFT($A154, 4)), 'Raw Annual EBITDA'!$A:W, 23, FALSE) / 4</f>
        <v>27421.75</v>
      </c>
      <c r="X152" s="28"/>
      <c r="Y152" s="28"/>
      <c r="Z152" s="28"/>
      <c r="AA152" s="28"/>
      <c r="AB152" s="28"/>
      <c r="AC152" s="28"/>
    </row>
    <row r="153" spans="1:29" ht="13">
      <c r="A153" s="27" t="s">
        <v>63</v>
      </c>
      <c r="B153" s="28"/>
      <c r="C153" s="30">
        <f>VLOOKUP(VALUE(LEFT(A153, 4)), 'Raw Annual EBITDA'!A:C, 3, FALSE) / 4</f>
        <v>16212</v>
      </c>
      <c r="D153" s="30">
        <f>VLOOKUP(VALUE(LEFT(A153, 4)), 'Raw Annual EBITDA'!A:D, 4, FALSE) / 4</f>
        <v>143391</v>
      </c>
      <c r="E153" s="30">
        <f>VLOOKUP(VALUE(LEFT(A153, 4)), 'Raw Annual EBITDA'!A:E, 5, FALSE) / 4</f>
        <v>7783.75</v>
      </c>
      <c r="F153" s="28"/>
      <c r="G153" s="28"/>
      <c r="H153" s="28"/>
      <c r="I153" s="28"/>
      <c r="J153" s="28"/>
      <c r="K153" s="28"/>
      <c r="L153" s="28"/>
      <c r="M153" s="28"/>
      <c r="N153" s="28"/>
      <c r="O153" s="32">
        <f>VLOOKUP(VALUE(LEFT(A155, 4)), 'Raw Annual EBITDA'!A:O, 15, FALSE) / 4</f>
        <v>716</v>
      </c>
      <c r="P153" s="28"/>
      <c r="Q153" s="28"/>
      <c r="R153" s="28"/>
      <c r="S153" s="28"/>
      <c r="T153" s="28"/>
      <c r="U153" s="30"/>
      <c r="V153" s="28"/>
      <c r="W153" s="30">
        <f>VLOOKUP(VALUE(LEFT($A155, 4)), 'Raw Annual EBITDA'!$A:W, 23, FALSE) / 4</f>
        <v>27421.75</v>
      </c>
      <c r="X153" s="28"/>
      <c r="Y153" s="28"/>
      <c r="Z153" s="28"/>
      <c r="AA153" s="28"/>
      <c r="AB153" s="28"/>
      <c r="AC153" s="28"/>
    </row>
    <row r="154" spans="1:29" ht="13">
      <c r="A154" s="27" t="s">
        <v>64</v>
      </c>
      <c r="B154" s="28"/>
      <c r="C154" s="30">
        <f>VLOOKUP(VALUE(LEFT(A154, 4)), 'Raw Annual EBITDA'!A:C, 3, FALSE) / 4</f>
        <v>24255.25</v>
      </c>
      <c r="D154" s="30">
        <f>VLOOKUP(VALUE(LEFT(A154, 4)), 'Raw Annual EBITDA'!A:D, 4, FALSE) / 4</f>
        <v>139468.5</v>
      </c>
      <c r="E154" s="30">
        <f>VLOOKUP(VALUE(LEFT(A154, 4)), 'Raw Annual EBITDA'!A:E, 5, FALSE) / 4</f>
        <v>8984.75</v>
      </c>
      <c r="F154" s="28"/>
      <c r="G154" s="28"/>
      <c r="H154" s="28"/>
      <c r="I154" s="28"/>
      <c r="J154" s="28"/>
      <c r="K154" s="28"/>
      <c r="L154" s="28"/>
      <c r="M154" s="28"/>
      <c r="N154" s="28"/>
      <c r="O154" s="32">
        <f>VLOOKUP(VALUE(LEFT(A156, 4)), 'Raw Annual EBITDA'!A:O, 15, FALSE) / 4</f>
        <v>716</v>
      </c>
      <c r="P154" s="28"/>
      <c r="Q154" s="28"/>
      <c r="R154" s="28"/>
      <c r="S154" s="28"/>
      <c r="T154" s="28"/>
      <c r="U154" s="30"/>
      <c r="V154" s="28"/>
      <c r="W154" s="30">
        <f>VLOOKUP(VALUE(LEFT($A156, 4)), 'Raw Annual EBITDA'!$A:W, 23, FALSE) / 4</f>
        <v>27421.75</v>
      </c>
      <c r="X154" s="28"/>
      <c r="Y154" s="28"/>
      <c r="Z154" s="28"/>
      <c r="AA154" s="28"/>
      <c r="AB154" s="28"/>
      <c r="AC154" s="28"/>
    </row>
    <row r="155" spans="1:29" ht="13">
      <c r="A155" s="27" t="s">
        <v>65</v>
      </c>
      <c r="B155" s="28"/>
      <c r="C155" s="30">
        <f>VLOOKUP(VALUE(LEFT(A155, 4)), 'Raw Annual EBITDA'!A:C, 3, FALSE) / 4</f>
        <v>24255.25</v>
      </c>
      <c r="D155" s="30">
        <f>VLOOKUP(VALUE(LEFT(A155, 4)), 'Raw Annual EBITDA'!A:D, 4, FALSE) / 4</f>
        <v>139468.5</v>
      </c>
      <c r="E155" s="30">
        <f>VLOOKUP(VALUE(LEFT(A155, 4)), 'Raw Annual EBITDA'!A:E, 5, FALSE) / 4</f>
        <v>8984.75</v>
      </c>
      <c r="F155" s="28"/>
      <c r="G155" s="28"/>
      <c r="H155" s="28"/>
      <c r="I155" s="28"/>
      <c r="J155" s="28"/>
      <c r="K155" s="28"/>
      <c r="L155" s="28"/>
      <c r="M155" s="28"/>
      <c r="N155" s="28"/>
      <c r="O155" s="32">
        <f>VLOOKUP(VALUE(LEFT(A157, 4)), 'Raw Annual EBITDA'!A:O, 15, FALSE) / 4</f>
        <v>716</v>
      </c>
      <c r="P155" s="28"/>
      <c r="Q155" s="28"/>
      <c r="R155" s="28"/>
      <c r="S155" s="28"/>
      <c r="T155" s="28"/>
      <c r="U155" s="30"/>
      <c r="V155" s="28"/>
      <c r="W155" s="30">
        <f>VLOOKUP(VALUE(LEFT($A157, 4)), 'Raw Annual EBITDA'!$A:W, 23, FALSE) / 4</f>
        <v>27421.75</v>
      </c>
      <c r="X155" s="28"/>
      <c r="Y155" s="28"/>
      <c r="Z155" s="28"/>
      <c r="AA155" s="28"/>
      <c r="AB155" s="28"/>
      <c r="AC155" s="28"/>
    </row>
    <row r="156" spans="1:29" ht="13">
      <c r="A156" s="27" t="s">
        <v>66</v>
      </c>
      <c r="B156" s="28"/>
      <c r="C156" s="30">
        <f>VLOOKUP(VALUE(LEFT(A156, 4)), 'Raw Annual EBITDA'!A:C, 3, FALSE) / 4</f>
        <v>24255.25</v>
      </c>
      <c r="D156" s="30">
        <f>VLOOKUP(VALUE(LEFT(A156, 4)), 'Raw Annual EBITDA'!A:D, 4, FALSE) / 4</f>
        <v>139468.5</v>
      </c>
      <c r="E156" s="30">
        <f>VLOOKUP(VALUE(LEFT(A156, 4)), 'Raw Annual EBITDA'!A:E, 5, FALSE) / 4</f>
        <v>8984.75</v>
      </c>
      <c r="F156" s="28"/>
      <c r="G156" s="28"/>
      <c r="H156" s="28"/>
      <c r="I156" s="28"/>
      <c r="J156" s="28"/>
      <c r="K156" s="28"/>
      <c r="L156" s="28"/>
      <c r="M156" s="28"/>
      <c r="N156" s="28"/>
      <c r="O156" s="32">
        <f>VLOOKUP(VALUE(LEFT(A158, 4)), 'Raw Annual EBITDA'!A:O, 15, FALSE) / 4</f>
        <v>896.5</v>
      </c>
      <c r="P156" s="28"/>
      <c r="Q156" s="28"/>
      <c r="R156" s="28"/>
      <c r="S156" s="28"/>
      <c r="T156" s="28"/>
      <c r="U156" s="30"/>
      <c r="V156" s="28"/>
      <c r="W156" s="30">
        <f>VLOOKUP(VALUE(LEFT($A158, 4)), 'Raw Annual EBITDA'!$A:W, 23, FALSE) / 4</f>
        <v>26920.5</v>
      </c>
      <c r="X156" s="28"/>
      <c r="Y156" s="28"/>
      <c r="Z156" s="28"/>
      <c r="AA156" s="28"/>
      <c r="AB156" s="28"/>
      <c r="AC156" s="28"/>
    </row>
    <row r="157" spans="1:29" ht="13">
      <c r="A157" s="27" t="s">
        <v>67</v>
      </c>
      <c r="B157" s="28"/>
      <c r="C157" s="30">
        <f>VLOOKUP(VALUE(LEFT(A157, 4)), 'Raw Annual EBITDA'!A:C, 3, FALSE) / 4</f>
        <v>24255.25</v>
      </c>
      <c r="D157" s="30">
        <f>VLOOKUP(VALUE(LEFT(A157, 4)), 'Raw Annual EBITDA'!A:D, 4, FALSE) / 4</f>
        <v>139468.5</v>
      </c>
      <c r="E157" s="30">
        <f>VLOOKUP(VALUE(LEFT(A157, 4)), 'Raw Annual EBITDA'!A:E, 5, FALSE) / 4</f>
        <v>8984.75</v>
      </c>
      <c r="F157" s="28"/>
      <c r="G157" s="28"/>
      <c r="H157" s="28"/>
      <c r="I157" s="28"/>
      <c r="J157" s="28"/>
      <c r="K157" s="28"/>
      <c r="L157" s="28"/>
      <c r="M157" s="28"/>
      <c r="N157" s="28"/>
      <c r="O157" s="32">
        <f>VLOOKUP(VALUE(LEFT(A159, 4)), 'Raw Annual EBITDA'!A:O, 15, FALSE) / 4</f>
        <v>896.5</v>
      </c>
      <c r="P157" s="28"/>
      <c r="Q157" s="28"/>
      <c r="R157" s="28"/>
      <c r="S157" s="28"/>
      <c r="T157" s="28"/>
      <c r="U157" s="30"/>
      <c r="V157" s="28"/>
      <c r="W157" s="30">
        <f>VLOOKUP(VALUE(LEFT($A159, 4)), 'Raw Annual EBITDA'!$A:W, 23, FALSE) / 4</f>
        <v>26920.5</v>
      </c>
      <c r="X157" s="28"/>
      <c r="Y157" s="28"/>
      <c r="Z157" s="28"/>
      <c r="AA157" s="28"/>
      <c r="AB157" s="28"/>
      <c r="AC157" s="28"/>
    </row>
    <row r="158" spans="1:29" ht="13">
      <c r="A158" s="27" t="s">
        <v>68</v>
      </c>
      <c r="B158" s="28"/>
      <c r="C158" s="30">
        <f>VLOOKUP(VALUE(LEFT(A158, 4)), 'Raw Annual EBITDA'!A:C, 3, FALSE) / 4</f>
        <v>57696.25</v>
      </c>
      <c r="D158" s="30">
        <f>VLOOKUP(VALUE(LEFT(A158, 4)), 'Raw Annual EBITDA'!A:D, 4, FALSE) / 4</f>
        <v>166541</v>
      </c>
      <c r="E158" s="30">
        <f>VLOOKUP(VALUE(LEFT(A158, 4)), 'Raw Annual EBITDA'!A:E, 5, FALSE) / 4</f>
        <v>15945.5</v>
      </c>
      <c r="F158" s="28"/>
      <c r="G158" s="28"/>
      <c r="H158" s="28"/>
      <c r="I158" s="28"/>
      <c r="J158" s="28"/>
      <c r="K158" s="28"/>
      <c r="L158" s="28"/>
      <c r="M158" s="28"/>
      <c r="N158" s="28"/>
      <c r="O158" s="32">
        <f>VLOOKUP(VALUE(LEFT(A160, 4)), 'Raw Annual EBITDA'!A:O, 15, FALSE) / 4</f>
        <v>896.5</v>
      </c>
      <c r="P158" s="28"/>
      <c r="Q158" s="28"/>
      <c r="R158" s="28"/>
      <c r="S158" s="28"/>
      <c r="T158" s="28"/>
      <c r="U158" s="30"/>
      <c r="V158" s="28"/>
      <c r="W158" s="30">
        <f>VLOOKUP(VALUE(LEFT($A160, 4)), 'Raw Annual EBITDA'!$A:W, 23, FALSE) / 4</f>
        <v>26920.5</v>
      </c>
      <c r="X158" s="28"/>
      <c r="Y158" s="28"/>
      <c r="Z158" s="28"/>
      <c r="AA158" s="28"/>
      <c r="AB158" s="28"/>
      <c r="AC158" s="28"/>
    </row>
    <row r="159" spans="1:29" ht="13">
      <c r="A159" s="27" t="s">
        <v>69</v>
      </c>
      <c r="B159" s="28"/>
      <c r="C159" s="30">
        <f>VLOOKUP(VALUE(LEFT(A159, 4)), 'Raw Annual EBITDA'!A:C, 3, FALSE) / 4</f>
        <v>57696.25</v>
      </c>
      <c r="D159" s="30">
        <f>VLOOKUP(VALUE(LEFT(A159, 4)), 'Raw Annual EBITDA'!A:D, 4, FALSE) / 4</f>
        <v>166541</v>
      </c>
      <c r="E159" s="30">
        <f>VLOOKUP(VALUE(LEFT(A159, 4)), 'Raw Annual EBITDA'!A:E, 5, FALSE) / 4</f>
        <v>15945.5</v>
      </c>
      <c r="F159" s="28"/>
      <c r="G159" s="28"/>
      <c r="H159" s="28"/>
      <c r="I159" s="28"/>
      <c r="J159" s="28"/>
      <c r="K159" s="28"/>
      <c r="L159" s="28"/>
      <c r="M159" s="28"/>
      <c r="N159" s="28"/>
      <c r="O159" s="32">
        <f>VLOOKUP(VALUE(LEFT(A161, 4)), 'Raw Annual EBITDA'!A:O, 15, FALSE) / 4</f>
        <v>896.5</v>
      </c>
      <c r="P159" s="28"/>
      <c r="Q159" s="28"/>
      <c r="R159" s="28"/>
      <c r="S159" s="28"/>
      <c r="T159" s="28"/>
      <c r="U159" s="30">
        <f>VLOOKUP(VALUE(LEFT($A159, 4)), 'Raw Annual EBITDA'!$A:U, 21, FALSE) / 4</f>
        <v>-10250</v>
      </c>
      <c r="V159" s="28"/>
      <c r="W159" s="30">
        <f>VLOOKUP(VALUE(LEFT($A161, 4)), 'Raw Annual EBITDA'!$A:W, 23, FALSE) / 4</f>
        <v>26920.5</v>
      </c>
      <c r="X159" s="28"/>
      <c r="Y159" s="28"/>
      <c r="Z159" s="28"/>
      <c r="AA159" s="28"/>
      <c r="AB159" s="28"/>
      <c r="AC159" s="28"/>
    </row>
    <row r="160" spans="1:29" ht="13">
      <c r="A160" s="27" t="s">
        <v>70</v>
      </c>
      <c r="B160" s="28"/>
      <c r="C160" s="30">
        <f>VLOOKUP(VALUE(LEFT(A160, 4)), 'Raw Annual EBITDA'!A:C, 3, FALSE) / 4</f>
        <v>57696.25</v>
      </c>
      <c r="D160" s="30">
        <f>VLOOKUP(VALUE(LEFT(A160, 4)), 'Raw Annual EBITDA'!A:D, 4, FALSE) / 4</f>
        <v>166541</v>
      </c>
      <c r="E160" s="30">
        <f>VLOOKUP(VALUE(LEFT(A160, 4)), 'Raw Annual EBITDA'!A:E, 5, FALSE) / 4</f>
        <v>15945.5</v>
      </c>
      <c r="F160" s="28"/>
      <c r="G160" s="28"/>
      <c r="H160" s="28"/>
      <c r="I160" s="28"/>
      <c r="J160" s="28"/>
      <c r="K160" s="28"/>
      <c r="L160" s="28"/>
      <c r="M160" s="28"/>
      <c r="N160" s="28"/>
      <c r="O160" s="32">
        <f>VLOOKUP(VALUE(LEFT(A162, 4)), 'Raw Annual EBITDA'!A:O, 15, FALSE) / 4</f>
        <v>1992</v>
      </c>
      <c r="P160" s="28"/>
      <c r="Q160" s="28"/>
      <c r="R160" s="28"/>
      <c r="S160" s="28"/>
      <c r="T160" s="28"/>
      <c r="U160" s="30">
        <f>VLOOKUP(VALUE(LEFT($A160, 4)), 'Raw Annual EBITDA'!$A:U, 21, FALSE) / 4</f>
        <v>-10250</v>
      </c>
      <c r="V160" s="28"/>
      <c r="W160" s="30">
        <f>VLOOKUP(VALUE(LEFT($A162, 4)), 'Raw Annual EBITDA'!$A:W, 23, FALSE) / 4</f>
        <v>40267</v>
      </c>
      <c r="X160" s="28"/>
      <c r="Y160" s="28"/>
      <c r="Z160" s="28"/>
      <c r="AA160" s="28"/>
      <c r="AB160" s="28"/>
      <c r="AC160" s="28"/>
    </row>
    <row r="161" spans="1:29" ht="13">
      <c r="A161" s="27" t="s">
        <v>71</v>
      </c>
      <c r="B161" s="28"/>
      <c r="C161" s="30">
        <f>VLOOKUP(VALUE(LEFT(A161, 4)), 'Raw Annual EBITDA'!A:C, 3, FALSE) / 4</f>
        <v>57696.25</v>
      </c>
      <c r="D161" s="30">
        <f>VLOOKUP(VALUE(LEFT(A161, 4)), 'Raw Annual EBITDA'!A:D, 4, FALSE) / 4</f>
        <v>166541</v>
      </c>
      <c r="E161" s="30">
        <f>VLOOKUP(VALUE(LEFT(A161, 4)), 'Raw Annual EBITDA'!A:E, 5, FALSE) / 4</f>
        <v>15945.5</v>
      </c>
      <c r="F161" s="28"/>
      <c r="G161" s="28"/>
      <c r="H161" s="28"/>
      <c r="I161" s="28"/>
      <c r="J161" s="28"/>
      <c r="K161" s="28"/>
      <c r="L161" s="28"/>
      <c r="M161" s="28"/>
      <c r="N161" s="28"/>
      <c r="O161" s="32">
        <f>VLOOKUP(VALUE(LEFT(A163, 4)), 'Raw Annual EBITDA'!A:O, 15, FALSE) / 4</f>
        <v>1992</v>
      </c>
      <c r="P161" s="28"/>
      <c r="Q161" s="28"/>
      <c r="R161" s="28"/>
      <c r="S161" s="28"/>
      <c r="T161" s="28"/>
      <c r="U161" s="30">
        <f>VLOOKUP(VALUE(LEFT($A161, 4)), 'Raw Annual EBITDA'!$A:U, 21, FALSE) / 4</f>
        <v>-10250</v>
      </c>
      <c r="V161" s="28"/>
      <c r="W161" s="30">
        <f>VLOOKUP(VALUE(LEFT($A163, 4)), 'Raw Annual EBITDA'!$A:W, 23, FALSE) / 4</f>
        <v>40267</v>
      </c>
      <c r="X161" s="28"/>
      <c r="Y161" s="28"/>
      <c r="Z161" s="28"/>
      <c r="AA161" s="28"/>
      <c r="AB161" s="28"/>
      <c r="AC161" s="28"/>
    </row>
    <row r="162" spans="1:29" ht="13">
      <c r="A162" s="27" t="s">
        <v>72</v>
      </c>
      <c r="B162" s="28"/>
      <c r="C162" s="30">
        <f>VLOOKUP(VALUE(LEFT(A162, 4)), 'Raw Annual EBITDA'!A:C, 3, FALSE) / 4</f>
        <v>83135.5</v>
      </c>
      <c r="D162" s="30">
        <f>VLOOKUP(VALUE(LEFT(A162, 4)), 'Raw Annual EBITDA'!A:D, 4, FALSE) / 4</f>
        <v>178320.75</v>
      </c>
      <c r="E162" s="30">
        <f>VLOOKUP(VALUE(LEFT(A162, 4)), 'Raw Annual EBITDA'!A:E, 5, FALSE) / 4</f>
        <v>20277.5</v>
      </c>
      <c r="F162" s="28"/>
      <c r="G162" s="28"/>
      <c r="H162" s="28"/>
      <c r="I162" s="28"/>
      <c r="J162" s="30"/>
      <c r="K162" s="28"/>
      <c r="L162" s="28"/>
      <c r="M162" s="28"/>
      <c r="N162" s="28"/>
      <c r="O162" s="32">
        <f>VLOOKUP(VALUE(LEFT(A164, 4)), 'Raw Annual EBITDA'!A:O, 15, FALSE) / 4</f>
        <v>1992</v>
      </c>
      <c r="P162" s="28"/>
      <c r="Q162" s="28"/>
      <c r="R162" s="28"/>
      <c r="S162" s="28"/>
      <c r="T162" s="28"/>
      <c r="U162" s="30">
        <f>VLOOKUP(VALUE(LEFT($A162, 4)), 'Raw Annual EBITDA'!$A:U, 21, FALSE) / 4</f>
        <v>-75250</v>
      </c>
      <c r="V162" s="28"/>
      <c r="W162" s="30">
        <f>VLOOKUP(VALUE(LEFT($A164, 4)), 'Raw Annual EBITDA'!$A:W, 23, FALSE) / 4</f>
        <v>40267</v>
      </c>
      <c r="X162" s="28"/>
      <c r="Y162" s="28"/>
      <c r="Z162" s="28"/>
      <c r="AA162" s="28"/>
      <c r="AB162" s="28"/>
      <c r="AC162" s="28"/>
    </row>
    <row r="163" spans="1:29" ht="13">
      <c r="A163" s="27" t="s">
        <v>73</v>
      </c>
      <c r="B163" s="28"/>
      <c r="C163" s="30">
        <f>VLOOKUP(VALUE(LEFT(A163, 4)), 'Raw Annual EBITDA'!A:C, 3, FALSE) / 4</f>
        <v>83135.5</v>
      </c>
      <c r="D163" s="30">
        <f>VLOOKUP(VALUE(LEFT(A163, 4)), 'Raw Annual EBITDA'!A:D, 4, FALSE) / 4</f>
        <v>178320.75</v>
      </c>
      <c r="E163" s="30">
        <f>VLOOKUP(VALUE(LEFT(A163, 4)), 'Raw Annual EBITDA'!A:E, 5, FALSE) / 4</f>
        <v>20277.5</v>
      </c>
      <c r="F163" s="28"/>
      <c r="G163" s="28"/>
      <c r="H163" s="28"/>
      <c r="I163" s="28"/>
      <c r="J163" s="30">
        <f>VLOOKUP(VALUE(LEFT(A51, 4)), 'Raw Annual EBITDA'!A:J, 10, FALSE) / 4</f>
        <v>-2205.25</v>
      </c>
      <c r="K163" s="28"/>
      <c r="L163" s="30"/>
      <c r="M163" s="28"/>
      <c r="N163" s="28"/>
      <c r="O163" s="32">
        <f>VLOOKUP(VALUE(LEFT(A165, 4)), 'Raw Annual EBITDA'!A:O, 15, FALSE) / 4</f>
        <v>1992</v>
      </c>
      <c r="P163" s="28"/>
      <c r="Q163" s="28"/>
      <c r="R163" s="28"/>
      <c r="S163" s="28"/>
      <c r="T163" s="28"/>
      <c r="U163" s="30">
        <f>VLOOKUP(VALUE(LEFT($A163, 4)), 'Raw Annual EBITDA'!$A:U, 21, FALSE) / 4</f>
        <v>-75250</v>
      </c>
      <c r="V163" s="28"/>
      <c r="W163" s="30">
        <f>VLOOKUP(VALUE(LEFT($A165, 4)), 'Raw Annual EBITDA'!$A:W, 23, FALSE) / 4</f>
        <v>40267</v>
      </c>
      <c r="X163" s="28"/>
      <c r="Y163" s="28"/>
      <c r="Z163" s="28"/>
      <c r="AA163" s="28"/>
      <c r="AB163" s="28"/>
      <c r="AC163" s="28"/>
    </row>
    <row r="164" spans="1:29" ht="13">
      <c r="A164" s="27" t="s">
        <v>74</v>
      </c>
      <c r="B164" s="28"/>
      <c r="C164" s="30">
        <f>VLOOKUP(VALUE(LEFT(A164, 4)), 'Raw Annual EBITDA'!A:C, 3, FALSE) / 4</f>
        <v>83135.5</v>
      </c>
      <c r="D164" s="30">
        <f>VLOOKUP(VALUE(LEFT(A164, 4)), 'Raw Annual EBITDA'!A:D, 4, FALSE) / 4</f>
        <v>178320.75</v>
      </c>
      <c r="E164" s="30">
        <f>VLOOKUP(VALUE(LEFT(A164, 4)), 'Raw Annual EBITDA'!A:E, 5, FALSE) / 4</f>
        <v>20277.5</v>
      </c>
      <c r="F164" s="28"/>
      <c r="G164" s="28"/>
      <c r="H164" s="28"/>
      <c r="I164" s="28"/>
      <c r="J164" s="30">
        <f>VLOOKUP(VALUE(LEFT(A52, 4)), 'Raw Annual EBITDA'!A:J, 10, FALSE) / 4</f>
        <v>-2205.25</v>
      </c>
      <c r="K164" s="28"/>
      <c r="L164" s="28"/>
      <c r="M164" s="28"/>
      <c r="N164" s="28"/>
      <c r="O164" s="32">
        <f>VLOOKUP(VALUE(LEFT(A166, 4)), 'Raw Annual EBITDA'!A:O, 15, FALSE) / 4</f>
        <v>1962.5</v>
      </c>
      <c r="P164" s="28"/>
      <c r="Q164" s="28"/>
      <c r="R164" s="28"/>
      <c r="S164" s="28"/>
      <c r="T164" s="28"/>
      <c r="U164" s="30">
        <f>VLOOKUP(VALUE(LEFT($A164, 4)), 'Raw Annual EBITDA'!$A:U, 21, FALSE) / 4</f>
        <v>-75250</v>
      </c>
      <c r="V164" s="28"/>
      <c r="W164" s="30">
        <f>VLOOKUP(VALUE(LEFT($A166, 4)), 'Raw Annual EBITDA'!$A:W, 23, FALSE) / 4</f>
        <v>55822</v>
      </c>
      <c r="X164" s="28"/>
      <c r="Y164" s="28"/>
      <c r="Z164" s="28"/>
      <c r="AA164" s="28"/>
      <c r="AB164" s="28"/>
      <c r="AC164" s="28"/>
    </row>
    <row r="165" spans="1:29" ht="13">
      <c r="A165" s="27" t="s">
        <v>75</v>
      </c>
      <c r="B165" s="28"/>
      <c r="C165" s="30">
        <f>VLOOKUP(VALUE(LEFT(A165, 4)), 'Raw Annual EBITDA'!A:C, 3, FALSE) / 4</f>
        <v>83135.5</v>
      </c>
      <c r="D165" s="30">
        <f>VLOOKUP(VALUE(LEFT(A165, 4)), 'Raw Annual EBITDA'!A:D, 4, FALSE) / 4</f>
        <v>178320.75</v>
      </c>
      <c r="E165" s="30">
        <f>VLOOKUP(VALUE(LEFT(A165, 4)), 'Raw Annual EBITDA'!A:E, 5, FALSE) / 4</f>
        <v>20277.5</v>
      </c>
      <c r="F165" s="28"/>
      <c r="G165" s="28"/>
      <c r="H165" s="28"/>
      <c r="I165" s="28"/>
      <c r="J165" s="30">
        <f>VLOOKUP(VALUE(LEFT(A53, 4)), 'Raw Annual EBITDA'!A:J, 10, FALSE) / 4</f>
        <v>-2205.25</v>
      </c>
      <c r="K165" s="28"/>
      <c r="L165" s="28"/>
      <c r="M165" s="28"/>
      <c r="N165" s="28"/>
      <c r="O165" s="32">
        <f>VLOOKUP(VALUE(LEFT(A167, 4)), 'Raw Annual EBITDA'!A:O, 15, FALSE) / 4</f>
        <v>1962.5</v>
      </c>
      <c r="P165" s="28"/>
      <c r="Q165" s="28"/>
      <c r="R165" s="28"/>
      <c r="S165" s="28"/>
      <c r="T165" s="28"/>
      <c r="U165" s="30">
        <f>VLOOKUP(VALUE(LEFT($A165, 4)), 'Raw Annual EBITDA'!$A:U, 21, FALSE) / 4</f>
        <v>-75250</v>
      </c>
      <c r="V165" s="28"/>
      <c r="W165" s="30">
        <f>VLOOKUP(VALUE(LEFT($A167, 4)), 'Raw Annual EBITDA'!$A:W, 23, FALSE) / 4</f>
        <v>55822</v>
      </c>
      <c r="X165" s="28"/>
      <c r="Y165" s="28"/>
      <c r="Z165" s="28"/>
      <c r="AA165" s="28"/>
      <c r="AB165" s="28"/>
      <c r="AC165" s="28"/>
    </row>
    <row r="166" spans="1:29" ht="13">
      <c r="A166" s="27" t="s">
        <v>76</v>
      </c>
      <c r="B166" s="28"/>
      <c r="C166" s="30">
        <f>VLOOKUP(VALUE(LEFT(A166, 4)), 'Raw Annual EBITDA'!A:C, 3, FALSE) / 4</f>
        <v>127507</v>
      </c>
      <c r="D166" s="30">
        <f>VLOOKUP(VALUE(LEFT(A166, 4)), 'Raw Annual EBITDA'!A:D, 4, FALSE) / 4</f>
        <v>154309.25</v>
      </c>
      <c r="E166" s="30">
        <f>VLOOKUP(VALUE(LEFT(A166, 4)), 'Raw Annual EBITDA'!A:E, 5, FALSE) / 4</f>
        <v>29345.25</v>
      </c>
      <c r="F166" s="30">
        <f>VLOOKUP(VALUE(LEFT(A166, 4)), 'Raw Annual EBITDA'!A:F, 6, FALSE) / 4</f>
        <v>47828.5</v>
      </c>
      <c r="G166" s="28"/>
      <c r="H166" s="28"/>
      <c r="I166" s="28"/>
      <c r="J166" s="30">
        <f>VLOOKUP(VALUE(LEFT(A54, 4)), 'Raw Annual EBITDA'!A:J, 10, FALSE) / 4</f>
        <v>-2205.25</v>
      </c>
      <c r="K166" s="28"/>
      <c r="L166" s="30">
        <f>VLOOKUP(VALUE(LEFT($A166, 4)), 'Raw Annual EBITDA'!$A:L, 12, FALSE) / 4</f>
        <v>27857.25</v>
      </c>
      <c r="M166" s="28"/>
      <c r="N166" s="28"/>
      <c r="O166" s="32">
        <f>VLOOKUP(VALUE(LEFT(A168, 4)), 'Raw Annual EBITDA'!A:O, 15, FALSE) / 4</f>
        <v>1962.5</v>
      </c>
      <c r="P166" s="28"/>
      <c r="Q166" s="28"/>
      <c r="R166" s="28"/>
      <c r="S166" s="28"/>
      <c r="T166" s="28"/>
      <c r="U166" s="30">
        <f>VLOOKUP(VALUE(LEFT($A166, 4)), 'Raw Annual EBITDA'!$A:U, 21, FALSE) / 4</f>
        <v>-82000</v>
      </c>
      <c r="V166" s="28"/>
      <c r="W166" s="30">
        <f>VLOOKUP(VALUE(LEFT($A168, 4)), 'Raw Annual EBITDA'!$A:W, 23, FALSE) / 4</f>
        <v>55822</v>
      </c>
      <c r="X166" s="28"/>
      <c r="Y166" s="28"/>
      <c r="Z166" s="28"/>
      <c r="AA166" s="28"/>
      <c r="AB166" s="28"/>
      <c r="AC166" s="28"/>
    </row>
    <row r="167" spans="1:29" ht="13">
      <c r="A167" s="27" t="s">
        <v>77</v>
      </c>
      <c r="B167" s="28"/>
      <c r="C167" s="30">
        <f>VLOOKUP(VALUE(LEFT(A167, 4)), 'Raw Annual EBITDA'!A:C, 3, FALSE) / 4</f>
        <v>127507</v>
      </c>
      <c r="D167" s="30">
        <f>VLOOKUP(VALUE(LEFT(A167, 4)), 'Raw Annual EBITDA'!A:D, 4, FALSE) / 4</f>
        <v>154309.25</v>
      </c>
      <c r="E167" s="30">
        <f>VLOOKUP(VALUE(LEFT(A167, 4)), 'Raw Annual EBITDA'!A:E, 5, FALSE) / 4</f>
        <v>29345.25</v>
      </c>
      <c r="F167" s="30">
        <f>VLOOKUP(VALUE(LEFT(A167, 4)), 'Raw Annual EBITDA'!A:F, 6, FALSE) / 4</f>
        <v>47828.5</v>
      </c>
      <c r="G167" s="28"/>
      <c r="H167" s="28"/>
      <c r="I167" s="28"/>
      <c r="J167" s="30">
        <f>VLOOKUP(VALUE(LEFT(A55, 4)), 'Raw Annual EBITDA'!A:J, 10, FALSE) / 4</f>
        <v>-1103.5</v>
      </c>
      <c r="K167" s="28"/>
      <c r="L167" s="30">
        <f>VLOOKUP(VALUE(LEFT($A167, 4)), 'Raw Annual EBITDA'!$A:L, 12, FALSE) / 4</f>
        <v>27857.25</v>
      </c>
      <c r="M167" s="28"/>
      <c r="N167" s="28"/>
      <c r="O167" s="32">
        <f>VLOOKUP(VALUE(LEFT(A169, 4)), 'Raw Annual EBITDA'!A:O, 15, FALSE) / 4</f>
        <v>1962.5</v>
      </c>
      <c r="P167" s="28"/>
      <c r="Q167" s="28"/>
      <c r="R167" s="28"/>
      <c r="S167" s="28"/>
      <c r="T167" s="28"/>
      <c r="U167" s="30">
        <f>VLOOKUP(VALUE(LEFT($A167, 4)), 'Raw Annual EBITDA'!$A:U, 21, FALSE) / 4</f>
        <v>-82000</v>
      </c>
      <c r="V167" s="28"/>
      <c r="W167" s="30">
        <f>VLOOKUP(VALUE(LEFT($A169, 4)), 'Raw Annual EBITDA'!$A:W, 23, FALSE) / 4</f>
        <v>55822</v>
      </c>
      <c r="X167" s="28"/>
      <c r="Y167" s="28"/>
      <c r="Z167" s="28"/>
      <c r="AA167" s="28"/>
      <c r="AB167" s="28"/>
      <c r="AC167" s="28"/>
    </row>
    <row r="168" spans="1:29" ht="13">
      <c r="A168" s="27" t="s">
        <v>78</v>
      </c>
      <c r="B168" s="28"/>
      <c r="C168" s="30">
        <f>VLOOKUP(VALUE(LEFT(A168, 4)), 'Raw Annual EBITDA'!A:C, 3, FALSE) / 4</f>
        <v>127507</v>
      </c>
      <c r="D168" s="30">
        <f>VLOOKUP(VALUE(LEFT(A168, 4)), 'Raw Annual EBITDA'!A:D, 4, FALSE) / 4</f>
        <v>154309.25</v>
      </c>
      <c r="E168" s="30">
        <f>VLOOKUP(VALUE(LEFT(A168, 4)), 'Raw Annual EBITDA'!A:E, 5, FALSE) / 4</f>
        <v>29345.25</v>
      </c>
      <c r="F168" s="30">
        <f>VLOOKUP(VALUE(LEFT(A168, 4)), 'Raw Annual EBITDA'!A:F, 6, FALSE) / 4</f>
        <v>47828.5</v>
      </c>
      <c r="G168" s="28"/>
      <c r="H168" s="28"/>
      <c r="I168" s="28"/>
      <c r="J168" s="30">
        <f>VLOOKUP(VALUE(LEFT(A56, 4)), 'Raw Annual EBITDA'!A:J, 10, FALSE) / 4</f>
        <v>-1103.5</v>
      </c>
      <c r="K168" s="28"/>
      <c r="L168" s="30">
        <f>VLOOKUP(VALUE(LEFT($A168, 4)), 'Raw Annual EBITDA'!$A:L, 12, FALSE) / 4</f>
        <v>27857.25</v>
      </c>
      <c r="M168" s="28"/>
      <c r="N168" s="28"/>
      <c r="O168" s="32">
        <f>VLOOKUP(VALUE(LEFT(A170, 4)), 'Raw Annual EBITDA'!A:O, 15, FALSE) / 4</f>
        <v>2787.75</v>
      </c>
      <c r="P168" s="28"/>
      <c r="Q168" s="28"/>
      <c r="R168" s="28"/>
      <c r="S168" s="28"/>
      <c r="T168" s="28"/>
      <c r="U168" s="30">
        <f>VLOOKUP(VALUE(LEFT($A168, 4)), 'Raw Annual EBITDA'!$A:U, 21, FALSE) / 4</f>
        <v>-82000</v>
      </c>
      <c r="V168" s="28"/>
      <c r="W168" s="30">
        <f>VLOOKUP(VALUE(LEFT($A170, 4)), 'Raw Annual EBITDA'!$A:W, 23, FALSE) / 4</f>
        <v>23114.25</v>
      </c>
      <c r="X168" s="28"/>
      <c r="Y168" s="28"/>
      <c r="Z168" s="28"/>
      <c r="AA168" s="28"/>
      <c r="AB168" s="28"/>
      <c r="AC168" s="28"/>
    </row>
    <row r="169" spans="1:29" ht="13">
      <c r="A169" s="27" t="s">
        <v>79</v>
      </c>
      <c r="B169" s="28"/>
      <c r="C169" s="30">
        <f>VLOOKUP(VALUE(LEFT(A169, 4)), 'Raw Annual EBITDA'!A:C, 3, FALSE) / 4</f>
        <v>127507</v>
      </c>
      <c r="D169" s="30">
        <f>VLOOKUP(VALUE(LEFT(A169, 4)), 'Raw Annual EBITDA'!A:D, 4, FALSE) / 4</f>
        <v>154309.25</v>
      </c>
      <c r="E169" s="30">
        <f>VLOOKUP(VALUE(LEFT(A169, 4)), 'Raw Annual EBITDA'!A:E, 5, FALSE) / 4</f>
        <v>29345.25</v>
      </c>
      <c r="F169" s="30">
        <f>VLOOKUP(VALUE(LEFT(A169, 4)), 'Raw Annual EBITDA'!A:F, 6, FALSE) / 4</f>
        <v>47828.5</v>
      </c>
      <c r="G169" s="28"/>
      <c r="H169" s="28"/>
      <c r="I169" s="28"/>
      <c r="J169" s="30">
        <f>VLOOKUP(VALUE(LEFT(A57, 4)), 'Raw Annual EBITDA'!A:J, 10, FALSE) / 4</f>
        <v>-1103.5</v>
      </c>
      <c r="K169" s="28"/>
      <c r="L169" s="30">
        <f>VLOOKUP(VALUE(LEFT($A169, 4)), 'Raw Annual EBITDA'!$A:L, 12, FALSE) / 4</f>
        <v>27857.25</v>
      </c>
      <c r="M169" s="28"/>
      <c r="N169" s="28"/>
      <c r="O169" s="32">
        <f>VLOOKUP(VALUE(LEFT(A171, 4)), 'Raw Annual EBITDA'!A:O, 15, FALSE) / 4</f>
        <v>2787.75</v>
      </c>
      <c r="P169" s="28"/>
      <c r="Q169" s="28"/>
      <c r="R169" s="28"/>
      <c r="S169" s="28"/>
      <c r="T169" s="28"/>
      <c r="U169" s="30">
        <f>VLOOKUP(VALUE(LEFT($A169, 4)), 'Raw Annual EBITDA'!$A:U, 21, FALSE) / 4</f>
        <v>-82000</v>
      </c>
      <c r="V169" s="28"/>
      <c r="W169" s="30">
        <f>VLOOKUP(VALUE(LEFT($A171, 4)), 'Raw Annual EBITDA'!$A:W, 23, FALSE) / 4</f>
        <v>23114.25</v>
      </c>
      <c r="X169" s="28"/>
      <c r="Y169" s="28"/>
      <c r="Z169" s="28"/>
      <c r="AA169" s="28"/>
      <c r="AB169" s="28"/>
      <c r="AC169" s="28"/>
    </row>
    <row r="170" spans="1:29" ht="13">
      <c r="A170" s="27" t="s">
        <v>80</v>
      </c>
      <c r="B170" s="28"/>
      <c r="C170" s="30">
        <f>VLOOKUP(VALUE(LEFT(A170, 4)), 'Raw Annual EBITDA'!A:C, 3, FALSE) / 4</f>
        <v>209315.25</v>
      </c>
      <c r="D170" s="30">
        <f>VLOOKUP(VALUE(LEFT(A170, 4)), 'Raw Annual EBITDA'!A:D, 4, FALSE) / 4</f>
        <v>162881</v>
      </c>
      <c r="E170" s="30">
        <f>VLOOKUP(VALUE(LEFT(A170, 4)), 'Raw Annual EBITDA'!A:E, 5, FALSE) / 4</f>
        <v>46275.25</v>
      </c>
      <c r="F170" s="30">
        <f>VLOOKUP(VALUE(LEFT(A170, 4)), 'Raw Annual EBITDA'!A:F, 6, FALSE) / 4</f>
        <v>63445</v>
      </c>
      <c r="G170" s="28"/>
      <c r="H170" s="28"/>
      <c r="I170" s="28"/>
      <c r="J170" s="30">
        <f>VLOOKUP(VALUE(LEFT(A58, 4)), 'Raw Annual EBITDA'!A:J, 10, FALSE) / 4</f>
        <v>-1103.5</v>
      </c>
      <c r="K170" s="28"/>
      <c r="L170" s="30">
        <f>VLOOKUP(VALUE(LEFT($A170, 4)), 'Raw Annual EBITDA'!$A:L, 12, FALSE) / 4</f>
        <v>35123.75</v>
      </c>
      <c r="M170" s="28"/>
      <c r="N170" s="28"/>
      <c r="O170" s="32">
        <f>VLOOKUP(VALUE(LEFT(A172, 4)), 'Raw Annual EBITDA'!A:O, 15, FALSE) / 4</f>
        <v>2787.75</v>
      </c>
      <c r="P170" s="28"/>
      <c r="Q170" s="28"/>
      <c r="R170" s="28"/>
      <c r="S170" s="28"/>
      <c r="T170" s="28"/>
      <c r="U170" s="30">
        <f>VLOOKUP(VALUE(LEFT($A170, 4)), 'Raw Annual EBITDA'!$A:U, 21, FALSE) / 4</f>
        <v>-13964</v>
      </c>
      <c r="V170" s="28"/>
      <c r="W170" s="30">
        <f>VLOOKUP(VALUE(LEFT($A172, 4)), 'Raw Annual EBITDA'!$A:W, 23, FALSE) / 4</f>
        <v>23114.25</v>
      </c>
      <c r="X170" s="28"/>
      <c r="Y170" s="28"/>
      <c r="Z170" s="28"/>
      <c r="AA170" s="28"/>
      <c r="AB170" s="28"/>
      <c r="AC170" s="28"/>
    </row>
    <row r="171" spans="1:29" ht="13">
      <c r="A171" s="27" t="s">
        <v>81</v>
      </c>
      <c r="B171" s="28"/>
      <c r="C171" s="30">
        <f>VLOOKUP(VALUE(LEFT(A171, 4)), 'Raw Annual EBITDA'!A:C, 3, FALSE) / 4</f>
        <v>209315.25</v>
      </c>
      <c r="D171" s="30">
        <f>VLOOKUP(VALUE(LEFT(A171, 4)), 'Raw Annual EBITDA'!A:D, 4, FALSE) / 4</f>
        <v>162881</v>
      </c>
      <c r="E171" s="30">
        <f>VLOOKUP(VALUE(LEFT(A171, 4)), 'Raw Annual EBITDA'!A:E, 5, FALSE) / 4</f>
        <v>46275.25</v>
      </c>
      <c r="F171" s="30">
        <f>VLOOKUP(VALUE(LEFT(A171, 4)), 'Raw Annual EBITDA'!A:F, 6, FALSE) / 4</f>
        <v>63445</v>
      </c>
      <c r="G171" s="28"/>
      <c r="H171" s="28"/>
      <c r="I171" s="28"/>
      <c r="J171" s="30">
        <f>VLOOKUP(VALUE(LEFT(A59, 4)), 'Raw Annual EBITDA'!A:J, 10, FALSE) / 4</f>
        <v>1514.25</v>
      </c>
      <c r="K171" s="28"/>
      <c r="L171" s="30">
        <f>VLOOKUP(VALUE(LEFT($A171, 4)), 'Raw Annual EBITDA'!$A:L, 12, FALSE) / 4</f>
        <v>35123.75</v>
      </c>
      <c r="M171" s="28"/>
      <c r="N171" s="28"/>
      <c r="O171" s="32">
        <f>VLOOKUP(VALUE(LEFT(A173, 4)), 'Raw Annual EBITDA'!A:O, 15, FALSE) / 4</f>
        <v>2787.75</v>
      </c>
      <c r="P171" s="28"/>
      <c r="Q171" s="28"/>
      <c r="R171" s="28"/>
      <c r="S171" s="28"/>
      <c r="T171" s="28"/>
      <c r="U171" s="30">
        <f>VLOOKUP(VALUE(LEFT($A171, 4)), 'Raw Annual EBITDA'!$A:U, 21, FALSE) / 4</f>
        <v>-13964</v>
      </c>
      <c r="V171" s="28"/>
      <c r="W171" s="30">
        <f>VLOOKUP(VALUE(LEFT($A173, 4)), 'Raw Annual EBITDA'!$A:W, 23, FALSE) / 4</f>
        <v>23114.25</v>
      </c>
      <c r="X171" s="28"/>
      <c r="Y171" s="28"/>
      <c r="Z171" s="28"/>
      <c r="AA171" s="28"/>
      <c r="AB171" s="28"/>
      <c r="AC171" s="28"/>
    </row>
    <row r="172" spans="1:29" ht="13">
      <c r="A172" s="27" t="s">
        <v>82</v>
      </c>
      <c r="B172" s="28"/>
      <c r="C172" s="30">
        <f>VLOOKUP(VALUE(LEFT(A172, 4)), 'Raw Annual EBITDA'!A:C, 3, FALSE) / 4</f>
        <v>209315.25</v>
      </c>
      <c r="D172" s="30">
        <f>VLOOKUP(VALUE(LEFT(A172, 4)), 'Raw Annual EBITDA'!A:D, 4, FALSE) / 4</f>
        <v>162881</v>
      </c>
      <c r="E172" s="30">
        <f>VLOOKUP(VALUE(LEFT(A172, 4)), 'Raw Annual EBITDA'!A:E, 5, FALSE) / 4</f>
        <v>46275.25</v>
      </c>
      <c r="F172" s="30">
        <f>VLOOKUP(VALUE(LEFT(A172, 4)), 'Raw Annual EBITDA'!A:F, 6, FALSE) / 4</f>
        <v>63445</v>
      </c>
      <c r="G172" s="28"/>
      <c r="H172" s="28"/>
      <c r="I172" s="28"/>
      <c r="J172" s="30">
        <f>VLOOKUP(VALUE(LEFT(A60, 4)), 'Raw Annual EBITDA'!A:J, 10, FALSE) / 4</f>
        <v>1514.25</v>
      </c>
      <c r="K172" s="28"/>
      <c r="L172" s="30">
        <f>VLOOKUP(VALUE(LEFT($A172, 4)), 'Raw Annual EBITDA'!$A:L, 12, FALSE) / 4</f>
        <v>35123.75</v>
      </c>
      <c r="M172" s="28"/>
      <c r="N172" s="28"/>
      <c r="O172" s="32">
        <f>VLOOKUP(VALUE(LEFT(A174, 4)), 'Raw Annual EBITDA'!A:O, 15, FALSE) / 4</f>
        <v>3665.75</v>
      </c>
      <c r="P172" s="28"/>
      <c r="Q172" s="28"/>
      <c r="R172" s="28"/>
      <c r="S172" s="28"/>
      <c r="T172" s="28"/>
      <c r="U172" s="30">
        <f>VLOOKUP(VALUE(LEFT($A172, 4)), 'Raw Annual EBITDA'!$A:U, 21, FALSE) / 4</f>
        <v>-13964</v>
      </c>
      <c r="V172" s="28"/>
      <c r="W172" s="30">
        <f>VLOOKUP(VALUE(LEFT($A174, 4)), 'Raw Annual EBITDA'!$A:W, 23, FALSE) / 4</f>
        <v>54184.75</v>
      </c>
      <c r="X172" s="28"/>
      <c r="Y172" s="28"/>
      <c r="Z172" s="28"/>
      <c r="AA172" s="28"/>
      <c r="AB172" s="28"/>
      <c r="AC172" s="28"/>
    </row>
    <row r="173" spans="1:29" ht="13">
      <c r="A173" s="27" t="s">
        <v>83</v>
      </c>
      <c r="B173" s="28"/>
      <c r="C173" s="30">
        <f>VLOOKUP(VALUE(LEFT(A173, 4)), 'Raw Annual EBITDA'!A:C, 3, FALSE) / 4</f>
        <v>209315.25</v>
      </c>
      <c r="D173" s="30">
        <f>VLOOKUP(VALUE(LEFT(A173, 4)), 'Raw Annual EBITDA'!A:D, 4, FALSE) / 4</f>
        <v>162881</v>
      </c>
      <c r="E173" s="30">
        <f>VLOOKUP(VALUE(LEFT(A173, 4)), 'Raw Annual EBITDA'!A:E, 5, FALSE) / 4</f>
        <v>46275.25</v>
      </c>
      <c r="F173" s="30">
        <f>VLOOKUP(VALUE(LEFT(A173, 4)), 'Raw Annual EBITDA'!A:F, 6, FALSE) / 4</f>
        <v>63445</v>
      </c>
      <c r="G173" s="28"/>
      <c r="H173" s="28"/>
      <c r="I173" s="28"/>
      <c r="J173" s="30">
        <f>VLOOKUP(VALUE(LEFT(A61, 4)), 'Raw Annual EBITDA'!A:J, 10, FALSE) / 4</f>
        <v>1514.25</v>
      </c>
      <c r="K173" s="28"/>
      <c r="L173" s="30">
        <f>VLOOKUP(VALUE(LEFT($A173, 4)), 'Raw Annual EBITDA'!$A:L, 12, FALSE) / 4</f>
        <v>35123.75</v>
      </c>
      <c r="M173" s="28"/>
      <c r="N173" s="28"/>
      <c r="O173" s="32">
        <f>VLOOKUP(VALUE(LEFT(A175, 4)), 'Raw Annual EBITDA'!A:O, 15, FALSE) / 4</f>
        <v>3665.75</v>
      </c>
      <c r="P173" s="28"/>
      <c r="Q173" s="28"/>
      <c r="R173" s="28"/>
      <c r="S173" s="28"/>
      <c r="T173" s="28"/>
      <c r="U173" s="30">
        <f>VLOOKUP(VALUE(LEFT($A173, 4)), 'Raw Annual EBITDA'!$A:U, 21, FALSE) / 4</f>
        <v>-13964</v>
      </c>
      <c r="V173" s="28"/>
      <c r="W173" s="30">
        <f>VLOOKUP(VALUE(LEFT($A175, 4)), 'Raw Annual EBITDA'!$A:W, 23, FALSE) / 4</f>
        <v>54184.75</v>
      </c>
      <c r="X173" s="28"/>
      <c r="Y173" s="28"/>
      <c r="Z173" s="28"/>
      <c r="AA173" s="28"/>
      <c r="AB173" s="28"/>
      <c r="AC173" s="28"/>
    </row>
    <row r="174" spans="1:29" ht="13">
      <c r="A174" s="27" t="s">
        <v>84</v>
      </c>
      <c r="B174" s="28"/>
      <c r="C174" s="30">
        <f>VLOOKUP(VALUE(LEFT(A174, 4)), 'Raw Annual EBITDA'!A:C, 3, FALSE) / 4</f>
        <v>363186.5</v>
      </c>
      <c r="D174" s="30">
        <f>VLOOKUP(VALUE(LEFT(A174, 4)), 'Raw Annual EBITDA'!A:D, 4, FALSE) / 4</f>
        <v>163849.5</v>
      </c>
      <c r="E174" s="30">
        <f>VLOOKUP(VALUE(LEFT(A174, 4)), 'Raw Annual EBITDA'!A:E, 5, FALSE) / 4</f>
        <v>50528.25</v>
      </c>
      <c r="F174" s="30">
        <f>VLOOKUP(VALUE(LEFT(A174, 4)), 'Raw Annual EBITDA'!A:F, 6, FALSE) / 4</f>
        <v>76393.5</v>
      </c>
      <c r="G174" s="28"/>
      <c r="H174" s="28"/>
      <c r="I174" s="28"/>
      <c r="J174" s="30">
        <f>VLOOKUP(VALUE(LEFT(A62, 4)), 'Raw Annual EBITDA'!A:J, 10, FALSE) / 4</f>
        <v>1514.25</v>
      </c>
      <c r="K174" s="28"/>
      <c r="L174" s="30">
        <f>VLOOKUP(VALUE(LEFT($A174, 4)), 'Raw Annual EBITDA'!$A:L, 12, FALSE) / 4</f>
        <v>43004.5</v>
      </c>
      <c r="M174" s="28"/>
      <c r="N174" s="28"/>
      <c r="O174" s="32">
        <f>VLOOKUP(VALUE(LEFT(A176, 4)), 'Raw Annual EBITDA'!A:O, 15, FALSE) / 4</f>
        <v>3665.75</v>
      </c>
      <c r="P174" s="28"/>
      <c r="Q174" s="28"/>
      <c r="R174" s="28"/>
      <c r="S174" s="28"/>
      <c r="T174" s="28"/>
      <c r="U174" s="30">
        <f>VLOOKUP(VALUE(LEFT($A174, 4)), 'Raw Annual EBITDA'!$A:U, 21, FALSE) / 4</f>
        <v>-8806.5</v>
      </c>
      <c r="V174" s="28"/>
      <c r="W174" s="30">
        <f>VLOOKUP(VALUE(LEFT($A176, 4)), 'Raw Annual EBITDA'!$A:W, 23, FALSE) / 4</f>
        <v>54184.75</v>
      </c>
      <c r="X174" s="28"/>
      <c r="Y174" s="28"/>
      <c r="Z174" s="28"/>
      <c r="AA174" s="28"/>
      <c r="AB174" s="28"/>
      <c r="AC174" s="28"/>
    </row>
    <row r="175" spans="1:29" ht="13">
      <c r="A175" s="27" t="s">
        <v>85</v>
      </c>
      <c r="B175" s="28"/>
      <c r="C175" s="30">
        <f>VLOOKUP(VALUE(LEFT(A175, 4)), 'Raw Annual EBITDA'!A:C, 3, FALSE) / 4</f>
        <v>363186.5</v>
      </c>
      <c r="D175" s="30">
        <f>VLOOKUP(VALUE(LEFT(A175, 4)), 'Raw Annual EBITDA'!A:D, 4, FALSE) / 4</f>
        <v>163849.5</v>
      </c>
      <c r="E175" s="30">
        <f>VLOOKUP(VALUE(LEFT(A175, 4)), 'Raw Annual EBITDA'!A:E, 5, FALSE) / 4</f>
        <v>50528.25</v>
      </c>
      <c r="F175" s="30">
        <f>VLOOKUP(VALUE(LEFT(A175, 4)), 'Raw Annual EBITDA'!A:F, 6, FALSE) / 4</f>
        <v>76393.5</v>
      </c>
      <c r="G175" s="28"/>
      <c r="H175" s="30">
        <f>VLOOKUP(VALUE(LEFT(A63, 4)), 'Raw Annual EBITDA'!A:H, 8, FALSE) / 4</f>
        <v>30031.75</v>
      </c>
      <c r="I175" s="28"/>
      <c r="J175" s="30">
        <f>VLOOKUP(VALUE(LEFT(A63, 4)), 'Raw Annual EBITDA'!A:J, 10, FALSE) / 4</f>
        <v>1716.5</v>
      </c>
      <c r="K175" s="28"/>
      <c r="L175" s="30">
        <f>VLOOKUP(VALUE(LEFT($A175, 4)), 'Raw Annual EBITDA'!$A:L, 12, FALSE) / 4</f>
        <v>43004.5</v>
      </c>
      <c r="M175" s="28"/>
      <c r="N175" s="28"/>
      <c r="O175" s="32">
        <f>VLOOKUP(VALUE(LEFT(A177, 4)), 'Raw Annual EBITDA'!A:O, 15, FALSE) / 4</f>
        <v>3665.75</v>
      </c>
      <c r="P175" s="28"/>
      <c r="Q175" s="28"/>
      <c r="R175" s="28"/>
      <c r="S175" s="28"/>
      <c r="T175" s="28"/>
      <c r="U175" s="30">
        <f>VLOOKUP(VALUE(LEFT($A175, 4)), 'Raw Annual EBITDA'!$A:U, 21, FALSE) / 4</f>
        <v>-8806.5</v>
      </c>
      <c r="V175" s="28"/>
      <c r="W175" s="30">
        <f>VLOOKUP(VALUE(LEFT($A177, 4)), 'Raw Annual EBITDA'!$A:W, 23, FALSE) / 4</f>
        <v>54184.75</v>
      </c>
      <c r="X175" s="28"/>
      <c r="Y175" s="28"/>
      <c r="Z175" s="28"/>
      <c r="AA175" s="28"/>
      <c r="AB175" s="28"/>
      <c r="AC175" s="28"/>
    </row>
    <row r="176" spans="1:29" ht="13">
      <c r="A176" s="27" t="s">
        <v>86</v>
      </c>
      <c r="B176" s="28"/>
      <c r="C176" s="30">
        <f>VLOOKUP(VALUE(LEFT(A176, 4)), 'Raw Annual EBITDA'!A:C, 3, FALSE) / 4</f>
        <v>363186.5</v>
      </c>
      <c r="D176" s="30">
        <f>VLOOKUP(VALUE(LEFT(A176, 4)), 'Raw Annual EBITDA'!A:D, 4, FALSE) / 4</f>
        <v>163849.5</v>
      </c>
      <c r="E176" s="30">
        <f>VLOOKUP(VALUE(LEFT(A176, 4)), 'Raw Annual EBITDA'!A:E, 5, FALSE) / 4</f>
        <v>50528.25</v>
      </c>
      <c r="F176" s="30">
        <f>VLOOKUP(VALUE(LEFT(A176, 4)), 'Raw Annual EBITDA'!A:F, 6, FALSE) / 4</f>
        <v>76393.5</v>
      </c>
      <c r="G176" s="28"/>
      <c r="H176" s="30">
        <f>VLOOKUP(VALUE(LEFT(A64, 4)), 'Raw Annual EBITDA'!A:H, 8, FALSE) / 4</f>
        <v>30031.75</v>
      </c>
      <c r="I176" s="28"/>
      <c r="J176" s="30">
        <f>VLOOKUP(VALUE(LEFT(A64, 4)), 'Raw Annual EBITDA'!A:J, 10, FALSE) / 4</f>
        <v>1716.5</v>
      </c>
      <c r="K176" s="28"/>
      <c r="L176" s="30">
        <f>VLOOKUP(VALUE(LEFT($A176, 4)), 'Raw Annual EBITDA'!$A:L, 12, FALSE) / 4</f>
        <v>43004.5</v>
      </c>
      <c r="M176" s="28"/>
      <c r="N176" s="28"/>
      <c r="O176" s="32">
        <f>VLOOKUP(VALUE(LEFT(A178, 4)), 'Raw Annual EBITDA'!A:O, 15, FALSE) / 4</f>
        <v>4642.75</v>
      </c>
      <c r="P176" s="28"/>
      <c r="Q176" s="28"/>
      <c r="R176" s="28"/>
      <c r="S176" s="28"/>
      <c r="T176" s="28"/>
      <c r="U176" s="30">
        <f>VLOOKUP(VALUE(LEFT($A176, 4)), 'Raw Annual EBITDA'!$A:U, 21, FALSE) / 4</f>
        <v>-8806.5</v>
      </c>
      <c r="V176" s="28"/>
      <c r="W176" s="30">
        <f>VLOOKUP(VALUE(LEFT($A178, 4)), 'Raw Annual EBITDA'!$A:W, 23, FALSE) / 4</f>
        <v>85924.5</v>
      </c>
      <c r="X176" s="28"/>
      <c r="Y176" s="28"/>
      <c r="Z176" s="28"/>
      <c r="AA176" s="28"/>
      <c r="AB176" s="28"/>
      <c r="AC176" s="28"/>
    </row>
    <row r="177" spans="1:29" ht="13">
      <c r="A177" s="27" t="s">
        <v>87</v>
      </c>
      <c r="B177" s="28"/>
      <c r="C177" s="30">
        <f>VLOOKUP(VALUE(LEFT(A177, 4)), 'Raw Annual EBITDA'!A:C, 3, FALSE) / 4</f>
        <v>363186.5</v>
      </c>
      <c r="D177" s="30">
        <f>VLOOKUP(VALUE(LEFT(A177, 4)), 'Raw Annual EBITDA'!A:D, 4, FALSE) / 4</f>
        <v>163849.5</v>
      </c>
      <c r="E177" s="30">
        <f>VLOOKUP(VALUE(LEFT(A177, 4)), 'Raw Annual EBITDA'!A:E, 5, FALSE) / 4</f>
        <v>50528.25</v>
      </c>
      <c r="F177" s="30">
        <f>VLOOKUP(VALUE(LEFT(A177, 4)), 'Raw Annual EBITDA'!A:F, 6, FALSE) / 4</f>
        <v>76393.5</v>
      </c>
      <c r="G177" s="28"/>
      <c r="H177" s="30">
        <f>VLOOKUP(VALUE(LEFT(A65, 4)), 'Raw Annual EBITDA'!A:H, 8, FALSE) / 4</f>
        <v>30031.75</v>
      </c>
      <c r="I177" s="28"/>
      <c r="J177" s="30">
        <f>VLOOKUP(VALUE(LEFT(A65, 4)), 'Raw Annual EBITDA'!A:J, 10, FALSE) / 4</f>
        <v>1716.5</v>
      </c>
      <c r="K177" s="28"/>
      <c r="L177" s="30">
        <f>VLOOKUP(VALUE(LEFT($A177, 4)), 'Raw Annual EBITDA'!$A:L, 12, FALSE) / 4</f>
        <v>43004.5</v>
      </c>
      <c r="M177" s="28"/>
      <c r="N177" s="28"/>
      <c r="O177" s="32">
        <f>VLOOKUP(VALUE(LEFT(A179, 4)), 'Raw Annual EBITDA'!A:O, 15, FALSE) / 4</f>
        <v>4642.75</v>
      </c>
      <c r="P177" s="28"/>
      <c r="Q177" s="28"/>
      <c r="R177" s="28"/>
      <c r="S177" s="28"/>
      <c r="T177" s="28"/>
      <c r="U177" s="30">
        <f>VLOOKUP(VALUE(LEFT($A177, 4)), 'Raw Annual EBITDA'!$A:U, 21, FALSE) / 4</f>
        <v>-8806.5</v>
      </c>
      <c r="V177" s="28"/>
      <c r="W177" s="30">
        <f>VLOOKUP(VALUE(LEFT($A179, 4)), 'Raw Annual EBITDA'!$A:W, 23, FALSE) / 4</f>
        <v>85924.5</v>
      </c>
      <c r="X177" s="28"/>
      <c r="Y177" s="28"/>
      <c r="Z177" s="28"/>
      <c r="AA177" s="28"/>
      <c r="AB177" s="28"/>
      <c r="AC177" s="28"/>
    </row>
    <row r="178" spans="1:29" ht="13">
      <c r="A178" s="27" t="s">
        <v>88</v>
      </c>
      <c r="B178" s="28"/>
      <c r="C178" s="30">
        <f>VLOOKUP(VALUE(LEFT(A178, 4)), 'Raw Annual EBITDA'!A:C, 3, FALSE) / 4</f>
        <v>473733.5</v>
      </c>
      <c r="D178" s="30">
        <f>VLOOKUP(VALUE(LEFT(A178, 4)), 'Raw Annual EBITDA'!A:D, 4, FALSE) / 4</f>
        <v>186175.25</v>
      </c>
      <c r="E178" s="30">
        <f>VLOOKUP(VALUE(LEFT(A178, 4)), 'Raw Annual EBITDA'!A:E, 5, FALSE) / 4</f>
        <v>35133.25</v>
      </c>
      <c r="F178" s="30">
        <f>VLOOKUP(VALUE(LEFT(A178, 4)), 'Raw Annual EBITDA'!A:F, 6, FALSE) / 4</f>
        <v>80500</v>
      </c>
      <c r="G178" s="28"/>
      <c r="H178" s="30">
        <f>VLOOKUP(VALUE(LEFT(A66, 4)), 'Raw Annual EBITDA'!A:H, 8, FALSE) / 4</f>
        <v>30031.75</v>
      </c>
      <c r="I178" s="28"/>
      <c r="J178" s="30">
        <f>VLOOKUP(VALUE(LEFT(A66, 4)), 'Raw Annual EBITDA'!A:J, 10, FALSE) / 4</f>
        <v>1716.5</v>
      </c>
      <c r="K178" s="28"/>
      <c r="L178" s="30">
        <f>VLOOKUP(VALUE(LEFT($A178, 4)), 'Raw Annual EBITDA'!$A:L, 12, FALSE) / 4</f>
        <v>53070.75</v>
      </c>
      <c r="M178" s="28"/>
      <c r="N178" s="28"/>
      <c r="O178" s="32">
        <f>VLOOKUP(VALUE(LEFT(A180, 4)), 'Raw Annual EBITDA'!A:O, 15, FALSE) / 4</f>
        <v>4642.75</v>
      </c>
      <c r="P178" s="28"/>
      <c r="Q178" s="28"/>
      <c r="R178" s="30">
        <f>VLOOKUP(VALUE(LEFT(A178, 4)), 'Raw Annual EBITDA'!A:R, 18, FALSE) / 4</f>
        <v>3732.5</v>
      </c>
      <c r="S178" s="28"/>
      <c r="T178" s="28"/>
      <c r="U178" s="30">
        <f>VLOOKUP(VALUE(LEFT($A178, 4)), 'Raw Annual EBITDA'!$A:U, 21, FALSE) / 4</f>
        <v>-74641.25</v>
      </c>
      <c r="V178" s="28"/>
      <c r="W178" s="30">
        <f>VLOOKUP(VALUE(LEFT($A180, 4)), 'Raw Annual EBITDA'!$A:W, 23, FALSE) / 4</f>
        <v>85924.5</v>
      </c>
      <c r="X178" s="28"/>
      <c r="Y178" s="28"/>
      <c r="Z178" s="28"/>
      <c r="AA178" s="28"/>
      <c r="AB178" s="28"/>
      <c r="AC178" s="28"/>
    </row>
    <row r="179" spans="1:29" ht="13">
      <c r="A179" s="27" t="s">
        <v>89</v>
      </c>
      <c r="B179" s="28"/>
      <c r="C179" s="30">
        <f>VLOOKUP(VALUE(LEFT(A179, 4)), 'Raw Annual EBITDA'!A:C, 3, FALSE) / 4</f>
        <v>473733.5</v>
      </c>
      <c r="D179" s="30">
        <f>VLOOKUP(VALUE(LEFT(A179, 4)), 'Raw Annual EBITDA'!A:D, 4, FALSE) / 4</f>
        <v>186175.25</v>
      </c>
      <c r="E179" s="30">
        <f>VLOOKUP(VALUE(LEFT(A179, 4)), 'Raw Annual EBITDA'!A:E, 5, FALSE) / 4</f>
        <v>35133.25</v>
      </c>
      <c r="F179" s="30">
        <f>VLOOKUP(VALUE(LEFT(A179, 4)), 'Raw Annual EBITDA'!A:F, 6, FALSE) / 4</f>
        <v>80500</v>
      </c>
      <c r="G179" s="28"/>
      <c r="H179" s="30">
        <f>VLOOKUP(VALUE(LEFT(A67, 4)), 'Raw Annual EBITDA'!A:H, 8, FALSE) / 4</f>
        <v>32141.25</v>
      </c>
      <c r="I179" s="28"/>
      <c r="J179" s="30">
        <f>VLOOKUP(VALUE(LEFT(A67, 4)), 'Raw Annual EBITDA'!A:J, 10, FALSE) / 4</f>
        <v>-3559.75</v>
      </c>
      <c r="K179" s="28"/>
      <c r="L179" s="30">
        <f>VLOOKUP(VALUE(LEFT($A179, 4)), 'Raw Annual EBITDA'!$A:L, 12, FALSE) / 4</f>
        <v>53070.75</v>
      </c>
      <c r="M179" s="28"/>
      <c r="N179" s="28"/>
      <c r="O179" s="32">
        <f>VLOOKUP(VALUE(LEFT(A181, 4)), 'Raw Annual EBITDA'!A:O, 15, FALSE) / 4</f>
        <v>4642.75</v>
      </c>
      <c r="P179" s="28"/>
      <c r="Q179" s="28"/>
      <c r="R179" s="30">
        <f>VLOOKUP(VALUE(LEFT(A179, 4)), 'Raw Annual EBITDA'!A:R, 18, FALSE) / 4</f>
        <v>3732.5</v>
      </c>
      <c r="S179" s="28"/>
      <c r="T179" s="28"/>
      <c r="U179" s="30">
        <f>VLOOKUP(VALUE(LEFT($A179, 4)), 'Raw Annual EBITDA'!$A:U, 21, FALSE) / 4</f>
        <v>-74641.25</v>
      </c>
      <c r="V179" s="28"/>
      <c r="W179" s="30">
        <f>VLOOKUP(VALUE(LEFT($A181, 4)), 'Raw Annual EBITDA'!$A:W, 23, FALSE) / 4</f>
        <v>85924.5</v>
      </c>
      <c r="X179" s="28"/>
      <c r="Y179" s="28"/>
      <c r="Z179" s="28"/>
      <c r="AA179" s="28"/>
      <c r="AB179" s="28"/>
      <c r="AC179" s="28"/>
    </row>
    <row r="180" spans="1:29" ht="13">
      <c r="A180" s="27" t="s">
        <v>90</v>
      </c>
      <c r="B180" s="28"/>
      <c r="C180" s="30">
        <f>VLOOKUP(VALUE(LEFT(A180, 4)), 'Raw Annual EBITDA'!A:C, 3, FALSE) / 4</f>
        <v>473733.5</v>
      </c>
      <c r="D180" s="30">
        <f>VLOOKUP(VALUE(LEFT(A180, 4)), 'Raw Annual EBITDA'!A:D, 4, FALSE) / 4</f>
        <v>186175.25</v>
      </c>
      <c r="E180" s="30">
        <f>VLOOKUP(VALUE(LEFT(A180, 4)), 'Raw Annual EBITDA'!A:E, 5, FALSE) / 4</f>
        <v>35133.25</v>
      </c>
      <c r="F180" s="30">
        <f>VLOOKUP(VALUE(LEFT(A180, 4)), 'Raw Annual EBITDA'!A:F, 6, FALSE) / 4</f>
        <v>80500</v>
      </c>
      <c r="G180" s="28"/>
      <c r="H180" s="30">
        <f>VLOOKUP(VALUE(LEFT(A68, 4)), 'Raw Annual EBITDA'!A:H, 8, FALSE) / 4</f>
        <v>32141.25</v>
      </c>
      <c r="I180" s="28"/>
      <c r="J180" s="30">
        <f>VLOOKUP(VALUE(LEFT(A68, 4)), 'Raw Annual EBITDA'!A:J, 10, FALSE) / 4</f>
        <v>-3559.75</v>
      </c>
      <c r="K180" s="28"/>
      <c r="L180" s="30">
        <f>VLOOKUP(VALUE(LEFT($A180, 4)), 'Raw Annual EBITDA'!$A:L, 12, FALSE) / 4</f>
        <v>53070.75</v>
      </c>
      <c r="M180" s="28"/>
      <c r="N180" s="28"/>
      <c r="O180" s="32">
        <f>VLOOKUP(VALUE(LEFT(A182, 4)), 'Raw Annual EBITDA'!A:O, 15, FALSE) / 4</f>
        <v>2783</v>
      </c>
      <c r="P180" s="28"/>
      <c r="Q180" s="28"/>
      <c r="R180" s="30">
        <f>VLOOKUP(VALUE(LEFT(A180, 4)), 'Raw Annual EBITDA'!A:R, 18, FALSE) / 4</f>
        <v>3732.5</v>
      </c>
      <c r="S180" s="28"/>
      <c r="T180" s="28"/>
      <c r="U180" s="30">
        <f>VLOOKUP(VALUE(LEFT($A180, 4)), 'Raw Annual EBITDA'!$A:U, 21, FALSE) / 4</f>
        <v>-74641.25</v>
      </c>
      <c r="V180" s="28"/>
      <c r="W180" s="30">
        <f>VLOOKUP(VALUE(LEFT($A182, 4)), 'Raw Annual EBITDA'!$A:W, 23, FALSE) / 4</f>
        <v>84414.25</v>
      </c>
      <c r="X180" s="28"/>
      <c r="Y180" s="28"/>
      <c r="Z180" s="28"/>
      <c r="AA180" s="28"/>
      <c r="AB180" s="28"/>
      <c r="AC180" s="28"/>
    </row>
    <row r="181" spans="1:29" ht="13">
      <c r="A181" s="27" t="s">
        <v>91</v>
      </c>
      <c r="B181" s="28"/>
      <c r="C181" s="30">
        <f>VLOOKUP(VALUE(LEFT(A181, 4)), 'Raw Annual EBITDA'!A:C, 3, FALSE) / 4</f>
        <v>473733.5</v>
      </c>
      <c r="D181" s="30">
        <f>VLOOKUP(VALUE(LEFT(A181, 4)), 'Raw Annual EBITDA'!A:D, 4, FALSE) / 4</f>
        <v>186175.25</v>
      </c>
      <c r="E181" s="30">
        <f>VLOOKUP(VALUE(LEFT(A181, 4)), 'Raw Annual EBITDA'!A:E, 5, FALSE) / 4</f>
        <v>35133.25</v>
      </c>
      <c r="F181" s="30">
        <f>VLOOKUP(VALUE(LEFT(A181, 4)), 'Raw Annual EBITDA'!A:F, 6, FALSE) / 4</f>
        <v>80500</v>
      </c>
      <c r="G181" s="28"/>
      <c r="H181" s="30">
        <f>VLOOKUP(VALUE(LEFT(A69, 4)), 'Raw Annual EBITDA'!A:H, 8, FALSE) / 4</f>
        <v>32141.25</v>
      </c>
      <c r="I181" s="28"/>
      <c r="J181" s="30">
        <f>VLOOKUP(VALUE(LEFT(A69, 4)), 'Raw Annual EBITDA'!A:J, 10, FALSE) / 4</f>
        <v>-3559.75</v>
      </c>
      <c r="K181" s="28"/>
      <c r="L181" s="30">
        <f>VLOOKUP(VALUE(LEFT($A181, 4)), 'Raw Annual EBITDA'!$A:L, 12, FALSE) / 4</f>
        <v>53070.75</v>
      </c>
      <c r="M181" s="28"/>
      <c r="N181" s="28"/>
      <c r="O181" s="32">
        <f>VLOOKUP(VALUE(LEFT(A183, 4)), 'Raw Annual EBITDA'!A:O, 15, FALSE) / 4</f>
        <v>2783</v>
      </c>
      <c r="P181" s="28"/>
      <c r="Q181" s="28"/>
      <c r="R181" s="30">
        <f>VLOOKUP(VALUE(LEFT(A181, 4)), 'Raw Annual EBITDA'!A:R, 18, FALSE) / 4</f>
        <v>3732.5</v>
      </c>
      <c r="S181" s="28"/>
      <c r="T181" s="28"/>
      <c r="U181" s="30">
        <f>VLOOKUP(VALUE(LEFT($A181, 4)), 'Raw Annual EBITDA'!$A:U, 21, FALSE) / 4</f>
        <v>-74641.25</v>
      </c>
      <c r="V181" s="28"/>
      <c r="W181" s="30">
        <f>VLOOKUP(VALUE(LEFT($A183, 4)), 'Raw Annual EBITDA'!$A:W, 23, FALSE) / 4</f>
        <v>84414.25</v>
      </c>
      <c r="X181" s="28"/>
      <c r="Y181" s="28"/>
      <c r="Z181" s="28"/>
      <c r="AA181" s="28"/>
      <c r="AB181" s="28"/>
      <c r="AC181" s="28"/>
    </row>
    <row r="182" spans="1:29" ht="13">
      <c r="A182" s="27" t="s">
        <v>92</v>
      </c>
      <c r="B182" s="28"/>
      <c r="C182" s="30">
        <f>VLOOKUP(VALUE(LEFT(A182, 4)), 'Raw Annual EBITDA'!A:C, 3, FALSE) / 4</f>
        <v>632597.25</v>
      </c>
      <c r="D182" s="30">
        <f>VLOOKUP(VALUE(LEFT(A182, 4)), 'Raw Annual EBITDA'!A:D, 4, FALSE) / 4</f>
        <v>198481.5</v>
      </c>
      <c r="E182" s="30">
        <f>VLOOKUP(VALUE(LEFT(A182, 4)), 'Raw Annual EBITDA'!A:E, 5, FALSE) / 4</f>
        <v>45990.25</v>
      </c>
      <c r="F182" s="30">
        <f>VLOOKUP(VALUE(LEFT(A182, 4)), 'Raw Annual EBITDA'!A:F, 6, FALSE) / 4</f>
        <v>82500</v>
      </c>
      <c r="G182" s="28"/>
      <c r="H182" s="30">
        <f>VLOOKUP(VALUE(LEFT(A70, 4)), 'Raw Annual EBITDA'!A:H, 8, FALSE) / 4</f>
        <v>32141.25</v>
      </c>
      <c r="I182" s="28"/>
      <c r="J182" s="30">
        <f>VLOOKUP(VALUE(LEFT(A70, 4)), 'Raw Annual EBITDA'!A:J, 10, FALSE) / 4</f>
        <v>-3559.75</v>
      </c>
      <c r="K182" s="28"/>
      <c r="L182" s="30">
        <f>VLOOKUP(VALUE(LEFT($A182, 4)), 'Raw Annual EBITDA'!$A:L, 12, FALSE) / 4</f>
        <v>68002.5</v>
      </c>
      <c r="M182" s="28"/>
      <c r="N182" s="28"/>
      <c r="O182" s="32">
        <f>VLOOKUP(VALUE(LEFT(A184, 4)), 'Raw Annual EBITDA'!A:O, 15, FALSE) / 4</f>
        <v>2783</v>
      </c>
      <c r="P182" s="28"/>
      <c r="Q182" s="28"/>
      <c r="R182" s="30">
        <f>VLOOKUP(VALUE(LEFT(A182, 4)), 'Raw Annual EBITDA'!A:R, 18, FALSE) / 4</f>
        <v>7241</v>
      </c>
      <c r="S182" s="28"/>
      <c r="T182" s="28"/>
      <c r="U182" s="30">
        <f>VLOOKUP(VALUE(LEFT($A182, 4)), 'Raw Annual EBITDA'!$A:U, 21, FALSE) / 4</f>
        <v>20</v>
      </c>
      <c r="V182" s="28"/>
      <c r="W182" s="30">
        <f>VLOOKUP(VALUE(LEFT($A184, 4)), 'Raw Annual EBITDA'!$A:W, 23, FALSE) / 4</f>
        <v>84414.25</v>
      </c>
      <c r="X182" s="30"/>
      <c r="Y182" s="28"/>
      <c r="Z182" s="28"/>
      <c r="AA182" s="28"/>
      <c r="AB182" s="28"/>
      <c r="AC182" s="28"/>
    </row>
    <row r="183" spans="1:29" ht="13">
      <c r="A183" s="27" t="s">
        <v>93</v>
      </c>
      <c r="B183" s="28"/>
      <c r="C183" s="30">
        <f>VLOOKUP(VALUE(LEFT(A183, 4)), 'Raw Annual EBITDA'!A:C, 3, FALSE) / 4</f>
        <v>632597.25</v>
      </c>
      <c r="D183" s="30">
        <f>VLOOKUP(VALUE(LEFT(A183, 4)), 'Raw Annual EBITDA'!A:D, 4, FALSE) / 4</f>
        <v>198481.5</v>
      </c>
      <c r="E183" s="30">
        <f>VLOOKUP(VALUE(LEFT(A183, 4)), 'Raw Annual EBITDA'!A:E, 5, FALSE) / 4</f>
        <v>45990.25</v>
      </c>
      <c r="F183" s="30">
        <f>VLOOKUP(VALUE(LEFT(A183, 4)), 'Raw Annual EBITDA'!A:F, 6, FALSE) / 4</f>
        <v>82500</v>
      </c>
      <c r="G183" s="28"/>
      <c r="H183" s="30">
        <f>VLOOKUP(VALUE(LEFT(A71, 4)), 'Raw Annual EBITDA'!A:H, 8, FALSE) / 4</f>
        <v>28710</v>
      </c>
      <c r="I183" s="28"/>
      <c r="J183" s="30">
        <f>VLOOKUP(VALUE(LEFT(A71, 4)), 'Raw Annual EBITDA'!A:J, 10, FALSE) / 4</f>
        <v>-2427.5</v>
      </c>
      <c r="K183" s="28"/>
      <c r="L183" s="30">
        <f>VLOOKUP(VALUE(LEFT($A183, 4)), 'Raw Annual EBITDA'!$A:L, 12, FALSE) / 4</f>
        <v>68002.5</v>
      </c>
      <c r="M183" s="28"/>
      <c r="N183" s="28"/>
      <c r="O183" s="32">
        <f>VLOOKUP(VALUE(LEFT(A185, 4)), 'Raw Annual EBITDA'!A:O, 15, FALSE) / 4</f>
        <v>2783</v>
      </c>
      <c r="P183" s="28"/>
      <c r="Q183" s="28"/>
      <c r="R183" s="30">
        <f>VLOOKUP(VALUE(LEFT(A183, 4)), 'Raw Annual EBITDA'!A:R, 18, FALSE) / 4</f>
        <v>7241</v>
      </c>
      <c r="S183" s="28"/>
      <c r="T183" s="28"/>
      <c r="U183" s="30">
        <f>VLOOKUP(VALUE(LEFT($A183, 4)), 'Raw Annual EBITDA'!$A:U, 21, FALSE) / 4</f>
        <v>20</v>
      </c>
      <c r="V183" s="28"/>
      <c r="W183" s="30">
        <f>VLOOKUP(VALUE(LEFT($A185, 4)), 'Raw Annual EBITDA'!$A:W, 23, FALSE) / 4</f>
        <v>84414.25</v>
      </c>
      <c r="X183" s="30"/>
      <c r="Y183" s="28"/>
      <c r="Z183" s="28"/>
      <c r="AA183" s="28"/>
      <c r="AB183" s="28"/>
      <c r="AC183" s="28"/>
    </row>
    <row r="184" spans="1:29" ht="13">
      <c r="A184" s="27" t="s">
        <v>94</v>
      </c>
      <c r="B184" s="28"/>
      <c r="C184" s="30">
        <f>VLOOKUP(VALUE(LEFT(A184, 4)), 'Raw Annual EBITDA'!A:C, 3, FALSE) / 4</f>
        <v>632597.25</v>
      </c>
      <c r="D184" s="30">
        <f>VLOOKUP(VALUE(LEFT(A184, 4)), 'Raw Annual EBITDA'!A:D, 4, FALSE) / 4</f>
        <v>198481.5</v>
      </c>
      <c r="E184" s="30">
        <f>VLOOKUP(VALUE(LEFT(A184, 4)), 'Raw Annual EBITDA'!A:E, 5, FALSE) / 4</f>
        <v>45990.25</v>
      </c>
      <c r="F184" s="30">
        <f>VLOOKUP(VALUE(LEFT(A184, 4)), 'Raw Annual EBITDA'!A:F, 6, FALSE) / 4</f>
        <v>82500</v>
      </c>
      <c r="G184" s="28"/>
      <c r="H184" s="30">
        <f>VLOOKUP(VALUE(LEFT(A72, 4)), 'Raw Annual EBITDA'!A:H, 8, FALSE) / 4</f>
        <v>28710</v>
      </c>
      <c r="I184" s="28"/>
      <c r="J184" s="30">
        <f>VLOOKUP(VALUE(LEFT(A72, 4)), 'Raw Annual EBITDA'!A:J, 10, FALSE) / 4</f>
        <v>-2427.5</v>
      </c>
      <c r="K184" s="28"/>
      <c r="L184" s="30">
        <f>VLOOKUP(VALUE(LEFT($A184, 4)), 'Raw Annual EBITDA'!$A:L, 12, FALSE) / 4</f>
        <v>68002.5</v>
      </c>
      <c r="M184" s="28"/>
      <c r="N184" s="28"/>
      <c r="O184" s="32">
        <f>VLOOKUP(VALUE(LEFT(A186, 4)), 'Raw Annual EBITDA'!A:O, 15, FALSE) / 4</f>
        <v>5629</v>
      </c>
      <c r="P184" s="28"/>
      <c r="Q184" s="28"/>
      <c r="R184" s="30">
        <f>VLOOKUP(VALUE(LEFT(A184, 4)), 'Raw Annual EBITDA'!A:R, 18, FALSE) / 4</f>
        <v>7241</v>
      </c>
      <c r="S184" s="28"/>
      <c r="T184" s="28"/>
      <c r="U184" s="30">
        <f>VLOOKUP(VALUE(LEFT($A184, 4)), 'Raw Annual EBITDA'!$A:U, 21, FALSE) / 4</f>
        <v>20</v>
      </c>
      <c r="V184" s="28"/>
      <c r="W184" s="30">
        <f>VLOOKUP(VALUE(LEFT($A186, 4)), 'Raw Annual EBITDA'!$A:W, 23, FALSE) / 4</f>
        <v>87240.75</v>
      </c>
      <c r="X184" s="30"/>
      <c r="Y184" s="28"/>
      <c r="Z184" s="28"/>
      <c r="AA184" s="28"/>
      <c r="AB184" s="28"/>
      <c r="AC184" s="28"/>
    </row>
    <row r="185" spans="1:29" ht="13">
      <c r="A185" s="27" t="s">
        <v>95</v>
      </c>
      <c r="B185" s="28"/>
      <c r="C185" s="30">
        <f>VLOOKUP(VALUE(LEFT(A185, 4)), 'Raw Annual EBITDA'!A:C, 3, FALSE) / 4</f>
        <v>632597.25</v>
      </c>
      <c r="D185" s="30">
        <f>VLOOKUP(VALUE(LEFT(A185, 4)), 'Raw Annual EBITDA'!A:D, 4, FALSE) / 4</f>
        <v>198481.5</v>
      </c>
      <c r="E185" s="30">
        <f>VLOOKUP(VALUE(LEFT(A185, 4)), 'Raw Annual EBITDA'!A:E, 5, FALSE) / 4</f>
        <v>45990.25</v>
      </c>
      <c r="F185" s="30">
        <f>VLOOKUP(VALUE(LEFT(A185, 4)), 'Raw Annual EBITDA'!A:F, 6, FALSE) / 4</f>
        <v>82500</v>
      </c>
      <c r="G185" s="28"/>
      <c r="H185" s="30">
        <f>VLOOKUP(VALUE(LEFT(A73, 4)), 'Raw Annual EBITDA'!A:H, 8, FALSE) / 4</f>
        <v>28710</v>
      </c>
      <c r="I185" s="28"/>
      <c r="J185" s="30">
        <f>VLOOKUP(VALUE(LEFT(A73, 4)), 'Raw Annual EBITDA'!A:J, 10, FALSE) / 4</f>
        <v>-2427.5</v>
      </c>
      <c r="K185" s="28"/>
      <c r="L185" s="30">
        <f>VLOOKUP(VALUE(LEFT($A185, 4)), 'Raw Annual EBITDA'!$A:L, 12, FALSE) / 4</f>
        <v>68002.5</v>
      </c>
      <c r="M185" s="28"/>
      <c r="N185" s="28"/>
      <c r="O185" s="32">
        <f>VLOOKUP(VALUE(LEFT(A187, 4)), 'Raw Annual EBITDA'!A:O, 15, FALSE) / 4</f>
        <v>5629</v>
      </c>
      <c r="P185" s="28"/>
      <c r="Q185" s="28"/>
      <c r="R185" s="30">
        <f>VLOOKUP(VALUE(LEFT(A185, 4)), 'Raw Annual EBITDA'!A:R, 18, FALSE) / 4</f>
        <v>7241</v>
      </c>
      <c r="S185" s="28"/>
      <c r="T185" s="28"/>
      <c r="U185" s="30">
        <f>VLOOKUP(VALUE(LEFT($A185, 4)), 'Raw Annual EBITDA'!$A:U, 21, FALSE) / 4</f>
        <v>20</v>
      </c>
      <c r="V185" s="28"/>
      <c r="W185" s="30">
        <f>VLOOKUP(VALUE(LEFT($A187, 4)), 'Raw Annual EBITDA'!$A:W, 23, FALSE) / 4</f>
        <v>87240.75</v>
      </c>
      <c r="X185" s="30"/>
      <c r="Y185" s="28"/>
      <c r="Z185" s="28"/>
      <c r="AA185" s="28"/>
      <c r="AB185" s="28"/>
      <c r="AC185" s="28"/>
    </row>
    <row r="186" spans="1:29" ht="13">
      <c r="A186" s="27" t="s">
        <v>96</v>
      </c>
      <c r="B186" s="28"/>
      <c r="C186" s="30">
        <f>VLOOKUP(VALUE(LEFT(A186, 4)), 'Raw Annual EBITDA'!A:C, 3, FALSE) / 4</f>
        <v>820283</v>
      </c>
      <c r="D186" s="30">
        <f>VLOOKUP(VALUE(LEFT(A186, 4)), 'Raw Annual EBITDA'!A:D, 4, FALSE) / 4</f>
        <v>232591.25</v>
      </c>
      <c r="E186" s="30">
        <f>VLOOKUP(VALUE(LEFT(A186, 4)), 'Raw Annual EBITDA'!A:E, 5, FALSE) / 4</f>
        <v>1279.75</v>
      </c>
      <c r="F186" s="30">
        <f>VLOOKUP(VALUE(LEFT(A186, 4)), 'Raw Annual EBITDA'!A:F, 6, FALSE) / 4</f>
        <v>102250</v>
      </c>
      <c r="G186" s="30">
        <f>VLOOKUP(VALUE(LEFT(A186, 4)), 'Raw Annual EBITDA'!A:G, 7, FALSE) / 4</f>
        <v>-81.75</v>
      </c>
      <c r="H186" s="30">
        <f>VLOOKUP(VALUE(LEFT(A74, 4)), 'Raw Annual EBITDA'!A:H, 8, FALSE) / 4</f>
        <v>28710</v>
      </c>
      <c r="I186" s="28"/>
      <c r="J186" s="30">
        <f>VLOOKUP(VALUE(LEFT(A74, 4)), 'Raw Annual EBITDA'!A:J, 10, FALSE) / 4</f>
        <v>-2427.5</v>
      </c>
      <c r="K186" s="28"/>
      <c r="L186" s="30">
        <f>VLOOKUP(VALUE(LEFT($A186, 4)), 'Raw Annual EBITDA'!$A:L, 12, FALSE) / 4</f>
        <v>78234.5</v>
      </c>
      <c r="M186" s="28"/>
      <c r="N186" s="28"/>
      <c r="O186" s="32">
        <f>VLOOKUP(VALUE(LEFT(A188, 4)), 'Raw Annual EBITDA'!A:O, 15, FALSE) / 4</f>
        <v>5629</v>
      </c>
      <c r="P186" s="28"/>
      <c r="Q186" s="28"/>
      <c r="R186" s="30">
        <f>VLOOKUP(VALUE(LEFT(A186, 4)), 'Raw Annual EBITDA'!A:R, 18, FALSE) / 4</f>
        <v>7240.25</v>
      </c>
      <c r="S186" s="28"/>
      <c r="T186" s="28"/>
      <c r="U186" s="30">
        <f>VLOOKUP(VALUE(LEFT($A186, 4)), 'Raw Annual EBITDA'!$A:U, 21, FALSE) / 4</f>
        <v>11140.25</v>
      </c>
      <c r="V186" s="28"/>
      <c r="W186" s="30">
        <f>VLOOKUP(VALUE(LEFT($A188, 4)), 'Raw Annual EBITDA'!$A:W, 23, FALSE) / 4</f>
        <v>87240.75</v>
      </c>
      <c r="X186" s="30">
        <f>VLOOKUP(VALUE(LEFT($A186, 4)), 'Raw Annual EBITDA'!$A:X, 24, FALSE) / 4</f>
        <v>4917.6905999999999</v>
      </c>
      <c r="Y186" s="30"/>
      <c r="Z186" s="30">
        <f>VLOOKUP(VALUE(LEFT($A186, 4)), 'Raw Annual EBITDA'!$A:Z, 26, FALSE) / 4</f>
        <v>90.75</v>
      </c>
      <c r="AA186" s="30"/>
      <c r="AB186" s="30"/>
      <c r="AC186" s="28"/>
    </row>
    <row r="187" spans="1:29" ht="13">
      <c r="A187" s="27" t="s">
        <v>97</v>
      </c>
      <c r="B187" s="28"/>
      <c r="C187" s="30">
        <f>VLOOKUP(VALUE(LEFT(A187, 4)), 'Raw Annual EBITDA'!A:C, 3, FALSE) / 4</f>
        <v>820283</v>
      </c>
      <c r="D187" s="30">
        <f>VLOOKUP(VALUE(LEFT(A187, 4)), 'Raw Annual EBITDA'!A:D, 4, FALSE) / 4</f>
        <v>232591.25</v>
      </c>
      <c r="E187" s="30">
        <f>VLOOKUP(VALUE(LEFT(A187, 4)), 'Raw Annual EBITDA'!A:E, 5, FALSE) / 4</f>
        <v>1279.75</v>
      </c>
      <c r="F187" s="30">
        <f>VLOOKUP(VALUE(LEFT(A187, 4)), 'Raw Annual EBITDA'!A:F, 6, FALSE) / 4</f>
        <v>102250</v>
      </c>
      <c r="G187" s="30">
        <f>VLOOKUP(VALUE(LEFT(A187, 4)), 'Raw Annual EBITDA'!A:G, 7, FALSE) / 4</f>
        <v>-81.75</v>
      </c>
      <c r="H187" s="30">
        <v>28710</v>
      </c>
      <c r="I187" s="28"/>
      <c r="J187" s="30">
        <f>VLOOKUP(VALUE(LEFT(A75, 4)), 'Raw Annual EBITDA'!A:J, 10, FALSE) / 4</f>
        <v>-1621</v>
      </c>
      <c r="K187" s="28"/>
      <c r="L187" s="30">
        <f>VLOOKUP(VALUE(LEFT($A187, 4)), 'Raw Annual EBITDA'!$A:L, 12, FALSE) / 4</f>
        <v>78234.5</v>
      </c>
      <c r="M187" s="28"/>
      <c r="N187" s="28"/>
      <c r="O187" s="32">
        <f>VLOOKUP(VALUE(LEFT(A189, 4)), 'Raw Annual EBITDA'!A:O, 15, FALSE) / 4</f>
        <v>5629</v>
      </c>
      <c r="P187" s="28"/>
      <c r="Q187" s="28"/>
      <c r="R187" s="30">
        <f>VLOOKUP(VALUE(LEFT(A187, 4)), 'Raw Annual EBITDA'!A:R, 18, FALSE) / 4</f>
        <v>7240.25</v>
      </c>
      <c r="S187" s="28"/>
      <c r="T187" s="28"/>
      <c r="U187" s="30">
        <f>VLOOKUP(VALUE(LEFT($A187, 4)), 'Raw Annual EBITDA'!$A:U, 21, FALSE) / 4</f>
        <v>11140.25</v>
      </c>
      <c r="V187" s="28"/>
      <c r="W187" s="30">
        <f>VLOOKUP(VALUE(LEFT($A189, 4)), 'Raw Annual EBITDA'!$A:W, 23, FALSE) / 4</f>
        <v>87240.75</v>
      </c>
      <c r="X187" s="30">
        <f>VLOOKUP(VALUE(LEFT($A187, 4)), 'Raw Annual EBITDA'!$A:X, 24, FALSE) / 4</f>
        <v>4917.6905999999999</v>
      </c>
      <c r="Y187" s="30"/>
      <c r="Z187" s="30">
        <f>VLOOKUP(VALUE(LEFT($A187, 4)), 'Raw Annual EBITDA'!$A:Z, 26, FALSE) / 4</f>
        <v>90.75</v>
      </c>
      <c r="AA187" s="30"/>
      <c r="AB187" s="30"/>
      <c r="AC187" s="28"/>
    </row>
    <row r="188" spans="1:29" ht="13">
      <c r="A188" s="27" t="s">
        <v>98</v>
      </c>
      <c r="B188" s="28"/>
      <c r="C188" s="30">
        <f>VLOOKUP(VALUE(LEFT(A188, 4)), 'Raw Annual EBITDA'!A:C, 3, FALSE) / 4</f>
        <v>820283</v>
      </c>
      <c r="D188" s="30">
        <f>VLOOKUP(VALUE(LEFT(A188, 4)), 'Raw Annual EBITDA'!A:D, 4, FALSE) / 4</f>
        <v>232591.25</v>
      </c>
      <c r="E188" s="30">
        <f>VLOOKUP(VALUE(LEFT(A188, 4)), 'Raw Annual EBITDA'!A:E, 5, FALSE) / 4</f>
        <v>1279.75</v>
      </c>
      <c r="F188" s="30">
        <f>VLOOKUP(VALUE(LEFT(A188, 4)), 'Raw Annual EBITDA'!A:F, 6, FALSE) / 4</f>
        <v>102250</v>
      </c>
      <c r="G188" s="30">
        <f>VLOOKUP(VALUE(LEFT(A188, 4)), 'Raw Annual EBITDA'!A:G, 7, FALSE) / 4</f>
        <v>-81.75</v>
      </c>
      <c r="H188" s="30">
        <v>28710</v>
      </c>
      <c r="I188" s="28"/>
      <c r="J188" s="30">
        <f>VLOOKUP(VALUE(LEFT(A76, 4)), 'Raw Annual EBITDA'!A:J, 10, FALSE) / 4</f>
        <v>-1621</v>
      </c>
      <c r="K188" s="28"/>
      <c r="L188" s="30">
        <f>VLOOKUP(VALUE(LEFT($A188, 4)), 'Raw Annual EBITDA'!$A:L, 12, FALSE) / 4</f>
        <v>78234.5</v>
      </c>
      <c r="M188" s="28"/>
      <c r="N188" s="28"/>
      <c r="O188" s="32">
        <f>VLOOKUP(VALUE(LEFT(A190, 4)), 'Raw Annual EBITDA'!A:O, 15, FALSE) / 4</f>
        <v>5655.75</v>
      </c>
      <c r="P188" s="28"/>
      <c r="Q188" s="28"/>
      <c r="R188" s="30">
        <f>VLOOKUP(VALUE(LEFT(A188, 4)), 'Raw Annual EBITDA'!A:R, 18, FALSE) / 4</f>
        <v>7240.25</v>
      </c>
      <c r="S188" s="28"/>
      <c r="T188" s="28"/>
      <c r="U188" s="30">
        <f>VLOOKUP(VALUE(LEFT($A188, 4)), 'Raw Annual EBITDA'!$A:U, 21, FALSE) / 4</f>
        <v>11140.25</v>
      </c>
      <c r="V188" s="28"/>
      <c r="W188" s="30">
        <f>VLOOKUP(VALUE(LEFT($A190, 4)), 'Raw Annual EBITDA'!$A:W, 23, FALSE) / 4</f>
        <v>105865.25</v>
      </c>
      <c r="X188" s="30">
        <f>VLOOKUP(VALUE(LEFT($A188, 4)), 'Raw Annual EBITDA'!$A:X, 24, FALSE) / 4</f>
        <v>4917.6905999999999</v>
      </c>
      <c r="Y188" s="30"/>
      <c r="Z188" s="30">
        <f>VLOOKUP(VALUE(LEFT($A188, 4)), 'Raw Annual EBITDA'!$A:Z, 26, FALSE) / 4</f>
        <v>90.75</v>
      </c>
      <c r="AA188" s="30"/>
      <c r="AB188" s="30"/>
      <c r="AC188" s="28"/>
    </row>
    <row r="189" spans="1:29" ht="13">
      <c r="A189" s="27" t="s">
        <v>99</v>
      </c>
      <c r="B189" s="28"/>
      <c r="C189" s="30">
        <f>VLOOKUP(VALUE(LEFT(A189, 4)), 'Raw Annual EBITDA'!A:C, 3, FALSE) / 4</f>
        <v>820283</v>
      </c>
      <c r="D189" s="30">
        <f>VLOOKUP(VALUE(LEFT(A189, 4)), 'Raw Annual EBITDA'!A:D, 4, FALSE) / 4</f>
        <v>232591.25</v>
      </c>
      <c r="E189" s="30">
        <f>VLOOKUP(VALUE(LEFT(A189, 4)), 'Raw Annual EBITDA'!A:E, 5, FALSE) / 4</f>
        <v>1279.75</v>
      </c>
      <c r="F189" s="30">
        <f>VLOOKUP(VALUE(LEFT(A189, 4)), 'Raw Annual EBITDA'!A:F, 6, FALSE) / 4</f>
        <v>102250</v>
      </c>
      <c r="G189" s="30">
        <f>VLOOKUP(VALUE(LEFT(A189, 4)), 'Raw Annual EBITDA'!A:G, 7, FALSE) / 4</f>
        <v>-81.75</v>
      </c>
      <c r="H189" s="30">
        <v>24550.5</v>
      </c>
      <c r="I189" s="28"/>
      <c r="J189" s="30">
        <f>VLOOKUP(VALUE(LEFT(A77, 4)), 'Raw Annual EBITDA'!A:J, 10, FALSE) / 4</f>
        <v>-1621</v>
      </c>
      <c r="K189" s="28"/>
      <c r="L189" s="30">
        <f>VLOOKUP(VALUE(LEFT($A189, 4)), 'Raw Annual EBITDA'!$A:L, 12, FALSE) / 4</f>
        <v>78234.5</v>
      </c>
      <c r="M189" s="28"/>
      <c r="N189" s="28"/>
      <c r="O189" s="32">
        <f>VLOOKUP(VALUE(LEFT(A191, 4)), 'Raw Annual EBITDA'!A:O, 15, FALSE) / 4</f>
        <v>5655.75</v>
      </c>
      <c r="P189" s="28"/>
      <c r="Q189" s="28"/>
      <c r="R189" s="30">
        <f>VLOOKUP(VALUE(LEFT(A189, 4)), 'Raw Annual EBITDA'!A:R, 18, FALSE) / 4</f>
        <v>7240.25</v>
      </c>
      <c r="S189" s="28"/>
      <c r="T189" s="28"/>
      <c r="U189" s="30">
        <f>VLOOKUP(VALUE(LEFT($A189, 4)), 'Raw Annual EBITDA'!$A:U, 21, FALSE) / 4</f>
        <v>11140.25</v>
      </c>
      <c r="V189" s="28"/>
      <c r="W189" s="30">
        <f>VLOOKUP(VALUE(LEFT($A191, 4)), 'Raw Annual EBITDA'!$A:W, 23, FALSE) / 4</f>
        <v>105865.25</v>
      </c>
      <c r="X189" s="30">
        <f>VLOOKUP(VALUE(LEFT($A189, 4)), 'Raw Annual EBITDA'!$A:X, 24, FALSE) / 4</f>
        <v>4917.6905999999999</v>
      </c>
      <c r="Y189" s="30"/>
      <c r="Z189" s="30">
        <f>VLOOKUP(VALUE(LEFT($A189, 4)), 'Raw Annual EBITDA'!$A:Z, 26, FALSE) / 4</f>
        <v>90.75</v>
      </c>
      <c r="AA189" s="30"/>
      <c r="AB189" s="30"/>
      <c r="AC189" s="28"/>
    </row>
    <row r="190" spans="1:29" ht="13">
      <c r="A190" s="27" t="s">
        <v>100</v>
      </c>
      <c r="B190" s="31">
        <f>VLOOKUP(VALUE(LEFT(A190, 4)), 'Raw Annual EBITDA'!A:B, 2, FALSE) / 4</f>
        <v>-30924.25</v>
      </c>
      <c r="C190" s="30">
        <f>VLOOKUP(VALUE(LEFT(A190, 4)), 'Raw Annual EBITDA'!A:C, 3, FALSE) / 4</f>
        <v>882850.25</v>
      </c>
      <c r="D190" s="30">
        <f>VLOOKUP(VALUE(LEFT(A190, 4)), 'Raw Annual EBITDA'!A:D, 4, FALSE) / 4</f>
        <v>228548.75</v>
      </c>
      <c r="E190" s="30">
        <f>VLOOKUP(VALUE(LEFT(A190, 4)), 'Raw Annual EBITDA'!A:E, 5, FALSE) / 4</f>
        <v>26852.75</v>
      </c>
      <c r="F190" s="30">
        <f>VLOOKUP(VALUE(LEFT(A190, 4)), 'Raw Annual EBITDA'!A:F, 6, FALSE) / 4</f>
        <v>81250</v>
      </c>
      <c r="G190" s="30">
        <f>VLOOKUP(VALUE(LEFT(A190, 4)), 'Raw Annual EBITDA'!A:G, 7, FALSE) / 4</f>
        <v>-4091.25</v>
      </c>
      <c r="H190" s="30">
        <v>24550.5</v>
      </c>
      <c r="I190" s="30">
        <f>VLOOKUP(VALUE(LEFT(A75, 4)), 'Raw Annual EBITDA'!A:I, 9, FALSE) / 4</f>
        <v>-9982</v>
      </c>
      <c r="J190" s="30">
        <f>VLOOKUP(VALUE(LEFT(A78, 4)), 'Raw Annual EBITDA'!A:J, 10, FALSE) / 4</f>
        <v>-1621</v>
      </c>
      <c r="K190" s="28"/>
      <c r="L190" s="30">
        <f>VLOOKUP(VALUE(LEFT($A190, 4)), 'Raw Annual EBITDA'!$A:L, 12, FALSE) / 4</f>
        <v>80319.5</v>
      </c>
      <c r="M190" s="28"/>
      <c r="N190" s="28"/>
      <c r="O190" s="32">
        <f>VLOOKUP(VALUE(LEFT(A192, 4)), 'Raw Annual EBITDA'!A:O, 15, FALSE) / 4</f>
        <v>5655.75</v>
      </c>
      <c r="P190" s="28"/>
      <c r="Q190" s="28"/>
      <c r="R190" s="30">
        <f>VLOOKUP(VALUE(LEFT(A190, 4)), 'Raw Annual EBITDA'!A:R, 18, FALSE) / 4</f>
        <v>-2974.25</v>
      </c>
      <c r="S190" s="28"/>
      <c r="T190" s="28"/>
      <c r="U190" s="30"/>
      <c r="V190" s="28"/>
      <c r="W190" s="30">
        <f>VLOOKUP(VALUE(LEFT($A192, 4)), 'Raw Annual EBITDA'!$A:W, 23, FALSE) / 4</f>
        <v>105865.25</v>
      </c>
      <c r="X190" s="30">
        <f>VLOOKUP(VALUE(LEFT($A190, 4)), 'Raw Annual EBITDA'!$A:X, 24, FALSE) / 4</f>
        <v>4073.372625</v>
      </c>
      <c r="Y190" s="30">
        <f>VLOOKUP(VALUE(LEFT($A190, 4)), 'Raw Annual EBITDA'!$A:Y, 25, FALSE) / 4</f>
        <v>2145</v>
      </c>
      <c r="Z190" s="30">
        <f>VLOOKUP(VALUE(LEFT($A190, 4)), 'Raw Annual EBITDA'!$A:Z, 26, FALSE) / 4</f>
        <v>505.75</v>
      </c>
      <c r="AA190" s="30"/>
      <c r="AB190" s="30">
        <f>VLOOKUP(VALUE(LEFT($A190, 4)), 'Raw Annual EBITDA'!$A:AB, 28, FALSE) / 4</f>
        <v>-3801.55125</v>
      </c>
      <c r="AC190" s="28"/>
    </row>
    <row r="191" spans="1:29" ht="13">
      <c r="A191" s="27" t="s">
        <v>101</v>
      </c>
      <c r="B191" s="31">
        <f>VLOOKUP(VALUE(LEFT(A191, 4)), 'Raw Annual EBITDA'!A:B, 2, FALSE) / 4</f>
        <v>-30924.25</v>
      </c>
      <c r="C191" s="30">
        <f>VLOOKUP(VALUE(LEFT(A191, 4)), 'Raw Annual EBITDA'!A:C, 3, FALSE) / 4</f>
        <v>882850.25</v>
      </c>
      <c r="D191" s="30">
        <f>VLOOKUP(VALUE(LEFT(A191, 4)), 'Raw Annual EBITDA'!A:D, 4, FALSE) / 4</f>
        <v>228548.75</v>
      </c>
      <c r="E191" s="30">
        <f>VLOOKUP(VALUE(LEFT(A191, 4)), 'Raw Annual EBITDA'!A:E, 5, FALSE) / 4</f>
        <v>26852.75</v>
      </c>
      <c r="F191" s="30">
        <f>VLOOKUP(VALUE(LEFT(A191, 4)), 'Raw Annual EBITDA'!A:F, 6, FALSE) / 4</f>
        <v>81250</v>
      </c>
      <c r="G191" s="30">
        <f>VLOOKUP(VALUE(LEFT(A191, 4)), 'Raw Annual EBITDA'!A:G, 7, FALSE) / 4</f>
        <v>-4091.25</v>
      </c>
      <c r="H191" s="30">
        <f>VLOOKUP(VALUE(LEFT(A79, 4)), 'Raw Annual EBITDA'!A:H, 8, FALSE) / 4</f>
        <v>24550.5</v>
      </c>
      <c r="I191" s="30">
        <f>VLOOKUP(VALUE(LEFT(A76, 4)), 'Raw Annual EBITDA'!A:I, 9, FALSE) / 4</f>
        <v>-9982</v>
      </c>
      <c r="J191" s="30">
        <f>VLOOKUP(VALUE(LEFT(A79, 4)), 'Raw Annual EBITDA'!A:J, 10, FALSE) / 4</f>
        <v>-13881</v>
      </c>
      <c r="K191" s="28"/>
      <c r="L191" s="30">
        <f>VLOOKUP(VALUE(LEFT($A191, 4)), 'Raw Annual EBITDA'!$A:L, 12, FALSE) / 4</f>
        <v>80319.5</v>
      </c>
      <c r="M191" s="28"/>
      <c r="N191" s="28"/>
      <c r="O191" s="32">
        <f>VLOOKUP(VALUE(LEFT(A193, 4)), 'Raw Annual EBITDA'!A:O, 15, FALSE) / 4</f>
        <v>5655.75</v>
      </c>
      <c r="P191" s="28"/>
      <c r="Q191" s="28"/>
      <c r="R191" s="30">
        <f>VLOOKUP(VALUE(LEFT(A191, 4)), 'Raw Annual EBITDA'!A:R, 18, FALSE) / 4</f>
        <v>-2974.25</v>
      </c>
      <c r="S191" s="28"/>
      <c r="T191" s="28"/>
      <c r="U191" s="30"/>
      <c r="V191" s="28"/>
      <c r="W191" s="30">
        <f>VLOOKUP(VALUE(LEFT($A193, 4)), 'Raw Annual EBITDA'!$A:W, 23, FALSE) / 4</f>
        <v>105865.25</v>
      </c>
      <c r="X191" s="30">
        <f>VLOOKUP(VALUE(LEFT($A191, 4)), 'Raw Annual EBITDA'!$A:X, 24, FALSE) / 4</f>
        <v>4073.372625</v>
      </c>
      <c r="Y191" s="30">
        <f>VLOOKUP(VALUE(LEFT($A191, 4)), 'Raw Annual EBITDA'!$A:Y, 25, FALSE) / 4</f>
        <v>2145</v>
      </c>
      <c r="Z191" s="30">
        <f>VLOOKUP(VALUE(LEFT($A191, 4)), 'Raw Annual EBITDA'!$A:Z, 26, FALSE) / 4</f>
        <v>505.75</v>
      </c>
      <c r="AA191" s="30"/>
      <c r="AB191" s="30">
        <f>VLOOKUP(VALUE(LEFT($A191, 4)), 'Raw Annual EBITDA'!$A:AB, 28, FALSE) / 4</f>
        <v>-3801.55125</v>
      </c>
      <c r="AC191" s="28"/>
    </row>
    <row r="192" spans="1:29" ht="13">
      <c r="A192" s="27" t="s">
        <v>102</v>
      </c>
      <c r="B192" s="31">
        <f>VLOOKUP(VALUE(LEFT(A192, 4)), 'Raw Annual EBITDA'!A:B, 2, FALSE) / 4</f>
        <v>-30924.25</v>
      </c>
      <c r="C192" s="30">
        <f>VLOOKUP(VALUE(LEFT(A192, 4)), 'Raw Annual EBITDA'!A:C, 3, FALSE) / 4</f>
        <v>882850.25</v>
      </c>
      <c r="D192" s="30">
        <f>VLOOKUP(VALUE(LEFT(A192, 4)), 'Raw Annual EBITDA'!A:D, 4, FALSE) / 4</f>
        <v>228548.75</v>
      </c>
      <c r="E192" s="30">
        <f>VLOOKUP(VALUE(LEFT(A192, 4)), 'Raw Annual EBITDA'!A:E, 5, FALSE) / 4</f>
        <v>26852.75</v>
      </c>
      <c r="F192" s="30">
        <f>VLOOKUP(VALUE(LEFT(A192, 4)), 'Raw Annual EBITDA'!A:F, 6, FALSE) / 4</f>
        <v>81250</v>
      </c>
      <c r="G192" s="30">
        <f>VLOOKUP(VALUE(LEFT(A192, 4)), 'Raw Annual EBITDA'!A:G, 7, FALSE) / 4</f>
        <v>-4091.25</v>
      </c>
      <c r="H192" s="30">
        <f>VLOOKUP(VALUE(LEFT(A80, 4)), 'Raw Annual EBITDA'!A:H, 8, FALSE) / 4</f>
        <v>24550.5</v>
      </c>
      <c r="I192" s="30">
        <f>VLOOKUP(VALUE(LEFT(A77, 4)), 'Raw Annual EBITDA'!A:I, 9, FALSE) / 4</f>
        <v>-9982</v>
      </c>
      <c r="J192" s="30">
        <f>VLOOKUP(VALUE(LEFT(A80, 4)), 'Raw Annual EBITDA'!A:J, 10, FALSE) / 4</f>
        <v>-13881</v>
      </c>
      <c r="K192" s="28"/>
      <c r="L192" s="30">
        <f>VLOOKUP(VALUE(LEFT($A192, 4)), 'Raw Annual EBITDA'!$A:L, 12, FALSE) / 4</f>
        <v>80319.5</v>
      </c>
      <c r="M192" s="28"/>
      <c r="N192" s="28"/>
      <c r="O192" s="32">
        <f>VLOOKUP(VALUE(LEFT(A194, 4)), 'Raw Annual EBITDA'!A:O, 15, FALSE) / 4</f>
        <v>6822.5</v>
      </c>
      <c r="P192" s="28"/>
      <c r="Q192" s="28"/>
      <c r="R192" s="30">
        <f>VLOOKUP(VALUE(LEFT(A192, 4)), 'Raw Annual EBITDA'!A:R, 18, FALSE) / 4</f>
        <v>-2974.25</v>
      </c>
      <c r="S192" s="28"/>
      <c r="T192" s="28"/>
      <c r="U192" s="30"/>
      <c r="V192" s="28"/>
      <c r="W192" s="30">
        <f>VLOOKUP(VALUE(LEFT($A194, 4)), 'Raw Annual EBITDA'!$A:W, 23, FALSE) / 4</f>
        <v>78852.25</v>
      </c>
      <c r="X192" s="30">
        <f>VLOOKUP(VALUE(LEFT($A192, 4)), 'Raw Annual EBITDA'!$A:X, 24, FALSE) / 4</f>
        <v>4073.372625</v>
      </c>
      <c r="Y192" s="30">
        <f>VLOOKUP(VALUE(LEFT($A192, 4)), 'Raw Annual EBITDA'!$A:Y, 25, FALSE) / 4</f>
        <v>2145</v>
      </c>
      <c r="Z192" s="30">
        <f>VLOOKUP(VALUE(LEFT($A192, 4)), 'Raw Annual EBITDA'!$A:Z, 26, FALSE) / 4</f>
        <v>505.75</v>
      </c>
      <c r="AA192" s="30"/>
      <c r="AB192" s="30">
        <f>VLOOKUP(VALUE(LEFT($A192, 4)), 'Raw Annual EBITDA'!$A:AB, 28, FALSE) / 4</f>
        <v>-3801.55125</v>
      </c>
      <c r="AC192" s="28"/>
    </row>
    <row r="193" spans="1:29" ht="13">
      <c r="A193" s="27" t="s">
        <v>103</v>
      </c>
      <c r="B193" s="31">
        <f>VLOOKUP(VALUE(LEFT(A193, 4)), 'Raw Annual EBITDA'!A:B, 2, FALSE) / 4</f>
        <v>-30924.25</v>
      </c>
      <c r="C193" s="30">
        <f>VLOOKUP(VALUE(LEFT(A193, 4)), 'Raw Annual EBITDA'!A:C, 3, FALSE) / 4</f>
        <v>882850.25</v>
      </c>
      <c r="D193" s="30">
        <f>VLOOKUP(VALUE(LEFT(A193, 4)), 'Raw Annual EBITDA'!A:D, 4, FALSE) / 4</f>
        <v>228548.75</v>
      </c>
      <c r="E193" s="30">
        <f>VLOOKUP(VALUE(LEFT(A193, 4)), 'Raw Annual EBITDA'!A:E, 5, FALSE) / 4</f>
        <v>26852.75</v>
      </c>
      <c r="F193" s="30">
        <f>VLOOKUP(VALUE(LEFT(A193, 4)), 'Raw Annual EBITDA'!A:F, 6, FALSE) / 4</f>
        <v>81250</v>
      </c>
      <c r="G193" s="30">
        <f>VLOOKUP(VALUE(LEFT(A193, 4)), 'Raw Annual EBITDA'!A:G, 7, FALSE) / 4</f>
        <v>-4091.25</v>
      </c>
      <c r="H193" s="30">
        <f>VLOOKUP(VALUE(LEFT(A81, 4)), 'Raw Annual EBITDA'!A:H, 8, FALSE) / 4</f>
        <v>24550.5</v>
      </c>
      <c r="I193" s="30">
        <f>VLOOKUP(VALUE(LEFT(A78, 4)), 'Raw Annual EBITDA'!A:I, 9, FALSE) / 4</f>
        <v>-9982</v>
      </c>
      <c r="J193" s="30">
        <f>VLOOKUP(VALUE(LEFT(A81, 4)), 'Raw Annual EBITDA'!A:J, 10, FALSE) / 4</f>
        <v>-13881</v>
      </c>
      <c r="K193" s="28"/>
      <c r="L193" s="30">
        <f>VLOOKUP(VALUE(LEFT($A193, 4)), 'Raw Annual EBITDA'!$A:L, 12, FALSE) / 4</f>
        <v>80319.5</v>
      </c>
      <c r="M193" s="28"/>
      <c r="N193" s="28"/>
      <c r="O193" s="32">
        <f>VLOOKUP(VALUE(LEFT(A195, 4)), 'Raw Annual EBITDA'!A:O, 15, FALSE) / 4</f>
        <v>6822.5</v>
      </c>
      <c r="P193" s="28"/>
      <c r="Q193" s="28"/>
      <c r="R193" s="30">
        <f>VLOOKUP(VALUE(LEFT(A193, 4)), 'Raw Annual EBITDA'!A:R, 18, FALSE) / 4</f>
        <v>-2974.25</v>
      </c>
      <c r="S193" s="28"/>
      <c r="T193" s="28"/>
      <c r="U193" s="30"/>
      <c r="V193" s="28"/>
      <c r="W193" s="30">
        <f>VLOOKUP(VALUE(LEFT($A195, 4)), 'Raw Annual EBITDA'!$A:W, 23, FALSE) / 4</f>
        <v>78852.25</v>
      </c>
      <c r="X193" s="30">
        <f>VLOOKUP(VALUE(LEFT($A193, 4)), 'Raw Annual EBITDA'!$A:X, 24, FALSE) / 4</f>
        <v>4073.372625</v>
      </c>
      <c r="Y193" s="30">
        <f>VLOOKUP(VALUE(LEFT($A193, 4)), 'Raw Annual EBITDA'!$A:Y, 25, FALSE) / 4</f>
        <v>2145</v>
      </c>
      <c r="Z193" s="30">
        <f>VLOOKUP(VALUE(LEFT($A193, 4)), 'Raw Annual EBITDA'!$A:Z, 26, FALSE) / 4</f>
        <v>505.75</v>
      </c>
      <c r="AA193" s="30"/>
      <c r="AB193" s="30">
        <f>VLOOKUP(VALUE(LEFT($A193, 4)), 'Raw Annual EBITDA'!$A:AB, 28, FALSE) / 4</f>
        <v>-3801.55125</v>
      </c>
      <c r="AC193" s="28"/>
    </row>
    <row r="194" spans="1:29" ht="13">
      <c r="A194" s="53" t="s">
        <v>104</v>
      </c>
      <c r="B194" s="54">
        <f>VLOOKUP(VALUE(LEFT(A194, 4)), 'Raw Annual EBITDA'!A:B, 2, FALSE) / 4</f>
        <v>-33248.25</v>
      </c>
      <c r="C194" s="55">
        <f ca="1">IFERROR(__xludf.DUMMYFUNCTION("IMPORTRANGE(""https://docs.google.com/spreadsheets/d/1bozxp9FwhaCNzy-RRGPVPfVYTttO4PUGDdaFvbz-Ue0/edit?gid=1870218791#gid=1870218791"", ""Rev vs Mktg &amp; Mktg Mix!C"" &amp; ROW(B252))
"),460.493)</f>
        <v>460.49299999999999</v>
      </c>
      <c r="D194" s="55">
        <f ca="1">IFERROR(__xludf.DUMMYFUNCTION("IMPORTRANGE(""https://docs.google.com/spreadsheets/d/1bozxp9FwhaCNzy-RRGPVPfVYTttO4PUGDdaFvbz-Ue0/edit?gid=1870218791#gid=1870218791"", ""Rev vs Mktg &amp; Mktg Mix!D"" &amp; ROW(C252))
"),-171)</f>
        <v>-171</v>
      </c>
      <c r="E194" s="55">
        <f ca="1">IFERROR(__xludf.DUMMYFUNCTION("IMPORTRANGE(""https://docs.google.com/spreadsheets/d/1bozxp9FwhaCNzy-RRGPVPfVYTttO4PUGDdaFvbz-Ue0/edit?gid=1870218791#gid=1870218791"", ""Rev vs Mktg &amp; Mktg Mix!E"" &amp; ROW(D252))
"),-229)</f>
        <v>-229</v>
      </c>
      <c r="F194" s="55">
        <f ca="1">IFERROR(__xludf.DUMMYFUNCTION("IMPORTRANGE(""https://docs.google.com/spreadsheets/d/1bozxp9FwhaCNzy-RRGPVPfVYTttO4PUGDdaFvbz-Ue0/edit?gid=1870218791#gid=1870218791"", ""Rev vs Mktg &amp; Mktg Mix!F"" &amp; ROW(E252))
"),38)</f>
        <v>38</v>
      </c>
      <c r="G194" s="56">
        <f ca="1">IFERROR(__xludf.DUMMYFUNCTION("IMPORTRANGE(""https://docs.google.com/spreadsheets/d/1bozxp9FwhaCNzy-RRGPVPfVYTttO4PUGDdaFvbz-Ue0/edit?gid=1870218791#gid=1870218791"", ""Rev vs Mktg &amp; Mktg Mix!G"" &amp; ROW(F252))
"),0.277)</f>
        <v>0.27700000000000002</v>
      </c>
      <c r="H194" s="57">
        <f>VLOOKUP(VALUE(LEFT(A82, 4)), 'Raw Annual EBITDA'!A:H, 8, FALSE) / 4</f>
        <v>24550.5</v>
      </c>
      <c r="I194" s="56">
        <f ca="1">IFERROR(__xludf.DUMMYFUNCTION("IMPORTRANGE(""https://docs.google.com/spreadsheets/d/1bozxp9FwhaCNzy-RRGPVPfVYTttO4PUGDdaFvbz-Ue0/edit?gid=1870218791#gid=1870218791"", ""Rev vs Mktg &amp; Mktg Mix!I"" &amp; ROW(K252))
"),1.911)</f>
        <v>1.911</v>
      </c>
      <c r="J194" s="56">
        <f ca="1">IFERROR(__xludf.DUMMYFUNCTION("IMPORTRANGE(""https://docs.google.com/spreadsheets/d/1bozxp9FwhaCNzy-RRGPVPfVYTttO4PUGDdaFvbz-Ue0/edit?gid=1870218791#gid=1870218791"", ""Rev vs Mktg &amp; Mktg Mix!J"" &amp; ROW(J252))
"),-49.84)</f>
        <v>-49.84</v>
      </c>
      <c r="K194" s="58"/>
      <c r="L194" s="56">
        <f ca="1">IFERROR(__xludf.DUMMYFUNCTION("IMPORTRANGE(""https://docs.google.com/spreadsheets/d/1bozxp9FwhaCNzy-RRGPVPfVYTttO4PUGDdaFvbz-Ue0/edit?gid=1870218791#gid=1870218791"", ""Rev vs Mktg &amp; Mktg Mix!L"" &amp; ROW(N252))
"),53.4653578011)</f>
        <v>53.465357801099998</v>
      </c>
      <c r="M194" s="59"/>
      <c r="N194" s="60">
        <f ca="1">IFERROR(__xludf.DUMMYFUNCTION("IMPORTRANGE(""https://docs.google.com/spreadsheets/d/1bozxp9FwhaCNzy-RRGPVPfVYTttO4PUGDdaFvbz-Ue0/edit?gid=1870218791#gid=1870218791"", ""Rev vs Mktg &amp; Mktg Mix!N"" &amp; ROW(N252))
"),-2.2352)</f>
        <v>-2.2351999999999999</v>
      </c>
      <c r="O194" s="61">
        <f>VLOOKUP(VALUE(LEFT(A196, 4)), 'Raw Annual EBITDA'!A:O, 15, FALSE) / 4</f>
        <v>6822.5</v>
      </c>
      <c r="P194" s="59"/>
      <c r="Q194" s="59"/>
      <c r="R194" s="61">
        <f>VLOOKUP(VALUE(LEFT(A194, 4)), 'Raw Annual EBITDA'!A:R, 18, FALSE) / 4</f>
        <v>6200.5</v>
      </c>
      <c r="S194" s="59"/>
      <c r="T194" s="59"/>
      <c r="U194" s="61"/>
      <c r="V194" s="59"/>
      <c r="W194" s="61">
        <f>VLOOKUP(VALUE(LEFT($A196, 4)), 'Raw Annual EBITDA'!$A:W, 23, FALSE) / 4</f>
        <v>78852.25</v>
      </c>
      <c r="X194" s="61">
        <f>VLOOKUP(VALUE(LEFT($A194, 4)), 'Raw Annual EBITDA'!$A:X, 24, FALSE) / 4</f>
        <v>5219.1234999999997</v>
      </c>
      <c r="Y194" s="61">
        <f>VLOOKUP(VALUE(LEFT($A194, 4)), 'Raw Annual EBITDA'!$A:Y, 25, FALSE) / 4</f>
        <v>3178.75</v>
      </c>
      <c r="Z194" s="61">
        <f>VLOOKUP(VALUE(LEFT($A194, 4)), 'Raw Annual EBITDA'!$A:Z, 26, FALSE) / 4</f>
        <v>1563.5</v>
      </c>
      <c r="AA194" s="61"/>
      <c r="AB194" s="61">
        <f>VLOOKUP(VALUE(LEFT($A194, 4)), 'Raw Annual EBITDA'!$A:AB, 28, FALSE) / 4</f>
        <v>-11841.07825</v>
      </c>
      <c r="AC194" s="59"/>
    </row>
    <row r="195" spans="1:29" ht="13">
      <c r="A195" s="53" t="s">
        <v>105</v>
      </c>
      <c r="B195" s="54">
        <f>VLOOKUP(VALUE(LEFT(A195, 4)), 'Raw Annual EBITDA'!A:B, 2, FALSE) / 4</f>
        <v>-33248.25</v>
      </c>
      <c r="C195" s="55">
        <f ca="1">IFERROR(__xludf.DUMMYFUNCTION("IMPORTRANGE(""https://docs.google.com/spreadsheets/d/1bozxp9FwhaCNzy-RRGPVPfVYTttO4PUGDdaFvbz-Ue0/edit?gid=1870218791#gid=1870218791"", ""Rev vs Mktg &amp; Mktg Mix!C"" &amp; ROW(B253))
"),692.548)</f>
        <v>692.548</v>
      </c>
      <c r="D195" s="55">
        <f ca="1">IFERROR(__xludf.DUMMYFUNCTION("IMPORTRANGE(""https://docs.google.com/spreadsheets/d/1bozxp9FwhaCNzy-RRGPVPfVYTttO4PUGDdaFvbz-Ue0/edit?gid=1870218791#gid=1870218791"", ""Rev vs Mktg &amp; Mktg Mix!D"" &amp; ROW(C253))
"),-12.195)</f>
        <v>-12.195</v>
      </c>
      <c r="E195" s="55">
        <f ca="1">IFERROR(__xludf.DUMMYFUNCTION("IMPORTRANGE(""https://docs.google.com/spreadsheets/d/1bozxp9FwhaCNzy-RRGPVPfVYTttO4PUGDdaFvbz-Ue0/edit?gid=1870218791#gid=1870218791"", ""Rev vs Mktg &amp; Mktg Mix!E"" &amp; ROW(D253))
"),-66)</f>
        <v>-66</v>
      </c>
      <c r="F195" s="55">
        <f ca="1">IFERROR(__xludf.DUMMYFUNCTION("IMPORTRANGE(""https://docs.google.com/spreadsheets/d/1bozxp9FwhaCNzy-RRGPVPfVYTttO4PUGDdaFvbz-Ue0/edit?gid=1870218791#gid=1870218791"", ""Rev vs Mktg &amp; Mktg Mix!F"" &amp; ROW(E253))
"),45)</f>
        <v>45</v>
      </c>
      <c r="G195" s="56">
        <f ca="1">IFERROR(__xludf.DUMMYFUNCTION("IMPORTRANGE(""https://docs.google.com/spreadsheets/d/1bozxp9FwhaCNzy-RRGPVPfVYTttO4PUGDdaFvbz-Ue0/edit?gid=1870218791#gid=1870218791"", ""Rev vs Mktg &amp; Mktg Mix!G"" &amp; ROW(F253))
"),-50)</f>
        <v>-50</v>
      </c>
      <c r="H195" s="61">
        <f>VLOOKUP(VALUE(LEFT(A83, 4)), 'Raw Annual EBITDA'!A:H, 8, FALSE) / 4</f>
        <v>26741.5</v>
      </c>
      <c r="I195" s="58">
        <f ca="1">IFERROR(__xludf.DUMMYFUNCTION("IMPORTRANGE(""https://docs.google.com/spreadsheets/d/1bozxp9FwhaCNzy-RRGPVPfVYTttO4PUGDdaFvbz-Ue0/edit?gid=1870218791#gid=1870218791"", ""Rev vs Mktg &amp; Mktg Mix!I"" &amp; ROW(K253))
"),2.357)</f>
        <v>2.3570000000000002</v>
      </c>
      <c r="J195" s="58">
        <f ca="1">IFERROR(__xludf.DUMMYFUNCTION("IMPORTRANGE(""https://docs.google.com/spreadsheets/d/1bozxp9FwhaCNzy-RRGPVPfVYTttO4PUGDdaFvbz-Ue0/edit?gid=1870218791#gid=1870218791"", ""Rev vs Mktg &amp; Mktg Mix!J"" &amp; ROW(J253))
"),-14.3)</f>
        <v>-14.3</v>
      </c>
      <c r="K195" s="59"/>
      <c r="L195" s="58">
        <f ca="1">IFERROR(__xludf.DUMMYFUNCTION("IMPORTRANGE(""https://docs.google.com/spreadsheets/d/1bozxp9FwhaCNzy-RRGPVPfVYTttO4PUGDdaFvbz-Ue0/edit?gid=1870218791#gid=1870218791"", ""Rev vs Mktg &amp; Mktg Mix!L"" &amp; ROW(N253))
"),82.6710933951)</f>
        <v>82.671093395100002</v>
      </c>
      <c r="M195" s="59"/>
      <c r="N195" s="60">
        <f ca="1">IFERROR(__xludf.DUMMYFUNCTION("IMPORTRANGE(""https://docs.google.com/spreadsheets/d/1bozxp9FwhaCNzy-RRGPVPfVYTttO4PUGDdaFvbz-Ue0/edit?gid=1870218791#gid=1870218791"", ""Rev vs Mktg &amp; Mktg Mix!N"" &amp; ROW(N253))
"),-1.2297)</f>
        <v>-1.2297</v>
      </c>
      <c r="O195" s="61">
        <f>VLOOKUP(VALUE(LEFT(A197, 4)), 'Raw Annual EBITDA'!A:O, 15, FALSE) / 4</f>
        <v>6822.5</v>
      </c>
      <c r="P195" s="59"/>
      <c r="Q195" s="59"/>
      <c r="R195" s="61">
        <f>VLOOKUP(VALUE(LEFT(A195, 4)), 'Raw Annual EBITDA'!A:R, 18, FALSE) / 4</f>
        <v>6200.5</v>
      </c>
      <c r="S195" s="61">
        <f>VLOOKUP(VALUE(LEFT(A198, 4)), 'Raw Annual EBITDA'!A:S, 19, FALSE) / 4</f>
        <v>883.75</v>
      </c>
      <c r="T195" s="59"/>
      <c r="U195" s="61"/>
      <c r="V195" s="59"/>
      <c r="W195" s="61">
        <f>VLOOKUP(VALUE(LEFT($A197, 4)), 'Raw Annual EBITDA'!$A:W, 23, FALSE) / 4</f>
        <v>78852.25</v>
      </c>
      <c r="X195" s="61">
        <f>VLOOKUP(VALUE(LEFT($A195, 4)), 'Raw Annual EBITDA'!$A:X, 24, FALSE) / 4</f>
        <v>5219.1234999999997</v>
      </c>
      <c r="Y195" s="61">
        <f>VLOOKUP(VALUE(LEFT($A195, 4)), 'Raw Annual EBITDA'!$A:Y, 25, FALSE) / 4</f>
        <v>3178.75</v>
      </c>
      <c r="Z195" s="61">
        <f>VLOOKUP(VALUE(LEFT($A195, 4)), 'Raw Annual EBITDA'!$A:Z, 26, FALSE) / 4</f>
        <v>1563.5</v>
      </c>
      <c r="AA195" s="61"/>
      <c r="AB195" s="61">
        <f>VLOOKUP(VALUE(LEFT($A195, 4)), 'Raw Annual EBITDA'!$A:AB, 28, FALSE) / 4</f>
        <v>-11841.07825</v>
      </c>
      <c r="AC195" s="59"/>
    </row>
    <row r="196" spans="1:29" ht="13">
      <c r="A196" s="27" t="s">
        <v>106</v>
      </c>
      <c r="B196" s="31">
        <f>VLOOKUP(VALUE(LEFT(A196, 4)), 'Raw Annual EBITDA'!A:B, 2, FALSE) / 4</f>
        <v>-33248.25</v>
      </c>
      <c r="C196" s="55">
        <f ca="1">IFERROR(__xludf.DUMMYFUNCTION("IMPORTRANGE(""https://docs.google.com/spreadsheets/d/1bozxp9FwhaCNzy-RRGPVPfVYTttO4PUGDdaFvbz-Ue0/edit?gid=1870218791#gid=1870218791"", ""Rev vs Mktg &amp; Mktg Mix!C"" &amp; ROW(B254))
"),797.534)</f>
        <v>797.53399999999999</v>
      </c>
      <c r="D196" s="55">
        <f ca="1">IFERROR(__xludf.DUMMYFUNCTION("IMPORTRANGE(""https://docs.google.com/spreadsheets/d/1bozxp9FwhaCNzy-RRGPVPfVYTttO4PUGDdaFvbz-Ue0/edit?gid=1870218791#gid=1870218791"", ""Rev vs Mktg &amp; Mktg Mix!D"" &amp; ROW(C254))
"),339.555)</f>
        <v>339.55500000000001</v>
      </c>
      <c r="E196" s="55">
        <f ca="1">IFERROR(__xludf.DUMMYFUNCTION("IMPORTRANGE(""https://docs.google.com/spreadsheets/d/1bozxp9FwhaCNzy-RRGPVPfVYTttO4PUGDdaFvbz-Ue0/edit?gid=1870218791#gid=1870218791"", ""Rev vs Mktg &amp; Mktg Mix!E"" &amp; ROW(D254))
"),49)</f>
        <v>49</v>
      </c>
      <c r="F196" s="55">
        <f ca="1">IFERROR(__xludf.DUMMYFUNCTION("IMPORTRANGE(""https://docs.google.com/spreadsheets/d/1bozxp9FwhaCNzy-RRGPVPfVYTttO4PUGDdaFvbz-Ue0/edit?gid=1870218791#gid=1870218791"", ""Rev vs Mktg &amp; Mktg Mix!F"" &amp; ROW(E254))
"),63)</f>
        <v>63</v>
      </c>
      <c r="G196" s="56">
        <f ca="1">IFERROR(__xludf.DUMMYFUNCTION("IMPORTRANGE(""https://docs.google.com/spreadsheets/d/1bozxp9FwhaCNzy-RRGPVPfVYTttO4PUGDdaFvbz-Ue0/edit?gid=1870218791#gid=1870218791"", ""Rev vs Mktg &amp; Mktg Mix!G"" &amp; ROW(F254))
"),-0.296)</f>
        <v>-0.29599999999999999</v>
      </c>
      <c r="H196" s="30">
        <f>VLOOKUP(VALUE(LEFT(A84, 4)), 'Raw Annual EBITDA'!A:H, 8, FALSE) / 4</f>
        <v>26741.5</v>
      </c>
      <c r="I196" s="58">
        <f ca="1">IFERROR(__xludf.DUMMYFUNCTION("IMPORTRANGE(""https://docs.google.com/spreadsheets/d/1bozxp9FwhaCNzy-RRGPVPfVYTttO4PUGDdaFvbz-Ue0/edit?gid=1870218791#gid=1870218791"", ""Rev vs Mktg &amp; Mktg Mix!I"" &amp; ROW(K254))
"),18.42)</f>
        <v>18.420000000000002</v>
      </c>
      <c r="J196" s="58">
        <f ca="1">IFERROR(__xludf.DUMMYFUNCTION("IMPORTRANGE(""https://docs.google.com/spreadsheets/d/1bozxp9FwhaCNzy-RRGPVPfVYTttO4PUGDdaFvbz-Ue0/edit?gid=1870218791#gid=1870218791"", ""Rev vs Mktg &amp; Mktg Mix!J"" &amp; ROW(J254))
"),-39.4)</f>
        <v>-39.4</v>
      </c>
      <c r="K196" s="28"/>
      <c r="L196" s="58">
        <f ca="1">IFERROR(__xludf.DUMMYFUNCTION("IMPORTRANGE(""https://docs.google.com/spreadsheets/d/1bozxp9FwhaCNzy-RRGPVPfVYTttO4PUGDdaFvbz-Ue0/edit?gid=1870218791#gid=1870218791"", ""Rev vs Mktg &amp; Mktg Mix!L"" &amp; ROW(N254))
"),52.3712031822)</f>
        <v>52.371203182199999</v>
      </c>
      <c r="M196" s="28"/>
      <c r="N196" s="60">
        <f ca="1">IFERROR(__xludf.DUMMYFUNCTION("IMPORTRANGE(""https://docs.google.com/spreadsheets/d/1bozxp9FwhaCNzy-RRGPVPfVYTttO4PUGDdaFvbz-Ue0/edit?gid=1870218791#gid=1870218791"", ""Rev vs Mktg &amp; Mktg Mix!N"" &amp; ROW(N254))
"),-1.034)</f>
        <v>-1.034</v>
      </c>
      <c r="O196" s="32">
        <f>VLOOKUP(VALUE(LEFT(A198, 4)), 'Raw Annual EBITDA'!A:O, 15, FALSE) / 4</f>
        <v>8228</v>
      </c>
      <c r="P196" s="28"/>
      <c r="Q196" s="28"/>
      <c r="R196" s="30">
        <f>VLOOKUP(VALUE(LEFT(A196, 4)), 'Raw Annual EBITDA'!A:R, 18, FALSE) / 4</f>
        <v>6200.5</v>
      </c>
      <c r="S196" s="30">
        <f>VLOOKUP(VALUE(LEFT(A199, 4)), 'Raw Annual EBITDA'!A:S, 19, FALSE) / 4</f>
        <v>883.75</v>
      </c>
      <c r="T196" s="28"/>
      <c r="U196" s="30"/>
      <c r="V196" s="28"/>
      <c r="W196" s="30">
        <f>VLOOKUP(VALUE(LEFT($A198, 4)), 'Raw Annual EBITDA'!$A:W, 23, FALSE) / 4</f>
        <v>79063.75</v>
      </c>
      <c r="X196" s="30">
        <f>VLOOKUP(VALUE(LEFT($A196, 4)), 'Raw Annual EBITDA'!$A:X, 24, FALSE) / 4</f>
        <v>5219.1234999999997</v>
      </c>
      <c r="Y196" s="30">
        <f>VLOOKUP(VALUE(LEFT($A196, 4)), 'Raw Annual EBITDA'!$A:Y, 25, FALSE) / 4</f>
        <v>3178.75</v>
      </c>
      <c r="Z196" s="30">
        <f>VLOOKUP(VALUE(LEFT($A196, 4)), 'Raw Annual EBITDA'!$A:Z, 26, FALSE) / 4</f>
        <v>1563.5</v>
      </c>
      <c r="AA196" s="30"/>
      <c r="AB196" s="30">
        <f>VLOOKUP(VALUE(LEFT($A196, 4)), 'Raw Annual EBITDA'!$A:AB, 28, FALSE) / 4</f>
        <v>-11841.07825</v>
      </c>
      <c r="AC196" s="28"/>
    </row>
    <row r="197" spans="1:29" ht="13">
      <c r="A197" s="27" t="s">
        <v>107</v>
      </c>
      <c r="B197" s="31">
        <f>VLOOKUP(VALUE(LEFT(A197, 4)), 'Raw Annual EBITDA'!A:B, 2, FALSE) / 4</f>
        <v>-33248.25</v>
      </c>
      <c r="C197" s="55">
        <f ca="1">IFERROR(__xludf.DUMMYFUNCTION("IMPORTRANGE(""https://docs.google.com/spreadsheets/d/1bozxp9FwhaCNzy-RRGPVPfVYTttO4PUGDdaFvbz-Ue0/edit?gid=1870218791#gid=1870218791"", ""Rev vs Mktg &amp; Mktg Mix!C"" &amp; ROW(B255))
"),763)</f>
        <v>763</v>
      </c>
      <c r="D197" s="55">
        <f ca="1">IFERROR(__xludf.DUMMYFUNCTION("IMPORTRANGE(""https://docs.google.com/spreadsheets/d/1bozxp9FwhaCNzy-RRGPVPfVYTttO4PUGDdaFvbz-Ue0/edit?gid=1870218791#gid=1870218791"", ""Rev vs Mktg &amp; Mktg Mix!D"" &amp; ROW(C255))
"),115)</f>
        <v>115</v>
      </c>
      <c r="E197" s="55">
        <f ca="1">IFERROR(__xludf.DUMMYFUNCTION("IMPORTRANGE(""https://docs.google.com/spreadsheets/d/1bozxp9FwhaCNzy-RRGPVPfVYTttO4PUGDdaFvbz-Ue0/edit?gid=1870218791#gid=1870218791"", ""Rev vs Mktg &amp; Mktg Mix!E"" &amp; ROW(D255))
"),-25)</f>
        <v>-25</v>
      </c>
      <c r="F197" s="55">
        <f ca="1">IFERROR(__xludf.DUMMYFUNCTION("IMPORTRANGE(""https://docs.google.com/spreadsheets/d/1bozxp9FwhaCNzy-RRGPVPfVYTttO4PUGDdaFvbz-Ue0/edit?gid=1870218791#gid=1870218791"", ""Rev vs Mktg &amp; Mktg Mix!F"" &amp; ROW(E255))
"),4)</f>
        <v>4</v>
      </c>
      <c r="G197" s="56">
        <f ca="1">IFERROR(__xludf.DUMMYFUNCTION("IMPORTRANGE(""https://docs.google.com/spreadsheets/d/1bozxp9FwhaCNzy-RRGPVPfVYTttO4PUGDdaFvbz-Ue0/edit?gid=1870218791#gid=1870218791"", ""Rev vs Mktg &amp; Mktg Mix!G"" &amp; ROW(F255))
"),5.2)</f>
        <v>5.2</v>
      </c>
      <c r="H197" s="30">
        <f>VLOOKUP(VALUE(LEFT(A85, 4)), 'Raw Annual EBITDA'!A:H, 8, FALSE) / 4</f>
        <v>26741.5</v>
      </c>
      <c r="I197" s="58">
        <f ca="1">IFERROR(__xludf.DUMMYFUNCTION("IMPORTRANGE(""https://docs.google.com/spreadsheets/d/1bozxp9FwhaCNzy-RRGPVPfVYTttO4PUGDdaFvbz-Ue0/edit?gid=1870218791#gid=1870218791"", ""Rev vs Mktg &amp; Mktg Mix!I"" &amp; ROW(K255))
"),5.6)</f>
        <v>5.6</v>
      </c>
      <c r="J197" s="58">
        <f ca="1">IFERROR(__xludf.DUMMYFUNCTION("IMPORTRANGE(""https://docs.google.com/spreadsheets/d/1bozxp9FwhaCNzy-RRGPVPfVYTttO4PUGDdaFvbz-Ue0/edit?gid=1870218791#gid=1870218791"", ""Rev vs Mktg &amp; Mktg Mix!J"" &amp; ROW(J255))
"),16.608)</f>
        <v>16.608000000000001</v>
      </c>
      <c r="K197" s="28"/>
      <c r="L197" s="58">
        <f ca="1">IFERROR(__xludf.DUMMYFUNCTION("IMPORTRANGE(""https://docs.google.com/spreadsheets/d/1bozxp9FwhaCNzy-RRGPVPfVYTttO4PUGDdaFvbz-Ue0/edit?gid=1870218791#gid=1870218791"", ""Rev vs Mktg &amp; Mktg Mix!L"" &amp; ROW(N255))
"),37.2211603302)</f>
        <v>37.2211603302</v>
      </c>
      <c r="M197" s="28"/>
      <c r="N197" s="60">
        <f ca="1">IFERROR(__xludf.DUMMYFUNCTION("IMPORTRANGE(""https://docs.google.com/spreadsheets/d/1bozxp9FwhaCNzy-RRGPVPfVYTttO4PUGDdaFvbz-Ue0/edit?gid=1870218791#gid=1870218791"", ""Rev vs Mktg &amp; Mktg Mix!N"" &amp; ROW(N255))
"),-1.0318)</f>
        <v>-1.0318000000000001</v>
      </c>
      <c r="O197" s="32">
        <f>VLOOKUP(VALUE(LEFT(A199, 4)), 'Raw Annual EBITDA'!A:O, 15, FALSE) / 4</f>
        <v>8228</v>
      </c>
      <c r="P197" s="28"/>
      <c r="Q197" s="28"/>
      <c r="R197" s="30">
        <f>VLOOKUP(VALUE(LEFT(A197, 4)), 'Raw Annual EBITDA'!A:R, 18, FALSE) / 4</f>
        <v>6200.5</v>
      </c>
      <c r="S197" s="30">
        <f>VLOOKUP(VALUE(LEFT(A200, 4)), 'Raw Annual EBITDA'!A:S, 19, FALSE) / 4</f>
        <v>883.75</v>
      </c>
      <c r="T197" s="28"/>
      <c r="U197" s="30"/>
      <c r="V197" s="28"/>
      <c r="W197" s="30">
        <f>VLOOKUP(VALUE(LEFT($A199, 4)), 'Raw Annual EBITDA'!$A:W, 23, FALSE) / 4</f>
        <v>79063.75</v>
      </c>
      <c r="X197" s="30">
        <f>VLOOKUP(VALUE(LEFT($A197, 4)), 'Raw Annual EBITDA'!$A:X, 24, FALSE) / 4</f>
        <v>5219.1234999999997</v>
      </c>
      <c r="Y197" s="30">
        <f>VLOOKUP(VALUE(LEFT($A197, 4)), 'Raw Annual EBITDA'!$A:Y, 25, FALSE) / 4</f>
        <v>3178.75</v>
      </c>
      <c r="Z197" s="30">
        <f>VLOOKUP(VALUE(LEFT($A197, 4)), 'Raw Annual EBITDA'!$A:Z, 26, FALSE) / 4</f>
        <v>1563.5</v>
      </c>
      <c r="AA197" s="30"/>
      <c r="AB197" s="30">
        <f>VLOOKUP(VALUE(LEFT($A197, 4)), 'Raw Annual EBITDA'!$A:AB, 28, FALSE) / 4</f>
        <v>-11841.07825</v>
      </c>
      <c r="AC197" s="28"/>
    </row>
    <row r="198" spans="1:29" ht="13">
      <c r="A198" s="27" t="s">
        <v>108</v>
      </c>
      <c r="B198" s="30">
        <f>VLOOKUP(VALUE(LEFT(A198, 4)), 'Raw Annual EBITDA'!A:B, 2, FALSE) / 4</f>
        <v>-505</v>
      </c>
      <c r="C198" s="55">
        <f ca="1">IFERROR(__xludf.DUMMYFUNCTION("IMPORTRANGE(""https://docs.google.com/spreadsheets/d/1bozxp9FwhaCNzy-RRGPVPfVYTttO4PUGDdaFvbz-Ue0/edit?gid=1870218791#gid=1870218791"", ""Rev vs Mktg &amp; Mktg Mix!C"" &amp; ROW(B256))
"),527.61)</f>
        <v>527.61</v>
      </c>
      <c r="D198" s="55">
        <f ca="1">IFERROR(__xludf.DUMMYFUNCTION("IMPORTRANGE(""https://docs.google.com/spreadsheets/d/1bozxp9FwhaCNzy-RRGPVPfVYTttO4PUGDdaFvbz-Ue0/edit?gid=1870218791#gid=1870218791"", ""Rev vs Mktg &amp; Mktg Mix!D"" &amp; ROW(C256))
"),-131)</f>
        <v>-131</v>
      </c>
      <c r="E198" s="55">
        <f ca="1">IFERROR(__xludf.DUMMYFUNCTION("IMPORTRANGE(""https://docs.google.com/spreadsheets/d/1bozxp9FwhaCNzy-RRGPVPfVYTttO4PUGDdaFvbz-Ue0/edit?gid=1870218791#gid=1870218791"", ""Rev vs Mktg &amp; Mktg Mix!E"" &amp; ROW(D256))
"),28)</f>
        <v>28</v>
      </c>
      <c r="F198" s="55">
        <f ca="1">IFERROR(__xludf.DUMMYFUNCTION("IMPORTRANGE(""https://docs.google.com/spreadsheets/d/1bozxp9FwhaCNzy-RRGPVPfVYTttO4PUGDdaFvbz-Ue0/edit?gid=1870218791#gid=1870218791"", ""Rev vs Mktg &amp; Mktg Mix!F"" &amp; ROW(E256))
"),25)</f>
        <v>25</v>
      </c>
      <c r="G198" s="56">
        <f ca="1">IFERROR(__xludf.DUMMYFUNCTION("IMPORTRANGE(""https://docs.google.com/spreadsheets/d/1bozxp9FwhaCNzy-RRGPVPfVYTttO4PUGDdaFvbz-Ue0/edit?gid=1870218791#gid=1870218791"", ""Rev vs Mktg &amp; Mktg Mix!G"" &amp; ROW(F256))
"),12.36)</f>
        <v>12.36</v>
      </c>
      <c r="H198" s="30">
        <f>VLOOKUP(VALUE(LEFT(A86, 4)), 'Raw Annual EBITDA'!A:H, 8, FALSE) / 4</f>
        <v>26741.5</v>
      </c>
      <c r="I198" s="58">
        <f ca="1">IFERROR(__xludf.DUMMYFUNCTION("IMPORTRANGE(""https://docs.google.com/spreadsheets/d/1bozxp9FwhaCNzy-RRGPVPfVYTttO4PUGDdaFvbz-Ue0/edit?gid=1870218791#gid=1870218791"", ""Rev vs Mktg &amp; Mktg Mix!I"" &amp; ROW(K256))
"),17.88)</f>
        <v>17.88</v>
      </c>
      <c r="J198" s="58">
        <f ca="1">IFERROR(__xludf.DUMMYFUNCTION("IMPORTRANGE(""https://docs.google.com/spreadsheets/d/1bozxp9FwhaCNzy-RRGPVPfVYTttO4PUGDdaFvbz-Ue0/edit?gid=1870218791#gid=1870218791"", ""Rev vs Mktg &amp; Mktg Mix!J"" &amp; ROW(J256))
"),-73.084)</f>
        <v>-73.084000000000003</v>
      </c>
      <c r="K198" s="28"/>
      <c r="L198" s="58">
        <f ca="1">IFERROR(__xludf.DUMMYFUNCTION("IMPORTRANGE(""https://docs.google.com/spreadsheets/d/1bozxp9FwhaCNzy-RRGPVPfVYTttO4PUGDdaFvbz-Ue0/edit?gid=1870218791#gid=1870218791"", ""Rev vs Mktg &amp; Mktg Mix!L"" &amp; ROW(N256))
"),37.8720512814)</f>
        <v>37.872051281399997</v>
      </c>
      <c r="M198" s="28"/>
      <c r="N198" s="60">
        <f ca="1">IFERROR(__xludf.DUMMYFUNCTION("IMPORTRANGE(""https://docs.google.com/spreadsheets/d/1bozxp9FwhaCNzy-RRGPVPfVYTttO4PUGDdaFvbz-Ue0/edit?gid=1870218791#gid=1870218791"", ""Rev vs Mktg &amp; Mktg Mix!N"" &amp; ROW(N256))
"),-0.2622)</f>
        <v>-0.26219999999999999</v>
      </c>
      <c r="O198" s="32">
        <f>VLOOKUP(VALUE(LEFT(A200, 4)), 'Raw Annual EBITDA'!A:O, 15, FALSE) / 4</f>
        <v>8228</v>
      </c>
      <c r="P198" s="28"/>
      <c r="Q198" s="28"/>
      <c r="R198" s="30">
        <f>VLOOKUP(VALUE(LEFT(A198, 4)), 'Raw Annual EBITDA'!A:R, 18, FALSE) / 4</f>
        <v>2547.25</v>
      </c>
      <c r="S198" s="30">
        <f>VLOOKUP(VALUE(LEFT(A201, 4)), 'Raw Annual EBITDA'!A:S, 19, FALSE) / 4</f>
        <v>883.75</v>
      </c>
      <c r="T198" s="28"/>
      <c r="U198" s="30"/>
      <c r="V198" s="28"/>
      <c r="W198" s="30">
        <f>VLOOKUP(VALUE(LEFT($A200, 4)), 'Raw Annual EBITDA'!$A:W, 23, FALSE) / 4</f>
        <v>79063.75</v>
      </c>
      <c r="X198" s="30">
        <f>VLOOKUP(VALUE(LEFT($A198, 4)), 'Raw Annual EBITDA'!$A:X, 24, FALSE) / 4</f>
        <v>8130.2073375</v>
      </c>
      <c r="Y198" s="30">
        <f>VLOOKUP(VALUE(LEFT($A198, 4)), 'Raw Annual EBITDA'!$A:Y, 25, FALSE) / 4</f>
        <v>4091.25</v>
      </c>
      <c r="Z198" s="30">
        <f>VLOOKUP(VALUE(LEFT($A198, 4)), 'Raw Annual EBITDA'!$A:Z, 26, FALSE) / 4</f>
        <v>2794.5</v>
      </c>
      <c r="AA198" s="30">
        <f>VLOOKUP(VALUE(LEFT($A198, 4)), 'Raw Annual EBITDA'!$A:AA, 27, FALSE) / 4</f>
        <v>-1401.25</v>
      </c>
      <c r="AB198" s="30">
        <f>VLOOKUP(VALUE(LEFT($A198, 4)), 'Raw Annual EBITDA'!$A:AB, 28, FALSE) / 4</f>
        <v>-44985.25</v>
      </c>
      <c r="AC198" s="28"/>
    </row>
    <row r="199" spans="1:29" ht="13">
      <c r="A199" s="27" t="s">
        <v>109</v>
      </c>
      <c r="B199" s="30">
        <f>VLOOKUP(VALUE(LEFT(A199, 4)), 'Raw Annual EBITDA'!A:B, 2, FALSE) / 4</f>
        <v>-505</v>
      </c>
      <c r="C199" s="55">
        <f ca="1">IFERROR(__xludf.DUMMYFUNCTION("IMPORTRANGE(""https://docs.google.com/spreadsheets/d/1bozxp9FwhaCNzy-RRGPVPfVYTttO4PUGDdaFvbz-Ue0/edit?gid=1870218791#gid=1870218791"", ""Rev vs Mktg &amp; Mktg Mix!C"" &amp; ROW(B257))
"),863.117)</f>
        <v>863.11699999999996</v>
      </c>
      <c r="D199" s="55">
        <f ca="1">IFERROR(__xludf.DUMMYFUNCTION("IMPORTRANGE(""https://docs.google.com/spreadsheets/d/1bozxp9FwhaCNzy-RRGPVPfVYTttO4PUGDdaFvbz-Ue0/edit?gid=1870218791#gid=1870218791"", ""Rev vs Mktg &amp; Mktg Mix!D"" &amp; ROW(C257))
"),57)</f>
        <v>57</v>
      </c>
      <c r="E199" s="55">
        <f ca="1">IFERROR(__xludf.DUMMYFUNCTION("IMPORTRANGE(""https://docs.google.com/spreadsheets/d/1bozxp9FwhaCNzy-RRGPVPfVYTttO4PUGDdaFvbz-Ue0/edit?gid=1870218791#gid=1870218791"", ""Rev vs Mktg &amp; Mktg Mix!E"" &amp; ROW(D257))
"),134)</f>
        <v>134</v>
      </c>
      <c r="F199" s="55">
        <f ca="1">IFERROR(__xludf.DUMMYFUNCTION("IMPORTRANGE(""https://docs.google.com/spreadsheets/d/1bozxp9FwhaCNzy-RRGPVPfVYTttO4PUGDdaFvbz-Ue0/edit?gid=1870218791#gid=1870218791"", ""Rev vs Mktg &amp; Mktg Mix!F"" &amp; ROW(E257))
"),44)</f>
        <v>44</v>
      </c>
      <c r="G199" s="56">
        <f ca="1">IFERROR(__xludf.DUMMYFUNCTION("IMPORTRANGE(""https://docs.google.com/spreadsheets/d/1bozxp9FwhaCNzy-RRGPVPfVYTttO4PUGDdaFvbz-Ue0/edit?gid=1870218791#gid=1870218791"", ""Rev vs Mktg &amp; Mktg Mix!G"" &amp; ROW(F257))
"),-3.066)</f>
        <v>-3.0659999999999998</v>
      </c>
      <c r="H199" s="35">
        <f ca="1">IFERROR(__xludf.DUMMYFUNCTION("IMPORTRANGE(""https://docs.google.com/spreadsheets/d/1bozxp9FwhaCNzy-RRGPVPfVYTttO4PUGDdaFvbz-Ue0/edit?gid=1870218791#gid=1870218791"", ""Rev vs Mktg &amp; Mktg Mix!H"" &amp; ROW(G257))
"),28.27)</f>
        <v>28.27</v>
      </c>
      <c r="I199" s="58">
        <f ca="1">IFERROR(__xludf.DUMMYFUNCTION("IMPORTRANGE(""https://docs.google.com/spreadsheets/d/1bozxp9FwhaCNzy-RRGPVPfVYTttO4PUGDdaFvbz-Ue0/edit?gid=1870218791#gid=1870218791"", ""Rev vs Mktg &amp; Mktg Mix!I"" &amp; ROW(K257))
"),7.213)</f>
        <v>7.2130000000000001</v>
      </c>
      <c r="J199" s="58">
        <f ca="1">IFERROR(__xludf.DUMMYFUNCTION("IMPORTRANGE(""https://docs.google.com/spreadsheets/d/1bozxp9FwhaCNzy-RRGPVPfVYTttO4PUGDdaFvbz-Ue0/edit?gid=1870218791#gid=1870218791"", ""Rev vs Mktg &amp; Mktg Mix!J"" &amp; ROW(J257))
"),-68.415)</f>
        <v>-68.415000000000006</v>
      </c>
      <c r="K199" s="28"/>
      <c r="L199" s="58">
        <f ca="1">IFERROR(__xludf.DUMMYFUNCTION("IMPORTRANGE(""https://docs.google.com/spreadsheets/d/1bozxp9FwhaCNzy-RRGPVPfVYTttO4PUGDdaFvbz-Ue0/edit?gid=1870218791#gid=1870218791"", ""Rev vs Mktg &amp; Mktg Mix!L"" &amp; ROW(N257))
"),55.9021002224999)</f>
        <v>55.902100222499897</v>
      </c>
      <c r="M199" s="28"/>
      <c r="N199" s="60">
        <f ca="1">IFERROR(__xludf.DUMMYFUNCTION("IMPORTRANGE(""https://docs.google.com/spreadsheets/d/1bozxp9FwhaCNzy-RRGPVPfVYTttO4PUGDdaFvbz-Ue0/edit?gid=1870218791#gid=1870218791"", ""Rev vs Mktg &amp; Mktg Mix!N"" &amp; ROW(N257))
"),-2.0295)</f>
        <v>-2.0295000000000001</v>
      </c>
      <c r="O199" s="32">
        <f>VLOOKUP(VALUE(LEFT(A201, 4)), 'Raw Annual EBITDA'!A:O, 15, FALSE) / 4</f>
        <v>8228</v>
      </c>
      <c r="P199" s="28"/>
      <c r="Q199" s="28"/>
      <c r="R199" s="30">
        <f>VLOOKUP(VALUE(LEFT(A199, 4)), 'Raw Annual EBITDA'!A:R, 18, FALSE) / 4</f>
        <v>2547.25</v>
      </c>
      <c r="S199" s="30">
        <f>VLOOKUP(VALUE(LEFT(A202, 4)), 'Raw Annual EBITDA'!A:S, 19, FALSE) / 4</f>
        <v>598.5</v>
      </c>
      <c r="T199" s="28"/>
      <c r="U199" s="30"/>
      <c r="V199" s="28"/>
      <c r="W199" s="30">
        <f>VLOOKUP(VALUE(LEFT($A201, 4)), 'Raw Annual EBITDA'!$A:W, 23, FALSE) / 4</f>
        <v>79063.75</v>
      </c>
      <c r="X199" s="30">
        <f>VLOOKUP(VALUE(LEFT($A199, 4)), 'Raw Annual EBITDA'!$A:X, 24, FALSE) / 4</f>
        <v>8130.2073375</v>
      </c>
      <c r="Y199" s="30">
        <f>VLOOKUP(VALUE(LEFT($A199, 4)), 'Raw Annual EBITDA'!$A:Y, 25, FALSE) / 4</f>
        <v>4091.25</v>
      </c>
      <c r="Z199" s="30">
        <f>VLOOKUP(VALUE(LEFT($A199, 4)), 'Raw Annual EBITDA'!$A:Z, 26, FALSE) / 4</f>
        <v>2794.5</v>
      </c>
      <c r="AA199" s="30">
        <f>VLOOKUP(VALUE(LEFT($A199, 4)), 'Raw Annual EBITDA'!$A:AA, 27, FALSE) / 4</f>
        <v>-1401.25</v>
      </c>
      <c r="AB199" s="30">
        <f>VLOOKUP(VALUE(LEFT($A199, 4)), 'Raw Annual EBITDA'!$A:AB, 28, FALSE) / 4</f>
        <v>-44985.25</v>
      </c>
      <c r="AC199" s="28"/>
    </row>
    <row r="200" spans="1:29" ht="13">
      <c r="A200" s="27" t="s">
        <v>110</v>
      </c>
      <c r="B200" s="30">
        <f>VLOOKUP(VALUE(LEFT(A200, 4)), 'Raw Annual EBITDA'!A:B, 2, FALSE) / 4</f>
        <v>-505</v>
      </c>
      <c r="C200" s="55">
        <f ca="1">IFERROR(__xludf.DUMMYFUNCTION("IMPORTRANGE(""https://docs.google.com/spreadsheets/d/1bozxp9FwhaCNzy-RRGPVPfVYTttO4PUGDdaFvbz-Ue0/edit?gid=1870218791#gid=1870218791"", ""Rev vs Mktg &amp; Mktg Mix!C"" &amp; ROW(B258))
"),2066.845)</f>
        <v>2066.8449999999998</v>
      </c>
      <c r="D200" s="55">
        <f ca="1">IFERROR(__xludf.DUMMYFUNCTION("IMPORTRANGE(""https://docs.google.com/spreadsheets/d/1bozxp9FwhaCNzy-RRGPVPfVYTttO4PUGDdaFvbz-Ue0/edit?gid=1870218791#gid=1870218791"", ""Rev vs Mktg &amp; Mktg Mix!D"" &amp; ROW(C258))
"),415)</f>
        <v>415</v>
      </c>
      <c r="E200" s="55">
        <f ca="1">IFERROR(__xludf.DUMMYFUNCTION("IMPORTRANGE(""https://docs.google.com/spreadsheets/d/1bozxp9FwhaCNzy-RRGPVPfVYTttO4PUGDdaFvbz-Ue0/edit?gid=1870218791#gid=1870218791"", ""Rev vs Mktg &amp; Mktg Mix!E"" &amp; ROW(D258))
"),232)</f>
        <v>232</v>
      </c>
      <c r="F200" s="55">
        <f ca="1">IFERROR(__xludf.DUMMYFUNCTION("IMPORTRANGE(""https://docs.google.com/spreadsheets/d/1bozxp9FwhaCNzy-RRGPVPfVYTttO4PUGDdaFvbz-Ue0/edit?gid=1870218791#gid=1870218791"", ""Rev vs Mktg &amp; Mktg Mix!F"" &amp; ROW(E258))
"),38)</f>
        <v>38</v>
      </c>
      <c r="G200" s="56">
        <f ca="1">IFERROR(__xludf.DUMMYFUNCTION("IMPORTRANGE(""https://docs.google.com/spreadsheets/d/1bozxp9FwhaCNzy-RRGPVPfVYTttO4PUGDdaFvbz-Ue0/edit?gid=1870218791#gid=1870218791"", ""Rev vs Mktg &amp; Mktg Mix!G"" &amp; ROW(F258))
"),-14.008)</f>
        <v>-14.007999999999999</v>
      </c>
      <c r="H200" s="62">
        <f ca="1">IFERROR(__xludf.DUMMYFUNCTION("IMPORTRANGE(""https://docs.google.com/spreadsheets/d/1bozxp9FwhaCNzy-RRGPVPfVYTttO4PUGDdaFvbz-Ue0/edit?gid=1870218791#gid=1870218791"", ""Rev vs Mktg &amp; Mktg Mix!H"" &amp; ROW(G258))
"),32.67)</f>
        <v>32.67</v>
      </c>
      <c r="I200" s="58">
        <f ca="1">IFERROR(__xludf.DUMMYFUNCTION("IMPORTRANGE(""https://docs.google.com/spreadsheets/d/1bozxp9FwhaCNzy-RRGPVPfVYTttO4PUGDdaFvbz-Ue0/edit?gid=1870218791#gid=1870218791"", ""Rev vs Mktg &amp; Mktg Mix!I"" &amp; ROW(K258))
"),15.397)</f>
        <v>15.397</v>
      </c>
      <c r="J200" s="58">
        <f ca="1">IFERROR(__xludf.DUMMYFUNCTION("IMPORTRANGE(""https://docs.google.com/spreadsheets/d/1bozxp9FwhaCNzy-RRGPVPfVYTttO4PUGDdaFvbz-Ue0/edit?gid=1870218791#gid=1870218791"", ""Rev vs Mktg &amp; Mktg Mix!J"" &amp; ROW(J258))
"),-62.271)</f>
        <v>-62.271000000000001</v>
      </c>
      <c r="K200" s="28"/>
      <c r="L200" s="58">
        <f ca="1">IFERROR(__xludf.DUMMYFUNCTION("IMPORTRANGE(""https://docs.google.com/spreadsheets/d/1bozxp9FwhaCNzy-RRGPVPfVYTttO4PUGDdaFvbz-Ue0/edit?gid=1870218791#gid=1870218791"", ""Rev vs Mktg &amp; Mktg Mix!L"" &amp; ROW(N258))
"),37.0709996958)</f>
        <v>37.070999695799998</v>
      </c>
      <c r="M200" s="28"/>
      <c r="N200" s="60">
        <f ca="1">IFERROR(__xludf.DUMMYFUNCTION("IMPORTRANGE(""https://docs.google.com/spreadsheets/d/1bozxp9FwhaCNzy-RRGPVPfVYTttO4PUGDdaFvbz-Ue0/edit?gid=1870218791#gid=1870218791"", ""Rev vs Mktg &amp; Mktg Mix!N"" &amp; ROW(N258))
"),-0.5106)</f>
        <v>-0.51060000000000005</v>
      </c>
      <c r="O200" s="32">
        <f>VLOOKUP(VALUE(LEFT(A202, 4)), 'Raw Annual EBITDA'!A:O, 15, FALSE) / 4</f>
        <v>16308.25</v>
      </c>
      <c r="P200" s="28"/>
      <c r="Q200" s="28"/>
      <c r="R200" s="30">
        <f>VLOOKUP(VALUE(LEFT(A200, 4)), 'Raw Annual EBITDA'!A:R, 18, FALSE) / 4</f>
        <v>2547.25</v>
      </c>
      <c r="S200" s="30">
        <f>VLOOKUP(VALUE(LEFT(A203, 4)), 'Raw Annual EBITDA'!A:S, 19, FALSE) / 4</f>
        <v>598.5</v>
      </c>
      <c r="T200" s="28"/>
      <c r="U200" s="30"/>
      <c r="V200" s="28"/>
      <c r="W200" s="30">
        <f>VLOOKUP(VALUE(LEFT($A202, 4)), 'Raw Annual EBITDA'!$A:W, 23, FALSE) / 4</f>
        <v>78189.25</v>
      </c>
      <c r="X200" s="30">
        <f>VLOOKUP(VALUE(LEFT($A200, 4)), 'Raw Annual EBITDA'!$A:X, 24, FALSE) / 4</f>
        <v>8130.2073375</v>
      </c>
      <c r="Y200" s="30">
        <f>VLOOKUP(VALUE(LEFT($A200, 4)), 'Raw Annual EBITDA'!$A:Y, 25, FALSE) / 4</f>
        <v>4091.25</v>
      </c>
      <c r="Z200" s="30">
        <f>VLOOKUP(VALUE(LEFT($A200, 4)), 'Raw Annual EBITDA'!$A:Z, 26, FALSE) / 4</f>
        <v>2794.5</v>
      </c>
      <c r="AA200" s="30">
        <f>VLOOKUP(VALUE(LEFT($A200, 4)), 'Raw Annual EBITDA'!$A:AA, 27, FALSE) / 4</f>
        <v>-1401.25</v>
      </c>
      <c r="AB200" s="30">
        <f>VLOOKUP(VALUE(LEFT($A200, 4)), 'Raw Annual EBITDA'!$A:AB, 28, FALSE) / 4</f>
        <v>-44985.25</v>
      </c>
      <c r="AC200" s="28"/>
    </row>
    <row r="201" spans="1:29" ht="13">
      <c r="A201" s="27" t="s">
        <v>111</v>
      </c>
      <c r="B201" s="30">
        <f>VLOOKUP(VALUE(LEFT(A201, 4)), 'Raw Annual EBITDA'!A:B, 2, FALSE) / 4</f>
        <v>-505</v>
      </c>
      <c r="C201" s="55">
        <f ca="1">IFERROR(__xludf.DUMMYFUNCTION("IMPORTRANGE(""https://docs.google.com/spreadsheets/d/1bozxp9FwhaCNzy-RRGPVPfVYTttO4PUGDdaFvbz-Ue0/edit?gid=1870218791#gid=1870218791"", ""Rev vs Mktg &amp; Mktg Mix!C"" &amp; ROW(B259))
"),942)</f>
        <v>942</v>
      </c>
      <c r="D201" s="55">
        <f ca="1">IFERROR(__xludf.DUMMYFUNCTION("IMPORTRANGE(""https://docs.google.com/spreadsheets/d/1bozxp9FwhaCNzy-RRGPVPfVYTttO4PUGDdaFvbz-Ue0/edit?gid=1870218791#gid=1870218791"", ""Rev vs Mktg &amp; Mktg Mix!D"" &amp; ROW(C259))
"),76)</f>
        <v>76</v>
      </c>
      <c r="E201" s="55">
        <f ca="1">IFERROR(__xludf.DUMMYFUNCTION("IMPORTRANGE(""https://docs.google.com/spreadsheets/d/1bozxp9FwhaCNzy-RRGPVPfVYTttO4PUGDdaFvbz-Ue0/edit?gid=1870218791#gid=1870218791"", ""Rev vs Mktg &amp; Mktg Mix!E"" &amp; ROW(D259))
"),132)</f>
        <v>132</v>
      </c>
      <c r="F201" s="55">
        <f ca="1">IFERROR(__xludf.DUMMYFUNCTION("IMPORTRANGE(""https://docs.google.com/spreadsheets/d/1bozxp9FwhaCNzy-RRGPVPfVYTttO4PUGDdaFvbz-Ue0/edit?gid=1870218791#gid=1870218791"", ""Rev vs Mktg &amp; Mktg Mix!F"" &amp; ROW(E259))
"),3)</f>
        <v>3</v>
      </c>
      <c r="G201" s="56">
        <f ca="1">IFERROR(__xludf.DUMMYFUNCTION("IMPORTRANGE(""https://docs.google.com/spreadsheets/d/1bozxp9FwhaCNzy-RRGPVPfVYTttO4PUGDdaFvbz-Ue0/edit?gid=1870218791#gid=1870218791"", ""Rev vs Mktg &amp; Mktg Mix!G"" &amp; ROW(F259))
"),-13.099)</f>
        <v>-13.099</v>
      </c>
      <c r="H201" s="62">
        <f ca="1">IFERROR(__xludf.DUMMYFUNCTION("IMPORTRANGE(""https://docs.google.com/spreadsheets/d/1bozxp9FwhaCNzy-RRGPVPfVYTttO4PUGDdaFvbz-Ue0/edit?gid=1870218791#gid=1870218791"", ""Rev vs Mktg &amp; Mktg Mix!H"" &amp; ROW(G259))
"),30.58)</f>
        <v>30.58</v>
      </c>
      <c r="I201" s="58">
        <f ca="1">IFERROR(__xludf.DUMMYFUNCTION("IMPORTRANGE(""https://docs.google.com/spreadsheets/d/1bozxp9FwhaCNzy-RRGPVPfVYTttO4PUGDdaFvbz-Ue0/edit?gid=1870218791#gid=1870218791"", ""Rev vs Mktg &amp; Mktg Mix!I"" &amp; ROW(K259))
"),13.87)</f>
        <v>13.87</v>
      </c>
      <c r="J201" s="58">
        <f ca="1">IFERROR(__xludf.DUMMYFUNCTION("IMPORTRANGE(""https://docs.google.com/spreadsheets/d/1bozxp9FwhaCNzy-RRGPVPfVYTttO4PUGDdaFvbz-Ue0/edit?gid=1870218791#gid=1870218791"", ""Rev vs Mktg &amp; Mktg Mix!J"" &amp; ROW(J259))
"),-45.432)</f>
        <v>-45.432000000000002</v>
      </c>
      <c r="K201" s="28"/>
      <c r="L201" s="58">
        <f ca="1">IFERROR(__xludf.DUMMYFUNCTION("IMPORTRANGE(""https://docs.google.com/spreadsheets/d/1bozxp9FwhaCNzy-RRGPVPfVYTttO4PUGDdaFvbz-Ue0/edit?gid=1870218791#gid=1870218791"", ""Rev vs Mktg &amp; Mktg Mix!L"" &amp; ROW(N259))
"),7.88725538369999)</f>
        <v>7.8872553836999897</v>
      </c>
      <c r="M201" s="28"/>
      <c r="N201" s="60">
        <f ca="1">IFERROR(__xludf.DUMMYFUNCTION("IMPORTRANGE(""https://docs.google.com/spreadsheets/d/1bozxp9FwhaCNzy-RRGPVPfVYTttO4PUGDdaFvbz-Ue0/edit?gid=1870218791#gid=1870218791"", ""Rev vs Mktg &amp; Mktg Mix!N"" &amp; ROW(N259))
"),-2.379)</f>
        <v>-2.379</v>
      </c>
      <c r="O201" s="32">
        <f>VLOOKUP(VALUE(LEFT(A203, 4)), 'Raw Annual EBITDA'!A:O, 15, FALSE) / 4</f>
        <v>16308.25</v>
      </c>
      <c r="P201" s="28"/>
      <c r="Q201" s="28"/>
      <c r="R201" s="30">
        <f>VLOOKUP(VALUE(LEFT(A201, 4)), 'Raw Annual EBITDA'!A:R, 18, FALSE) / 4</f>
        <v>2547.25</v>
      </c>
      <c r="S201" s="30">
        <f>VLOOKUP(VALUE(LEFT(A204, 4)), 'Raw Annual EBITDA'!A:S, 19, FALSE) / 4</f>
        <v>598.5</v>
      </c>
      <c r="T201" s="28"/>
      <c r="U201" s="30"/>
      <c r="V201" s="28"/>
      <c r="W201" s="30">
        <f>VLOOKUP(VALUE(LEFT($A203, 4)), 'Raw Annual EBITDA'!$A:W, 23, FALSE) / 4</f>
        <v>78189.25</v>
      </c>
      <c r="X201" s="30">
        <f>VLOOKUP(VALUE(LEFT($A201, 4)), 'Raw Annual EBITDA'!$A:X, 24, FALSE) / 4</f>
        <v>8130.2073375</v>
      </c>
      <c r="Y201" s="30">
        <f>VLOOKUP(VALUE(LEFT($A201, 4)), 'Raw Annual EBITDA'!$A:Y, 25, FALSE) / 4</f>
        <v>4091.25</v>
      </c>
      <c r="Z201" s="30">
        <f>VLOOKUP(VALUE(LEFT($A201, 4)), 'Raw Annual EBITDA'!$A:Z, 26, FALSE) / 4</f>
        <v>2794.5</v>
      </c>
      <c r="AA201" s="30">
        <f>VLOOKUP(VALUE(LEFT($A201, 4)), 'Raw Annual EBITDA'!$A:AA, 27, FALSE) / 4</f>
        <v>-1401.25</v>
      </c>
      <c r="AB201" s="30">
        <f>VLOOKUP(VALUE(LEFT($A201, 4)), 'Raw Annual EBITDA'!$A:AB, 28, FALSE) / 4</f>
        <v>-44985.25</v>
      </c>
      <c r="AC201" s="28"/>
    </row>
    <row r="202" spans="1:29" ht="13">
      <c r="A202" s="27" t="s">
        <v>112</v>
      </c>
      <c r="B202" s="31">
        <f>VLOOKUP(VALUE(LEFT(A202, 4)), 'Raw Annual EBITDA'!A:B, 2, FALSE) / 4</f>
        <v>25286.25</v>
      </c>
      <c r="C202" s="55">
        <f ca="1">IFERROR(__xludf.DUMMYFUNCTION("IMPORTRANGE(""https://docs.google.com/spreadsheets/d/1bozxp9FwhaCNzy-RRGPVPfVYTttO4PUGDdaFvbz-Ue0/edit?gid=1870218791#gid=1870218791"", ""Rev vs Mktg &amp; Mktg Mix!C"" &amp; ROW(B260))
"),753.337)</f>
        <v>753.33699999999999</v>
      </c>
      <c r="D202" s="55">
        <f ca="1">IFERROR(__xludf.DUMMYFUNCTION("IMPORTRANGE(""https://docs.google.com/spreadsheets/d/1bozxp9FwhaCNzy-RRGPVPfVYTttO4PUGDdaFvbz-Ue0/edit?gid=1870218791#gid=1870218791"", ""Rev vs Mktg &amp; Mktg Mix!D"" &amp; ROW(C260))
"),-169)</f>
        <v>-169</v>
      </c>
      <c r="E202" s="55">
        <f ca="1">IFERROR(__xludf.DUMMYFUNCTION("IMPORTRANGE(""https://docs.google.com/spreadsheets/d/1bozxp9FwhaCNzy-RRGPVPfVYTttO4PUGDdaFvbz-Ue0/edit?gid=1870218791#gid=1870218791"", ""Rev vs Mktg &amp; Mktg Mix!E"" &amp; ROW(D260))
"),184)</f>
        <v>184</v>
      </c>
      <c r="F202" s="55">
        <f ca="1">IFERROR(__xludf.DUMMYFUNCTION("IMPORTRANGE(""https://docs.google.com/spreadsheets/d/1bozxp9FwhaCNzy-RRGPVPfVYTttO4PUGDdaFvbz-Ue0/edit?gid=1870218791#gid=1870218791"", ""Rev vs Mktg &amp; Mktg Mix!F"" &amp; ROW(E260))
"),21)</f>
        <v>21</v>
      </c>
      <c r="G202" s="56">
        <f ca="1">IFERROR(__xludf.DUMMYFUNCTION("IMPORTRANGE(""https://docs.google.com/spreadsheets/d/1bozxp9FwhaCNzy-RRGPVPfVYTttO4PUGDdaFvbz-Ue0/edit?gid=1870218791#gid=1870218791"", ""Rev vs Mktg &amp; Mktg Mix!G"" &amp; ROW(F260))
"),-29.132)</f>
        <v>-29.132000000000001</v>
      </c>
      <c r="H202" s="62">
        <f ca="1">IFERROR(__xludf.DUMMYFUNCTION("IMPORTRANGE(""https://docs.google.com/spreadsheets/d/1bozxp9FwhaCNzy-RRGPVPfVYTttO4PUGDdaFvbz-Ue0/edit?gid=1870218791#gid=1870218791"", ""Rev vs Mktg &amp; Mktg Mix!H"" &amp; ROW(G260))
"),29.26)</f>
        <v>29.26</v>
      </c>
      <c r="I202" s="58">
        <f ca="1">IFERROR(__xludf.DUMMYFUNCTION("IMPORTRANGE(""https://docs.google.com/spreadsheets/d/1bozxp9FwhaCNzy-RRGPVPfVYTttO4PUGDdaFvbz-Ue0/edit?gid=1870218791#gid=1870218791"", ""Rev vs Mktg &amp; Mktg Mix!I"" &amp; ROW(K260))
"),20.593)</f>
        <v>20.593</v>
      </c>
      <c r="J202" s="58">
        <f ca="1">IFERROR(__xludf.DUMMYFUNCTION("IMPORTRANGE(""https://docs.google.com/spreadsheets/d/1bozxp9FwhaCNzy-RRGPVPfVYTttO4PUGDdaFvbz-Ue0/edit?gid=1870218791#gid=1870218791"", ""Rev vs Mktg &amp; Mktg Mix!J"" &amp; ROW(J260))
"),-44.031)</f>
        <v>-44.030999999999999</v>
      </c>
      <c r="K202" s="28"/>
      <c r="L202" s="58">
        <f ca="1">IFERROR(__xludf.DUMMYFUNCTION("IMPORTRANGE(""https://docs.google.com/spreadsheets/d/1bozxp9FwhaCNzy-RRGPVPfVYTttO4PUGDdaFvbz-Ue0/edit?gid=1870218791#gid=1870218791"", ""Rev vs Mktg &amp; Mktg Mix!L"" &amp; ROW(N260))
"),24.4699466277)</f>
        <v>24.469946627700001</v>
      </c>
      <c r="M202" s="28"/>
      <c r="N202" s="60">
        <f ca="1">IFERROR(__xludf.DUMMYFUNCTION("IMPORTRANGE(""https://docs.google.com/spreadsheets/d/1bozxp9FwhaCNzy-RRGPVPfVYTttO4PUGDdaFvbz-Ue0/edit?gid=1870218791#gid=1870218791"", ""Rev vs Mktg &amp; Mktg Mix!N"" &amp; ROW(N260))
"),0.2411)</f>
        <v>0.24110000000000001</v>
      </c>
      <c r="O202" s="32">
        <f>VLOOKUP(VALUE(LEFT(A204, 4)), 'Raw Annual EBITDA'!A:O, 15, FALSE) / 4</f>
        <v>16308.25</v>
      </c>
      <c r="P202" s="28"/>
      <c r="Q202" s="28"/>
      <c r="R202" s="30">
        <f>VLOOKUP(VALUE(LEFT(A202, 4)), 'Raw Annual EBITDA'!A:R, 18, FALSE) / 4</f>
        <v>7915</v>
      </c>
      <c r="S202" s="30">
        <f>VLOOKUP(VALUE(LEFT(A205, 4)), 'Raw Annual EBITDA'!A:S, 19, FALSE) / 4</f>
        <v>598.5</v>
      </c>
      <c r="T202" s="63" t="str">
        <f ca="1">IFERROR(__xludf.DUMMYFUNCTION("IMPORTRANGE(""https://docs.google.com/spreadsheets/d/1bozxp9FwhaCNzy-RRGPVPfVYTttO4PUGDdaFvbz-Ue0/edit?gid=1870218791#gid=1870218791"", ""Rev vs Mktg &amp; Mktg Mix!T"" &amp; ROW(Y260))
"),"")</f>
        <v/>
      </c>
      <c r="U202" s="30"/>
      <c r="V202" s="28"/>
      <c r="W202" s="30">
        <f>VLOOKUP(VALUE(LEFT($A204, 4)), 'Raw Annual EBITDA'!$A:W, 23, FALSE) / 4</f>
        <v>78189.25</v>
      </c>
      <c r="X202" s="30">
        <f>VLOOKUP(VALUE(LEFT($A202, 4)), 'Raw Annual EBITDA'!$A:X, 24, FALSE) / 4</f>
        <v>13646.0755625</v>
      </c>
      <c r="Y202" s="30">
        <f>VLOOKUP(VALUE(LEFT($A202, 4)), 'Raw Annual EBITDA'!$A:Y, 25, FALSE) / 4</f>
        <v>3182.25</v>
      </c>
      <c r="Z202" s="30">
        <f>VLOOKUP(VALUE(LEFT($A202, 4)), 'Raw Annual EBITDA'!$A:Z, 26, FALSE) / 4</f>
        <v>2352.75</v>
      </c>
      <c r="AA202" s="30">
        <f>VLOOKUP(VALUE(LEFT($A202, 4)), 'Raw Annual EBITDA'!$A:AA, 27, FALSE) / 4</f>
        <v>-365.75</v>
      </c>
      <c r="AB202" s="30">
        <f>VLOOKUP(VALUE(LEFT($A202, 4)), 'Raw Annual EBITDA'!$A:AB, 28, FALSE) / 4</f>
        <v>-48086.5</v>
      </c>
      <c r="AC202" s="28"/>
    </row>
    <row r="203" spans="1:29" ht="13">
      <c r="A203" s="27" t="s">
        <v>113</v>
      </c>
      <c r="B203" s="31">
        <f>VLOOKUP(VALUE(LEFT(A203, 4)), 'Raw Annual EBITDA'!A:B, 2, FALSE) / 4</f>
        <v>25286.25</v>
      </c>
      <c r="C203" s="55">
        <f ca="1">IFERROR(__xludf.DUMMYFUNCTION("IMPORTRANGE(""https://docs.google.com/spreadsheets/d/1bozxp9FwhaCNzy-RRGPVPfVYTttO4PUGDdaFvbz-Ue0/edit?gid=1870218791#gid=1870218791"", ""Rev vs Mktg &amp; Mktg Mix!C"" &amp; ROW(B261))
"),1208.911)</f>
        <v>1208.9110000000001</v>
      </c>
      <c r="D203" s="55">
        <f ca="1">IFERROR(__xludf.DUMMYFUNCTION("IMPORTRANGE(""https://docs.google.com/spreadsheets/d/1bozxp9FwhaCNzy-RRGPVPfVYTttO4PUGDdaFvbz-Ue0/edit?gid=1870218791#gid=1870218791"", ""Rev vs Mktg &amp; Mktg Mix!D"" &amp; ROW(C261))
"),-14)</f>
        <v>-14</v>
      </c>
      <c r="E203" s="55">
        <f ca="1">IFERROR(__xludf.DUMMYFUNCTION("IMPORTRANGE(""https://docs.google.com/spreadsheets/d/1bozxp9FwhaCNzy-RRGPVPfVYTttO4PUGDdaFvbz-Ue0/edit?gid=1870218791#gid=1870218791"", ""Rev vs Mktg &amp; Mktg Mix!E"" &amp; ROW(D261))
"),444)</f>
        <v>444</v>
      </c>
      <c r="F203" s="55">
        <f ca="1">IFERROR(__xludf.DUMMYFUNCTION("IMPORTRANGE(""https://docs.google.com/spreadsheets/d/1bozxp9FwhaCNzy-RRGPVPfVYTttO4PUGDdaFvbz-Ue0/edit?gid=1870218791#gid=1870218791"", ""Rev vs Mktg &amp; Mktg Mix!F"" &amp; ROW(E261))
"),42)</f>
        <v>42</v>
      </c>
      <c r="G203" s="56">
        <f ca="1">IFERROR(__xludf.DUMMYFUNCTION("IMPORTRANGE(""https://docs.google.com/spreadsheets/d/1bozxp9FwhaCNzy-RRGPVPfVYTttO4PUGDdaFvbz-Ue0/edit?gid=1870218791#gid=1870218791"", ""Rev vs Mktg &amp; Mktg Mix!G"" &amp; ROW(F261))
"),-27.282)</f>
        <v>-27.282</v>
      </c>
      <c r="H203" s="62">
        <f ca="1">IFERROR(__xludf.DUMMYFUNCTION("IMPORTRANGE(""https://docs.google.com/spreadsheets/d/1bozxp9FwhaCNzy-RRGPVPfVYTttO4PUGDdaFvbz-Ue0/edit?gid=1870218791#gid=1870218791"", ""Rev vs Mktg &amp; Mktg Mix!H"" &amp; ROW(G261))
"),28.27)</f>
        <v>28.27</v>
      </c>
      <c r="I203" s="58">
        <f ca="1">IFERROR(__xludf.DUMMYFUNCTION("IMPORTRANGE(""https://docs.google.com/spreadsheets/d/1bozxp9FwhaCNzy-RRGPVPfVYTttO4PUGDdaFvbz-Ue0/edit?gid=1870218791#gid=1870218791"", ""Rev vs Mktg &amp; Mktg Mix!I"" &amp; ROW(K261))
"),1.711)</f>
        <v>1.7110000000000001</v>
      </c>
      <c r="J203" s="58">
        <f ca="1">IFERROR(__xludf.DUMMYFUNCTION("IMPORTRANGE(""https://docs.google.com/spreadsheets/d/1bozxp9FwhaCNzy-RRGPVPfVYTttO4PUGDdaFvbz-Ue0/edit?gid=1870218791#gid=1870218791"", ""Rev vs Mktg &amp; Mktg Mix!J"" &amp; ROW(J261))
"),-51.196)</f>
        <v>-51.195999999999998</v>
      </c>
      <c r="K203" s="30"/>
      <c r="L203" s="58">
        <f ca="1">IFERROR(__xludf.DUMMYFUNCTION("IMPORTRANGE(""https://docs.google.com/spreadsheets/d/1bozxp9FwhaCNzy-RRGPVPfVYTttO4PUGDdaFvbz-Ue0/edit?gid=1870218791#gid=1870218791"", ""Rev vs Mktg &amp; Mktg Mix!L"" &amp; ROW(N261))
"),49.6170192189)</f>
        <v>49.617019218899998</v>
      </c>
      <c r="M203" s="28"/>
      <c r="N203" s="60">
        <f ca="1">IFERROR(__xludf.DUMMYFUNCTION("IMPORTRANGE(""https://docs.google.com/spreadsheets/d/1bozxp9FwhaCNzy-RRGPVPfVYTttO4PUGDdaFvbz-Ue0/edit?gid=1870218791#gid=1870218791"", ""Rev vs Mktg &amp; Mktg Mix!N"" &amp; ROW(N261))
"),-0.4073)</f>
        <v>-0.4073</v>
      </c>
      <c r="O203" s="32">
        <f>VLOOKUP(VALUE(LEFT(A205, 4)), 'Raw Annual EBITDA'!A:O, 15, FALSE) / 4</f>
        <v>16308.25</v>
      </c>
      <c r="P203" s="28"/>
      <c r="Q203" s="28"/>
      <c r="R203" s="30">
        <f>VLOOKUP(VALUE(LEFT(A203, 4)), 'Raw Annual EBITDA'!A:R, 18, FALSE) / 4</f>
        <v>7915</v>
      </c>
      <c r="S203" s="30">
        <f>VLOOKUP(VALUE(LEFT(A206, 4)), 'Raw Annual EBITDA'!A:S, 19, FALSE) / 4</f>
        <v>1205.75</v>
      </c>
      <c r="T203" s="63" t="str">
        <f ca="1">IFERROR(__xludf.DUMMYFUNCTION("IMPORTRANGE(""https://docs.google.com/spreadsheets/d/1bozxp9FwhaCNzy-RRGPVPfVYTttO4PUGDdaFvbz-Ue0/edit?gid=1870218791#gid=1870218791"", ""Rev vs Mktg &amp; Mktg Mix!T"" &amp; ROW(Y261))
"),"")</f>
        <v/>
      </c>
      <c r="U203" s="30"/>
      <c r="V203" s="28"/>
      <c r="W203" s="30">
        <f>VLOOKUP(VALUE(LEFT($A205, 4)), 'Raw Annual EBITDA'!$A:W, 23, FALSE) / 4</f>
        <v>78189.25</v>
      </c>
      <c r="X203" s="30">
        <f>VLOOKUP(VALUE(LEFT($A203, 4)), 'Raw Annual EBITDA'!$A:X, 24, FALSE) / 4</f>
        <v>13646.0755625</v>
      </c>
      <c r="Y203" s="30">
        <f>VLOOKUP(VALUE(LEFT($A203, 4)), 'Raw Annual EBITDA'!$A:Y, 25, FALSE) / 4</f>
        <v>3182.25</v>
      </c>
      <c r="Z203" s="30">
        <f>VLOOKUP(VALUE(LEFT($A203, 4)), 'Raw Annual EBITDA'!$A:Z, 26, FALSE) / 4</f>
        <v>2352.75</v>
      </c>
      <c r="AA203" s="30">
        <f>VLOOKUP(VALUE(LEFT($A203, 4)), 'Raw Annual EBITDA'!$A:AA, 27, FALSE) / 4</f>
        <v>-365.75</v>
      </c>
      <c r="AB203" s="30">
        <f>VLOOKUP(VALUE(LEFT($A203, 4)), 'Raw Annual EBITDA'!$A:AB, 28, FALSE) / 4</f>
        <v>-48086.5</v>
      </c>
      <c r="AC203" s="28"/>
    </row>
    <row r="204" spans="1:29" ht="13">
      <c r="A204" s="27" t="s">
        <v>114</v>
      </c>
      <c r="B204" s="31">
        <f>VLOOKUP(VALUE(LEFT(A204, 4)), 'Raw Annual EBITDA'!A:B, 2, FALSE) / 4</f>
        <v>25286.25</v>
      </c>
      <c r="C204" s="55">
        <f ca="1">IFERROR(__xludf.DUMMYFUNCTION("IMPORTRANGE(""https://docs.google.com/spreadsheets/d/1bozxp9FwhaCNzy-RRGPVPfVYTttO4PUGDdaFvbz-Ue0/edit?gid=1870218791#gid=1870218791"", ""Rev vs Mktg &amp; Mktg Mix!C"" &amp; ROW(B262))
"),2240.846)</f>
        <v>2240.846</v>
      </c>
      <c r="D204" s="55">
        <f ca="1">IFERROR(__xludf.DUMMYFUNCTION("IMPORTRANGE(""https://docs.google.com/spreadsheets/d/1bozxp9FwhaCNzy-RRGPVPfVYTttO4PUGDdaFvbz-Ue0/edit?gid=1870218791#gid=1870218791"", ""Rev vs Mktg &amp; Mktg Mix!D"" &amp; ROW(C262))
"),612)</f>
        <v>612</v>
      </c>
      <c r="E204" s="55">
        <f ca="1">IFERROR(__xludf.DUMMYFUNCTION("IMPORTRANGE(""https://docs.google.com/spreadsheets/d/1bozxp9FwhaCNzy-RRGPVPfVYTttO4PUGDdaFvbz-Ue0/edit?gid=1870218791#gid=1870218791"", ""Rev vs Mktg &amp; Mktg Mix!E"" &amp; ROW(D262))
"),-148)</f>
        <v>-148</v>
      </c>
      <c r="F204" s="55">
        <f ca="1">IFERROR(__xludf.DUMMYFUNCTION("IMPORTRANGE(""https://docs.google.com/spreadsheets/d/1bozxp9FwhaCNzy-RRGPVPfVYTttO4PUGDdaFvbz-Ue0/edit?gid=1870218791#gid=1870218791"", ""Rev vs Mktg &amp; Mktg Mix!F"" &amp; ROW(E262))
"),87)</f>
        <v>87</v>
      </c>
      <c r="G204" s="56">
        <f ca="1">IFERROR(__xludf.DUMMYFUNCTION("IMPORTRANGE(""https://docs.google.com/spreadsheets/d/1bozxp9FwhaCNzy-RRGPVPfVYTttO4PUGDdaFvbz-Ue0/edit?gid=1870218791#gid=1870218791"", ""Rev vs Mktg &amp; Mktg Mix!G"" &amp; ROW(F262))
"),17.067)</f>
        <v>17.067</v>
      </c>
      <c r="H204" s="62">
        <f ca="1">IFERROR(__xludf.DUMMYFUNCTION("IMPORTRANGE(""https://docs.google.com/spreadsheets/d/1bozxp9FwhaCNzy-RRGPVPfVYTttO4PUGDdaFvbz-Ue0/edit?gid=1870218791#gid=1870218791"", ""Rev vs Mktg &amp; Mktg Mix!H"" &amp; ROW(G262))
"),28.38)</f>
        <v>28.38</v>
      </c>
      <c r="I204" s="58">
        <f ca="1">IFERROR(__xludf.DUMMYFUNCTION("IMPORTRANGE(""https://docs.google.com/spreadsheets/d/1bozxp9FwhaCNzy-RRGPVPfVYTttO4PUGDdaFvbz-Ue0/edit?gid=1870218791#gid=1870218791"", ""Rev vs Mktg &amp; Mktg Mix!I"" &amp; ROW(K262))
"),-1.975)</f>
        <v>-1.9750000000000001</v>
      </c>
      <c r="J204" s="58">
        <f ca="1">IFERROR(__xludf.DUMMYFUNCTION("IMPORTRANGE(""https://docs.google.com/spreadsheets/d/1bozxp9FwhaCNzy-RRGPVPfVYTttO4PUGDdaFvbz-Ue0/edit?gid=1870218791#gid=1870218791"", ""Rev vs Mktg &amp; Mktg Mix!J"" &amp; ROW(J262))
"),-46.995)</f>
        <v>-46.994999999999997</v>
      </c>
      <c r="K204" s="30"/>
      <c r="L204" s="58">
        <f ca="1">IFERROR(__xludf.DUMMYFUNCTION("IMPORTRANGE(""https://docs.google.com/spreadsheets/d/1bozxp9FwhaCNzy-RRGPVPfVYTttO4PUGDdaFvbz-Ue0/edit?gid=1870218791#gid=1870218791"", ""Rev vs Mktg &amp; Mktg Mix!L"" &amp; ROW(N262))
"),-88.4827021553999)</f>
        <v>-88.482702155399906</v>
      </c>
      <c r="M204" s="63"/>
      <c r="N204" s="60">
        <f ca="1">IFERROR(__xludf.DUMMYFUNCTION("IMPORTRANGE(""https://docs.google.com/spreadsheets/d/1bozxp9FwhaCNzy-RRGPVPfVYTttO4PUGDdaFvbz-Ue0/edit?gid=1870218791#gid=1870218791"", ""Rev vs Mktg &amp; Mktg Mix!N"" &amp; ROW(N262))
"),-0.3794)</f>
        <v>-0.37940000000000002</v>
      </c>
      <c r="O204" s="39">
        <f ca="1">IFERROR(__xludf.DUMMYFUNCTION("IMPORTRANGE(""https://docs.google.com/spreadsheets/d/1bozxp9FwhaCNzy-RRGPVPfVYTttO4PUGDdaFvbz-Ue0/edit?gid=1870218791#gid=1870218791"", ""Rev vs Mktg &amp; Mktg Mix!O"" &amp; ROW(O262))
"),10.7575)</f>
        <v>10.7575</v>
      </c>
      <c r="P204" s="28"/>
      <c r="Q204" s="28"/>
      <c r="R204" s="30">
        <f>VLOOKUP(VALUE(LEFT(A204, 4)), 'Raw Annual EBITDA'!A:R, 18, FALSE) / 4</f>
        <v>7915</v>
      </c>
      <c r="S204" s="30">
        <f>VLOOKUP(VALUE(LEFT(A207, 4)), 'Raw Annual EBITDA'!A:S, 19, FALSE) / 4</f>
        <v>1205.75</v>
      </c>
      <c r="T204" s="63" t="str">
        <f ca="1">IFERROR(__xludf.DUMMYFUNCTION("IMPORTRANGE(""https://docs.google.com/spreadsheets/d/1bozxp9FwhaCNzy-RRGPVPfVYTttO4PUGDdaFvbz-Ue0/edit?gid=1870218791#gid=1870218791"", ""Rev vs Mktg &amp; Mktg Mix!T"" &amp; ROW(Y262))
"),"")</f>
        <v/>
      </c>
      <c r="U204" s="30"/>
      <c r="V204" s="28"/>
      <c r="W204" s="30">
        <f>VLOOKUP(VALUE(LEFT($A206, 4)), 'Raw Annual EBITDA'!$A:W, 23, FALSE) / 4</f>
        <v>84188</v>
      </c>
      <c r="X204" s="30">
        <f>VLOOKUP(VALUE(LEFT($A204, 4)), 'Raw Annual EBITDA'!$A:X, 24, FALSE) / 4</f>
        <v>13646.0755625</v>
      </c>
      <c r="Y204" s="30">
        <f>VLOOKUP(VALUE(LEFT($A204, 4)), 'Raw Annual EBITDA'!$A:Y, 25, FALSE) / 4</f>
        <v>3182.25</v>
      </c>
      <c r="Z204" s="30">
        <f>VLOOKUP(VALUE(LEFT($A204, 4)), 'Raw Annual EBITDA'!$A:Z, 26, FALSE) / 4</f>
        <v>2352.75</v>
      </c>
      <c r="AA204" s="30">
        <f>VLOOKUP(VALUE(LEFT($A204, 4)), 'Raw Annual EBITDA'!$A:AA, 27, FALSE) / 4</f>
        <v>-365.75</v>
      </c>
      <c r="AB204" s="30">
        <f>VLOOKUP(VALUE(LEFT($A204, 4)), 'Raw Annual EBITDA'!$A:AB, 28, FALSE) / 4</f>
        <v>-48086.5</v>
      </c>
      <c r="AC204" s="28"/>
    </row>
    <row r="205" spans="1:29" ht="13">
      <c r="A205" s="27" t="s">
        <v>115</v>
      </c>
      <c r="B205" s="31">
        <f>VLOOKUP(VALUE(LEFT(A205, 4)), 'Raw Annual EBITDA'!A:B, 2, FALSE) / 4</f>
        <v>25286.25</v>
      </c>
      <c r="C205" s="55">
        <f ca="1">IFERROR(__xludf.DUMMYFUNCTION("IMPORTRANGE(""https://docs.google.com/spreadsheets/d/1bozxp9FwhaCNzy-RRGPVPfVYTttO4PUGDdaFvbz-Ue0/edit?gid=1870218791#gid=1870218791"", ""Rev vs Mktg &amp; Mktg Mix!C"" &amp; ROW(B263))
"),632)</f>
        <v>632</v>
      </c>
      <c r="D205" s="55">
        <f ca="1">IFERROR(__xludf.DUMMYFUNCTION("IMPORTRANGE(""https://docs.google.com/spreadsheets/d/1bozxp9FwhaCNzy-RRGPVPfVYTttO4PUGDdaFvbz-Ue0/edit?gid=1870218791#gid=1870218791"", ""Rev vs Mktg &amp; Mktg Mix!D"" &amp; ROW(C263))
"),56)</f>
        <v>56</v>
      </c>
      <c r="E205" s="55">
        <f ca="1">IFERROR(__xludf.DUMMYFUNCTION("IMPORTRANGE(""https://docs.google.com/spreadsheets/d/1bozxp9FwhaCNzy-RRGPVPfVYTttO4PUGDdaFvbz-Ue0/edit?gid=1870218791#gid=1870218791"", ""Rev vs Mktg &amp; Mktg Mix!E"" &amp; ROW(D263))
"),-168)</f>
        <v>-168</v>
      </c>
      <c r="F205" s="55">
        <f ca="1">IFERROR(__xludf.DUMMYFUNCTION("IMPORTRANGE(""https://docs.google.com/spreadsheets/d/1bozxp9FwhaCNzy-RRGPVPfVYTttO4PUGDdaFvbz-Ue0/edit?gid=1870218791#gid=1870218791"", ""Rev vs Mktg &amp; Mktg Mix!F"" &amp; ROW(E263))
"),22)</f>
        <v>22</v>
      </c>
      <c r="G205" s="56">
        <f ca="1">IFERROR(__xludf.DUMMYFUNCTION("IMPORTRANGE(""https://docs.google.com/spreadsheets/d/1bozxp9FwhaCNzy-RRGPVPfVYTttO4PUGDdaFvbz-Ue0/edit?gid=1870218791#gid=1870218791"", ""Rev vs Mktg &amp; Mktg Mix!G"" &amp; ROW(F263))
"),19.861)</f>
        <v>19.861000000000001</v>
      </c>
      <c r="H205" s="62">
        <f ca="1">IFERROR(__xludf.DUMMYFUNCTION("IMPORTRANGE(""https://docs.google.com/spreadsheets/d/1bozxp9FwhaCNzy-RRGPVPfVYTttO4PUGDdaFvbz-Ue0/edit?gid=1870218791#gid=1870218791"", ""Rev vs Mktg &amp; Mktg Mix!H"" &amp; ROW(G263))
"),27.06)</f>
        <v>27.06</v>
      </c>
      <c r="I205" s="58">
        <f ca="1">IFERROR(__xludf.DUMMYFUNCTION("IMPORTRANGE(""https://docs.google.com/spreadsheets/d/1bozxp9FwhaCNzy-RRGPVPfVYTttO4PUGDdaFvbz-Ue0/edit?gid=1870218791#gid=1870218791"", ""Rev vs Mktg &amp; Mktg Mix!I"" &amp; ROW(K263))
"),5.894)</f>
        <v>5.8940000000000001</v>
      </c>
      <c r="J205" s="58">
        <f ca="1">IFERROR(__xludf.DUMMYFUNCTION("IMPORTRANGE(""https://docs.google.com/spreadsheets/d/1bozxp9FwhaCNzy-RRGPVPfVYTttO4PUGDdaFvbz-Ue0/edit?gid=1870218791#gid=1870218791"", ""Rev vs Mktg &amp; Mktg Mix!J"" &amp; ROW(J263))
"),-29.493)</f>
        <v>-29.492999999999999</v>
      </c>
      <c r="K205" s="30"/>
      <c r="L205" s="58">
        <f ca="1">IFERROR(__xludf.DUMMYFUNCTION("IMPORTRANGE(""https://docs.google.com/spreadsheets/d/1bozxp9FwhaCNzy-RRGPVPfVYTttO4PUGDdaFvbz-Ue0/edit?gid=1870218791#gid=1870218791"", ""Rev vs Mktg &amp; Mktg Mix!L"" &amp; ROW(N263))
"),-1.088573388)</f>
        <v>-1.0885733879999999</v>
      </c>
      <c r="M205" s="28"/>
      <c r="N205" s="60">
        <f ca="1">IFERROR(__xludf.DUMMYFUNCTION("IMPORTRANGE(""https://docs.google.com/spreadsheets/d/1bozxp9FwhaCNzy-RRGPVPfVYTttO4PUGDdaFvbz-Ue0/edit?gid=1870218791#gid=1870218791"", ""Rev vs Mktg &amp; Mktg Mix!N"" &amp; ROW(N263))
"),0.0944)</f>
        <v>9.4399999999999998E-2</v>
      </c>
      <c r="O205" s="39">
        <f ca="1">IFERROR(__xludf.DUMMYFUNCTION("IMPORTRANGE(""https://docs.google.com/spreadsheets/d/1bozxp9FwhaCNzy-RRGPVPfVYTttO4PUGDdaFvbz-Ue0/edit?gid=1870218791#gid=1870218791"", ""Rev vs Mktg &amp; Mktg Mix!O"" &amp; ROW(O263))
"),10.7575)</f>
        <v>10.7575</v>
      </c>
      <c r="P205" s="37" t="str">
        <f ca="1">IFERROR(__xludf.DUMMYFUNCTION("IMPORTRANGE(""https://docs.google.com/spreadsheets/d/1bozxp9FwhaCNzy-RRGPVPfVYTttO4PUGDdaFvbz-Ue0/edit?gid=1870218791#gid=1870218791"", ""Rev vs Mktg &amp; Mktg Mix!P"" &amp; ROW(P263))
"),"")</f>
        <v/>
      </c>
      <c r="Q205" s="28"/>
      <c r="R205" s="30">
        <f>VLOOKUP(VALUE(LEFT(A205, 4)), 'Raw Annual EBITDA'!A:R, 18, FALSE) / 4</f>
        <v>7915</v>
      </c>
      <c r="S205" s="30">
        <f>VLOOKUP(VALUE(LEFT(A208, 4)), 'Raw Annual EBITDA'!A:S, 19, FALSE) / 4</f>
        <v>1205.75</v>
      </c>
      <c r="T205" s="63" t="str">
        <f ca="1">IFERROR(__xludf.DUMMYFUNCTION("IMPORTRANGE(""https://docs.google.com/spreadsheets/d/1bozxp9FwhaCNzy-RRGPVPfVYTttO4PUGDdaFvbz-Ue0/edit?gid=1870218791#gid=1870218791"", ""Rev vs Mktg &amp; Mktg Mix!T"" &amp; ROW(Y263))
"),"")</f>
        <v/>
      </c>
      <c r="U205" s="30"/>
      <c r="V205" s="28"/>
      <c r="W205" s="30">
        <f>VLOOKUP(VALUE(LEFT($A207, 4)), 'Raw Annual EBITDA'!$A:W, 23, FALSE) / 4</f>
        <v>84188</v>
      </c>
      <c r="X205" s="30">
        <f>VLOOKUP(VALUE(LEFT($A205, 4)), 'Raw Annual EBITDA'!$A:X, 24, FALSE) / 4</f>
        <v>13646.0755625</v>
      </c>
      <c r="Y205" s="30">
        <f>VLOOKUP(VALUE(LEFT($A205, 4)), 'Raw Annual EBITDA'!$A:Y, 25, FALSE) / 4</f>
        <v>3182.25</v>
      </c>
      <c r="Z205" s="30">
        <f>VLOOKUP(VALUE(LEFT($A205, 4)), 'Raw Annual EBITDA'!$A:Z, 26, FALSE) / 4</f>
        <v>2352.75</v>
      </c>
      <c r="AA205" s="30">
        <f>VLOOKUP(VALUE(LEFT($A205, 4)), 'Raw Annual EBITDA'!$A:AA, 27, FALSE) / 4</f>
        <v>-365.75</v>
      </c>
      <c r="AB205" s="30">
        <f>VLOOKUP(VALUE(LEFT($A205, 4)), 'Raw Annual EBITDA'!$A:AB, 28, FALSE) / 4</f>
        <v>-48086.5</v>
      </c>
      <c r="AC205" s="28"/>
    </row>
    <row r="206" spans="1:29" ht="13">
      <c r="A206" s="27" t="s">
        <v>116</v>
      </c>
      <c r="B206" s="31">
        <f>VLOOKUP(VALUE(LEFT(A206, 4)), 'Raw Annual EBITDA'!A:B, 2, FALSE) / 4</f>
        <v>-95870.25</v>
      </c>
      <c r="C206" s="55">
        <f ca="1">IFERROR(__xludf.DUMMYFUNCTION("IMPORTRANGE(""https://docs.google.com/spreadsheets/d/1bozxp9FwhaCNzy-RRGPVPfVYTttO4PUGDdaFvbz-Ue0/edit?gid=1870218791#gid=1870218791"", ""Rev vs Mktg &amp; Mktg Mix!C"" &amp; ROW(B264))
"),968)</f>
        <v>968</v>
      </c>
      <c r="D206" s="55">
        <f ca="1">IFERROR(__xludf.DUMMYFUNCTION("IMPORTRANGE(""https://docs.google.com/spreadsheets/d/1bozxp9FwhaCNzy-RRGPVPfVYTttO4PUGDdaFvbz-Ue0/edit?gid=1870218791#gid=1870218791"", ""Rev vs Mktg &amp; Mktg Mix!D"" &amp; ROW(C264))
"),-141)</f>
        <v>-141</v>
      </c>
      <c r="E206" s="55">
        <f ca="1">IFERROR(__xludf.DUMMYFUNCTION("IMPORTRANGE(""https://docs.google.com/spreadsheets/d/1bozxp9FwhaCNzy-RRGPVPfVYTttO4PUGDdaFvbz-Ue0/edit?gid=1870218791#gid=1870218791"", ""Rev vs Mktg &amp; Mktg Mix!E"" &amp; ROW(D264))
"),827)</f>
        <v>827</v>
      </c>
      <c r="F206" s="55">
        <f ca="1">IFERROR(__xludf.DUMMYFUNCTION("IMPORTRANGE(""https://docs.google.com/spreadsheets/d/1bozxp9FwhaCNzy-RRGPVPfVYTttO4PUGDdaFvbz-Ue0/edit?gid=1870218791#gid=1870218791"", ""Rev vs Mktg &amp; Mktg Mix!F"" &amp; ROW(E264))
"),33)</f>
        <v>33</v>
      </c>
      <c r="G206" s="56">
        <f ca="1">IFERROR(__xludf.DUMMYFUNCTION("IMPORTRANGE(""https://docs.google.com/spreadsheets/d/1bozxp9FwhaCNzy-RRGPVPfVYTttO4PUGDdaFvbz-Ue0/edit?gid=1870218791#gid=1870218791"", ""Rev vs Mktg &amp; Mktg Mix!G"" &amp; ROW(F264))
"),13.3)</f>
        <v>13.3</v>
      </c>
      <c r="H206" s="62">
        <f ca="1">IFERROR(__xludf.DUMMYFUNCTION("IMPORTRANGE(""https://docs.google.com/spreadsheets/d/1bozxp9FwhaCNzy-RRGPVPfVYTttO4PUGDdaFvbz-Ue0/edit?gid=1870218791#gid=1870218791"", ""Rev vs Mktg &amp; Mktg Mix!H"" &amp; ROW(G264))
"),44.44)</f>
        <v>44.44</v>
      </c>
      <c r="I206" s="58">
        <f ca="1">IFERROR(__xludf.DUMMYFUNCTION("IMPORTRANGE(""https://docs.google.com/spreadsheets/d/1bozxp9FwhaCNzy-RRGPVPfVYTttO4PUGDdaFvbz-Ue0/edit?gid=1870218791#gid=1870218791"", ""Rev vs Mktg &amp; Mktg Mix!I"" &amp; ROW(K264))
"),2.4)</f>
        <v>2.4</v>
      </c>
      <c r="J206" s="58">
        <f ca="1">IFERROR(__xludf.DUMMYFUNCTION("IMPORTRANGE(""https://docs.google.com/spreadsheets/d/1bozxp9FwhaCNzy-RRGPVPfVYTttO4PUGDdaFvbz-Ue0/edit?gid=1870218791#gid=1870218791"", ""Rev vs Mktg &amp; Mktg Mix!J"" &amp; ROW(J264))
"),-40.939)</f>
        <v>-40.939</v>
      </c>
      <c r="K206" s="30"/>
      <c r="L206" s="58">
        <f ca="1">IFERROR(__xludf.DUMMYFUNCTION("IMPORTRANGE(""https://docs.google.com/spreadsheets/d/1bozxp9FwhaCNzy-RRGPVPfVYTttO4PUGDdaFvbz-Ue0/edit?gid=1870218791#gid=1870218791"", ""Rev vs Mktg &amp; Mktg Mix!L"" &amp; ROW(N264))
"),15.7278323999999)</f>
        <v>15.727832399999899</v>
      </c>
      <c r="M206" s="28"/>
      <c r="N206" s="60">
        <f ca="1">IFERROR(__xludf.DUMMYFUNCTION("IMPORTRANGE(""https://docs.google.com/spreadsheets/d/1bozxp9FwhaCNzy-RRGPVPfVYTttO4PUGDdaFvbz-Ue0/edit?gid=1870218791#gid=1870218791"", ""Rev vs Mktg &amp; Mktg Mix!N"" &amp; ROW(N264))
"),-0.1523)</f>
        <v>-0.15229999999999999</v>
      </c>
      <c r="O206" s="39">
        <f ca="1">IFERROR(__xludf.DUMMYFUNCTION("IMPORTRANGE(""https://docs.google.com/spreadsheets/d/1bozxp9FwhaCNzy-RRGPVPfVYTttO4PUGDdaFvbz-Ue0/edit?gid=1870218791#gid=1870218791"", ""Rev vs Mktg &amp; Mktg Mix!O"" &amp; ROW(O264))
"),13.52)</f>
        <v>13.52</v>
      </c>
      <c r="P206" s="37" t="str">
        <f ca="1">IFERROR(__xludf.DUMMYFUNCTION("IMPORTRANGE(""https://docs.google.com/spreadsheets/d/1bozxp9FwhaCNzy-RRGPVPfVYTttO4PUGDdaFvbz-Ue0/edit?gid=1870218791#gid=1870218791"", ""Rev vs Mktg &amp; Mktg Mix!P"" &amp; ROW(P264))
"),"")</f>
        <v/>
      </c>
      <c r="Q206" s="28"/>
      <c r="R206" s="30">
        <f>VLOOKUP(VALUE(LEFT(A206, 4)), 'Raw Annual EBITDA'!A:R, 18, FALSE) / 4</f>
        <v>15550.75</v>
      </c>
      <c r="S206" s="30">
        <f>VLOOKUP(VALUE(LEFT(A209, 4)), 'Raw Annual EBITDA'!A:S, 19, FALSE) / 4</f>
        <v>1205.75</v>
      </c>
      <c r="T206" s="63" t="str">
        <f ca="1">IFERROR(__xludf.DUMMYFUNCTION("IMPORTRANGE(""https://docs.google.com/spreadsheets/d/1bozxp9FwhaCNzy-RRGPVPfVYTttO4PUGDdaFvbz-Ue0/edit?gid=1870218791#gid=1870218791"", ""Rev vs Mktg &amp; Mktg Mix!T"" &amp; ROW(Y264))
"),"")</f>
        <v/>
      </c>
      <c r="U206" s="30"/>
      <c r="V206" s="28"/>
      <c r="W206" s="30">
        <f>VLOOKUP(VALUE(LEFT($A208, 4)), 'Raw Annual EBITDA'!$A:W, 23, FALSE) / 4</f>
        <v>84188</v>
      </c>
      <c r="X206" s="30">
        <f>VLOOKUP(VALUE(LEFT($A206, 4)), 'Raw Annual EBITDA'!$A:X, 24, FALSE) / 4</f>
        <v>15950.4954</v>
      </c>
      <c r="Y206" s="30">
        <f>VLOOKUP(VALUE(LEFT($A206, 4)), 'Raw Annual EBITDA'!$A:Y, 25, FALSE) / 4</f>
        <v>7047.75</v>
      </c>
      <c r="Z206" s="30">
        <f>VLOOKUP(VALUE(LEFT($A206, 4)), 'Raw Annual EBITDA'!$A:Z, 26, FALSE) / 4</f>
        <v>-313.75</v>
      </c>
      <c r="AA206" s="30">
        <f>VLOOKUP(VALUE(LEFT($A206, 4)), 'Raw Annual EBITDA'!$A:AA, 27, FALSE) / 4</f>
        <v>-8.25</v>
      </c>
      <c r="AB206" s="30">
        <f>VLOOKUP(VALUE(LEFT($A206, 4)), 'Raw Annual EBITDA'!$A:AB, 28, FALSE) / 4</f>
        <v>-64277.25</v>
      </c>
      <c r="AC206" s="28"/>
    </row>
    <row r="207" spans="1:29" ht="13">
      <c r="A207" s="27" t="s">
        <v>117</v>
      </c>
      <c r="B207" s="31">
        <f>VLOOKUP(VALUE(LEFT(A207, 4)), 'Raw Annual EBITDA'!A:B, 2, FALSE) / 4</f>
        <v>-95870.25</v>
      </c>
      <c r="C207" s="55">
        <f ca="1">IFERROR(__xludf.DUMMYFUNCTION("IMPORTRANGE(""https://docs.google.com/spreadsheets/d/1bozxp9FwhaCNzy-RRGPVPfVYTttO4PUGDdaFvbz-Ue0/edit?gid=1870218791#gid=1870218791"", ""Rev vs Mktg &amp; Mktg Mix!C"" &amp; ROW(B265))
"),1207)</f>
        <v>1207</v>
      </c>
      <c r="D207" s="55">
        <f ca="1">IFERROR(__xludf.DUMMYFUNCTION("IMPORTRANGE(""https://docs.google.com/spreadsheets/d/1bozxp9FwhaCNzy-RRGPVPfVYTttO4PUGDdaFvbz-Ue0/edit?gid=1870218791#gid=1870218791"", ""Rev vs Mktg &amp; Mktg Mix!D"" &amp; ROW(C265))
"),235)</f>
        <v>235</v>
      </c>
      <c r="E207" s="55">
        <f ca="1">IFERROR(__xludf.DUMMYFUNCTION("IMPORTRANGE(""https://docs.google.com/spreadsheets/d/1bozxp9FwhaCNzy-RRGPVPfVYTttO4PUGDdaFvbz-Ue0/edit?gid=1870218791#gid=1870218791"", ""Rev vs Mktg &amp; Mktg Mix!E"" &amp; ROW(D265))
"),8)</f>
        <v>8</v>
      </c>
      <c r="F207" s="55">
        <f ca="1">IFERROR(__xludf.DUMMYFUNCTION("IMPORTRANGE(""https://docs.google.com/spreadsheets/d/1bozxp9FwhaCNzy-RRGPVPfVYTttO4PUGDdaFvbz-Ue0/edit?gid=1870218791#gid=1870218791"", ""Rev vs Mktg &amp; Mktg Mix!F"" &amp; ROW(E265))
"),68)</f>
        <v>68</v>
      </c>
      <c r="G207" s="56">
        <f ca="1">IFERROR(__xludf.DUMMYFUNCTION("IMPORTRANGE(""https://docs.google.com/spreadsheets/d/1bozxp9FwhaCNzy-RRGPVPfVYTttO4PUGDdaFvbz-Ue0/edit?gid=1870218791#gid=1870218791"", ""Rev vs Mktg &amp; Mktg Mix!G"" &amp; ROW(F265))
"),10.8)</f>
        <v>10.8</v>
      </c>
      <c r="H207" s="62">
        <f ca="1">IFERROR(__xludf.DUMMYFUNCTION("IMPORTRANGE(""https://docs.google.com/spreadsheets/d/1bozxp9FwhaCNzy-RRGPVPfVYTttO4PUGDdaFvbz-Ue0/edit?gid=1870218791#gid=1870218791"", ""Rev vs Mktg &amp; Mktg Mix!H"" &amp; ROW(G265))
"),21.34)</f>
        <v>21.34</v>
      </c>
      <c r="I207" s="58">
        <f ca="1">IFERROR(__xludf.DUMMYFUNCTION("IMPORTRANGE(""https://docs.google.com/spreadsheets/d/1bozxp9FwhaCNzy-RRGPVPfVYTttO4PUGDdaFvbz-Ue0/edit?gid=1870218791#gid=1870218791"", ""Rev vs Mktg &amp; Mktg Mix!I"" &amp; ROW(K265))
"),-18)</f>
        <v>-18</v>
      </c>
      <c r="J207" s="58">
        <f ca="1">IFERROR(__xludf.DUMMYFUNCTION("IMPORTRANGE(""https://docs.google.com/spreadsheets/d/1bozxp9FwhaCNzy-RRGPVPfVYTttO4PUGDdaFvbz-Ue0/edit?gid=1870218791#gid=1870218791"", ""Rev vs Mktg &amp; Mktg Mix!J"" &amp; ROW(J265))
"),-42.624)</f>
        <v>-42.624000000000002</v>
      </c>
      <c r="K207" s="30"/>
      <c r="L207" s="58">
        <f ca="1">IFERROR(__xludf.DUMMYFUNCTION("IMPORTRANGE(""https://docs.google.com/spreadsheets/d/1bozxp9FwhaCNzy-RRGPVPfVYTttO4PUGDdaFvbz-Ue0/edit?gid=1870218791#gid=1870218791"", ""Rev vs Mktg &amp; Mktg Mix!L"" &amp; ROW(N265))
"),19.7912736)</f>
        <v>19.7912736</v>
      </c>
      <c r="M207" s="28"/>
      <c r="N207" s="60">
        <f ca="1">IFERROR(__xludf.DUMMYFUNCTION("IMPORTRANGE(""https://docs.google.com/spreadsheets/d/1bozxp9FwhaCNzy-RRGPVPfVYTttO4PUGDdaFvbz-Ue0/edit?gid=1870218791#gid=1870218791"", ""Rev vs Mktg &amp; Mktg Mix!N"" &amp; ROW(N265))
"),-0.0932)</f>
        <v>-9.3200000000000005E-2</v>
      </c>
      <c r="O207" s="39">
        <f ca="1">IFERROR(__xludf.DUMMYFUNCTION("IMPORTRANGE(""https://docs.google.com/spreadsheets/d/1bozxp9FwhaCNzy-RRGPVPfVYTttO4PUGDdaFvbz-Ue0/edit?gid=1870218791#gid=1870218791"", ""Rev vs Mktg &amp; Mktg Mix!O"" &amp; ROW(O265))
"),13.52)</f>
        <v>13.52</v>
      </c>
      <c r="P207" s="37" t="str">
        <f ca="1">IFERROR(__xludf.DUMMYFUNCTION("IMPORTRANGE(""https://docs.google.com/spreadsheets/d/1bozxp9FwhaCNzy-RRGPVPfVYTttO4PUGDdaFvbz-Ue0/edit?gid=1870218791#gid=1870218791"", ""Rev vs Mktg &amp; Mktg Mix!P"" &amp; ROW(P265))
"),"")</f>
        <v/>
      </c>
      <c r="Q207" s="28"/>
      <c r="R207" s="30">
        <f>VLOOKUP(VALUE(LEFT(A207, 4)), 'Raw Annual EBITDA'!A:R, 18, FALSE) / 4</f>
        <v>15550.75</v>
      </c>
      <c r="S207" s="30">
        <f>VLOOKUP(VALUE(LEFT(A210, 4)), 'Raw Annual EBITDA'!A:S, 19, FALSE) / 4</f>
        <v>1484.5</v>
      </c>
      <c r="T207" s="63" t="str">
        <f ca="1">IFERROR(__xludf.DUMMYFUNCTION("IMPORTRANGE(""https://docs.google.com/spreadsheets/d/1bozxp9FwhaCNzy-RRGPVPfVYTttO4PUGDdaFvbz-Ue0/edit?gid=1870218791#gid=1870218791"", ""Rev vs Mktg &amp; Mktg Mix!T"" &amp; ROW(Y265))
"),"")</f>
        <v/>
      </c>
      <c r="U207" s="30"/>
      <c r="V207" s="28"/>
      <c r="W207" s="30">
        <f>VLOOKUP(VALUE(LEFT($A209, 4)), 'Raw Annual EBITDA'!$A:W, 23, FALSE) / 4</f>
        <v>84188</v>
      </c>
      <c r="X207" s="30">
        <f>VLOOKUP(VALUE(LEFT($A207, 4)), 'Raw Annual EBITDA'!$A:X, 24, FALSE) / 4</f>
        <v>15950.4954</v>
      </c>
      <c r="Y207" s="30">
        <f>VLOOKUP(VALUE(LEFT($A207, 4)), 'Raw Annual EBITDA'!$A:Y, 25, FALSE) / 4</f>
        <v>7047.75</v>
      </c>
      <c r="Z207" s="30">
        <f>VLOOKUP(VALUE(LEFT($A207, 4)), 'Raw Annual EBITDA'!$A:Z, 26, FALSE) / 4</f>
        <v>-313.75</v>
      </c>
      <c r="AA207" s="30">
        <f>VLOOKUP(VALUE(LEFT($A207, 4)), 'Raw Annual EBITDA'!$A:AA, 27, FALSE) / 4</f>
        <v>-8.25</v>
      </c>
      <c r="AB207" s="30">
        <f>VLOOKUP(VALUE(LEFT($A207, 4)), 'Raw Annual EBITDA'!$A:AB, 28, FALSE) / 4</f>
        <v>-64277.25</v>
      </c>
      <c r="AC207" s="28"/>
    </row>
    <row r="208" spans="1:29" ht="13">
      <c r="A208" s="27" t="s">
        <v>118</v>
      </c>
      <c r="B208" s="31">
        <f>VLOOKUP(VALUE(LEFT(A208, 4)), 'Raw Annual EBITDA'!A:B, 2, FALSE) / 4</f>
        <v>-95870.25</v>
      </c>
      <c r="C208" s="55">
        <f ca="1">IFERROR(__xludf.DUMMYFUNCTION("IMPORTRANGE(""https://docs.google.com/spreadsheets/d/1bozxp9FwhaCNzy-RRGPVPfVYTttO4PUGDdaFvbz-Ue0/edit?gid=1870218791#gid=1870218791"", ""Rev vs Mktg &amp; Mktg Mix!C"" &amp; ROW(B266))
"),2363)</f>
        <v>2363</v>
      </c>
      <c r="D208" s="55">
        <f ca="1">IFERROR(__xludf.DUMMYFUNCTION("IMPORTRANGE(""https://docs.google.com/spreadsheets/d/1bozxp9FwhaCNzy-RRGPVPfVYTttO4PUGDdaFvbz-Ue0/edit?gid=1870218791#gid=1870218791"", ""Rev vs Mktg &amp; Mktg Mix!D"" &amp; ROW(C266))
"),561)</f>
        <v>561</v>
      </c>
      <c r="E208" s="55">
        <f ca="1">IFERROR(__xludf.DUMMYFUNCTION("IMPORTRANGE(""https://docs.google.com/spreadsheets/d/1bozxp9FwhaCNzy-RRGPVPfVYTttO4PUGDdaFvbz-Ue0/edit?gid=1870218791#gid=1870218791"", ""Rev vs Mktg &amp; Mktg Mix!E"" &amp; ROW(D266))
"),137)</f>
        <v>137</v>
      </c>
      <c r="F208" s="55">
        <f ca="1">IFERROR(__xludf.DUMMYFUNCTION("IMPORTRANGE(""https://docs.google.com/spreadsheets/d/1bozxp9FwhaCNzy-RRGPVPfVYTttO4PUGDdaFvbz-Ue0/edit?gid=1870218791#gid=1870218791"", ""Rev vs Mktg &amp; Mktg Mix!F"" &amp; ROW(E266))
"),73)</f>
        <v>73</v>
      </c>
      <c r="G208" s="56">
        <f ca="1">IFERROR(__xludf.DUMMYFUNCTION("IMPORTRANGE(""https://docs.google.com/spreadsheets/d/1bozxp9FwhaCNzy-RRGPVPfVYTttO4PUGDdaFvbz-Ue0/edit?gid=1870218791#gid=1870218791"", ""Rev vs Mktg &amp; Mktg Mix!G"" &amp; ROW(F266))
"),2.6)</f>
        <v>2.6</v>
      </c>
      <c r="H208" s="62">
        <f ca="1">IFERROR(__xludf.DUMMYFUNCTION("IMPORTRANGE(""https://docs.google.com/spreadsheets/d/1bozxp9FwhaCNzy-RRGPVPfVYTttO4PUGDdaFvbz-Ue0/edit?gid=1870218791#gid=1870218791"", ""Rev vs Mktg &amp; Mktg Mix!H"" &amp; ROW(G266))
"),30.36)</f>
        <v>30.36</v>
      </c>
      <c r="I208" s="58">
        <f ca="1">IFERROR(__xludf.DUMMYFUNCTION("IMPORTRANGE(""https://docs.google.com/spreadsheets/d/1bozxp9FwhaCNzy-RRGPVPfVYTttO4PUGDdaFvbz-Ue0/edit?gid=1870218791#gid=1870218791"", ""Rev vs Mktg &amp; Mktg Mix!I"" &amp; ROW(K266))
"),-3.8)</f>
        <v>-3.8</v>
      </c>
      <c r="J208" s="58">
        <f ca="1">IFERROR(__xludf.DUMMYFUNCTION("IMPORTRANGE(""https://docs.google.com/spreadsheets/d/1bozxp9FwhaCNzy-RRGPVPfVYTttO4PUGDdaFvbz-Ue0/edit?gid=1870218791#gid=1870218791"", ""Rev vs Mktg &amp; Mktg Mix!J"" &amp; ROW(J266))
"),-36.597)</f>
        <v>-36.597000000000001</v>
      </c>
      <c r="K208" s="30"/>
      <c r="L208" s="58">
        <f ca="1">IFERROR(__xludf.DUMMYFUNCTION("IMPORTRANGE(""https://docs.google.com/spreadsheets/d/1bozxp9FwhaCNzy-RRGPVPfVYTttO4PUGDdaFvbz-Ue0/edit?gid=1870218791#gid=1870218791"", ""Rev vs Mktg &amp; Mktg Mix!L"" &amp; ROW(N266))
"),19.3613531999999)</f>
        <v>19.3613531999999</v>
      </c>
      <c r="M208" s="28"/>
      <c r="N208" s="60">
        <f ca="1">IFERROR(__xludf.DUMMYFUNCTION("IMPORTRANGE(""https://docs.google.com/spreadsheets/d/1bozxp9FwhaCNzy-RRGPVPfVYTttO4PUGDdaFvbz-Ue0/edit?gid=1870218791#gid=1870218791"", ""Rev vs Mktg &amp; Mktg Mix!N"" &amp; ROW(N266))
"),0.2534)</f>
        <v>0.25340000000000001</v>
      </c>
      <c r="O208" s="39">
        <f ca="1">IFERROR(__xludf.DUMMYFUNCTION("IMPORTRANGE(""https://docs.google.com/spreadsheets/d/1bozxp9FwhaCNzy-RRGPVPfVYTttO4PUGDdaFvbz-Ue0/edit?gid=1870218791#gid=1870218791"", ""Rev vs Mktg &amp; Mktg Mix!O"" &amp; ROW(O266))
"),3.9325)</f>
        <v>3.9325000000000001</v>
      </c>
      <c r="P208" s="37" t="str">
        <f ca="1">IFERROR(__xludf.DUMMYFUNCTION("IMPORTRANGE(""https://docs.google.com/spreadsheets/d/1bozxp9FwhaCNzy-RRGPVPfVYTttO4PUGDdaFvbz-Ue0/edit?gid=1870218791#gid=1870218791"", ""Rev vs Mktg &amp; Mktg Mix!P"" &amp; ROW(P266))
"),"")</f>
        <v/>
      </c>
      <c r="Q208" s="28"/>
      <c r="R208" s="30">
        <f>VLOOKUP(VALUE(LEFT(A208, 4)), 'Raw Annual EBITDA'!A:R, 18, FALSE) / 4</f>
        <v>15550.75</v>
      </c>
      <c r="S208" s="30">
        <f>VLOOKUP(VALUE(LEFT(A211, 4)), 'Raw Annual EBITDA'!A:S, 19, FALSE) / 4</f>
        <v>1484.5</v>
      </c>
      <c r="T208" s="63" t="str">
        <f ca="1">IFERROR(__xludf.DUMMYFUNCTION("IMPORTRANGE(""https://docs.google.com/spreadsheets/d/1bozxp9FwhaCNzy-RRGPVPfVYTttO4PUGDdaFvbz-Ue0/edit?gid=1870218791#gid=1870218791"", ""Rev vs Mktg &amp; Mktg Mix!T"" &amp; ROW(Y266))
"),"")</f>
        <v/>
      </c>
      <c r="U208" s="30"/>
      <c r="V208" s="28"/>
      <c r="W208" s="30">
        <f>VLOOKUP(VALUE(LEFT($A210, 4)), 'Raw Annual EBITDA'!$A:W, 23, FALSE) / 4</f>
        <v>78246.5</v>
      </c>
      <c r="X208" s="30">
        <f>VLOOKUP(VALUE(LEFT($A208, 4)), 'Raw Annual EBITDA'!$A:X, 24, FALSE) / 4</f>
        <v>15950.4954</v>
      </c>
      <c r="Y208" s="30">
        <f>VLOOKUP(VALUE(LEFT($A208, 4)), 'Raw Annual EBITDA'!$A:Y, 25, FALSE) / 4</f>
        <v>7047.75</v>
      </c>
      <c r="Z208" s="30">
        <f>VLOOKUP(VALUE(LEFT($A208, 4)), 'Raw Annual EBITDA'!$A:Z, 26, FALSE) / 4</f>
        <v>-313.75</v>
      </c>
      <c r="AA208" s="30">
        <f>VLOOKUP(VALUE(LEFT($A208, 4)), 'Raw Annual EBITDA'!$A:AA, 27, FALSE) / 4</f>
        <v>-8.25</v>
      </c>
      <c r="AB208" s="30">
        <f>VLOOKUP(VALUE(LEFT($A208, 4)), 'Raw Annual EBITDA'!$A:AB, 28, FALSE) / 4</f>
        <v>-64277.25</v>
      </c>
      <c r="AC208" s="28"/>
    </row>
    <row r="209" spans="1:29" ht="13">
      <c r="A209" s="27" t="s">
        <v>119</v>
      </c>
      <c r="B209" s="38">
        <f ca="1">IFERROR(__xludf.DUMMYFUNCTION("IMPORTRANGE(""https://docs.google.com/spreadsheets/d/1bozxp9FwhaCNzy-RRGPVPfVYTttO4PUGDdaFvbz-Ue0/edit?gid=1870218791#gid=1870218791"", ""Rev vs Mktg &amp; Mktg Mix!B"" &amp; ROW(A267))
"),-342)</f>
        <v>-342</v>
      </c>
      <c r="C209" s="55">
        <f ca="1">IFERROR(__xludf.DUMMYFUNCTION("IMPORTRANGE(""https://docs.google.com/spreadsheets/d/1bozxp9FwhaCNzy-RRGPVPfVYTttO4PUGDdaFvbz-Ue0/edit?gid=1870218791#gid=1870218791"", ""Rev vs Mktg &amp; Mktg Mix!C"" &amp; ROW(B267))
"),1420)</f>
        <v>1420</v>
      </c>
      <c r="D209" s="55">
        <f ca="1">IFERROR(__xludf.DUMMYFUNCTION("IMPORTRANGE(""https://docs.google.com/spreadsheets/d/1bozxp9FwhaCNzy-RRGPVPfVYTttO4PUGDdaFvbz-Ue0/edit?gid=1870218791#gid=1870218791"", ""Rev vs Mktg &amp; Mktg Mix!D"" &amp; ROW(C267))
"),120)</f>
        <v>120</v>
      </c>
      <c r="E209" s="55">
        <f ca="1">IFERROR(__xludf.DUMMYFUNCTION("IMPORTRANGE(""https://docs.google.com/spreadsheets/d/1bozxp9FwhaCNzy-RRGPVPfVYTttO4PUGDdaFvbz-Ue0/edit?gid=1870218791#gid=1870218791"", ""Rev vs Mktg &amp; Mktg Mix!E"" &amp; ROW(D267))
"),332)</f>
        <v>332</v>
      </c>
      <c r="F209" s="55">
        <f ca="1">IFERROR(__xludf.DUMMYFUNCTION("IMPORTRANGE(""https://docs.google.com/spreadsheets/d/1bozxp9FwhaCNzy-RRGPVPfVYTttO4PUGDdaFvbz-Ue0/edit?gid=1870218791#gid=1870218791"", ""Rev vs Mktg &amp; Mktg Mix!F"" &amp; ROW(E267))
"),20)</f>
        <v>20</v>
      </c>
      <c r="G209" s="56">
        <f ca="1">IFERROR(__xludf.DUMMYFUNCTION("IMPORTRANGE(""https://docs.google.com/spreadsheets/d/1bozxp9FwhaCNzy-RRGPVPfVYTttO4PUGDdaFvbz-Ue0/edit?gid=1870218791#gid=1870218791"", ""Rev vs Mktg &amp; Mktg Mix!G"" &amp; ROW(F267))
"),10.966)</f>
        <v>10.965999999999999</v>
      </c>
      <c r="H209" s="62">
        <f ca="1">IFERROR(__xludf.DUMMYFUNCTION("IMPORTRANGE(""https://docs.google.com/spreadsheets/d/1bozxp9FwhaCNzy-RRGPVPfVYTttO4PUGDdaFvbz-Ue0/edit?gid=1870218791#gid=1870218791"", ""Rev vs Mktg &amp; Mktg Mix!H"" &amp; ROW(G267))
"),28.38)</f>
        <v>28.38</v>
      </c>
      <c r="I209" s="58">
        <f ca="1">IFERROR(__xludf.DUMMYFUNCTION("IMPORTRANGE(""https://docs.google.com/spreadsheets/d/1bozxp9FwhaCNzy-RRGPVPfVYTttO4PUGDdaFvbz-Ue0/edit?gid=1870218791#gid=1870218791"", ""Rev vs Mktg &amp; Mktg Mix!I"" &amp; ROW(K267))
"),-6.7)</f>
        <v>-6.7</v>
      </c>
      <c r="J209" s="58">
        <f ca="1">IFERROR(__xludf.DUMMYFUNCTION("IMPORTRANGE(""https://docs.google.com/spreadsheets/d/1bozxp9FwhaCNzy-RRGPVPfVYTttO4PUGDdaFvbz-Ue0/edit?gid=1870218791#gid=1870218791"", ""Rev vs Mktg &amp; Mktg Mix!J"" &amp; ROW(J267))
"),-29.599)</f>
        <v>-29.599</v>
      </c>
      <c r="K209" s="30"/>
      <c r="L209" s="58">
        <f ca="1">IFERROR(__xludf.DUMMYFUNCTION("IMPORTRANGE(""https://docs.google.com/spreadsheets/d/1bozxp9FwhaCNzy-RRGPVPfVYTttO4PUGDdaFvbz-Ue0/edit?gid=1870218791#gid=1870218791"", ""Rev vs Mktg &amp; Mktg Mix!L"" &amp; ROW(N267))
"),2.741676)</f>
        <v>2.741676</v>
      </c>
      <c r="M209" s="28"/>
      <c r="N209" s="60">
        <f ca="1">IFERROR(__xludf.DUMMYFUNCTION("IMPORTRANGE(""https://docs.google.com/spreadsheets/d/1bozxp9FwhaCNzy-RRGPVPfVYTttO4PUGDdaFvbz-Ue0/edit?gid=1870218791#gid=1870218791"", ""Rev vs Mktg &amp; Mktg Mix!N"" &amp; ROW(N267))
"),-0.152)</f>
        <v>-0.152</v>
      </c>
      <c r="O209" s="39">
        <f ca="1">IFERROR(__xludf.DUMMYFUNCTION("IMPORTRANGE(""https://docs.google.com/spreadsheets/d/1bozxp9FwhaCNzy-RRGPVPfVYTttO4PUGDdaFvbz-Ue0/edit?gid=1870218791#gid=1870218791"", ""Rev vs Mktg &amp; Mktg Mix!O"" &amp; ROW(O267))
"),3.9325)</f>
        <v>3.9325000000000001</v>
      </c>
      <c r="P209" s="37" t="str">
        <f ca="1">IFERROR(__xludf.DUMMYFUNCTION("IMPORTRANGE(""https://docs.google.com/spreadsheets/d/1bozxp9FwhaCNzy-RRGPVPfVYTttO4PUGDdaFvbz-Ue0/edit?gid=1870218791#gid=1870218791"", ""Rev vs Mktg &amp; Mktg Mix!P"" &amp; ROW(P267))
"),"")</f>
        <v/>
      </c>
      <c r="Q209" s="28"/>
      <c r="R209" s="30">
        <f>VLOOKUP(VALUE(LEFT(A209, 4)), 'Raw Annual EBITDA'!A:R, 18, FALSE) / 4</f>
        <v>15550.75</v>
      </c>
      <c r="S209" s="30">
        <f>VLOOKUP(VALUE(LEFT(A212, 4)), 'Raw Annual EBITDA'!A:S, 19, FALSE) / 4</f>
        <v>1484.5</v>
      </c>
      <c r="T209" s="63" t="str">
        <f ca="1">IFERROR(__xludf.DUMMYFUNCTION("IMPORTRANGE(""https://docs.google.com/spreadsheets/d/1bozxp9FwhaCNzy-RRGPVPfVYTttO4PUGDdaFvbz-Ue0/edit?gid=1870218791#gid=1870218791"", ""Rev vs Mktg &amp; Mktg Mix!T"" &amp; ROW(Y267))
"),"")</f>
        <v/>
      </c>
      <c r="U209" s="30"/>
      <c r="V209" s="28"/>
      <c r="W209" s="30">
        <f>VLOOKUP(VALUE(LEFT($A211, 4)), 'Raw Annual EBITDA'!$A:W, 23, FALSE) / 4</f>
        <v>78246.5</v>
      </c>
      <c r="X209" s="30">
        <f>VLOOKUP(VALUE(LEFT($A209, 4)), 'Raw Annual EBITDA'!$A:X, 24, FALSE) / 4</f>
        <v>15950.4954</v>
      </c>
      <c r="Y209" s="30">
        <f>VLOOKUP(VALUE(LEFT($A209, 4)), 'Raw Annual EBITDA'!$A:Y, 25, FALSE) / 4</f>
        <v>7047.75</v>
      </c>
      <c r="Z209" s="30">
        <f>VLOOKUP(VALUE(LEFT($A209, 4)), 'Raw Annual EBITDA'!$A:Z, 26, FALSE) / 4</f>
        <v>-313.75</v>
      </c>
      <c r="AA209" s="30">
        <f>VLOOKUP(VALUE(LEFT($A209, 4)), 'Raw Annual EBITDA'!$A:AA, 27, FALSE) / 4</f>
        <v>-8.25</v>
      </c>
      <c r="AB209" s="30">
        <f>VLOOKUP(VALUE(LEFT($A209, 4)), 'Raw Annual EBITDA'!$A:AB, 28, FALSE) / 4</f>
        <v>-64277.25</v>
      </c>
      <c r="AC209" s="28"/>
    </row>
    <row r="210" spans="1:29" ht="13">
      <c r="A210" s="27" t="s">
        <v>120</v>
      </c>
      <c r="B210" s="38">
        <f ca="1">IFERROR(__xludf.DUMMYFUNCTION("IMPORTRANGE(""https://docs.google.com/spreadsheets/d/1bozxp9FwhaCNzy-RRGPVPfVYTttO4PUGDdaFvbz-Ue0/edit?gid=1870218791#gid=1870218791"", ""Rev vs Mktg &amp; Mktg Mix!B"" &amp; ROW(A268))
"),-357.09)</f>
        <v>-357.09</v>
      </c>
      <c r="C210" s="55">
        <f ca="1">IFERROR(__xludf.DUMMYFUNCTION("IMPORTRANGE(""https://docs.google.com/spreadsheets/d/1bozxp9FwhaCNzy-RRGPVPfVYTttO4PUGDdaFvbz-Ue0/edit?gid=1870218791#gid=1870218791"", ""Rev vs Mktg &amp; Mktg Mix!C"" &amp; ROW(B268))
"),-722)</f>
        <v>-722</v>
      </c>
      <c r="D210" s="55">
        <f ca="1">IFERROR(__xludf.DUMMYFUNCTION("IMPORTRANGE(""https://docs.google.com/spreadsheets/d/1bozxp9FwhaCNzy-RRGPVPfVYTttO4PUGDdaFvbz-Ue0/edit?gid=1870218791#gid=1870218791"", ""Rev vs Mktg &amp; Mktg Mix!D"" &amp; ROW(C268))
"),-1479)</f>
        <v>-1479</v>
      </c>
      <c r="E210" s="55">
        <f ca="1">IFERROR(__xludf.DUMMYFUNCTION("IMPORTRANGE(""https://docs.google.com/spreadsheets/d/1bozxp9FwhaCNzy-RRGPVPfVYTttO4PUGDdaFvbz-Ue0/edit?gid=1870218791#gid=1870218791"", ""Rev vs Mktg &amp; Mktg Mix!E"" &amp; ROW(D268))
"),-743)</f>
        <v>-743</v>
      </c>
      <c r="F210" s="55">
        <f ca="1">IFERROR(__xludf.DUMMYFUNCTION("IMPORTRANGE(""https://docs.google.com/spreadsheets/d/1bozxp9FwhaCNzy-RRGPVPfVYTttO4PUGDdaFvbz-Ue0/edit?gid=1870218791#gid=1870218791"", ""Rev vs Mktg &amp; Mktg Mix!F"" &amp; ROW(E268))
"),-27)</f>
        <v>-27</v>
      </c>
      <c r="G210" s="56">
        <f ca="1">IFERROR(__xludf.DUMMYFUNCTION("IMPORTRANGE(""https://docs.google.com/spreadsheets/d/1bozxp9FwhaCNzy-RRGPVPfVYTttO4PUGDdaFvbz-Ue0/edit?gid=1870218791#gid=1870218791"", ""Rev vs Mktg &amp; Mktg Mix!G"" &amp; ROW(F268))
"),-215.6)</f>
        <v>-215.6</v>
      </c>
      <c r="H210" s="62">
        <f ca="1">IFERROR(__xludf.DUMMYFUNCTION("IMPORTRANGE(""https://docs.google.com/spreadsheets/d/1bozxp9FwhaCNzy-RRGPVPfVYTttO4PUGDdaFvbz-Ue0/edit?gid=1870218791#gid=1870218791"", ""Rev vs Mktg &amp; Mktg Mix!H"" &amp; ROW(G268))
"),30.69)</f>
        <v>30.69</v>
      </c>
      <c r="I210" s="58">
        <f ca="1">IFERROR(__xludf.DUMMYFUNCTION("IMPORTRANGE(""https://docs.google.com/spreadsheets/d/1bozxp9FwhaCNzy-RRGPVPfVYTttO4PUGDdaFvbz-Ue0/edit?gid=1870218791#gid=1870218791"", ""Rev vs Mktg &amp; Mktg Mix!I"" &amp; ROW(K268))
"),-14.5)</f>
        <v>-14.5</v>
      </c>
      <c r="J210" s="58">
        <f ca="1">IFERROR(__xludf.DUMMYFUNCTION("IMPORTRANGE(""https://docs.google.com/spreadsheets/d/1bozxp9FwhaCNzy-RRGPVPfVYTttO4PUGDdaFvbz-Ue0/edit?gid=1870218791#gid=1870218791"", ""Rev vs Mktg &amp; Mktg Mix!J"" &amp; ROW(J268))
"),-338.726)</f>
        <v>-338.726</v>
      </c>
      <c r="K210" s="30"/>
      <c r="L210" s="58">
        <f ca="1">IFERROR(__xludf.DUMMYFUNCTION("IMPORTRANGE(""https://docs.google.com/spreadsheets/d/1bozxp9FwhaCNzy-RRGPVPfVYTttO4PUGDdaFvbz-Ue0/edit?gid=1870218791#gid=1870218791"", ""Rev vs Mktg &amp; Mktg Mix!L"" &amp; ROW(N268))
"),298.343955)</f>
        <v>298.34395499999999</v>
      </c>
      <c r="M210" s="28"/>
      <c r="N210" s="60">
        <f ca="1">IFERROR(__xludf.DUMMYFUNCTION("IMPORTRANGE(""https://docs.google.com/spreadsheets/d/1bozxp9FwhaCNzy-RRGPVPfVYTttO4PUGDdaFvbz-Ue0/edit?gid=1870218791#gid=1870218791"", ""Rev vs Mktg &amp; Mktg Mix!N"" &amp; ROW(N268))
"),-2.028)</f>
        <v>-2.028</v>
      </c>
      <c r="O210" s="39">
        <f ca="1">IFERROR(__xludf.DUMMYFUNCTION("IMPORTRANGE(""https://docs.google.com/spreadsheets/d/1bozxp9FwhaCNzy-RRGPVPfVYTttO4PUGDdaFvbz-Ue0/edit?gid=1870218791#gid=1870218791"", ""Rev vs Mktg &amp; Mktg Mix!O"" &amp; ROW(O268))
"),-55.5425)</f>
        <v>-55.542499999999997</v>
      </c>
      <c r="P210" s="37" t="str">
        <f ca="1">IFERROR(__xludf.DUMMYFUNCTION("IMPORTRANGE(""https://docs.google.com/spreadsheets/d/1bozxp9FwhaCNzy-RRGPVPfVYTttO4PUGDdaFvbz-Ue0/edit?gid=1870218791#gid=1870218791"", ""Rev vs Mktg &amp; Mktg Mix!P"" &amp; ROW(P268))
"),"")</f>
        <v/>
      </c>
      <c r="Q210" s="28"/>
      <c r="R210" s="30">
        <f>VLOOKUP(VALUE(LEFT(A210, 4)), 'Raw Annual EBITDA'!A:R, 18, FALSE) / 4</f>
        <v>-13781</v>
      </c>
      <c r="S210" s="30">
        <f>VLOOKUP(VALUE(LEFT(A213, 4)), 'Raw Annual EBITDA'!A:S, 19, FALSE) / 4</f>
        <v>1484.5</v>
      </c>
      <c r="T210" s="63" t="str">
        <f ca="1">IFERROR(__xludf.DUMMYFUNCTION("IMPORTRANGE(""https://docs.google.com/spreadsheets/d/1bozxp9FwhaCNzy-RRGPVPfVYTttO4PUGDdaFvbz-Ue0/edit?gid=1870218791#gid=1870218791"", ""Rev vs Mktg &amp; Mktg Mix!T"" &amp; ROW(Y268))
"),"")</f>
        <v/>
      </c>
      <c r="U210" s="30"/>
      <c r="V210" s="28"/>
      <c r="W210" s="30">
        <f>VLOOKUP(VALUE(LEFT($A212, 4)), 'Raw Annual EBITDA'!$A:W, 23, FALSE) / 4</f>
        <v>78246.5</v>
      </c>
      <c r="X210" s="30">
        <f>VLOOKUP(VALUE(LEFT($A210, 4)), 'Raw Annual EBITDA'!$A:X, 24, FALSE) / 4</f>
        <v>-35207.705500000004</v>
      </c>
      <c r="Y210" s="30">
        <f>VLOOKUP(VALUE(LEFT($A210, 4)), 'Raw Annual EBITDA'!$A:Y, 25, FALSE) / 4</f>
        <v>-4265.5</v>
      </c>
      <c r="Z210" s="30">
        <f>VLOOKUP(VALUE(LEFT($A210, 4)), 'Raw Annual EBITDA'!$A:Z, 26, FALSE) / 4</f>
        <v>-10646</v>
      </c>
      <c r="AA210" s="30">
        <f>VLOOKUP(VALUE(LEFT($A210, 4)), 'Raw Annual EBITDA'!$A:AA, 27, FALSE) / 4</f>
        <v>-182.25</v>
      </c>
      <c r="AB210" s="30">
        <f>VLOOKUP(VALUE(LEFT($A210, 4)), 'Raw Annual EBITDA'!$A:AB, 28, FALSE) / 4</f>
        <v>-37097</v>
      </c>
      <c r="AC210" s="28"/>
    </row>
    <row r="211" spans="1:29" ht="13">
      <c r="A211" s="27" t="s">
        <v>121</v>
      </c>
      <c r="B211" s="38">
        <f ca="1">IFERROR(__xludf.DUMMYFUNCTION("IMPORTRANGE(""https://docs.google.com/spreadsheets/d/1bozxp9FwhaCNzy-RRGPVPfVYTttO4PUGDdaFvbz-Ue0/edit?gid=1870218791#gid=1870218791"", ""Rev vs Mktg &amp; Mktg Mix!B"" &amp; ROW(A269))
"),-639.398)</f>
        <v>-639.39800000000002</v>
      </c>
      <c r="C211" s="55">
        <f ca="1">IFERROR(__xludf.DUMMYFUNCTION("IMPORTRANGE(""https://docs.google.com/spreadsheets/d/1bozxp9FwhaCNzy-RRGPVPfVYTttO4PUGDdaFvbz-Ue0/edit?gid=1870218791#gid=1870218791"", ""Rev vs Mktg &amp; Mktg Mix!C"" &amp; ROW(B269))
"),209)</f>
        <v>209</v>
      </c>
      <c r="D211" s="55">
        <f ca="1">IFERROR(__xludf.DUMMYFUNCTION("IMPORTRANGE(""https://docs.google.com/spreadsheets/d/1bozxp9FwhaCNzy-RRGPVPfVYTttO4PUGDdaFvbz-Ue0/edit?gid=1870218791#gid=1870218791"", ""Rev vs Mktg &amp; Mktg Mix!D"" &amp; ROW(C269))
"),-953)</f>
        <v>-953</v>
      </c>
      <c r="E211" s="55">
        <f ca="1">IFERROR(__xludf.DUMMYFUNCTION("IMPORTRANGE(""https://docs.google.com/spreadsheets/d/1bozxp9FwhaCNzy-RRGPVPfVYTttO4PUGDdaFvbz-Ue0/edit?gid=1870218791#gid=1870218791"", ""Rev vs Mktg &amp; Mktg Mix!E"" &amp; ROW(D269))
"),173)</f>
        <v>173</v>
      </c>
      <c r="F211" s="55">
        <f ca="1">IFERROR(__xludf.DUMMYFUNCTION("IMPORTRANGE(""https://docs.google.com/spreadsheets/d/1bozxp9FwhaCNzy-RRGPVPfVYTttO4PUGDdaFvbz-Ue0/edit?gid=1870218791#gid=1870218791"", ""Rev vs Mktg &amp; Mktg Mix!F"" &amp; ROW(E269))
"),-179)</f>
        <v>-179</v>
      </c>
      <c r="G211" s="56">
        <f ca="1">IFERROR(__xludf.DUMMYFUNCTION("IMPORTRANGE(""https://docs.google.com/spreadsheets/d/1bozxp9FwhaCNzy-RRGPVPfVYTttO4PUGDdaFvbz-Ue0/edit?gid=1870218791#gid=1870218791"", ""Rev vs Mktg &amp; Mktg Mix!G"" &amp; ROW(F269))
"),-27)</f>
        <v>-27</v>
      </c>
      <c r="H211" s="62">
        <f ca="1">IFERROR(__xludf.DUMMYFUNCTION("IMPORTRANGE(""https://docs.google.com/spreadsheets/d/1bozxp9FwhaCNzy-RRGPVPfVYTttO4PUGDdaFvbz-Ue0/edit?gid=1870218791#gid=1870218791"", ""Rev vs Mktg &amp; Mktg Mix!H"" &amp; ROW(G269))
"),-17.16)</f>
        <v>-17.16</v>
      </c>
      <c r="I211" s="58">
        <f ca="1">IFERROR(__xludf.DUMMYFUNCTION("IMPORTRANGE(""https://docs.google.com/spreadsheets/d/1bozxp9FwhaCNzy-RRGPVPfVYTttO4PUGDdaFvbz-Ue0/edit?gid=1870218791#gid=1870218791"", ""Rev vs Mktg &amp; Mktg Mix!I"" &amp; ROW(K269))
"),-65.1)</f>
        <v>-65.099999999999994</v>
      </c>
      <c r="J211" s="58">
        <f ca="1">IFERROR(__xludf.DUMMYFUNCTION("IMPORTRANGE(""https://docs.google.com/spreadsheets/d/1bozxp9FwhaCNzy-RRGPVPfVYTttO4PUGDdaFvbz-Ue0/edit?gid=1870218791#gid=1870218791"", ""Rev vs Mktg &amp; Mktg Mix!J"" &amp; ROW(J269))
"),-34.704)</f>
        <v>-34.704000000000001</v>
      </c>
      <c r="K211" s="30"/>
      <c r="L211" s="58">
        <f ca="1">IFERROR(__xludf.DUMMYFUNCTION("IMPORTRANGE(""https://docs.google.com/spreadsheets/d/1bozxp9FwhaCNzy-RRGPVPfVYTttO4PUGDdaFvbz-Ue0/edit?gid=1870218791#gid=1870218791"", ""Rev vs Mktg &amp; Mktg Mix!L"" &amp; ROW(N269))
"),-44.0585733)</f>
        <v>-44.058573299999999</v>
      </c>
      <c r="M211" s="28"/>
      <c r="N211" s="60">
        <f ca="1">IFERROR(__xludf.DUMMYFUNCTION("IMPORTRANGE(""https://docs.google.com/spreadsheets/d/1bozxp9FwhaCNzy-RRGPVPfVYTttO4PUGDdaFvbz-Ue0/edit?gid=1870218791#gid=1870218791"", ""Rev vs Mktg &amp; Mktg Mix!N"" &amp; ROW(N269))
"),-5.0264)</f>
        <v>-5.0263999999999998</v>
      </c>
      <c r="O211" s="39">
        <f ca="1">IFERROR(__xludf.DUMMYFUNCTION("IMPORTRANGE(""https://docs.google.com/spreadsheets/d/1bozxp9FwhaCNzy-RRGPVPfVYTttO4PUGDdaFvbz-Ue0/edit?gid=1870218791#gid=1870218791"", ""Rev vs Mktg &amp; Mktg Mix!O"" &amp; ROW(O269))
"),-55.5425)</f>
        <v>-55.542499999999997</v>
      </c>
      <c r="P211" s="37" t="str">
        <f ca="1">IFERROR(__xludf.DUMMYFUNCTION("IMPORTRANGE(""https://docs.google.com/spreadsheets/d/1bozxp9FwhaCNzy-RRGPVPfVYTttO4PUGDdaFvbz-Ue0/edit?gid=1870218791#gid=1870218791"", ""Rev vs Mktg &amp; Mktg Mix!P"" &amp; ROW(P269))
"),"")</f>
        <v/>
      </c>
      <c r="Q211" s="28"/>
      <c r="R211" s="30">
        <f>VLOOKUP(VALUE(LEFT(A211, 4)), 'Raw Annual EBITDA'!A:R, 18, FALSE) / 4</f>
        <v>-13781</v>
      </c>
      <c r="S211" s="30">
        <f>VLOOKUP(VALUE(LEFT(A214, 4)), 'Raw Annual EBITDA'!A:S, 19, FALSE) / 4</f>
        <v>2672.5</v>
      </c>
      <c r="T211" s="63">
        <f ca="1">IFERROR(__xludf.DUMMYFUNCTION("IMPORTRANGE(""https://docs.google.com/spreadsheets/d/1bozxp9FwhaCNzy-RRGPVPfVYTttO4PUGDdaFvbz-Ue0/edit?gid=1870218791#gid=1870218791"", ""Rev vs Mktg &amp; Mktg Mix!T"" &amp; ROW(Y269))
"),0.43170731707317)</f>
        <v>0.43170731707317</v>
      </c>
      <c r="U211" s="30"/>
      <c r="V211" s="28"/>
      <c r="W211" s="30">
        <f>VLOOKUP(VALUE(LEFT($A213, 4)), 'Raw Annual EBITDA'!$A:W, 23, FALSE) / 4</f>
        <v>78246.5</v>
      </c>
      <c r="X211" s="30">
        <f>VLOOKUP(VALUE(LEFT($A211, 4)), 'Raw Annual EBITDA'!$A:X, 24, FALSE) / 4</f>
        <v>-35207.705500000004</v>
      </c>
      <c r="Y211" s="30">
        <f>VLOOKUP(VALUE(LEFT($A211, 4)), 'Raw Annual EBITDA'!$A:Y, 25, FALSE) / 4</f>
        <v>-4265.5</v>
      </c>
      <c r="Z211" s="30">
        <f>VLOOKUP(VALUE(LEFT($A211, 4)), 'Raw Annual EBITDA'!$A:Z, 26, FALSE) / 4</f>
        <v>-10646</v>
      </c>
      <c r="AA211" s="30">
        <f>VLOOKUP(VALUE(LEFT($A211, 4)), 'Raw Annual EBITDA'!$A:AA, 27, FALSE) / 4</f>
        <v>-182.25</v>
      </c>
      <c r="AB211" s="30">
        <f>VLOOKUP(VALUE(LEFT($A211, 4)), 'Raw Annual EBITDA'!$A:AB, 28, FALSE) / 4</f>
        <v>-37097</v>
      </c>
      <c r="AC211" s="28"/>
    </row>
    <row r="212" spans="1:29" ht="13">
      <c r="A212" s="27" t="s">
        <v>122</v>
      </c>
      <c r="B212" s="38">
        <f ca="1">IFERROR(__xludf.DUMMYFUNCTION("IMPORTRANGE(""https://docs.google.com/spreadsheets/d/1bozxp9FwhaCNzy-RRGPVPfVYTttO4PUGDdaFvbz-Ue0/edit?gid=1870218791#gid=1870218791"", ""Rev vs Mktg &amp; Mktg Mix!B"" &amp; ROW(A270))
"),307.052)</f>
        <v>307.05200000000002</v>
      </c>
      <c r="C212" s="55">
        <f ca="1">IFERROR(__xludf.DUMMYFUNCTION("IMPORTRANGE(""https://docs.google.com/spreadsheets/d/1bozxp9FwhaCNzy-RRGPVPfVYTttO4PUGDdaFvbz-Ue0/edit?gid=1870218791#gid=1870218791"", ""Rev vs Mktg &amp; Mktg Mix!C"" &amp; ROW(B270))
"),835)</f>
        <v>835</v>
      </c>
      <c r="D212" s="55">
        <f ca="1">IFERROR(__xludf.DUMMYFUNCTION("IMPORTRANGE(""https://docs.google.com/spreadsheets/d/1bozxp9FwhaCNzy-RRGPVPfVYTttO4PUGDdaFvbz-Ue0/edit?gid=1870218791#gid=1870218791"", ""Rev vs Mktg &amp; Mktg Mix!D"" &amp; ROW(C270))
"),-224)</f>
        <v>-224</v>
      </c>
      <c r="E212" s="55">
        <f ca="1">IFERROR(__xludf.DUMMYFUNCTION("IMPORTRANGE(""https://docs.google.com/spreadsheets/d/1bozxp9FwhaCNzy-RRGPVPfVYTttO4PUGDdaFvbz-Ue0/edit?gid=1870218791#gid=1870218791"", ""Rev vs Mktg &amp; Mktg Mix!E"" &amp; ROW(D270))
"),299)</f>
        <v>299</v>
      </c>
      <c r="F212" s="55">
        <f ca="1">IFERROR(__xludf.DUMMYFUNCTION("IMPORTRANGE(""https://docs.google.com/spreadsheets/d/1bozxp9FwhaCNzy-RRGPVPfVYTttO4PUGDdaFvbz-Ue0/edit?gid=1870218791#gid=1870218791"", ""Rev vs Mktg &amp; Mktg Mix!F"" &amp; ROW(E270))
"),-58)</f>
        <v>-58</v>
      </c>
      <c r="G212" s="56">
        <f ca="1">IFERROR(__xludf.DUMMYFUNCTION("IMPORTRANGE(""https://docs.google.com/spreadsheets/d/1bozxp9FwhaCNzy-RRGPVPfVYTttO4PUGDdaFvbz-Ue0/edit?gid=1870218791#gid=1870218791"", ""Rev vs Mktg &amp; Mktg Mix!G"" &amp; ROW(F270))
"),-1.8)</f>
        <v>-1.8</v>
      </c>
      <c r="H212" s="62">
        <f ca="1">IFERROR(__xludf.DUMMYFUNCTION("IMPORTRANGE(""https://docs.google.com/spreadsheets/d/1bozxp9FwhaCNzy-RRGPVPfVYTttO4PUGDdaFvbz-Ue0/edit?gid=1870218791#gid=1870218791"", ""Rev vs Mktg &amp; Mktg Mix!H"" &amp; ROW(G270))
"),-3.96)</f>
        <v>-3.96</v>
      </c>
      <c r="I212" s="58">
        <f ca="1">IFERROR(__xludf.DUMMYFUNCTION("IMPORTRANGE(""https://docs.google.com/spreadsheets/d/1bozxp9FwhaCNzy-RRGPVPfVYTttO4PUGDdaFvbz-Ue0/edit?gid=1870218791#gid=1870218791"", ""Rev vs Mktg &amp; Mktg Mix!I"" &amp; ROW(K270))
"),-47.6)</f>
        <v>-47.6</v>
      </c>
      <c r="J212" s="58">
        <f ca="1">IFERROR(__xludf.DUMMYFUNCTION("IMPORTRANGE(""https://docs.google.com/spreadsheets/d/1bozxp9FwhaCNzy-RRGPVPfVYTttO4PUGDdaFvbz-Ue0/edit?gid=1870218791#gid=1870218791"", ""Rev vs Mktg &amp; Mktg Mix!J"" &amp; ROW(J270))
"),-21.309)</f>
        <v>-21.309000000000001</v>
      </c>
      <c r="K212" s="30"/>
      <c r="L212" s="58">
        <f ca="1">IFERROR(__xludf.DUMMYFUNCTION("IMPORTRANGE(""https://docs.google.com/spreadsheets/d/1bozxp9FwhaCNzy-RRGPVPfVYTttO4PUGDdaFvbz-Ue0/edit?gid=1870218791#gid=1870218791"", ""Rev vs Mktg &amp; Mktg Mix!L"" &amp; ROW(N270))
"),-47.2893770999999)</f>
        <v>-47.289377099999903</v>
      </c>
      <c r="M212" s="28"/>
      <c r="N212" s="60">
        <f ca="1">IFERROR(__xludf.DUMMYFUNCTION("IMPORTRANGE(""https://docs.google.com/spreadsheets/d/1bozxp9FwhaCNzy-RRGPVPfVYTttO4PUGDdaFvbz-Ue0/edit?gid=1870218791#gid=1870218791"", ""Rev vs Mktg &amp; Mktg Mix!N"" &amp; ROW(N270))
"),-2.5658)</f>
        <v>-2.5657999999999999</v>
      </c>
      <c r="O212" s="39">
        <f ca="1">IFERROR(__xludf.DUMMYFUNCTION("IMPORTRANGE(""https://docs.google.com/spreadsheets/d/1bozxp9FwhaCNzy-RRGPVPfVYTttO4PUGDdaFvbz-Ue0/edit?gid=1870218791#gid=1870218791"", ""Rev vs Mktg &amp; Mktg Mix!O"" &amp; ROW(O270))
"),-47.1575)</f>
        <v>-47.157499999999999</v>
      </c>
      <c r="P212" s="37" t="str">
        <f ca="1">IFERROR(__xludf.DUMMYFUNCTION("IMPORTRANGE(""https://docs.google.com/spreadsheets/d/1bozxp9FwhaCNzy-RRGPVPfVYTttO4PUGDdaFvbz-Ue0/edit?gid=1870218791#gid=1870218791"", ""Rev vs Mktg &amp; Mktg Mix!P"" &amp; ROW(P270))
"),"")</f>
        <v/>
      </c>
      <c r="Q212" s="28"/>
      <c r="R212" s="30">
        <f>VLOOKUP(VALUE(LEFT(A212, 4)), 'Raw Annual EBITDA'!A:R, 18, FALSE) / 4</f>
        <v>-13781</v>
      </c>
      <c r="S212" s="30">
        <f>VLOOKUP(VALUE(LEFT(A215, 4)), 'Raw Annual EBITDA'!A:S, 19, FALSE) / 4</f>
        <v>2672.5</v>
      </c>
      <c r="T212" s="63" t="str">
        <f ca="1">IFERROR(__xludf.DUMMYFUNCTION("IMPORTRANGE(""https://docs.google.com/spreadsheets/d/1bozxp9FwhaCNzy-RRGPVPfVYTttO4PUGDdaFvbz-Ue0/edit?gid=1870218791#gid=1870218791"", ""Rev vs Mktg &amp; Mktg Mix!T"" &amp; ROW(Y270))
"),"")</f>
        <v/>
      </c>
      <c r="U212" s="30"/>
      <c r="V212" s="28"/>
      <c r="W212" s="30">
        <f>VLOOKUP(VALUE(LEFT($A214, 4)), 'Raw Annual EBITDA'!$A:W, 23, FALSE) / 4</f>
        <v>-62145.25</v>
      </c>
      <c r="X212" s="30">
        <f>VLOOKUP(VALUE(LEFT($A212, 4)), 'Raw Annual EBITDA'!$A:X, 24, FALSE) / 4</f>
        <v>-35207.705500000004</v>
      </c>
      <c r="Y212" s="30">
        <f>VLOOKUP(VALUE(LEFT($A212, 4)), 'Raw Annual EBITDA'!$A:Y, 25, FALSE) / 4</f>
        <v>-4265.5</v>
      </c>
      <c r="Z212" s="30">
        <f>VLOOKUP(VALUE(LEFT($A212, 4)), 'Raw Annual EBITDA'!$A:Z, 26, FALSE) / 4</f>
        <v>-10646</v>
      </c>
      <c r="AA212" s="30">
        <f>VLOOKUP(VALUE(LEFT($A212, 4)), 'Raw Annual EBITDA'!$A:AA, 27, FALSE) / 4</f>
        <v>-182.25</v>
      </c>
      <c r="AB212" s="30">
        <f>VLOOKUP(VALUE(LEFT($A212, 4)), 'Raw Annual EBITDA'!$A:AB, 28, FALSE) / 4</f>
        <v>-37097</v>
      </c>
      <c r="AC212" s="28"/>
    </row>
    <row r="213" spans="1:29" ht="13">
      <c r="A213" s="27" t="s">
        <v>123</v>
      </c>
      <c r="B213" s="38">
        <f ca="1">IFERROR(__xludf.DUMMYFUNCTION("IMPORTRANGE(""https://docs.google.com/spreadsheets/d/1bozxp9FwhaCNzy-RRGPVPfVYTttO4PUGDdaFvbz-Ue0/edit?gid=1870218791#gid=1870218791"", ""Rev vs Mktg &amp; Mktg Mix!B"" &amp; ROW(A271))
"),-3993)</f>
        <v>-3993</v>
      </c>
      <c r="C213" s="55">
        <f ca="1">IFERROR(__xludf.DUMMYFUNCTION("IMPORTRANGE(""https://docs.google.com/spreadsheets/d/1bozxp9FwhaCNzy-RRGPVPfVYTttO4PUGDdaFvbz-Ue0/edit?gid=1870218791#gid=1870218791"", ""Rev vs Mktg &amp; Mktg Mix!C"" &amp; ROW(B271))
"),245)</f>
        <v>245</v>
      </c>
      <c r="D213" s="55">
        <f ca="1">IFERROR(__xludf.DUMMYFUNCTION("IMPORTRANGE(""https://docs.google.com/spreadsheets/d/1bozxp9FwhaCNzy-RRGPVPfVYTttO4PUGDdaFvbz-Ue0/edit?gid=1870218791#gid=1870218791"", ""Rev vs Mktg &amp; Mktg Mix!D"" &amp; ROW(C271))
"),-495)</f>
        <v>-495</v>
      </c>
      <c r="E213" s="55">
        <f ca="1">IFERROR(__xludf.DUMMYFUNCTION("IMPORTRANGE(""https://docs.google.com/spreadsheets/d/1bozxp9FwhaCNzy-RRGPVPfVYTttO4PUGDdaFvbz-Ue0/edit?gid=1870218791#gid=1870218791"", ""Rev vs Mktg &amp; Mktg Mix!E"" &amp; ROW(D271))
"),124)</f>
        <v>124</v>
      </c>
      <c r="F213" s="55">
        <f ca="1">IFERROR(__xludf.DUMMYFUNCTION("IMPORTRANGE(""https://docs.google.com/spreadsheets/d/1bozxp9FwhaCNzy-RRGPVPfVYTttO4PUGDdaFvbz-Ue0/edit?gid=1870218791#gid=1870218791"", ""Rev vs Mktg &amp; Mktg Mix!F"" &amp; ROW(E271))
"),-104)</f>
        <v>-104</v>
      </c>
      <c r="G213" s="56">
        <f ca="1">IFERROR(__xludf.DUMMYFUNCTION("IMPORTRANGE(""https://docs.google.com/spreadsheets/d/1bozxp9FwhaCNzy-RRGPVPfVYTttO4PUGDdaFvbz-Ue0/edit?gid=1870218791#gid=1870218791"", ""Rev vs Mktg &amp; Mktg Mix!G"" &amp; ROW(F271))
"),-8.654)</f>
        <v>-8.6539999999999999</v>
      </c>
      <c r="H213" s="62">
        <f ca="1">IFERROR(__xludf.DUMMYFUNCTION("IMPORTRANGE(""https://docs.google.com/spreadsheets/d/1bozxp9FwhaCNzy-RRGPVPfVYTttO4PUGDdaFvbz-Ue0/edit?gid=1870218791#gid=1870218791"", ""Rev vs Mktg &amp; Mktg Mix!H"" &amp; ROW(G271))
"),-13.2)</f>
        <v>-13.2</v>
      </c>
      <c r="I213" s="58">
        <f ca="1">IFERROR(__xludf.DUMMYFUNCTION("IMPORTRANGE(""https://docs.google.com/spreadsheets/d/1bozxp9FwhaCNzy-RRGPVPfVYTttO4PUGDdaFvbz-Ue0/edit?gid=1870218791#gid=1870218791"", ""Rev vs Mktg &amp; Mktg Mix!I"" &amp; ROW(K271))
"),-37.135)</f>
        <v>-37.134999999999998</v>
      </c>
      <c r="J213" s="58">
        <f ca="1">IFERROR(__xludf.DUMMYFUNCTION("IMPORTRANGE(""https://docs.google.com/spreadsheets/d/1bozxp9FwhaCNzy-RRGPVPfVYTttO4PUGDdaFvbz-Ue0/edit?gid=1870218791#gid=1870218791"", ""Rev vs Mktg &amp; Mktg Mix!J"" &amp; ROW(J271))
"),-3.569)</f>
        <v>-3.569</v>
      </c>
      <c r="K213" s="30"/>
      <c r="L213" s="58">
        <f ca="1">IFERROR(__xludf.DUMMYFUNCTION("IMPORTRANGE(""https://docs.google.com/spreadsheets/d/1bozxp9FwhaCNzy-RRGPVPfVYTttO4PUGDdaFvbz-Ue0/edit?gid=1870218791#gid=1870218791"", ""Rev vs Mktg &amp; Mktg Mix!L"" &amp; ROW(N271))
"),-197.2835907)</f>
        <v>-197.28359069999999</v>
      </c>
      <c r="M213" s="28"/>
      <c r="N213" s="60">
        <f ca="1">IFERROR(__xludf.DUMMYFUNCTION("IMPORTRANGE(""https://docs.google.com/spreadsheets/d/1bozxp9FwhaCNzy-RRGPVPfVYTttO4PUGDdaFvbz-Ue0/edit?gid=1870218791#gid=1870218791"", ""Rev vs Mktg &amp; Mktg Mix!N"" &amp; ROW(N271))
"),0.1925)</f>
        <v>0.1925</v>
      </c>
      <c r="O213" s="39">
        <f ca="1">IFERROR(__xludf.DUMMYFUNCTION("IMPORTRANGE(""https://docs.google.com/spreadsheets/d/1bozxp9FwhaCNzy-RRGPVPfVYTttO4PUGDdaFvbz-Ue0/edit?gid=1870218791#gid=1870218791"", ""Rev vs Mktg &amp; Mktg Mix!O"" &amp; ROW(O271))
"),-47.1575)</f>
        <v>-47.157499999999999</v>
      </c>
      <c r="P213" s="37" t="str">
        <f ca="1">IFERROR(__xludf.DUMMYFUNCTION("IMPORTRANGE(""https://docs.google.com/spreadsheets/d/1bozxp9FwhaCNzy-RRGPVPfVYTttO4PUGDdaFvbz-Ue0/edit?gid=1870218791#gid=1870218791"", ""Rev vs Mktg &amp; Mktg Mix!P"" &amp; ROW(P271))
"),"")</f>
        <v/>
      </c>
      <c r="Q213" s="28"/>
      <c r="R213" s="30">
        <f>VLOOKUP(VALUE(LEFT(A213, 4)), 'Raw Annual EBITDA'!A:R, 18, FALSE) / 4</f>
        <v>-13781</v>
      </c>
      <c r="S213" s="30">
        <f>VLOOKUP(VALUE(LEFT(A216, 4)), 'Raw Annual EBITDA'!A:S, 19, FALSE) / 4</f>
        <v>2672.5</v>
      </c>
      <c r="T213" s="63" t="str">
        <f ca="1">IFERROR(__xludf.DUMMYFUNCTION("IMPORTRANGE(""https://docs.google.com/spreadsheets/d/1bozxp9FwhaCNzy-RRGPVPfVYTttO4PUGDdaFvbz-Ue0/edit?gid=1870218791#gid=1870218791"", ""Rev vs Mktg &amp; Mktg Mix!T"" &amp; ROW(Y271))
"),"")</f>
        <v/>
      </c>
      <c r="U213" s="30"/>
      <c r="V213" s="28"/>
      <c r="W213" s="30">
        <f>VLOOKUP(VALUE(LEFT($A215, 4)), 'Raw Annual EBITDA'!$A:W, 23, FALSE) / 4</f>
        <v>-62145.25</v>
      </c>
      <c r="X213" s="30">
        <f>VLOOKUP(VALUE(LEFT($A213, 4)), 'Raw Annual EBITDA'!$A:X, 24, FALSE) / 4</f>
        <v>-35207.705500000004</v>
      </c>
      <c r="Y213" s="30">
        <f>VLOOKUP(VALUE(LEFT($A213, 4)), 'Raw Annual EBITDA'!$A:Y, 25, FALSE) / 4</f>
        <v>-4265.5</v>
      </c>
      <c r="Z213" s="30">
        <f>VLOOKUP(VALUE(LEFT($A213, 4)), 'Raw Annual EBITDA'!$A:Z, 26, FALSE) / 4</f>
        <v>-10646</v>
      </c>
      <c r="AA213" s="30">
        <f>VLOOKUP(VALUE(LEFT($A213, 4)), 'Raw Annual EBITDA'!$A:AA, 27, FALSE) / 4</f>
        <v>-182.25</v>
      </c>
      <c r="AB213" s="30">
        <f>VLOOKUP(VALUE(LEFT($A213, 4)), 'Raw Annual EBITDA'!$A:AB, 28, FALSE) / 4</f>
        <v>-37097</v>
      </c>
      <c r="AC213" s="28"/>
    </row>
    <row r="214" spans="1:29" ht="13">
      <c r="A214" s="27" t="s">
        <v>124</v>
      </c>
      <c r="B214" s="38">
        <f ca="1">IFERROR(__xludf.DUMMYFUNCTION("IMPORTRANGE(""https://docs.google.com/spreadsheets/d/1bozxp9FwhaCNzy-RRGPVPfVYTttO4PUGDdaFvbz-Ue0/edit?gid=1870218791#gid=1870218791"", ""Rev vs Mktg &amp; Mktg Mix!B"" &amp; ROW(A272))
"),-1165.902)</f>
        <v>-1165.902</v>
      </c>
      <c r="C214" s="55">
        <f ca="1">IFERROR(__xludf.DUMMYFUNCTION("IMPORTRANGE(""https://docs.google.com/spreadsheets/d/1bozxp9FwhaCNzy-RRGPVPfVYTttO4PUGDdaFvbz-Ue0/edit?gid=1870218791#gid=1870218791"", ""Rev vs Mktg &amp; Mktg Mix!C"" &amp; ROW(B272))
"),-278)</f>
        <v>-278</v>
      </c>
      <c r="D214" s="55">
        <f ca="1">IFERROR(__xludf.DUMMYFUNCTION("IMPORTRANGE(""https://docs.google.com/spreadsheets/d/1bozxp9FwhaCNzy-RRGPVPfVYTttO4PUGDdaFvbz-Ue0/edit?gid=1870218791#gid=1870218791"", ""Rev vs Mktg &amp; Mktg Mix!D"" &amp; ROW(C272))
"),-750)</f>
        <v>-750</v>
      </c>
      <c r="E214" s="55">
        <f ca="1">IFERROR(__xludf.DUMMYFUNCTION("IMPORTRANGE(""https://docs.google.com/spreadsheets/d/1bozxp9FwhaCNzy-RRGPVPfVYTttO4PUGDdaFvbz-Ue0/edit?gid=1870218791#gid=1870218791"", ""Rev vs Mktg &amp; Mktg Mix!E"" &amp; ROW(D272))
"),266)</f>
        <v>266</v>
      </c>
      <c r="F214" s="55">
        <f ca="1">IFERROR(__xludf.DUMMYFUNCTION("IMPORTRANGE(""https://docs.google.com/spreadsheets/d/1bozxp9FwhaCNzy-RRGPVPfVYTttO4PUGDdaFvbz-Ue0/edit?gid=1870218791#gid=1870218791"", ""Rev vs Mktg &amp; Mktg Mix!F"" &amp; ROW(E272))
"),-96)</f>
        <v>-96</v>
      </c>
      <c r="G214" s="56">
        <f ca="1">IFERROR(__xludf.DUMMYFUNCTION("IMPORTRANGE(""https://docs.google.com/spreadsheets/d/1bozxp9FwhaCNzy-RRGPVPfVYTttO4PUGDdaFvbz-Ue0/edit?gid=1870218791#gid=1870218791"", ""Rev vs Mktg &amp; Mktg Mix!G"" &amp; ROW(F272))
"),-8)</f>
        <v>-8</v>
      </c>
      <c r="H214" s="62">
        <f ca="1">IFERROR(__xludf.DUMMYFUNCTION("IMPORTRANGE(""https://docs.google.com/spreadsheets/d/1bozxp9FwhaCNzy-RRGPVPfVYTttO4PUGDdaFvbz-Ue0/edit?gid=1870218791#gid=1870218791"", ""Rev vs Mktg &amp; Mktg Mix!H"" &amp; ROW(G272))
"),-15.18)</f>
        <v>-15.18</v>
      </c>
      <c r="I214" s="58">
        <f ca="1">IFERROR(__xludf.DUMMYFUNCTION("IMPORTRANGE(""https://docs.google.com/spreadsheets/d/1bozxp9FwhaCNzy-RRGPVPfVYTttO4PUGDdaFvbz-Ue0/edit?gid=1870218791#gid=1870218791"", ""Rev vs Mktg &amp; Mktg Mix!I"" &amp; ROW(K272))
"),-37.271)</f>
        <v>-37.271000000000001</v>
      </c>
      <c r="J214" s="58">
        <f ca="1">IFERROR(__xludf.DUMMYFUNCTION("IMPORTRANGE(""https://docs.google.com/spreadsheets/d/1bozxp9FwhaCNzy-RRGPVPfVYTttO4PUGDdaFvbz-Ue0/edit?gid=1870218791#gid=1870218791"", ""Rev vs Mktg &amp; Mktg Mix!J"" &amp; ROW(J272))
"),-0.967)</f>
        <v>-0.96699999999999997</v>
      </c>
      <c r="K214" s="30"/>
      <c r="L214" s="58">
        <f ca="1">IFERROR(__xludf.DUMMYFUNCTION("IMPORTRANGE(""https://docs.google.com/spreadsheets/d/1bozxp9FwhaCNzy-RRGPVPfVYTttO4PUGDdaFvbz-Ue0/edit?gid=1870218791#gid=1870218791"", ""Rev vs Mktg &amp; Mktg Mix!L"" &amp; ROW(N272))
"),-32.9553189)</f>
        <v>-32.955318900000002</v>
      </c>
      <c r="M214" s="28"/>
      <c r="N214" s="60">
        <f ca="1">IFERROR(__xludf.DUMMYFUNCTION("IMPORTRANGE(""https://docs.google.com/spreadsheets/d/1bozxp9FwhaCNzy-RRGPVPfVYTttO4PUGDdaFvbz-Ue0/edit?gid=1870218791#gid=1870218791"", ""Rev vs Mktg &amp; Mktg Mix!N"" &amp; ROW(N272))
"),-1.0438)</f>
        <v>-1.0438000000000001</v>
      </c>
      <c r="O214" s="39">
        <f ca="1">IFERROR(__xludf.DUMMYFUNCTION("IMPORTRANGE(""https://docs.google.com/spreadsheets/d/1bozxp9FwhaCNzy-RRGPVPfVYTttO4PUGDdaFvbz-Ue0/edit?gid=1870218791#gid=1870218791"", ""Rev vs Mktg &amp; Mktg Mix!O"" &amp; ROW(O272))
"),-10.5625)</f>
        <v>-10.5625</v>
      </c>
      <c r="P214" s="37">
        <f ca="1">IFERROR(__xludf.DUMMYFUNCTION("IMPORTRANGE(""https://docs.google.com/spreadsheets/d/1bozxp9FwhaCNzy-RRGPVPfVYTttO4PUGDdaFvbz-Ue0/edit?gid=1870218791#gid=1870218791"", ""Rev vs Mktg &amp; Mktg Mix!P"" &amp; ROW(P272))
"),0.65)</f>
        <v>0.65</v>
      </c>
      <c r="Q214" s="28"/>
      <c r="R214" s="30">
        <f>VLOOKUP(VALUE(LEFT(A214, 4)), 'Raw Annual EBITDA'!A:R, 18, FALSE) / 4</f>
        <v>-4656.0250000000005</v>
      </c>
      <c r="S214" s="30">
        <f>VLOOKUP(VALUE(LEFT(A217, 4)), 'Raw Annual EBITDA'!A:S, 19, FALSE) / 4</f>
        <v>2672.5</v>
      </c>
      <c r="T214" s="63" t="str">
        <f ca="1">IFERROR(__xludf.DUMMYFUNCTION("IMPORTRANGE(""https://docs.google.com/spreadsheets/d/1bozxp9FwhaCNzy-RRGPVPfVYTttO4PUGDdaFvbz-Ue0/edit?gid=1870218791#gid=1870218791"", ""Rev vs Mktg &amp; Mktg Mix!T"" &amp; ROW(Y272))
"),"")</f>
        <v/>
      </c>
      <c r="U214" s="30"/>
      <c r="V214" s="28"/>
      <c r="W214" s="30">
        <f>VLOOKUP(VALUE(LEFT($A216, 4)), 'Raw Annual EBITDA'!$A:W, 23, FALSE) / 4</f>
        <v>-62145.25</v>
      </c>
      <c r="X214" s="30">
        <f>VLOOKUP(VALUE(LEFT($A214, 4)), 'Raw Annual EBITDA'!$A:X, 24, FALSE) / 4</f>
        <v>-30772.592099999998</v>
      </c>
      <c r="Y214" s="30">
        <f>VLOOKUP(VALUE(LEFT($A214, 4)), 'Raw Annual EBITDA'!$A:Y, 25, FALSE) / 4</f>
        <v>-2654.25</v>
      </c>
      <c r="Z214" s="30">
        <f>VLOOKUP(VALUE(LEFT($A214, 4)), 'Raw Annual EBITDA'!$A:Z, 26, FALSE) / 4</f>
        <v>-737.25</v>
      </c>
      <c r="AA214" s="30">
        <f>VLOOKUP(VALUE(LEFT($A214, 4)), 'Raw Annual EBITDA'!$A:AA, 27, FALSE) / 4</f>
        <v>-9489.5</v>
      </c>
      <c r="AB214" s="30">
        <f>VLOOKUP(VALUE(LEFT($A214, 4)), 'Raw Annual EBITDA'!$A:AB, 28, FALSE) / 4</f>
        <v>-36409</v>
      </c>
      <c r="AC214" s="28"/>
    </row>
    <row r="215" spans="1:29" ht="13">
      <c r="A215" s="27" t="s">
        <v>125</v>
      </c>
      <c r="B215" s="38">
        <f ca="1">IFERROR(__xludf.DUMMYFUNCTION("IMPORTRANGE(""https://docs.google.com/spreadsheets/d/1bozxp9FwhaCNzy-RRGPVPfVYTttO4PUGDdaFvbz-Ue0/edit?gid=1870218791#gid=1870218791"", ""Rev vs Mktg &amp; Mktg Mix!B"" &amp; ROW(A273))
"),-56.984)</f>
        <v>-56.984000000000002</v>
      </c>
      <c r="C215" s="55">
        <f ca="1">IFERROR(__xludf.DUMMYFUNCTION("IMPORTRANGE(""https://docs.google.com/spreadsheets/d/1bozxp9FwhaCNzy-RRGPVPfVYTttO4PUGDdaFvbz-Ue0/edit?gid=1870218791#gid=1870218791"", ""Rev vs Mktg &amp; Mktg Mix!C"" &amp; ROW(B273))
"),-41)</f>
        <v>-41</v>
      </c>
      <c r="D215" s="55">
        <f ca="1">IFERROR(__xludf.DUMMYFUNCTION("IMPORTRANGE(""https://docs.google.com/spreadsheets/d/1bozxp9FwhaCNzy-RRGPVPfVYTttO4PUGDdaFvbz-Ue0/edit?gid=1870218791#gid=1870218791"", ""Rev vs Mktg &amp; Mktg Mix!D"" &amp; ROW(C273))
"),-224)</f>
        <v>-224</v>
      </c>
      <c r="E215" s="55">
        <f ca="1">IFERROR(__xludf.DUMMYFUNCTION("IMPORTRANGE(""https://docs.google.com/spreadsheets/d/1bozxp9FwhaCNzy-RRGPVPfVYTttO4PUGDdaFvbz-Ue0/edit?gid=1870218791#gid=1870218791"", ""Rev vs Mktg &amp; Mktg Mix!E"" &amp; ROW(D273))
"),-72)</f>
        <v>-72</v>
      </c>
      <c r="F215" s="55">
        <f ca="1">IFERROR(__xludf.DUMMYFUNCTION("IMPORTRANGE(""https://docs.google.com/spreadsheets/d/1bozxp9FwhaCNzy-RRGPVPfVYTttO4PUGDdaFvbz-Ue0/edit?gid=1870218791#gid=1870218791"", ""Rev vs Mktg &amp; Mktg Mix!F"" &amp; ROW(E273))
"),-46)</f>
        <v>-46</v>
      </c>
      <c r="G215" s="56">
        <f ca="1">IFERROR(__xludf.DUMMYFUNCTION("IMPORTRANGE(""https://docs.google.com/spreadsheets/d/1bozxp9FwhaCNzy-RRGPVPfVYTttO4PUGDdaFvbz-Ue0/edit?gid=1870218791#gid=1870218791"", ""Rev vs Mktg &amp; Mktg Mix!G"" &amp; ROW(F273))
"),-3.283)</f>
        <v>-3.2829999999999999</v>
      </c>
      <c r="H215" s="62">
        <f ca="1">IFERROR(__xludf.DUMMYFUNCTION("IMPORTRANGE(""https://docs.google.com/spreadsheets/d/1bozxp9FwhaCNzy-RRGPVPfVYTttO4PUGDdaFvbz-Ue0/edit?gid=1870218791#gid=1870218791"", ""Rev vs Mktg &amp; Mktg Mix!H"" &amp; ROW(G273))
"),-4.62)</f>
        <v>-4.62</v>
      </c>
      <c r="I215" s="58">
        <f ca="1">IFERROR(__xludf.DUMMYFUNCTION("IMPORTRANGE(""https://docs.google.com/spreadsheets/d/1bozxp9FwhaCNzy-RRGPVPfVYTttO4PUGDdaFvbz-Ue0/edit?gid=1870218791#gid=1870218791"", ""Rev vs Mktg &amp; Mktg Mix!I"" &amp; ROW(K273))
"),-37.771)</f>
        <v>-37.771000000000001</v>
      </c>
      <c r="J215" s="58">
        <f ca="1">IFERROR(__xludf.DUMMYFUNCTION("IMPORTRANGE(""https://docs.google.com/spreadsheets/d/1bozxp9FwhaCNzy-RRGPVPfVYTttO4PUGDdaFvbz-Ue0/edit?gid=1870218791#gid=1870218791"", ""Rev vs Mktg &amp; Mktg Mix!J"" &amp; ROW(J273))
"),-24.996)</f>
        <v>-24.995999999999999</v>
      </c>
      <c r="K215" s="30">
        <f>VLOOKUP(VALUE(LEFT(A103, 4)), 'Raw Annual EBITDA'!A:K, 11, FALSE) / 4</f>
        <v>-363</v>
      </c>
      <c r="L215" s="58">
        <f ca="1">IFERROR(__xludf.DUMMYFUNCTION("IMPORTRANGE(""https://docs.google.com/spreadsheets/d/1bozxp9FwhaCNzy-RRGPVPfVYTttO4PUGDdaFvbz-Ue0/edit?gid=1870218791#gid=1870218791"", ""Rev vs Mktg &amp; Mktg Mix!L"" &amp; ROW(N273))
"),-24.2406246327)</f>
        <v>-24.240624632700001</v>
      </c>
      <c r="M215" s="28"/>
      <c r="N215" s="60">
        <f ca="1">IFERROR(__xludf.DUMMYFUNCTION("IMPORTRANGE(""https://docs.google.com/spreadsheets/d/1bozxp9FwhaCNzy-RRGPVPfVYTttO4PUGDdaFvbz-Ue0/edit?gid=1870218791#gid=1870218791"", ""Rev vs Mktg &amp; Mktg Mix!N"" &amp; ROW(N273))
"),-0.893)</f>
        <v>-0.89300000000000002</v>
      </c>
      <c r="O215" s="39">
        <f ca="1">IFERROR(__xludf.DUMMYFUNCTION("IMPORTRANGE(""https://docs.google.com/spreadsheets/d/1bozxp9FwhaCNzy-RRGPVPfVYTttO4PUGDdaFvbz-Ue0/edit?gid=1870218791#gid=1870218791"", ""Rev vs Mktg &amp; Mktg Mix!O"" &amp; ROW(O273))
"),-23.8225)</f>
        <v>-23.822500000000002</v>
      </c>
      <c r="P215" s="37">
        <f ca="1">IFERROR(__xludf.DUMMYFUNCTION("IMPORTRANGE(""https://docs.google.com/spreadsheets/d/1bozxp9FwhaCNzy-RRGPVPfVYTttO4PUGDdaFvbz-Ue0/edit?gid=1870218791#gid=1870218791"", ""Rev vs Mktg &amp; Mktg Mix!P"" &amp; ROW(P273))
"),0.65)</f>
        <v>0.65</v>
      </c>
      <c r="Q215" s="28"/>
      <c r="R215" s="30">
        <f>VLOOKUP(VALUE(LEFT(A215, 4)), 'Raw Annual EBITDA'!A:R, 18, FALSE) / 4</f>
        <v>-4656.0250000000005</v>
      </c>
      <c r="S215" s="30">
        <f>VLOOKUP(VALUE(LEFT(A218, 4)), 'Raw Annual EBITDA'!A:S, 19, FALSE) / 4</f>
        <v>4518</v>
      </c>
      <c r="T215" s="63">
        <f ca="1">IFERROR(__xludf.DUMMYFUNCTION("IMPORTRANGE(""https://docs.google.com/spreadsheets/d/1bozxp9FwhaCNzy-RRGPVPfVYTttO4PUGDdaFvbz-Ue0/edit?gid=1870218791#gid=1870218791"", ""Rev vs Mktg &amp; Mktg Mix!T"" &amp; ROW(Y273))
"),2.56219512195121)</f>
        <v>2.56219512195121</v>
      </c>
      <c r="U215" s="30"/>
      <c r="V215" s="28"/>
      <c r="W215" s="30">
        <f>VLOOKUP(VALUE(LEFT($A217, 4)), 'Raw Annual EBITDA'!$A:W, 23, FALSE) / 4</f>
        <v>-62145.25</v>
      </c>
      <c r="X215" s="30">
        <f>VLOOKUP(VALUE(LEFT($A215, 4)), 'Raw Annual EBITDA'!$A:X, 24, FALSE) / 4</f>
        <v>-30772.592099999998</v>
      </c>
      <c r="Y215" s="30">
        <f>VLOOKUP(VALUE(LEFT($A215, 4)), 'Raw Annual EBITDA'!$A:Y, 25, FALSE) / 4</f>
        <v>-2654.25</v>
      </c>
      <c r="Z215" s="30">
        <f>VLOOKUP(VALUE(LEFT($A215, 4)), 'Raw Annual EBITDA'!$A:Z, 26, FALSE) / 4</f>
        <v>-737.25</v>
      </c>
      <c r="AA215" s="30">
        <f>VLOOKUP(VALUE(LEFT($A215, 4)), 'Raw Annual EBITDA'!$A:AA, 27, FALSE) / 4</f>
        <v>-9489.5</v>
      </c>
      <c r="AB215" s="30">
        <f>VLOOKUP(VALUE(LEFT($A215, 4)), 'Raw Annual EBITDA'!$A:AB, 28, FALSE) / 4</f>
        <v>-36409</v>
      </c>
      <c r="AC215" s="28"/>
    </row>
    <row r="216" spans="1:29" ht="13">
      <c r="A216" s="27" t="s">
        <v>126</v>
      </c>
      <c r="B216" s="38">
        <f ca="1">IFERROR(__xludf.DUMMYFUNCTION("IMPORTRANGE(""https://docs.google.com/spreadsheets/d/1bozxp9FwhaCNzy-RRGPVPfVYTttO4PUGDdaFvbz-Ue0/edit?gid=1870218791#gid=1870218791"", ""Rev vs Mktg &amp; Mktg Mix!B"" &amp; ROW(A274))
"),850.458)</f>
        <v>850.45799999999997</v>
      </c>
      <c r="C216" s="55">
        <f ca="1">IFERROR(__xludf.DUMMYFUNCTION("IMPORTRANGE(""https://docs.google.com/spreadsheets/d/1bozxp9FwhaCNzy-RRGPVPfVYTttO4PUGDdaFvbz-Ue0/edit?gid=1870218791#gid=1870218791"", ""Rev vs Mktg &amp; Mktg Mix!C"" &amp; ROW(B274))
"),968)</f>
        <v>968</v>
      </c>
      <c r="D216" s="55">
        <f ca="1">IFERROR(__xludf.DUMMYFUNCTION("IMPORTRANGE(""https://docs.google.com/spreadsheets/d/1bozxp9FwhaCNzy-RRGPVPfVYTttO4PUGDdaFvbz-Ue0/edit?gid=1870218791#gid=1870218791"", ""Rev vs Mktg &amp; Mktg Mix!D"" &amp; ROW(C274))
"),465)</f>
        <v>465</v>
      </c>
      <c r="E216" s="55">
        <f ca="1">IFERROR(__xludf.DUMMYFUNCTION("IMPORTRANGE(""https://docs.google.com/spreadsheets/d/1bozxp9FwhaCNzy-RRGPVPfVYTttO4PUGDdaFvbz-Ue0/edit?gid=1870218791#gid=1870218791"", ""Rev vs Mktg &amp; Mktg Mix!E"" &amp; ROW(D274))
"),-154)</f>
        <v>-154</v>
      </c>
      <c r="F216" s="55">
        <f ca="1">IFERROR(__xludf.DUMMYFUNCTION("IMPORTRANGE(""https://docs.google.com/spreadsheets/d/1bozxp9FwhaCNzy-RRGPVPfVYTttO4PUGDdaFvbz-Ue0/edit?gid=1870218791#gid=1870218791"", ""Rev vs Mktg &amp; Mktg Mix!F"" &amp; ROW(E274))
"),3)</f>
        <v>3</v>
      </c>
      <c r="G216" s="56">
        <f ca="1">IFERROR(__xludf.DUMMYFUNCTION("IMPORTRANGE(""https://docs.google.com/spreadsheets/d/1bozxp9FwhaCNzy-RRGPVPfVYTttO4PUGDdaFvbz-Ue0/edit?gid=1870218791#gid=1870218791"", ""Rev vs Mktg &amp; Mktg Mix!G"" &amp; ROW(F274))
"),8.8)</f>
        <v>8.8000000000000007</v>
      </c>
      <c r="H216" s="62">
        <f ca="1">IFERROR(__xludf.DUMMYFUNCTION("IMPORTRANGE(""https://docs.google.com/spreadsheets/d/1bozxp9FwhaCNzy-RRGPVPfVYTttO4PUGDdaFvbz-Ue0/edit?gid=1870218791#gid=1870218791"", ""Rev vs Mktg &amp; Mktg Mix!H"" &amp; ROW(G274))
"),0.77)</f>
        <v>0.77</v>
      </c>
      <c r="I216" s="58">
        <f ca="1">IFERROR(__xludf.DUMMYFUNCTION("IMPORTRANGE(""https://docs.google.com/spreadsheets/d/1bozxp9FwhaCNzy-RRGPVPfVYTttO4PUGDdaFvbz-Ue0/edit?gid=1870218791#gid=1870218791"", ""Rev vs Mktg &amp; Mktg Mix!I"" &amp; ROW(K274))
"),-25.599)</f>
        <v>-25.599</v>
      </c>
      <c r="J216" s="58">
        <f ca="1">IFERROR(__xludf.DUMMYFUNCTION("IMPORTRANGE(""https://docs.google.com/spreadsheets/d/1bozxp9FwhaCNzy-RRGPVPfVYTttO4PUGDdaFvbz-Ue0/edit?gid=1870218791#gid=1870218791"", ""Rev vs Mktg &amp; Mktg Mix!J"" &amp; ROW(J274))
"),-8.59)</f>
        <v>-8.59</v>
      </c>
      <c r="K216" s="30">
        <f>VLOOKUP(VALUE(LEFT(A104, 4)), 'Raw Annual EBITDA'!A:K, 11, FALSE) / 4</f>
        <v>-363</v>
      </c>
      <c r="L216" s="58">
        <f ca="1">IFERROR(__xludf.DUMMYFUNCTION("IMPORTRANGE(""https://docs.google.com/spreadsheets/d/1bozxp9FwhaCNzy-RRGPVPfVYTttO4PUGDdaFvbz-Ue0/edit?gid=1870218791#gid=1870218791"", ""Rev vs Mktg &amp; Mktg Mix!L"" &amp; ROW(N274))
"),-18.0036165708)</f>
        <v>-18.003616570799998</v>
      </c>
      <c r="M216" s="28"/>
      <c r="N216" s="60">
        <f ca="1">IFERROR(__xludf.DUMMYFUNCTION("IMPORTRANGE(""https://docs.google.com/spreadsheets/d/1bozxp9FwhaCNzy-RRGPVPfVYTttO4PUGDdaFvbz-Ue0/edit?gid=1870218791#gid=1870218791"", ""Rev vs Mktg &amp; Mktg Mix!N"" &amp; ROW(N274))
"),-0.0322)</f>
        <v>-3.2199999999999999E-2</v>
      </c>
      <c r="O216" s="39">
        <f ca="1">IFERROR(__xludf.DUMMYFUNCTION("IMPORTRANGE(""https://docs.google.com/spreadsheets/d/1bozxp9FwhaCNzy-RRGPVPfVYTttO4PUGDdaFvbz-Ue0/edit?gid=1870218791#gid=1870218791"", ""Rev vs Mktg &amp; Mktg Mix!O"" &amp; ROW(O274))
"),-23.8225)</f>
        <v>-23.822500000000002</v>
      </c>
      <c r="P216" s="37">
        <f ca="1">IFERROR(__xludf.DUMMYFUNCTION("IMPORTRANGE(""https://docs.google.com/spreadsheets/d/1bozxp9FwhaCNzy-RRGPVPfVYTttO4PUGDdaFvbz-Ue0/edit?gid=1870218791#gid=1870218791"", ""Rev vs Mktg &amp; Mktg Mix!P"" &amp; ROW(P274))
"),0.65)</f>
        <v>0.65</v>
      </c>
      <c r="Q216" s="28"/>
      <c r="R216" s="30">
        <f>VLOOKUP(VALUE(LEFT(A216, 4)), 'Raw Annual EBITDA'!A:R, 18, FALSE) / 4</f>
        <v>-4656.0250000000005</v>
      </c>
      <c r="S216" s="30">
        <f>VLOOKUP(VALUE(LEFT(A219, 4)), 'Raw Annual EBITDA'!A:S, 19, FALSE) / 4</f>
        <v>4518</v>
      </c>
      <c r="T216" s="63" t="str">
        <f ca="1">IFERROR(__xludf.DUMMYFUNCTION("IMPORTRANGE(""https://docs.google.com/spreadsheets/d/1bozxp9FwhaCNzy-RRGPVPfVYTttO4PUGDdaFvbz-Ue0/edit?gid=1870218791#gid=1870218791"", ""Rev vs Mktg &amp; Mktg Mix!T"" &amp; ROW(Y274))
"),"")</f>
        <v/>
      </c>
      <c r="U216" s="30"/>
      <c r="V216" s="28"/>
      <c r="W216" s="30">
        <f>VLOOKUP(VALUE(LEFT($A218, 4)), 'Raw Annual EBITDA'!$A:W, 23, FALSE) / 4</f>
        <v>-80309.25</v>
      </c>
      <c r="X216" s="30">
        <f>VLOOKUP(VALUE(LEFT($A216, 4)), 'Raw Annual EBITDA'!$A:X, 24, FALSE) / 4</f>
        <v>-30772.592099999998</v>
      </c>
      <c r="Y216" s="30">
        <f>VLOOKUP(VALUE(LEFT($A216, 4)), 'Raw Annual EBITDA'!$A:Y, 25, FALSE) / 4</f>
        <v>-2654.25</v>
      </c>
      <c r="Z216" s="30">
        <f>VLOOKUP(VALUE(LEFT($A216, 4)), 'Raw Annual EBITDA'!$A:Z, 26, FALSE) / 4</f>
        <v>-737.25</v>
      </c>
      <c r="AA216" s="30">
        <f>VLOOKUP(VALUE(LEFT($A216, 4)), 'Raw Annual EBITDA'!$A:AA, 27, FALSE) / 4</f>
        <v>-9489.5</v>
      </c>
      <c r="AB216" s="30">
        <f>VLOOKUP(VALUE(LEFT($A216, 4)), 'Raw Annual EBITDA'!$A:AB, 28, FALSE) / 4</f>
        <v>-36409</v>
      </c>
      <c r="AC216" s="28"/>
    </row>
    <row r="217" spans="1:29" ht="13">
      <c r="A217" s="27" t="s">
        <v>127</v>
      </c>
      <c r="B217" s="38">
        <f ca="1">IFERROR(__xludf.DUMMYFUNCTION("IMPORTRANGE(""https://docs.google.com/spreadsheets/d/1bozxp9FwhaCNzy-RRGPVPfVYTttO4PUGDdaFvbz-Ue0/edit?gid=1870218791#gid=1870218791"", ""Rev vs Mktg &amp; Mktg Mix!B"" &amp; ROW(A275))
"),72.221)</f>
        <v>72.221000000000004</v>
      </c>
      <c r="C217" s="55">
        <f ca="1">IFERROR(__xludf.DUMMYFUNCTION("IMPORTRANGE(""https://docs.google.com/spreadsheets/d/1bozxp9FwhaCNzy-RRGPVPfVYTttO4PUGDdaFvbz-Ue0/edit?gid=1870218791#gid=1870218791"", ""Rev vs Mktg &amp; Mktg Mix!C"" &amp; ROW(B275))
"),816)</f>
        <v>816</v>
      </c>
      <c r="D217" s="55">
        <f ca="1">IFERROR(__xludf.DUMMYFUNCTION("IMPORTRANGE(""https://docs.google.com/spreadsheets/d/1bozxp9FwhaCNzy-RRGPVPfVYTttO4PUGDdaFvbz-Ue0/edit?gid=1870218791#gid=1870218791"", ""Rev vs Mktg &amp; Mktg Mix!D"" &amp; ROW(C275))
"),471)</f>
        <v>471</v>
      </c>
      <c r="E217" s="55">
        <f ca="1">IFERROR(__xludf.DUMMYFUNCTION("IMPORTRANGE(""https://docs.google.com/spreadsheets/d/1bozxp9FwhaCNzy-RRGPVPfVYTttO4PUGDdaFvbz-Ue0/edit?gid=1870218791#gid=1870218791"", ""Rev vs Mktg &amp; Mktg Mix!E"" &amp; ROW(D275))
"),-116)</f>
        <v>-116</v>
      </c>
      <c r="F217" s="55">
        <f ca="1">IFERROR(__xludf.DUMMYFUNCTION("IMPORTRANGE(""https://docs.google.com/spreadsheets/d/1bozxp9FwhaCNzy-RRGPVPfVYTttO4PUGDdaFvbz-Ue0/edit?gid=1870218791#gid=1870218791"", ""Rev vs Mktg &amp; Mktg Mix!F"" &amp; ROW(E275))
"),-47)</f>
        <v>-47</v>
      </c>
      <c r="G217" s="56">
        <f ca="1">IFERROR(__xludf.DUMMYFUNCTION("IMPORTRANGE(""https://docs.google.com/spreadsheets/d/1bozxp9FwhaCNzy-RRGPVPfVYTttO4PUGDdaFvbz-Ue0/edit?gid=1870218791#gid=1870218791"", ""Rev vs Mktg &amp; Mktg Mix!G"" &amp; ROW(F275))
"),25.744)</f>
        <v>25.744</v>
      </c>
      <c r="H217" s="62">
        <f ca="1">IFERROR(__xludf.DUMMYFUNCTION("IMPORTRANGE(""https://docs.google.com/spreadsheets/d/1bozxp9FwhaCNzy-RRGPVPfVYTttO4PUGDdaFvbz-Ue0/edit?gid=1870218791#gid=1870218791"", ""Rev vs Mktg &amp; Mktg Mix!H"" &amp; ROW(G275))
"),-4.62)</f>
        <v>-4.62</v>
      </c>
      <c r="I217" s="58">
        <f ca="1">IFERROR(__xludf.DUMMYFUNCTION("IMPORTRANGE(""https://docs.google.com/spreadsheets/d/1bozxp9FwhaCNzy-RRGPVPfVYTttO4PUGDdaFvbz-Ue0/edit?gid=1870218791#gid=1870218791"", ""Rev vs Mktg &amp; Mktg Mix!I"" &amp; ROW(K275))
"),-5.456)</f>
        <v>-5.4560000000000004</v>
      </c>
      <c r="J217" s="58">
        <f ca="1">IFERROR(__xludf.DUMMYFUNCTION("IMPORTRANGE(""https://docs.google.com/spreadsheets/d/1bozxp9FwhaCNzy-RRGPVPfVYTttO4PUGDdaFvbz-Ue0/edit?gid=1870218791#gid=1870218791"", ""Rev vs Mktg &amp; Mktg Mix!J"" &amp; ROW(J275))
"),-9.588)</f>
        <v>-9.5879999999999992</v>
      </c>
      <c r="K217" s="30">
        <f>VLOOKUP(VALUE(LEFT(A105, 4)), 'Raw Annual EBITDA'!A:K, 11, FALSE) / 4</f>
        <v>-363</v>
      </c>
      <c r="L217" s="58">
        <f ca="1">IFERROR(__xludf.DUMMYFUNCTION("IMPORTRANGE(""https://docs.google.com/spreadsheets/d/1bozxp9FwhaCNzy-RRGPVPfVYTttO4PUGDdaFvbz-Ue0/edit?gid=1870218791#gid=1870218791"", ""Rev vs Mktg &amp; Mktg Mix!L"" &amp; ROW(N275))
"),-10.7993718861)</f>
        <v>-10.799371886099999</v>
      </c>
      <c r="M217" s="28"/>
      <c r="N217" s="60">
        <f ca="1">IFERROR(__xludf.DUMMYFUNCTION("IMPORTRANGE(""https://docs.google.com/spreadsheets/d/1bozxp9FwhaCNzy-RRGPVPfVYTttO4PUGDdaFvbz-Ue0/edit?gid=1870218791#gid=1870218791"", ""Rev vs Mktg &amp; Mktg Mix!N"" &amp; ROW(N275))
"),0.7195)</f>
        <v>0.71950000000000003</v>
      </c>
      <c r="O217" s="39">
        <f ca="1">IFERROR(__xludf.DUMMYFUNCTION("IMPORTRANGE(""https://docs.google.com/spreadsheets/d/1bozxp9FwhaCNzy-RRGPVPfVYTttO4PUGDdaFvbz-Ue0/edit?gid=1870218791#gid=1870218791"", ""Rev vs Mktg &amp; Mktg Mix!O"" &amp; ROW(O275))
"),-10.27)</f>
        <v>-10.27</v>
      </c>
      <c r="P217" s="37">
        <f ca="1">IFERROR(__xludf.DUMMYFUNCTION("IMPORTRANGE(""https://docs.google.com/spreadsheets/d/1bozxp9FwhaCNzy-RRGPVPfVYTttO4PUGDdaFvbz-Ue0/edit?gid=1870218791#gid=1870218791"", ""Rev vs Mktg &amp; Mktg Mix!P"" &amp; ROW(P275))
"),2.405)</f>
        <v>2.4049999999999998</v>
      </c>
      <c r="Q217" s="28"/>
      <c r="R217" s="30">
        <f>VLOOKUP(VALUE(LEFT(A217, 4)), 'Raw Annual EBITDA'!A:R, 18, FALSE) / 4</f>
        <v>-4656.0250000000005</v>
      </c>
      <c r="S217" s="30">
        <f>VLOOKUP(VALUE(LEFT(A220, 4)), 'Raw Annual EBITDA'!A:S, 19, FALSE) / 4</f>
        <v>4518</v>
      </c>
      <c r="T217" s="63" t="str">
        <f ca="1">IFERROR(__xludf.DUMMYFUNCTION("IMPORTRANGE(""https://docs.google.com/spreadsheets/d/1bozxp9FwhaCNzy-RRGPVPfVYTttO4PUGDdaFvbz-Ue0/edit?gid=1870218791#gid=1870218791"", ""Rev vs Mktg &amp; Mktg Mix!T"" &amp; ROW(Y275))
"),"")</f>
        <v/>
      </c>
      <c r="U217" s="30"/>
      <c r="V217" s="28"/>
      <c r="W217" s="30">
        <f>VLOOKUP(VALUE(LEFT($A219, 4)), 'Raw Annual EBITDA'!$A:W, 23, FALSE) / 4</f>
        <v>-80309.25</v>
      </c>
      <c r="X217" s="30">
        <f>VLOOKUP(VALUE(LEFT($A217, 4)), 'Raw Annual EBITDA'!$A:X, 24, FALSE) / 4</f>
        <v>-30772.592099999998</v>
      </c>
      <c r="Y217" s="30">
        <f>VLOOKUP(VALUE(LEFT($A217, 4)), 'Raw Annual EBITDA'!$A:Y, 25, FALSE) / 4</f>
        <v>-2654.25</v>
      </c>
      <c r="Z217" s="30">
        <f>VLOOKUP(VALUE(LEFT($A217, 4)), 'Raw Annual EBITDA'!$A:Z, 26, FALSE) / 4</f>
        <v>-737.25</v>
      </c>
      <c r="AA217" s="30">
        <f>VLOOKUP(VALUE(LEFT($A217, 4)), 'Raw Annual EBITDA'!$A:AA, 27, FALSE) / 4</f>
        <v>-9489.5</v>
      </c>
      <c r="AB217" s="30">
        <f>VLOOKUP(VALUE(LEFT($A217, 4)), 'Raw Annual EBITDA'!$A:AB, 28, FALSE) / 4</f>
        <v>-36409</v>
      </c>
      <c r="AC217" s="28"/>
    </row>
    <row r="218" spans="1:29" ht="13">
      <c r="A218" s="27" t="s">
        <v>128</v>
      </c>
      <c r="B218" s="38">
        <f ca="1">IFERROR(__xludf.DUMMYFUNCTION("IMPORTRANGE(""https://docs.google.com/spreadsheets/d/1bozxp9FwhaCNzy-RRGPVPfVYTttO4PUGDdaFvbz-Ue0/edit?gid=1870218791#gid=1870218791"", ""Rev vs Mktg &amp; Mktg Mix!B"" &amp; ROW(A276))
"),-8.086)</f>
        <v>-8.0860000000000003</v>
      </c>
      <c r="C218" s="55">
        <f ca="1">IFERROR(__xludf.DUMMYFUNCTION("IMPORTRANGE(""https://docs.google.com/spreadsheets/d/1bozxp9FwhaCNzy-RRGPVPfVYTttO4PUGDdaFvbz-Ue0/edit?gid=1870218791#gid=1870218791"", ""Rev vs Mktg &amp; Mktg Mix!C"" &amp; ROW(B276))
"),-849)</f>
        <v>-849</v>
      </c>
      <c r="D218" s="55">
        <f ca="1">IFERROR(__xludf.DUMMYFUNCTION("IMPORTRANGE(""https://docs.google.com/spreadsheets/d/1bozxp9FwhaCNzy-RRGPVPfVYTttO4PUGDdaFvbz-Ue0/edit?gid=1870218791#gid=1870218791"", ""Rev vs Mktg &amp; Mktg Mix!D"" &amp; ROW(C276))
"),-208)</f>
        <v>-208</v>
      </c>
      <c r="E218" s="55">
        <f ca="1">IFERROR(__xludf.DUMMYFUNCTION("IMPORTRANGE(""https://docs.google.com/spreadsheets/d/1bozxp9FwhaCNzy-RRGPVPfVYTttO4PUGDdaFvbz-Ue0/edit?gid=1870218791#gid=1870218791"", ""Rev vs Mktg &amp; Mktg Mix!E"" &amp; ROW(D276))
"),-128)</f>
        <v>-128</v>
      </c>
      <c r="F218" s="55">
        <f ca="1">IFERROR(__xludf.DUMMYFUNCTION("IMPORTRANGE(""https://docs.google.com/spreadsheets/d/1bozxp9FwhaCNzy-RRGPVPfVYTttO4PUGDdaFvbz-Ue0/edit?gid=1870218791#gid=1870218791"", ""Rev vs Mktg &amp; Mktg Mix!F"" &amp; ROW(E276))
"),-33)</f>
        <v>-33</v>
      </c>
      <c r="G218" s="56">
        <f ca="1">IFERROR(__xludf.DUMMYFUNCTION("IMPORTRANGE(""https://docs.google.com/spreadsheets/d/1bozxp9FwhaCNzy-RRGPVPfVYTttO4PUGDdaFvbz-Ue0/edit?gid=1870218791#gid=1870218791"", ""Rev vs Mktg &amp; Mktg Mix!G"" &amp; ROW(F276))
"),-4.626)</f>
        <v>-4.6260000000000003</v>
      </c>
      <c r="H218" s="62">
        <f ca="1">IFERROR(__xludf.DUMMYFUNCTION("IMPORTRANGE(""https://docs.google.com/spreadsheets/d/1bozxp9FwhaCNzy-RRGPVPfVYTttO4PUGDdaFvbz-Ue0/edit?gid=1870218791#gid=1870218791"", ""Rev vs Mktg &amp; Mktg Mix!H"" &amp; ROW(G276))
"),-0.22)</f>
        <v>-0.22</v>
      </c>
      <c r="I218" s="58">
        <f ca="1">IFERROR(__xludf.DUMMYFUNCTION("IMPORTRANGE(""https://docs.google.com/spreadsheets/d/1bozxp9FwhaCNzy-RRGPVPfVYTttO4PUGDdaFvbz-Ue0/edit?gid=1870218791#gid=1870218791"", ""Rev vs Mktg &amp; Mktg Mix!I"" &amp; ROW(K276))
"),-11.825)</f>
        <v>-11.824999999999999</v>
      </c>
      <c r="J218" s="58">
        <f ca="1">IFERROR(__xludf.DUMMYFUNCTION("IMPORTRANGE(""https://docs.google.com/spreadsheets/d/1bozxp9FwhaCNzy-RRGPVPfVYTttO4PUGDdaFvbz-Ue0/edit?gid=1870218791#gid=1870218791"", ""Rev vs Mktg &amp; Mktg Mix!J"" &amp; ROW(J276))
"),-3.5)</f>
        <v>-3.5</v>
      </c>
      <c r="K218" s="30">
        <f>VLOOKUP(VALUE(LEFT(A106, 4)), 'Raw Annual EBITDA'!A:K, 11, FALSE) / 4</f>
        <v>-363</v>
      </c>
      <c r="L218" s="58">
        <f ca="1">IFERROR(__xludf.DUMMYFUNCTION("IMPORTRANGE(""https://docs.google.com/spreadsheets/d/1bozxp9FwhaCNzy-RRGPVPfVYTttO4PUGDdaFvbz-Ue0/edit?gid=1870218791#gid=1870218791"", ""Rev vs Mktg &amp; Mktg Mix!L"" &amp; ROW(N276))
"),-15.1861281621)</f>
        <v>-15.186128162099999</v>
      </c>
      <c r="M218" s="63">
        <f ca="1">IFERROR(__xludf.DUMMYFUNCTION("IMPORTRANGE(""https://docs.google.com/spreadsheets/d/1bozxp9FwhaCNzy-RRGPVPfVYTttO4PUGDdaFvbz-Ue0/edit?gid=1870218791#gid=1870218791"", ""Rev vs Mktg &amp; Mktg Mix!M"" &amp; ROW(M276))
"),-8.5344)</f>
        <v>-8.5343999999999998</v>
      </c>
      <c r="N218" s="60">
        <f ca="1">IFERROR(__xludf.DUMMYFUNCTION("IMPORTRANGE(""https://docs.google.com/spreadsheets/d/1bozxp9FwhaCNzy-RRGPVPfVYTttO4PUGDdaFvbz-Ue0/edit?gid=1870218791#gid=1870218791"", ""Rev vs Mktg &amp; Mktg Mix!N"" &amp; ROW(N276))
"),0.6324)</f>
        <v>0.63239999999999996</v>
      </c>
      <c r="O218" s="39">
        <f ca="1">IFERROR(__xludf.DUMMYFUNCTION("IMPORTRANGE(""https://docs.google.com/spreadsheets/d/1bozxp9FwhaCNzy-RRGPVPfVYTttO4PUGDdaFvbz-Ue0/edit?gid=1870218791#gid=1870218791"", ""Rev vs Mktg &amp; Mktg Mix!O"" &amp; ROW(O276))
"),-10.27)</f>
        <v>-10.27</v>
      </c>
      <c r="P218" s="37">
        <f ca="1">IFERROR(__xludf.DUMMYFUNCTION("IMPORTRANGE(""https://docs.google.com/spreadsheets/d/1bozxp9FwhaCNzy-RRGPVPfVYTttO4PUGDdaFvbz-Ue0/edit?gid=1870218791#gid=1870218791"", ""Rev vs Mktg &amp; Mktg Mix!P"" &amp; ROW(P276))
"),2.405)</f>
        <v>2.4049999999999998</v>
      </c>
      <c r="Q218" s="28"/>
      <c r="R218" s="30">
        <f>VLOOKUP(VALUE(LEFT(A218, 4)), 'Raw Annual EBITDA'!A:R, 18, FALSE) / 4</f>
        <v>-3798.0250000000001</v>
      </c>
      <c r="S218" s="30">
        <f>VLOOKUP(VALUE(LEFT(A221, 4)), 'Raw Annual EBITDA'!A:S, 19, FALSE) / 4</f>
        <v>4518</v>
      </c>
      <c r="T218" s="63" t="str">
        <f ca="1">IFERROR(__xludf.DUMMYFUNCTION("IMPORTRANGE(""https://docs.google.com/spreadsheets/d/1bozxp9FwhaCNzy-RRGPVPfVYTttO4PUGDdaFvbz-Ue0/edit?gid=1870218791#gid=1870218791"", ""Rev vs Mktg &amp; Mktg Mix!T"" &amp; ROW(Y276))
"),"")</f>
        <v/>
      </c>
      <c r="U218" s="28"/>
      <c r="V218" s="28"/>
      <c r="W218" s="30">
        <f>VLOOKUP(VALUE(LEFT($A220, 4)), 'Raw Annual EBITDA'!$A:W, 23, FALSE) / 4</f>
        <v>-80309.25</v>
      </c>
      <c r="X218" s="30">
        <f>VLOOKUP(VALUE(LEFT($A218, 4)), 'Raw Annual EBITDA'!$A:X, 24, FALSE) / 4</f>
        <v>9524.6689999999999</v>
      </c>
      <c r="Y218" s="30">
        <f>VLOOKUP(VALUE(LEFT($A218, 4)), 'Raw Annual EBITDA'!$A:Y, 25, FALSE) / 4</f>
        <v>10098.25</v>
      </c>
      <c r="Z218" s="30">
        <f>VLOOKUP(VALUE(LEFT($A218, 4)), 'Raw Annual EBITDA'!$A:Z, 26, FALSE) / 4</f>
        <v>2692</v>
      </c>
      <c r="AA218" s="30">
        <f>VLOOKUP(VALUE(LEFT($A218, 4)), 'Raw Annual EBITDA'!$A:AA, 27, FALSE) / 4</f>
        <v>-19327.75</v>
      </c>
      <c r="AB218" s="30">
        <f>VLOOKUP(VALUE(LEFT($A218, 4)), 'Raw Annual EBITDA'!$A:AB, 28, FALSE) / 4</f>
        <v>-24084.5</v>
      </c>
      <c r="AC218" s="28"/>
    </row>
    <row r="219" spans="1:29" ht="13">
      <c r="A219" s="27" t="s">
        <v>129</v>
      </c>
      <c r="B219" s="38">
        <f ca="1">IFERROR(__xludf.DUMMYFUNCTION("IMPORTRANGE(""https://docs.google.com/spreadsheets/d/1bozxp9FwhaCNzy-RRGPVPfVYTttO4PUGDdaFvbz-Ue0/edit?gid=1870218791#gid=1870218791"", ""Rev vs Mktg &amp; Mktg Mix!B"" &amp; ROW(A277))
"),383.111)</f>
        <v>383.11099999999999</v>
      </c>
      <c r="C219" s="55">
        <f ca="1">IFERROR(__xludf.DUMMYFUNCTION("IMPORTRANGE(""https://docs.google.com/spreadsheets/d/1bozxp9FwhaCNzy-RRGPVPfVYTttO4PUGDdaFvbz-Ue0/edit?gid=1870218791#gid=1870218791"", ""Rev vs Mktg &amp; Mktg Mix!C"" &amp; ROW(B277))
"),1144)</f>
        <v>1144</v>
      </c>
      <c r="D219" s="55">
        <f ca="1">IFERROR(__xludf.DUMMYFUNCTION("IMPORTRANGE(""https://docs.google.com/spreadsheets/d/1bozxp9FwhaCNzy-RRGPVPfVYTttO4PUGDdaFvbz-Ue0/edit?gid=1870218791#gid=1870218791"", ""Rev vs Mktg &amp; Mktg Mix!D"" &amp; ROW(C277))
"),-127)</f>
        <v>-127</v>
      </c>
      <c r="E219" s="55">
        <f ca="1">IFERROR(__xludf.DUMMYFUNCTION("IMPORTRANGE(""https://docs.google.com/spreadsheets/d/1bozxp9FwhaCNzy-RRGPVPfVYTttO4PUGDdaFvbz-Ue0/edit?gid=1870218791#gid=1870218791"", ""Rev vs Mktg &amp; Mktg Mix!E"" &amp; ROW(D277))
"),74)</f>
        <v>74</v>
      </c>
      <c r="F219" s="55">
        <f ca="1">IFERROR(__xludf.DUMMYFUNCTION("IMPORTRANGE(""https://docs.google.com/spreadsheets/d/1bozxp9FwhaCNzy-RRGPVPfVYTttO4PUGDdaFvbz-Ue0/edit?gid=1870218791#gid=1870218791"", ""Rev vs Mktg &amp; Mktg Mix!F"" &amp; ROW(E277))
"),53)</f>
        <v>53</v>
      </c>
      <c r="G219" s="56">
        <f ca="1">IFERROR(__xludf.DUMMYFUNCTION("IMPORTRANGE(""https://docs.google.com/spreadsheets/d/1bozxp9FwhaCNzy-RRGPVPfVYTttO4PUGDdaFvbz-Ue0/edit?gid=1870218791#gid=1870218791"", ""Rev vs Mktg &amp; Mktg Mix!G"" &amp; ROW(F277))
"),-59.54)</f>
        <v>-59.54</v>
      </c>
      <c r="H219" s="62">
        <f ca="1">IFERROR(__xludf.DUMMYFUNCTION("IMPORTRANGE(""https://docs.google.com/spreadsheets/d/1bozxp9FwhaCNzy-RRGPVPfVYTttO4PUGDdaFvbz-Ue0/edit?gid=1870218791#gid=1870218791"", ""Rev vs Mktg &amp; Mktg Mix!H"" &amp; ROW(G277))
"),-1.98)</f>
        <v>-1.98</v>
      </c>
      <c r="I219" s="58">
        <f ca="1">IFERROR(__xludf.DUMMYFUNCTION("IMPORTRANGE(""https://docs.google.com/spreadsheets/d/1bozxp9FwhaCNzy-RRGPVPfVYTttO4PUGDdaFvbz-Ue0/edit?gid=1870218791#gid=1870218791"", ""Rev vs Mktg &amp; Mktg Mix!I"" &amp; ROW(K277))
"),-11.899)</f>
        <v>-11.898999999999999</v>
      </c>
      <c r="J219" s="58">
        <f ca="1">IFERROR(__xludf.DUMMYFUNCTION("IMPORTRANGE(""https://docs.google.com/spreadsheets/d/1bozxp9FwhaCNzy-RRGPVPfVYTttO4PUGDdaFvbz-Ue0/edit?gid=1870218791#gid=1870218791"", ""Rev vs Mktg &amp; Mktg Mix!J"" &amp; ROW(J277))
"),-10.123)</f>
        <v>-10.122999999999999</v>
      </c>
      <c r="K219" s="30">
        <f>VLOOKUP(VALUE(LEFT(A107, 4)), 'Raw Annual EBITDA'!A:K, 11, FALSE) / 4</f>
        <v>1191</v>
      </c>
      <c r="L219" s="58">
        <f ca="1">IFERROR(__xludf.DUMMYFUNCTION("IMPORTRANGE(""https://docs.google.com/spreadsheets/d/1bozxp9FwhaCNzy-RRGPVPfVYTttO4PUGDdaFvbz-Ue0/edit?gid=1870218791#gid=1870218791"", ""Rev vs Mktg &amp; Mktg Mix!L"" &amp; ROW(N277))
"),-16.7269076688)</f>
        <v>-16.726907668799999</v>
      </c>
      <c r="M219" s="63">
        <f ca="1">IFERROR(__xludf.DUMMYFUNCTION("IMPORTRANGE(""https://docs.google.com/spreadsheets/d/1bozxp9FwhaCNzy-RRGPVPfVYTttO4PUGDdaFvbz-Ue0/edit?gid=1870218791#gid=1870218791"", ""Rev vs Mktg &amp; Mktg Mix!M"" &amp; ROW(M277))
"),-13.84173)</f>
        <v>-13.84173</v>
      </c>
      <c r="N219" s="60">
        <f ca="1">IFERROR(__xludf.DUMMYFUNCTION("IMPORTRANGE(""https://docs.google.com/spreadsheets/d/1bozxp9FwhaCNzy-RRGPVPfVYTttO4PUGDdaFvbz-Ue0/edit?gid=1870218791#gid=1870218791"", ""Rev vs Mktg &amp; Mktg Mix!N"" &amp; ROW(N277))
"),1.688)</f>
        <v>1.6879999999999999</v>
      </c>
      <c r="O219" s="39">
        <f ca="1">IFERROR(__xludf.DUMMYFUNCTION("IMPORTRANGE(""https://docs.google.com/spreadsheets/d/1bozxp9FwhaCNzy-RRGPVPfVYTttO4PUGDdaFvbz-Ue0/edit?gid=1870218791#gid=1870218791"", ""Rev vs Mktg &amp; Mktg Mix!O"" &amp; ROW(O277))
"),1.365)</f>
        <v>1.365</v>
      </c>
      <c r="P219" s="37">
        <f ca="1">IFERROR(__xludf.DUMMYFUNCTION("IMPORTRANGE(""https://docs.google.com/spreadsheets/d/1bozxp9FwhaCNzy-RRGPVPfVYTttO4PUGDdaFvbz-Ue0/edit?gid=1870218791#gid=1870218791"", ""Rev vs Mktg &amp; Mktg Mix!P"" &amp; ROW(P277))
"),6.955)</f>
        <v>6.9550000000000001</v>
      </c>
      <c r="Q219" s="28"/>
      <c r="R219" s="30">
        <f>VLOOKUP(VALUE(LEFT(A219, 4)), 'Raw Annual EBITDA'!A:R, 18, FALSE) / 4</f>
        <v>-3798.0250000000001</v>
      </c>
      <c r="S219" s="50">
        <f ca="1">IFERROR(__xludf.DUMMYFUNCTION("IMPORTRANGE(""https://docs.google.com/spreadsheets/d/1bozxp9FwhaCNzy-RRGPVPfVYTttO4PUGDdaFvbz-Ue0/edit?gid=1870218791#gid=1870218791"", ""Rev vs Mktg &amp; Mktg Mix!T"" &amp; ROW(X277))*1000
"),5487.92682926829)</f>
        <v>5487.92682926829</v>
      </c>
      <c r="T219" s="64">
        <f ca="1">IFERROR(__xludf.DUMMYFUNCTION("IMPORTRANGE(""https://docs.google.com/spreadsheets/d/1bozxp9FwhaCNzy-RRGPVPfVYTttO4PUGDdaFvbz-Ue0/edit?gid=1870218791#gid=1870218791"", ""Rev vs Mktg &amp; Mktg Mix!u"" &amp; ROW(Y277))
"),0.022)</f>
        <v>2.1999999999999999E-2</v>
      </c>
      <c r="U219" s="28"/>
      <c r="V219" s="28"/>
      <c r="W219" s="30">
        <f>VLOOKUP(VALUE(LEFT($A221, 4)), 'Raw Annual EBITDA'!$A:W, 23, FALSE) / 4</f>
        <v>-80309.25</v>
      </c>
      <c r="X219" s="30">
        <f>VLOOKUP(VALUE(LEFT($A219, 4)), 'Raw Annual EBITDA'!$A:X, 24, FALSE) / 4</f>
        <v>9524.6689999999999</v>
      </c>
      <c r="Y219" s="30">
        <f>VLOOKUP(VALUE(LEFT($A219, 4)), 'Raw Annual EBITDA'!$A:Y, 25, FALSE) / 4</f>
        <v>10098.25</v>
      </c>
      <c r="Z219" s="30">
        <f>VLOOKUP(VALUE(LEFT($A219, 4)), 'Raw Annual EBITDA'!$A:Z, 26, FALSE) / 4</f>
        <v>2692</v>
      </c>
      <c r="AA219" s="30">
        <f>VLOOKUP(VALUE(LEFT($A219, 4)), 'Raw Annual EBITDA'!$A:AA, 27, FALSE) / 4</f>
        <v>-19327.75</v>
      </c>
      <c r="AB219" s="30">
        <f>VLOOKUP(VALUE(LEFT($A219, 4)), 'Raw Annual EBITDA'!$A:AB, 28, FALSE) / 4</f>
        <v>-24084.5</v>
      </c>
      <c r="AC219" s="28"/>
    </row>
    <row r="220" spans="1:29" ht="13">
      <c r="A220" s="27" t="s">
        <v>130</v>
      </c>
      <c r="B220" s="38">
        <f ca="1">IFERROR(__xludf.DUMMYFUNCTION("IMPORTRANGE(""https://docs.google.com/spreadsheets/d/1bozxp9FwhaCNzy-RRGPVPfVYTttO4PUGDdaFvbz-Ue0/edit?gid=1870218791#gid=1870218791"", ""Rev vs Mktg &amp; Mktg Mix!B"" &amp; ROW(A278))
"),1269.899)</f>
        <v>1269.8989999999999</v>
      </c>
      <c r="C220" s="55">
        <f ca="1">IFERROR(__xludf.DUMMYFUNCTION("IMPORTRANGE(""https://docs.google.com/spreadsheets/d/1bozxp9FwhaCNzy-RRGPVPfVYTttO4PUGDdaFvbz-Ue0/edit?gid=1870218791#gid=1870218791"", ""Rev vs Mktg &amp; Mktg Mix!C"" &amp; ROW(B278))
"),2176)</f>
        <v>2176</v>
      </c>
      <c r="D220" s="55">
        <f ca="1">IFERROR(__xludf.DUMMYFUNCTION("IMPORTRANGE(""https://docs.google.com/spreadsheets/d/1bozxp9FwhaCNzy-RRGPVPfVYTttO4PUGDdaFvbz-Ue0/edit?gid=1870218791#gid=1870218791"", ""Rev vs Mktg &amp; Mktg Mix!D"" &amp; ROW(C278))
"),690)</f>
        <v>690</v>
      </c>
      <c r="E220" s="55">
        <f ca="1">IFERROR(__xludf.DUMMYFUNCTION("IMPORTRANGE(""https://docs.google.com/spreadsheets/d/1bozxp9FwhaCNzy-RRGPVPfVYTttO4PUGDdaFvbz-Ue0/edit?gid=1870218791#gid=1870218791"", ""Rev vs Mktg &amp; Mktg Mix!E"" &amp; ROW(D278))
"),59)</f>
        <v>59</v>
      </c>
      <c r="F220" s="55">
        <f ca="1">IFERROR(__xludf.DUMMYFUNCTION("IMPORTRANGE(""https://docs.google.com/spreadsheets/d/1bozxp9FwhaCNzy-RRGPVPfVYTttO4PUGDdaFvbz-Ue0/edit?gid=1870218791#gid=1870218791"", ""Rev vs Mktg &amp; Mktg Mix!F"" &amp; ROW(E278))
"),62)</f>
        <v>62</v>
      </c>
      <c r="G220" s="56">
        <f ca="1">IFERROR(__xludf.DUMMYFUNCTION("IMPORTRANGE(""https://docs.google.com/spreadsheets/d/1bozxp9FwhaCNzy-RRGPVPfVYTttO4PUGDdaFvbz-Ue0/edit?gid=1870218791#gid=1870218791"", ""Rev vs Mktg &amp; Mktg Mix!G"" &amp; ROW(F278))
"),-73)</f>
        <v>-73</v>
      </c>
      <c r="H220" s="62">
        <f ca="1">IFERROR(__xludf.DUMMYFUNCTION("IMPORTRANGE(""https://docs.google.com/spreadsheets/d/1bozxp9FwhaCNzy-RRGPVPfVYTttO4PUGDdaFvbz-Ue0/edit?gid=1870218791#gid=1870218791"", ""Rev vs Mktg &amp; Mktg Mix!H"" &amp; ROW(G278))
"),3.19)</f>
        <v>3.19</v>
      </c>
      <c r="I220" s="58">
        <f ca="1">IFERROR(__xludf.DUMMYFUNCTION("IMPORTRANGE(""https://docs.google.com/spreadsheets/d/1bozxp9FwhaCNzy-RRGPVPfVYTttO4PUGDdaFvbz-Ue0/edit?gid=1870218791#gid=1870218791"", ""Rev vs Mktg &amp; Mktg Mix!I"" &amp; ROW(K278))
"),-14.054)</f>
        <v>-14.054</v>
      </c>
      <c r="J220" s="58">
        <f ca="1">IFERROR(__xludf.DUMMYFUNCTION("IMPORTRANGE(""https://docs.google.com/spreadsheets/d/1bozxp9FwhaCNzy-RRGPVPfVYTttO4PUGDdaFvbz-Ue0/edit?gid=1870218791#gid=1870218791"", ""Rev vs Mktg &amp; Mktg Mix!J"" &amp; ROW(J278))
"),-7.17)</f>
        <v>-7.17</v>
      </c>
      <c r="K220" s="30">
        <f>VLOOKUP(VALUE(LEFT(A108, 4)), 'Raw Annual EBITDA'!A:K, 11, FALSE) / 4</f>
        <v>1191</v>
      </c>
      <c r="L220" s="58">
        <f ca="1">IFERROR(__xludf.DUMMYFUNCTION("IMPORTRANGE(""https://docs.google.com/spreadsheets/d/1bozxp9FwhaCNzy-RRGPVPfVYTttO4PUGDdaFvbz-Ue0/edit?gid=1870218791#gid=1870218791"", ""Rev vs Mktg &amp; Mktg Mix!L"" &amp; ROW(N278))
"),15.9964646415)</f>
        <v>15.996464641499999</v>
      </c>
      <c r="M220" s="63">
        <f ca="1">IFERROR(__xludf.DUMMYFUNCTION("IMPORTRANGE(""https://docs.google.com/spreadsheets/d/1bozxp9FwhaCNzy-RRGPVPfVYTttO4PUGDdaFvbz-Ue0/edit?gid=1870218791#gid=1870218791"", ""Rev vs Mktg &amp; Mktg Mix!M"" &amp; ROW(M278))
"),-2.77368)</f>
        <v>-2.7736800000000001</v>
      </c>
      <c r="N220" s="60">
        <f ca="1">IFERROR(__xludf.DUMMYFUNCTION("IMPORTRANGE(""https://docs.google.com/spreadsheets/d/1bozxp9FwhaCNzy-RRGPVPfVYTttO4PUGDdaFvbz-Ue0/edit?gid=1870218791#gid=1870218791"", ""Rev vs Mktg &amp; Mktg Mix!N"" &amp; ROW(N278))
"),1.8974)</f>
        <v>1.8974</v>
      </c>
      <c r="O220" s="39">
        <f ca="1">IFERROR(__xludf.DUMMYFUNCTION("IMPORTRANGE(""https://docs.google.com/spreadsheets/d/1bozxp9FwhaCNzy-RRGPVPfVYTttO4PUGDdaFvbz-Ue0/edit?gid=1870218791#gid=1870218791"", ""Rev vs Mktg &amp; Mktg Mix!O"" &amp; ROW(O278))
"),1.365)</f>
        <v>1.365</v>
      </c>
      <c r="P220" s="37">
        <f ca="1">IFERROR(__xludf.DUMMYFUNCTION("IMPORTRANGE(""https://docs.google.com/spreadsheets/d/1bozxp9FwhaCNzy-RRGPVPfVYTttO4PUGDdaFvbz-Ue0/edit?gid=1870218791#gid=1870218791"", ""Rev vs Mktg &amp; Mktg Mix!P"" &amp; ROW(P278))
"),6.955)</f>
        <v>6.9550000000000001</v>
      </c>
      <c r="Q220" s="28"/>
      <c r="R220" s="30">
        <f>VLOOKUP(VALUE(LEFT(A220, 4)), 'Raw Annual EBITDA'!A:R, 18, FALSE) / 4</f>
        <v>-3798.0250000000001</v>
      </c>
      <c r="S220" s="50">
        <f ca="1">IFERROR(__xludf.DUMMYFUNCTION("IMPORTRANGE(""https://docs.google.com/spreadsheets/d/1bozxp9FwhaCNzy-RRGPVPfVYTttO4PUGDdaFvbz-Ue0/edit?gid=1870218791#gid=1870218791"", ""Rev vs Mktg &amp; Mktg Mix!T"" &amp; ROW(X278))*1000
"),5034.63414634146)</f>
        <v>5034.6341463414601</v>
      </c>
      <c r="T220" s="64">
        <f ca="1">IFERROR(__xludf.DUMMYFUNCTION("IMPORTRANGE(""https://docs.google.com/spreadsheets/d/1bozxp9FwhaCNzy-RRGPVPfVYTttO4PUGDdaFvbz-Ue0/edit?gid=1870218791#gid=1870218791"", ""Rev vs Mktg &amp; Mktg Mix!u"" &amp; ROW(Y278))
"),-0.768)</f>
        <v>-0.76800000000000002</v>
      </c>
      <c r="U220" s="28"/>
      <c r="V220" s="28"/>
      <c r="W220" s="30">
        <f>VLOOKUP(VALUE(LEFT($A222, 4)), 'Raw Annual EBITDA'!$A:W, 23, FALSE) / 4</f>
        <v>-38088.25</v>
      </c>
      <c r="X220" s="30">
        <f>VLOOKUP(VALUE(LEFT($A220, 4)), 'Raw Annual EBITDA'!$A:X, 24, FALSE) / 4</f>
        <v>9524.6689999999999</v>
      </c>
      <c r="Y220" s="30">
        <f>VLOOKUP(VALUE(LEFT($A220, 4)), 'Raw Annual EBITDA'!$A:Y, 25, FALSE) / 4</f>
        <v>10098.25</v>
      </c>
      <c r="Z220" s="30">
        <f>VLOOKUP(VALUE(LEFT($A220, 4)), 'Raw Annual EBITDA'!$A:Z, 26, FALSE) / 4</f>
        <v>2692</v>
      </c>
      <c r="AA220" s="30">
        <f>VLOOKUP(VALUE(LEFT($A220, 4)), 'Raw Annual EBITDA'!$A:AA, 27, FALSE) / 4</f>
        <v>-19327.75</v>
      </c>
      <c r="AB220" s="30">
        <f>VLOOKUP(VALUE(LEFT($A220, 4)), 'Raw Annual EBITDA'!$A:AB, 28, FALSE) / 4</f>
        <v>-24084.5</v>
      </c>
      <c r="AC220" s="28"/>
    </row>
    <row r="221" spans="1:29" ht="13">
      <c r="A221" s="27" t="s">
        <v>131</v>
      </c>
      <c r="B221" s="38">
        <f ca="1">IFERROR(__xludf.DUMMYFUNCTION("IMPORTRANGE(""https://docs.google.com/spreadsheets/d/1bozxp9FwhaCNzy-RRGPVPfVYTttO4PUGDdaFvbz-Ue0/edit?gid=1870218791#gid=1870218791"", ""Rev vs Mktg &amp; Mktg Mix!B"" &amp; ROW(A279))
"),344)</f>
        <v>344</v>
      </c>
      <c r="C221" s="55">
        <f ca="1">IFERROR(__xludf.DUMMYFUNCTION("IMPORTRANGE(""https://docs.google.com/spreadsheets/d/1bozxp9FwhaCNzy-RRGPVPfVYTttO4PUGDdaFvbz-Ue0/edit?gid=1870218791#gid=1870218791"", ""Rev vs Mktg &amp; Mktg Mix!C"" &amp; ROW(B279))
"),1452)</f>
        <v>1452</v>
      </c>
      <c r="D221" s="55">
        <f ca="1">IFERROR(__xludf.DUMMYFUNCTION("IMPORTRANGE(""https://docs.google.com/spreadsheets/d/1bozxp9FwhaCNzy-RRGPVPfVYTttO4PUGDdaFvbz-Ue0/edit?gid=1870218791#gid=1870218791"", ""Rev vs Mktg &amp; Mktg Mix!D"" &amp; ROW(C279))
"),183)</f>
        <v>183</v>
      </c>
      <c r="E221" s="55">
        <f ca="1">IFERROR(__xludf.DUMMYFUNCTION("IMPORTRANGE(""https://docs.google.com/spreadsheets/d/1bozxp9FwhaCNzy-RRGPVPfVYTttO4PUGDdaFvbz-Ue0/edit?gid=1870218791#gid=1870218791"", ""Rev vs Mktg &amp; Mktg Mix!E"" &amp; ROW(D279))
"),368)</f>
        <v>368</v>
      </c>
      <c r="F221" s="55">
        <f ca="1">IFERROR(__xludf.DUMMYFUNCTION("IMPORTRANGE(""https://docs.google.com/spreadsheets/d/1bozxp9FwhaCNzy-RRGPVPfVYTttO4PUGDdaFvbz-Ue0/edit?gid=1870218791#gid=1870218791"", ""Rev vs Mktg &amp; Mktg Mix!F"" &amp; ROW(E279))
"),-16)</f>
        <v>-16</v>
      </c>
      <c r="G221" s="56">
        <f ca="1">IFERROR(__xludf.DUMMYFUNCTION("IMPORTRANGE(""https://docs.google.com/spreadsheets/d/1bozxp9FwhaCNzy-RRGPVPfVYTttO4PUGDdaFvbz-Ue0/edit?gid=1870218791#gid=1870218791"", ""Rev vs Mktg &amp; Mktg Mix!G"" &amp; ROW(F279))
"),16.9)</f>
        <v>16.899999999999999</v>
      </c>
      <c r="H221" s="62">
        <f ca="1">IFERROR(__xludf.DUMMYFUNCTION("IMPORTRANGE(""https://docs.google.com/spreadsheets/d/1bozxp9FwhaCNzy-RRGPVPfVYTttO4PUGDdaFvbz-Ue0/edit?gid=1870218791#gid=1870218791"", ""Rev vs Mktg &amp; Mktg Mix!H"" &amp; ROW(G279))
"),6.93)</f>
        <v>6.93</v>
      </c>
      <c r="I221" s="58">
        <f ca="1">IFERROR(__xludf.DUMMYFUNCTION("IMPORTRANGE(""https://docs.google.com/spreadsheets/d/1bozxp9FwhaCNzy-RRGPVPfVYTttO4PUGDdaFvbz-Ue0/edit?gid=1870218791#gid=1870218791"", ""Rev vs Mktg &amp; Mktg Mix!I"" &amp; ROW(K279))
"),-9.442)</f>
        <v>-9.4420000000000002</v>
      </c>
      <c r="J221" s="58">
        <f ca="1">IFERROR(__xludf.DUMMYFUNCTION("IMPORTRANGE(""https://docs.google.com/spreadsheets/d/1bozxp9FwhaCNzy-RRGPVPfVYTttO4PUGDdaFvbz-Ue0/edit?gid=1870218791#gid=1870218791"", ""Rev vs Mktg &amp; Mktg Mix!J"" &amp; ROW(J279))
"),-0.207)</f>
        <v>-0.20699999999999999</v>
      </c>
      <c r="K221" s="30">
        <f>VLOOKUP(VALUE(LEFT(A109, 4)), 'Raw Annual EBITDA'!A:K, 11, FALSE) / 4</f>
        <v>1191</v>
      </c>
      <c r="L221" s="58">
        <f ca="1">IFERROR(__xludf.DUMMYFUNCTION("IMPORTRANGE(""https://docs.google.com/spreadsheets/d/1bozxp9FwhaCNzy-RRGPVPfVYTttO4PUGDdaFvbz-Ue0/edit?gid=1870218791#gid=1870218791"", ""Rev vs Mktg &amp; Mktg Mix!L"" &amp; ROW(N279))
"),2.24141507519999)</f>
        <v>2.2414150751999902</v>
      </c>
      <c r="M221" s="63">
        <f ca="1">IFERROR(__xludf.DUMMYFUNCTION("IMPORTRANGE(""https://docs.google.com/spreadsheets/d/1bozxp9FwhaCNzy-RRGPVPfVYTttO4PUGDdaFvbz-Ue0/edit?gid=1870218791#gid=1870218791"", ""Rev vs Mktg &amp; Mktg Mix!M"" &amp; ROW(M279))
"),-0.720089999999996)</f>
        <v>-0.72008999999999601</v>
      </c>
      <c r="N221" s="60">
        <f ca="1">IFERROR(__xludf.DUMMYFUNCTION("IMPORTRANGE(""https://docs.google.com/spreadsheets/d/1bozxp9FwhaCNzy-RRGPVPfVYTttO4PUGDdaFvbz-Ue0/edit?gid=1870218791#gid=1870218791"", ""Rev vs Mktg &amp; Mktg Mix!N"" &amp; ROW(N279))
"),0.1512)</f>
        <v>0.1512</v>
      </c>
      <c r="O221" s="39">
        <f ca="1">IFERROR(__xludf.DUMMYFUNCTION("IMPORTRANGE(""https://docs.google.com/spreadsheets/d/1bozxp9FwhaCNzy-RRGPVPfVYTttO4PUGDdaFvbz-Ue0/edit?gid=1870218791#gid=1870218791"", ""Rev vs Mktg &amp; Mktg Mix!O"" &amp; ROW(O279))
"),4.745)</f>
        <v>4.7450000000000001</v>
      </c>
      <c r="P221" s="37">
        <f ca="1">IFERROR(__xludf.DUMMYFUNCTION("IMPORTRANGE(""https://docs.google.com/spreadsheets/d/1bozxp9FwhaCNzy-RRGPVPfVYTttO4PUGDdaFvbz-Ue0/edit?gid=1870218791#gid=1870218791"", ""Rev vs Mktg &amp; Mktg Mix!P"" &amp; ROW(P279))
"),7.15)</f>
        <v>7.15</v>
      </c>
      <c r="Q221" s="28"/>
      <c r="R221" s="30">
        <f>VLOOKUP(VALUE(LEFT(A221, 4)), 'Raw Annual EBITDA'!A:R, 18, FALSE) / 4</f>
        <v>-3798.0250000000001</v>
      </c>
      <c r="S221" s="50">
        <f ca="1">IFERROR(__xludf.DUMMYFUNCTION("IMPORTRANGE(""https://docs.google.com/spreadsheets/d/1bozxp9FwhaCNzy-RRGPVPfVYTttO4PUGDdaFvbz-Ue0/edit?gid=1870218791#gid=1870218791"", ""Rev vs Mktg &amp; Mktg Mix!T"" &amp; ROW(X279))*1000
"),7364.0243902439)</f>
        <v>7364.0243902438997</v>
      </c>
      <c r="T221" s="64">
        <f ca="1">IFERROR(__xludf.DUMMYFUNCTION("IMPORTRANGE(""https://docs.google.com/spreadsheets/d/1bozxp9FwhaCNzy-RRGPVPfVYTttO4PUGDdaFvbz-Ue0/edit?gid=1870218791#gid=1870218791"", ""Rev vs Mktg &amp; Mktg Mix!u"" &amp; ROW(Y279))
"),-2.467)</f>
        <v>-2.4670000000000001</v>
      </c>
      <c r="U221" s="28"/>
      <c r="V221" s="28"/>
      <c r="W221" s="30">
        <f>VLOOKUP(VALUE(LEFT($A223, 4)), 'Raw Annual EBITDA'!$A:W, 23, FALSE) / 4</f>
        <v>-38088.25</v>
      </c>
      <c r="X221" s="30">
        <f>VLOOKUP(VALUE(LEFT($A221, 4)), 'Raw Annual EBITDA'!$A:X, 24, FALSE) / 4</f>
        <v>9524.6689999999999</v>
      </c>
      <c r="Y221" s="30">
        <f>VLOOKUP(VALUE(LEFT($A221, 4)), 'Raw Annual EBITDA'!$A:Y, 25, FALSE) / 4</f>
        <v>10098.25</v>
      </c>
      <c r="Z221" s="30">
        <f>VLOOKUP(VALUE(LEFT($A221, 4)), 'Raw Annual EBITDA'!$A:Z, 26, FALSE) / 4</f>
        <v>2692</v>
      </c>
      <c r="AA221" s="30">
        <f>VLOOKUP(VALUE(LEFT($A221, 4)), 'Raw Annual EBITDA'!$A:AA, 27, FALSE) / 4</f>
        <v>-19327.75</v>
      </c>
      <c r="AB221" s="30">
        <f>VLOOKUP(VALUE(LEFT($A221, 4)), 'Raw Annual EBITDA'!$A:AB, 28, FALSE) / 4</f>
        <v>-24084.5</v>
      </c>
      <c r="AC221" s="28"/>
    </row>
    <row r="222" spans="1:29" ht="13">
      <c r="A222" s="27" t="s">
        <v>132</v>
      </c>
      <c r="B222" s="38">
        <f ca="1">IFERROR(__xludf.DUMMYFUNCTION("IMPORTRANGE(""https://docs.google.com/spreadsheets/d/1bozxp9FwhaCNzy-RRGPVPfVYTttO4PUGDdaFvbz-Ue0/edit?gid=1870218791#gid=1870218791"", ""Rev vs Mktg &amp; Mktg Mix!B"" &amp; ROW(A280))
"),130)</f>
        <v>130</v>
      </c>
      <c r="C222" s="55">
        <f ca="1">IFERROR(__xludf.DUMMYFUNCTION("IMPORTRANGE(""https://docs.google.com/spreadsheets/d/1bozxp9FwhaCNzy-RRGPVPfVYTttO4PUGDdaFvbz-Ue0/edit?gid=1870218791#gid=1870218791"", ""Rev vs Mktg &amp; Mktg Mix!C"" &amp; ROW(B280))
"),303)</f>
        <v>303</v>
      </c>
      <c r="D222" s="55">
        <f ca="1">IFERROR(__xludf.DUMMYFUNCTION("IMPORTRANGE(""https://docs.google.com/spreadsheets/d/1bozxp9FwhaCNzy-RRGPVPfVYTttO4PUGDdaFvbz-Ue0/edit?gid=1870218791#gid=1870218791"", ""Rev vs Mktg &amp; Mktg Mix!D"" &amp; ROW(C280))
"),-61)</f>
        <v>-61</v>
      </c>
      <c r="E222" s="55">
        <f ca="1">IFERROR(__xludf.DUMMYFUNCTION("IMPORTRANGE(""https://docs.google.com/spreadsheets/d/1bozxp9FwhaCNzy-RRGPVPfVYTttO4PUGDdaFvbz-Ue0/edit?gid=1870218791#gid=1870218791"", ""Rev vs Mktg &amp; Mktg Mix!E"" &amp; ROW(D280))
"),560)</f>
        <v>560</v>
      </c>
      <c r="F222" s="55">
        <f ca="1">IFERROR(__xludf.DUMMYFUNCTION("IMPORTRANGE(""https://docs.google.com/spreadsheets/d/1bozxp9FwhaCNzy-RRGPVPfVYTttO4PUGDdaFvbz-Ue0/edit?gid=1870218791#gid=1870218791"", ""Rev vs Mktg &amp; Mktg Mix!F"" &amp; ROW(E280))
"),-15)</f>
        <v>-15</v>
      </c>
      <c r="G222" s="56">
        <f ca="1">IFERROR(__xludf.DUMMYFUNCTION("IMPORTRANGE(""https://docs.google.com/spreadsheets/d/1bozxp9FwhaCNzy-RRGPVPfVYTttO4PUGDdaFvbz-Ue0/edit?gid=1870218791#gid=1870218791"", ""Rev vs Mktg &amp; Mktg Mix!G"" &amp; ROW(F280))
"),15.56)</f>
        <v>15.56</v>
      </c>
      <c r="H222" s="62">
        <f ca="1">IFERROR(__xludf.DUMMYFUNCTION("IMPORTRANGE(""https://docs.google.com/spreadsheets/d/1bozxp9FwhaCNzy-RRGPVPfVYTttO4PUGDdaFvbz-Ue0/edit?gid=1870218791#gid=1870218791"", ""Rev vs Mktg &amp; Mktg Mix!H"" &amp; ROW(G280))
"),18.48)</f>
        <v>18.48</v>
      </c>
      <c r="I222" s="58">
        <f ca="1">IFERROR(__xludf.DUMMYFUNCTION("IMPORTRANGE(""https://docs.google.com/spreadsheets/d/1bozxp9FwhaCNzy-RRGPVPfVYTttO4PUGDdaFvbz-Ue0/edit?gid=1870218791#gid=1870218791"", ""Rev vs Mktg &amp; Mktg Mix!I"" &amp; ROW(K280))
"),-5.337)</f>
        <v>-5.3369999999999997</v>
      </c>
      <c r="J222" s="58">
        <f ca="1">IFERROR(__xludf.DUMMYFUNCTION("IMPORTRANGE(""https://docs.google.com/spreadsheets/d/1bozxp9FwhaCNzy-RRGPVPfVYTttO4PUGDdaFvbz-Ue0/edit?gid=1870218791#gid=1870218791"", ""Rev vs Mktg &amp; Mktg Mix!J"" &amp; ROW(J280))
"),5.356)</f>
        <v>5.3559999999999999</v>
      </c>
      <c r="K222" s="30">
        <f>VLOOKUP(VALUE(LEFT(A110, 4)), 'Raw Annual EBITDA'!A:K, 11, FALSE) / 4</f>
        <v>1191</v>
      </c>
      <c r="L222" s="58">
        <f ca="1">IFERROR(__xludf.DUMMYFUNCTION("IMPORTRANGE(""https://docs.google.com/spreadsheets/d/1bozxp9FwhaCNzy-RRGPVPfVYTttO4PUGDdaFvbz-Ue0/edit?gid=1870218791#gid=1870218791"", ""Rev vs Mktg &amp; Mktg Mix!L"" &amp; ROW(N280))
"),17.0244973962)</f>
        <v>17.024497396200001</v>
      </c>
      <c r="M222" s="63">
        <f ca="1">IFERROR(__xludf.DUMMYFUNCTION("IMPORTRANGE(""https://docs.google.com/spreadsheets/d/1bozxp9FwhaCNzy-RRGPVPfVYTttO4PUGDdaFvbz-Ue0/edit?gid=1870218791#gid=1870218791"", ""Rev vs Mktg &amp; Mktg Mix!M"" &amp; ROW(M280))
"),0.0838528803)</f>
        <v>8.3852880300000002E-2</v>
      </c>
      <c r="N222" s="60">
        <f ca="1">IFERROR(__xludf.DUMMYFUNCTION("IMPORTRANGE(""https://docs.google.com/spreadsheets/d/1bozxp9FwhaCNzy-RRGPVPfVYTttO4PUGDdaFvbz-Ue0/edit?gid=1870218791#gid=1870218791"", ""Rev vs Mktg &amp; Mktg Mix!N"" &amp; ROW(N280))
"),0.878)</f>
        <v>0.878</v>
      </c>
      <c r="O222" s="39">
        <f ca="1">IFERROR(__xludf.DUMMYFUNCTION("IMPORTRANGE(""https://docs.google.com/spreadsheets/d/1bozxp9FwhaCNzy-RRGPVPfVYTttO4PUGDdaFvbz-Ue0/edit?gid=1870218791#gid=1870218791"", ""Rev vs Mktg &amp; Mktg Mix!O"" &amp; ROW(O280))
"),4.745)</f>
        <v>4.7450000000000001</v>
      </c>
      <c r="P222" s="37">
        <f ca="1">IFERROR(__xludf.DUMMYFUNCTION("IMPORTRANGE(""https://docs.google.com/spreadsheets/d/1bozxp9FwhaCNzy-RRGPVPfVYTttO4PUGDdaFvbz-Ue0/edit?gid=1870218791#gid=1870218791"", ""Rev vs Mktg &amp; Mktg Mix!P"" &amp; ROW(P280))
"),7.15)</f>
        <v>7.15</v>
      </c>
      <c r="Q222" s="28"/>
      <c r="R222" s="50">
        <f ca="1">IFERROR(__xludf.DUMMYFUNCTION("IMPORTRANGE(""https://docs.google.com/spreadsheets/d/1bozxp9FwhaCNzy-RRGPVPfVYTttO4PUGDdaFvbz-Ue0/edit?gid=1870218791#gid=1870218791"", ""Rev vs Mktg &amp; Mktg Mix!S"" &amp; ROW(S280))*1000
"),10230)</f>
        <v>10230</v>
      </c>
      <c r="S222" s="50">
        <f ca="1">IFERROR(__xludf.DUMMYFUNCTION("IMPORTRANGE(""https://docs.google.com/spreadsheets/d/1bozxp9FwhaCNzy-RRGPVPfVYTttO4PUGDdaFvbz-Ue0/edit?gid=1870218791#gid=1870218791"", ""Rev vs Mktg &amp; Mktg Mix!T"" &amp; ROW(X280))*1000
"),6170.60975609756)</f>
        <v>6170.6097560975604</v>
      </c>
      <c r="T222" s="64">
        <f ca="1">IFERROR(__xludf.DUMMYFUNCTION("IMPORTRANGE(""https://docs.google.com/spreadsheets/d/1bozxp9FwhaCNzy-RRGPVPfVYTttO4PUGDdaFvbz-Ue0/edit?gid=1870218791#gid=1870218791"", ""Rev vs Mktg &amp; Mktg Mix!u"" &amp; ROW(Y280))
"),0.284)</f>
        <v>0.28399999999999997</v>
      </c>
      <c r="U222" s="28"/>
      <c r="V222" s="28"/>
      <c r="W222" s="30">
        <f>VLOOKUP(VALUE(LEFT($A224, 4)), 'Raw Annual EBITDA'!$A:W, 23, FALSE) / 4</f>
        <v>-38088.25</v>
      </c>
      <c r="X222" s="30">
        <f>VLOOKUP(VALUE(LEFT($A222, 4)), 'Raw Annual EBITDA'!$A:X, 24, FALSE) / 4</f>
        <v>29765</v>
      </c>
      <c r="Y222" s="30">
        <f>VLOOKUP(VALUE(LEFT($A222, 4)), 'Raw Annual EBITDA'!$A:Y, 25, FALSE) / 4</f>
        <v>18583</v>
      </c>
      <c r="Z222" s="30">
        <f>VLOOKUP(VALUE(LEFT($A222, 4)), 'Raw Annual EBITDA'!$A:Z, 26, FALSE) / 4</f>
        <v>7685.25</v>
      </c>
      <c r="AA222" s="30"/>
      <c r="AB222" s="30">
        <f>VLOOKUP(VALUE(LEFT($A222, 4)), 'Raw Annual EBITDA'!$A:AB, 28, FALSE) / 4</f>
        <v>2964.25</v>
      </c>
      <c r="AC222" s="28"/>
    </row>
    <row r="223" spans="1:29" ht="13">
      <c r="A223" s="27" t="s">
        <v>133</v>
      </c>
      <c r="B223" s="38">
        <f ca="1">IFERROR(__xludf.DUMMYFUNCTION("IMPORTRANGE(""https://docs.google.com/spreadsheets/d/1bozxp9FwhaCNzy-RRGPVPfVYTttO4PUGDdaFvbz-Ue0/edit?gid=1870218791#gid=1870218791"", ""Rev vs Mktg &amp; Mktg Mix!B"" &amp; ROW(A281))
"),676)</f>
        <v>676</v>
      </c>
      <c r="C223" s="55">
        <f ca="1">IFERROR(__xludf.DUMMYFUNCTION("IMPORTRANGE(""https://docs.google.com/spreadsheets/d/1bozxp9FwhaCNzy-RRGPVPfVYTttO4PUGDdaFvbz-Ue0/edit?gid=1870218791#gid=1870218791"", ""Rev vs Mktg &amp; Mktg Mix!C"" &amp; ROW(B281))
"),1618)</f>
        <v>1618</v>
      </c>
      <c r="D223" s="55">
        <f ca="1">IFERROR(__xludf.DUMMYFUNCTION("IMPORTRANGE(""https://docs.google.com/spreadsheets/d/1bozxp9FwhaCNzy-RRGPVPfVYTttO4PUGDdaFvbz-Ue0/edit?gid=1870218791#gid=1870218791"", ""Rev vs Mktg &amp; Mktg Mix!D"" &amp; ROW(C281))
"),464)</f>
        <v>464</v>
      </c>
      <c r="E223" s="55">
        <f ca="1">IFERROR(__xludf.DUMMYFUNCTION("IMPORTRANGE(""https://docs.google.com/spreadsheets/d/1bozxp9FwhaCNzy-RRGPVPfVYTttO4PUGDdaFvbz-Ue0/edit?gid=1870218791#gid=1870218791"", ""Rev vs Mktg &amp; Mktg Mix!E"" &amp; ROW(D281))
"),135)</f>
        <v>135</v>
      </c>
      <c r="F223" s="55">
        <f ca="1">IFERROR(__xludf.DUMMYFUNCTION("IMPORTRANGE(""https://docs.google.com/spreadsheets/d/1bozxp9FwhaCNzy-RRGPVPfVYTttO4PUGDdaFvbz-Ue0/edit?gid=1870218791#gid=1870218791"", ""Rev vs Mktg &amp; Mktg Mix!F"" &amp; ROW(E281))
"),44)</f>
        <v>44</v>
      </c>
      <c r="G223" s="56">
        <f ca="1">IFERROR(__xludf.DUMMYFUNCTION("IMPORTRANGE(""https://docs.google.com/spreadsheets/d/1bozxp9FwhaCNzy-RRGPVPfVYTttO4PUGDdaFvbz-Ue0/edit?gid=1870218791#gid=1870218791"", ""Rev vs Mktg &amp; Mktg Mix!G"" &amp; ROW(F281))
"),9.838)</f>
        <v>9.8379999999999992</v>
      </c>
      <c r="H223" s="62">
        <f ca="1">IFERROR(__xludf.DUMMYFUNCTION("IMPORTRANGE(""https://docs.google.com/spreadsheets/d/1bozxp9FwhaCNzy-RRGPVPfVYTttO4PUGDdaFvbz-Ue0/edit?gid=1870218791#gid=1870218791"", ""Rev vs Mktg &amp; Mktg Mix!H"" &amp; ROW(G281))
"),27.5)</f>
        <v>27.5</v>
      </c>
      <c r="I223" s="58">
        <f ca="1">IFERROR(__xludf.DUMMYFUNCTION("IMPORTRANGE(""https://docs.google.com/spreadsheets/d/1bozxp9FwhaCNzy-RRGPVPfVYTttO4PUGDdaFvbz-Ue0/edit?gid=1870218791#gid=1870218791"", ""Rev vs Mktg &amp; Mktg Mix!I"" &amp; ROW(K281))
"),14.752)</f>
        <v>14.752000000000001</v>
      </c>
      <c r="J223" s="58">
        <f ca="1">IFERROR(__xludf.DUMMYFUNCTION("IMPORTRANGE(""https://docs.google.com/spreadsheets/d/1bozxp9FwhaCNzy-RRGPVPfVYTttO4PUGDdaFvbz-Ue0/edit?gid=1870218791#gid=1870218791"", ""Rev vs Mktg &amp; Mktg Mix!J"" &amp; ROW(J281))
"),18.587)</f>
        <v>18.587</v>
      </c>
      <c r="K223" s="30">
        <f>VLOOKUP(VALUE(LEFT(A111, 4)), 'Raw Annual EBITDA'!A:K, 11, FALSE) / 4</f>
        <v>1591</v>
      </c>
      <c r="L223" s="58">
        <f ca="1">IFERROR(__xludf.DUMMYFUNCTION("IMPORTRANGE(""https://docs.google.com/spreadsheets/d/1bozxp9FwhaCNzy-RRGPVPfVYTttO4PUGDdaFvbz-Ue0/edit?gid=1870218791#gid=1870218791"", ""Rev vs Mktg &amp; Mktg Mix!L"" &amp; ROW(N281))
"),19.8410512881)</f>
        <v>19.841051288100001</v>
      </c>
      <c r="M223" s="63">
        <f ca="1">IFERROR(__xludf.DUMMYFUNCTION("IMPORTRANGE(""https://docs.google.com/spreadsheets/d/1bozxp9FwhaCNzy-RRGPVPfVYTttO4PUGDdaFvbz-Ue0/edit?gid=1870218791#gid=1870218791"", ""Rev vs Mktg &amp; Mktg Mix!M"" &amp; ROW(M281))
"),5.49402)</f>
        <v>5.4940199999999999</v>
      </c>
      <c r="N223" s="60">
        <f ca="1">IFERROR(__xludf.DUMMYFUNCTION("IMPORTRANGE(""https://docs.google.com/spreadsheets/d/1bozxp9FwhaCNzy-RRGPVPfVYTttO4PUGDdaFvbz-Ue0/edit?gid=1870218791#gid=1870218791"", ""Rev vs Mktg &amp; Mktg Mix!N"" &amp; ROW(N281))
"),0.766)</f>
        <v>0.76600000000000001</v>
      </c>
      <c r="O223" s="39">
        <f ca="1">IFERROR(__xludf.DUMMYFUNCTION("IMPORTRANGE(""https://docs.google.com/spreadsheets/d/1bozxp9FwhaCNzy-RRGPVPfVYTttO4PUGDdaFvbz-Ue0/edit?gid=1870218791#gid=1870218791"", ""Rev vs Mktg &amp; Mktg Mix!O"" &amp; ROW(O281))
"),17.3875)</f>
        <v>17.387499999999999</v>
      </c>
      <c r="P223" s="37">
        <f ca="1">IFERROR(__xludf.DUMMYFUNCTION("IMPORTRANGE(""https://docs.google.com/spreadsheets/d/1bozxp9FwhaCNzy-RRGPVPfVYTttO4PUGDdaFvbz-Ue0/edit?gid=1870218791#gid=1870218791"", ""Rev vs Mktg &amp; Mktg Mix!P"" &amp; ROW(P281))
"),6.5325)</f>
        <v>6.5324999999999998</v>
      </c>
      <c r="Q223" s="28"/>
      <c r="R223" s="50">
        <f ca="1">IFERROR(__xludf.DUMMYFUNCTION("IMPORTRANGE(""https://docs.google.com/spreadsheets/d/1bozxp9FwhaCNzy-RRGPVPfVYTttO4PUGDdaFvbz-Ue0/edit?gid=1870218791#gid=1870218791"", ""Rev vs Mktg &amp; Mktg Mix!S"" &amp; ROW(S281))*1000
"),17160)</f>
        <v>17160</v>
      </c>
      <c r="S223" s="50">
        <f ca="1">IFERROR(__xludf.DUMMYFUNCTION("IMPORTRANGE(""https://docs.google.com/spreadsheets/d/1bozxp9FwhaCNzy-RRGPVPfVYTttO4PUGDdaFvbz-Ue0/edit?gid=1870218791#gid=1870218791"", ""Rev vs Mktg &amp; Mktg Mix!T"" &amp; ROW(X281))*1000
"),4299.26829268292)</f>
        <v>4299.2682926829202</v>
      </c>
      <c r="T223" s="64">
        <f ca="1">IFERROR(__xludf.DUMMYFUNCTION("IMPORTRANGE(""https://docs.google.com/spreadsheets/d/1bozxp9FwhaCNzy-RRGPVPfVYTttO4PUGDdaFvbz-Ue0/edit?gid=1870218791#gid=1870218791"", ""Rev vs Mktg &amp; Mktg Mix!u"" &amp; ROW(Y281))
"),-0.125)</f>
        <v>-0.125</v>
      </c>
      <c r="U223" s="28"/>
      <c r="V223" s="28"/>
      <c r="W223" s="30">
        <f>VLOOKUP(VALUE(LEFT($A225, 4)), 'Raw Annual EBITDA'!$A:W, 23, FALSE) / 4</f>
        <v>-38088.25</v>
      </c>
      <c r="X223" s="30">
        <f>VLOOKUP(VALUE(LEFT($A223, 4)), 'Raw Annual EBITDA'!$A:X, 24, FALSE) / 4</f>
        <v>29765</v>
      </c>
      <c r="Y223" s="30">
        <f>VLOOKUP(VALUE(LEFT($A223, 4)), 'Raw Annual EBITDA'!$A:Y, 25, FALSE) / 4</f>
        <v>18583</v>
      </c>
      <c r="Z223" s="30">
        <f>VLOOKUP(VALUE(LEFT($A223, 4)), 'Raw Annual EBITDA'!$A:Z, 26, FALSE) / 4</f>
        <v>7685.25</v>
      </c>
      <c r="AA223" s="30"/>
      <c r="AB223" s="30">
        <f>VLOOKUP(VALUE(LEFT($A223, 4)), 'Raw Annual EBITDA'!$A:AB, 28, FALSE) / 4</f>
        <v>2964.25</v>
      </c>
      <c r="AC223" s="28"/>
    </row>
    <row r="224" spans="1:29" ht="13">
      <c r="A224" s="27" t="s">
        <v>134</v>
      </c>
      <c r="B224" s="38">
        <f ca="1">IFERROR(__xludf.DUMMYFUNCTION("IMPORTRANGE(""https://docs.google.com/spreadsheets/d/1bozxp9FwhaCNzy-RRGPVPfVYTttO4PUGDdaFvbz-Ue0/edit?gid=1870218791#gid=1870218791"", ""Rev vs Mktg &amp; Mktg Mix!B"" &amp; ROW(A282))
"),1679)</f>
        <v>1679</v>
      </c>
      <c r="C224" s="55">
        <f ca="1">IFERROR(__xludf.DUMMYFUNCTION("IMPORTRANGE(""https://docs.google.com/spreadsheets/d/1bozxp9FwhaCNzy-RRGPVPfVYTttO4PUGDdaFvbz-Ue0/edit?gid=1870218791#gid=1870218791"", ""Rev vs Mktg &amp; Mktg Mix!C"" &amp; ROW(B282))
"),3149)</f>
        <v>3149</v>
      </c>
      <c r="D224" s="55">
        <f ca="1">IFERROR(__xludf.DUMMYFUNCTION("IMPORTRANGE(""https://docs.google.com/spreadsheets/d/1bozxp9FwhaCNzy-RRGPVPfVYTttO4PUGDdaFvbz-Ue0/edit?gid=1870218791#gid=1870218791"", ""Rev vs Mktg &amp; Mktg Mix!D"" &amp; ROW(C282))
"),444)</f>
        <v>444</v>
      </c>
      <c r="E224" s="55">
        <f ca="1">IFERROR(__xludf.DUMMYFUNCTION("IMPORTRANGE(""https://docs.google.com/spreadsheets/d/1bozxp9FwhaCNzy-RRGPVPfVYTttO4PUGDdaFvbz-Ue0/edit?gid=1870218791#gid=1870218791"", ""Rev vs Mktg &amp; Mktg Mix!E"" &amp; ROW(D282))
"),613)</f>
        <v>613</v>
      </c>
      <c r="F224" s="55">
        <f ca="1">IFERROR(__xludf.DUMMYFUNCTION("IMPORTRANGE(""https://docs.google.com/spreadsheets/d/1bozxp9FwhaCNzy-RRGPVPfVYTttO4PUGDdaFvbz-Ue0/edit?gid=1870218791#gid=1870218791"", ""Rev vs Mktg &amp; Mktg Mix!F"" &amp; ROW(E282))
"),64)</f>
        <v>64</v>
      </c>
      <c r="G224" s="56">
        <f ca="1">IFERROR(__xludf.DUMMYFUNCTION("IMPORTRANGE(""https://docs.google.com/spreadsheets/d/1bozxp9FwhaCNzy-RRGPVPfVYTttO4PUGDdaFvbz-Ue0/edit?gid=1870218791#gid=1870218791"", ""Rev vs Mktg &amp; Mktg Mix!G"" &amp; ROW(F282))
"),-182.614)</f>
        <v>-182.614</v>
      </c>
      <c r="H224" s="62">
        <f ca="1">IFERROR(__xludf.DUMMYFUNCTION("IMPORTRANGE(""https://docs.google.com/spreadsheets/d/1bozxp9FwhaCNzy-RRGPVPfVYTttO4PUGDdaFvbz-Ue0/edit?gid=1870218791#gid=1870218791"", ""Rev vs Mktg &amp; Mktg Mix!H"" &amp; ROW(G282))
"),13.09)</f>
        <v>13.09</v>
      </c>
      <c r="I224" s="58">
        <f ca="1">IFERROR(__xludf.DUMMYFUNCTION("IMPORTRANGE(""https://docs.google.com/spreadsheets/d/1bozxp9FwhaCNzy-RRGPVPfVYTttO4PUGDdaFvbz-Ue0/edit?gid=1870218791#gid=1870218791"", ""Rev vs Mktg &amp; Mktg Mix!I"" &amp; ROW(K282))
"),12.036)</f>
        <v>12.036</v>
      </c>
      <c r="J224" s="58">
        <f ca="1">IFERROR(__xludf.DUMMYFUNCTION("IMPORTRANGE(""https://docs.google.com/spreadsheets/d/1bozxp9FwhaCNzy-RRGPVPfVYTttO4PUGDdaFvbz-Ue0/edit?gid=1870218791#gid=1870218791"", ""Rev vs Mktg &amp; Mktg Mix!J"" &amp; ROW(J282))
"),2.184)</f>
        <v>2.1840000000000002</v>
      </c>
      <c r="K224" s="30">
        <f>VLOOKUP(VALUE(LEFT(A112, 4)), 'Raw Annual EBITDA'!A:K, 11, FALSE) / 4</f>
        <v>1591</v>
      </c>
      <c r="L224" s="58">
        <f ca="1">IFERROR(__xludf.DUMMYFUNCTION("IMPORTRANGE(""https://docs.google.com/spreadsheets/d/1bozxp9FwhaCNzy-RRGPVPfVYTttO4PUGDdaFvbz-Ue0/edit?gid=1870218791#gid=1870218791"", ""Rev vs Mktg &amp; Mktg Mix!L"" &amp; ROW(N282))
"),6.9700319451)</f>
        <v>6.9700319450999997</v>
      </c>
      <c r="M224" s="63">
        <f ca="1">IFERROR(__xludf.DUMMYFUNCTION("IMPORTRANGE(""https://docs.google.com/spreadsheets/d/1bozxp9FwhaCNzy-RRGPVPfVYTttO4PUGDdaFvbz-Ue0/edit?gid=1870218791#gid=1870218791"", ""Rev vs Mktg &amp; Mktg Mix!M"" &amp; ROW(M282))
"),7.54761)</f>
        <v>7.5476099999999997</v>
      </c>
      <c r="N224" s="60">
        <f ca="1">IFERROR(__xludf.DUMMYFUNCTION("IMPORTRANGE(""https://docs.google.com/spreadsheets/d/1bozxp9FwhaCNzy-RRGPVPfVYTttO4PUGDdaFvbz-Ue0/edit?gid=1870218791#gid=1870218791"", ""Rev vs Mktg &amp; Mktg Mix!N"" &amp; ROW(N282))
"),1.143)</f>
        <v>1.143</v>
      </c>
      <c r="O224" s="39">
        <f ca="1">IFERROR(__xludf.DUMMYFUNCTION("IMPORTRANGE(""https://docs.google.com/spreadsheets/d/1bozxp9FwhaCNzy-RRGPVPfVYTttO4PUGDdaFvbz-Ue0/edit?gid=1870218791#gid=1870218791"", ""Rev vs Mktg &amp; Mktg Mix!O"" &amp; ROW(O282))
"),17.3875)</f>
        <v>17.387499999999999</v>
      </c>
      <c r="P224" s="37">
        <f ca="1">IFERROR(__xludf.DUMMYFUNCTION("IMPORTRANGE(""https://docs.google.com/spreadsheets/d/1bozxp9FwhaCNzy-RRGPVPfVYTttO4PUGDdaFvbz-Ue0/edit?gid=1870218791#gid=1870218791"", ""Rev vs Mktg &amp; Mktg Mix!P"" &amp; ROW(P282))
"),6.5325)</f>
        <v>6.5324999999999998</v>
      </c>
      <c r="Q224" s="28"/>
      <c r="R224" s="50">
        <f ca="1">IFERROR(__xludf.DUMMYFUNCTION("IMPORTRANGE(""https://docs.google.com/spreadsheets/d/1bozxp9FwhaCNzy-RRGPVPfVYTttO4PUGDdaFvbz-Ue0/edit?gid=1870218791#gid=1870218791"", ""Rev vs Mktg &amp; Mktg Mix!S"" &amp; ROW(S282))*1000
"),13750)</f>
        <v>13750</v>
      </c>
      <c r="S224" s="50">
        <f ca="1">IFERROR(__xludf.DUMMYFUNCTION("IMPORTRANGE(""https://docs.google.com/spreadsheets/d/1bozxp9FwhaCNzy-RRGPVPfVYTttO4PUGDdaFvbz-Ue0/edit?gid=1870218791#gid=1870218791"", ""Rev vs Mktg &amp; Mktg Mix!T"" &amp; ROW(X282))*1000
"),8446.70731707317)</f>
        <v>8446.7073170731692</v>
      </c>
      <c r="T224" s="64">
        <f ca="1">IFERROR(__xludf.DUMMYFUNCTION("IMPORTRANGE(""https://docs.google.com/spreadsheets/d/1bozxp9FwhaCNzy-RRGPVPfVYTttO4PUGDdaFvbz-Ue0/edit?gid=1870218791#gid=1870218791"", ""Rev vs Mktg &amp; Mktg Mix!u"" &amp; ROW(Y282))
"),-3.171)</f>
        <v>-3.1709999999999998</v>
      </c>
      <c r="U224" s="28"/>
      <c r="V224" s="28"/>
      <c r="W224" s="30">
        <f>VLOOKUP(VALUE(LEFT($A226, 4)), 'Raw Annual EBITDA'!$A:W, 23, FALSE) / 4</f>
        <v>44382.25</v>
      </c>
      <c r="X224" s="30">
        <f>VLOOKUP(VALUE(LEFT($A224, 4)), 'Raw Annual EBITDA'!$A:X, 24, FALSE) / 4</f>
        <v>29765</v>
      </c>
      <c r="Y224" s="30">
        <f>VLOOKUP(VALUE(LEFT($A224, 4)), 'Raw Annual EBITDA'!$A:Y, 25, FALSE) / 4</f>
        <v>18583</v>
      </c>
      <c r="Z224" s="30">
        <f>VLOOKUP(VALUE(LEFT($A224, 4)), 'Raw Annual EBITDA'!$A:Z, 26, FALSE) / 4</f>
        <v>7685.25</v>
      </c>
      <c r="AA224" s="30"/>
      <c r="AB224" s="30">
        <f>VLOOKUP(VALUE(LEFT($A224, 4)), 'Raw Annual EBITDA'!$A:AB, 28, FALSE) / 4</f>
        <v>2964.25</v>
      </c>
      <c r="AC224" s="28"/>
    </row>
    <row r="225" spans="1:29" ht="13">
      <c r="A225" s="27" t="s">
        <v>135</v>
      </c>
      <c r="B225" s="38">
        <f ca="1">IFERROR(__xludf.DUMMYFUNCTION("IMPORTRANGE(""https://docs.google.com/spreadsheets/d/1bozxp9FwhaCNzy-RRGPVPfVYTttO4PUGDdaFvbz-Ue0/edit?gid=1870218791#gid=1870218791"", ""Rev vs Mktg &amp; Mktg Mix!B"" &amp; ROW(A283))
"),-383)</f>
        <v>-383</v>
      </c>
      <c r="C225" s="55">
        <f ca="1">IFERROR(__xludf.DUMMYFUNCTION("IMPORTRANGE(""https://docs.google.com/spreadsheets/d/1bozxp9FwhaCNzy-RRGPVPfVYTttO4PUGDdaFvbz-Ue0/edit?gid=1870218791#gid=1870218791"", ""Rev vs Mktg &amp; Mktg Mix!C"" &amp; ROW(B283))
"),411)</f>
        <v>411</v>
      </c>
      <c r="D225" s="55">
        <f ca="1">IFERROR(__xludf.DUMMYFUNCTION("IMPORTRANGE(""https://docs.google.com/spreadsheets/d/1bozxp9FwhaCNzy-RRGPVPfVYTttO4PUGDdaFvbz-Ue0/edit?gid=1870218791#gid=1870218791"", ""Rev vs Mktg &amp; Mktg Mix!D"" &amp; ROW(C283))
"),171)</f>
        <v>171</v>
      </c>
      <c r="E225" s="55">
        <f ca="1">IFERROR(__xludf.DUMMYFUNCTION("IMPORTRANGE(""https://docs.google.com/spreadsheets/d/1bozxp9FwhaCNzy-RRGPVPfVYTttO4PUGDdaFvbz-Ue0/edit?gid=1870218791#gid=1870218791"", ""Rev vs Mktg &amp; Mktg Mix!E"" &amp; ROW(D283))
"),196)</f>
        <v>196</v>
      </c>
      <c r="F225" s="55">
        <f ca="1">IFERROR(__xludf.DUMMYFUNCTION("IMPORTRANGE(""https://docs.google.com/spreadsheets/d/1bozxp9FwhaCNzy-RRGPVPfVYTttO4PUGDdaFvbz-Ue0/edit?gid=1870218791#gid=1870218791"", ""Rev vs Mktg &amp; Mktg Mix!F"" &amp; ROW(E283))
"),32)</f>
        <v>32</v>
      </c>
      <c r="G225" s="56">
        <f ca="1">IFERROR(__xludf.DUMMYFUNCTION("IMPORTRANGE(""https://docs.google.com/spreadsheets/d/1bozxp9FwhaCNzy-RRGPVPfVYTttO4PUGDdaFvbz-Ue0/edit?gid=1870218791#gid=1870218791"", ""Rev vs Mktg &amp; Mktg Mix!G"" &amp; ROW(F283))
"),5.4)</f>
        <v>5.4</v>
      </c>
      <c r="H225" s="62">
        <f ca="1">IFERROR(__xludf.DUMMYFUNCTION("IMPORTRANGE(""https://docs.google.com/spreadsheets/d/1bozxp9FwhaCNzy-RRGPVPfVYTttO4PUGDdaFvbz-Ue0/edit?gid=1870218791#gid=1870218791"", ""Rev vs Mktg &amp; Mktg Mix!H"" &amp; ROW(G283))
"),16.72)</f>
        <v>16.72</v>
      </c>
      <c r="I225" s="58">
        <f ca="1">IFERROR(__xludf.DUMMYFUNCTION("IMPORTRANGE(""https://docs.google.com/spreadsheets/d/1bozxp9FwhaCNzy-RRGPVPfVYTttO4PUGDdaFvbz-Ue0/edit?gid=1870218791#gid=1870218791"", ""Rev vs Mktg &amp; Mktg Mix!I"" &amp; ROW(K283))
"),10.701)</f>
        <v>10.701000000000001</v>
      </c>
      <c r="J225" s="58">
        <f ca="1">IFERROR(__xludf.DUMMYFUNCTION("IMPORTRANGE(""https://docs.google.com/spreadsheets/d/1bozxp9FwhaCNzy-RRGPVPfVYTttO4PUGDdaFvbz-Ue0/edit?gid=1870218791#gid=1870218791"", ""Rev vs Mktg &amp; Mktg Mix!J"" &amp; ROW(J283))
"),24.169)</f>
        <v>24.169</v>
      </c>
      <c r="K225" s="30">
        <f>VLOOKUP(VALUE(LEFT(A113, 4)), 'Raw Annual EBITDA'!A:K, 11, FALSE) / 4</f>
        <v>1591</v>
      </c>
      <c r="L225" s="58">
        <f ca="1">IFERROR(__xludf.DUMMYFUNCTION("IMPORTRANGE(""https://docs.google.com/spreadsheets/d/1bozxp9FwhaCNzy-RRGPVPfVYTttO4PUGDdaFvbz-Ue0/edit?gid=1870218791#gid=1870218791"", ""Rev vs Mktg &amp; Mktg Mix!L"" &amp; ROW(N283))
"),34.3965971706)</f>
        <v>34.396597170600003</v>
      </c>
      <c r="M225" s="63">
        <f ca="1">IFERROR(__xludf.DUMMYFUNCTION("IMPORTRANGE(""https://docs.google.com/spreadsheets/d/1bozxp9FwhaCNzy-RRGPVPfVYTttO4PUGDdaFvbz-Ue0/edit?gid=1870218791#gid=1870218791"", ""Rev vs Mktg &amp; Mktg Mix!M"" &amp; ROW(M283))
"),0.572873200199998)</f>
        <v>0.57287320019999799</v>
      </c>
      <c r="N225" s="60">
        <f ca="1">IFERROR(__xludf.DUMMYFUNCTION("IMPORTRANGE(""https://docs.google.com/spreadsheets/d/1bozxp9FwhaCNzy-RRGPVPfVYTttO4PUGDdaFvbz-Ue0/edit?gid=1870218791#gid=1870218791"", ""Rev vs Mktg &amp; Mktg Mix!N"" &amp; ROW(N283))
"),0.638)</f>
        <v>0.63800000000000001</v>
      </c>
      <c r="O225" s="39">
        <f ca="1">IFERROR(__xludf.DUMMYFUNCTION("IMPORTRANGE(""https://docs.google.com/spreadsheets/d/1bozxp9FwhaCNzy-RRGPVPfVYTttO4PUGDdaFvbz-Ue0/edit?gid=1870218791#gid=1870218791"", ""Rev vs Mktg &amp; Mktg Mix!O"" &amp; ROW(O283))
"),17.94)</f>
        <v>17.940000000000001</v>
      </c>
      <c r="P225" s="37">
        <f ca="1">IFERROR(__xludf.DUMMYFUNCTION("IMPORTRANGE(""https://docs.google.com/spreadsheets/d/1bozxp9FwhaCNzy-RRGPVPfVYTttO4PUGDdaFvbz-Ue0/edit?gid=1870218791#gid=1870218791"", ""Rev vs Mktg &amp; Mktg Mix!P"" &amp; ROW(P283))
"),11.0825)</f>
        <v>11.0825</v>
      </c>
      <c r="Q225" s="28"/>
      <c r="R225" s="50">
        <f ca="1">IFERROR(__xludf.DUMMYFUNCTION("IMPORTRANGE(""https://docs.google.com/spreadsheets/d/1bozxp9FwhaCNzy-RRGPVPfVYTttO4PUGDdaFvbz-Ue0/edit?gid=1870218791#gid=1870218791"", ""Rev vs Mktg &amp; Mktg Mix!S"" &amp; ROW(S283))*1000
"),2530)</f>
        <v>2530</v>
      </c>
      <c r="S225" s="50">
        <f ca="1">IFERROR(__xludf.DUMMYFUNCTION("IMPORTRANGE(""https://docs.google.com/spreadsheets/d/1bozxp9FwhaCNzy-RRGPVPfVYTttO4PUGDdaFvbz-Ue0/edit?gid=1870218791#gid=1870218791"", ""Rev vs Mktg &amp; Mktg Mix!T"" &amp; ROW(X283))*1000
"),8315.97560975609)</f>
        <v>8315.9756097560894</v>
      </c>
      <c r="T225" s="64">
        <f ca="1">IFERROR(__xludf.DUMMYFUNCTION("IMPORTRANGE(""https://docs.google.com/spreadsheets/d/1bozxp9FwhaCNzy-RRGPVPfVYTttO4PUGDdaFvbz-Ue0/edit?gid=1870218791#gid=1870218791"", ""Rev vs Mktg &amp; Mktg Mix!u"" &amp; ROW(Y283))
"),-0.329)</f>
        <v>-0.32900000000000001</v>
      </c>
      <c r="U225" s="28"/>
      <c r="V225" s="28"/>
      <c r="W225" s="30">
        <f>VLOOKUP(VALUE(LEFT($A227, 4)), 'Raw Annual EBITDA'!$A:W, 23, FALSE) / 4</f>
        <v>44382.25</v>
      </c>
      <c r="X225" s="30">
        <f>VLOOKUP(VALUE(LEFT($A225, 4)), 'Raw Annual EBITDA'!$A:X, 24, FALSE) / 4</f>
        <v>29765</v>
      </c>
      <c r="Y225" s="30">
        <f>VLOOKUP(VALUE(LEFT($A225, 4)), 'Raw Annual EBITDA'!$A:Y, 25, FALSE) / 4</f>
        <v>18583</v>
      </c>
      <c r="Z225" s="30">
        <f>VLOOKUP(VALUE(LEFT($A225, 4)), 'Raw Annual EBITDA'!$A:Z, 26, FALSE) / 4</f>
        <v>7685.25</v>
      </c>
      <c r="AA225" s="30"/>
      <c r="AB225" s="30">
        <f>VLOOKUP(VALUE(LEFT($A225, 4)), 'Raw Annual EBITDA'!$A:AB, 28, FALSE) / 4</f>
        <v>2964.25</v>
      </c>
      <c r="AC225" s="28"/>
    </row>
    <row r="226" spans="1:29" ht="13">
      <c r="A226" s="27" t="s">
        <v>136</v>
      </c>
      <c r="B226" s="38">
        <f ca="1">IFERROR(__xludf.DUMMYFUNCTION("IMPORTRANGE(""https://docs.google.com/spreadsheets/d/1bozxp9FwhaCNzy-RRGPVPfVYTttO4PUGDdaFvbz-Ue0/edit?gid=1870218791#gid=1870218791"", ""Rev vs Mktg &amp; Mktg Mix!B"" &amp; ROW(A284))
"),293)</f>
        <v>293</v>
      </c>
      <c r="C226" s="55">
        <f ca="1">IFERROR(__xludf.DUMMYFUNCTION("IMPORTRANGE(""https://docs.google.com/spreadsheets/d/1bozxp9FwhaCNzy-RRGPVPfVYTttO4PUGDdaFvbz-Ue0/edit?gid=1870218791#gid=1870218791"", ""Rev vs Mktg &amp; Mktg Mix!C"" &amp; ROW(B284))
"),937)</f>
        <v>937</v>
      </c>
      <c r="D226" s="55">
        <f ca="1">IFERROR(__xludf.DUMMYFUNCTION("IMPORTRANGE(""https://docs.google.com/spreadsheets/d/1bozxp9FwhaCNzy-RRGPVPfVYTttO4PUGDdaFvbz-Ue0/edit?gid=1870218791#gid=1870218791"", ""Rev vs Mktg &amp; Mktg Mix!D"" &amp; ROW(C284))
"),-155)</f>
        <v>-155</v>
      </c>
      <c r="E226" s="55">
        <f ca="1">IFERROR(__xludf.DUMMYFUNCTION("IMPORTRANGE(""https://docs.google.com/spreadsheets/d/1bozxp9FwhaCNzy-RRGPVPfVYTttO4PUGDdaFvbz-Ue0/edit?gid=1870218791#gid=1870218791"", ""Rev vs Mktg &amp; Mktg Mix!E"" &amp; ROW(D284))
"),577)</f>
        <v>577</v>
      </c>
      <c r="F226" s="55">
        <f ca="1">IFERROR(__xludf.DUMMYFUNCTION("IMPORTRANGE(""https://docs.google.com/spreadsheets/d/1bozxp9FwhaCNzy-RRGPVPfVYTttO4PUGDdaFvbz-Ue0/edit?gid=1870218791#gid=1870218791"", ""Rev vs Mktg &amp; Mktg Mix!F"" &amp; ROW(E284))
"),-16)</f>
        <v>-16</v>
      </c>
      <c r="G226" s="56">
        <f ca="1">IFERROR(__xludf.DUMMYFUNCTION("IMPORTRANGE(""https://docs.google.com/spreadsheets/d/1bozxp9FwhaCNzy-RRGPVPfVYTttO4PUGDdaFvbz-Ue0/edit?gid=1870218791#gid=1870218791"", ""Rev vs Mktg &amp; Mktg Mix!G"" &amp; ROW(F284))
"),-10.718)</f>
        <v>-10.718</v>
      </c>
      <c r="H226" s="62">
        <f ca="1">IFERROR(__xludf.DUMMYFUNCTION("IMPORTRANGE(""https://docs.google.com/spreadsheets/d/1bozxp9FwhaCNzy-RRGPVPfVYTttO4PUGDdaFvbz-Ue0/edit?gid=1870218791#gid=1870218791"", ""Rev vs Mktg &amp; Mktg Mix!H"" &amp; ROW(G284))
"),29.48)</f>
        <v>29.48</v>
      </c>
      <c r="I226" s="58">
        <f ca="1">IFERROR(__xludf.DUMMYFUNCTION("IMPORTRANGE(""https://docs.google.com/spreadsheets/d/1bozxp9FwhaCNzy-RRGPVPfVYTttO4PUGDdaFvbz-Ue0/edit?gid=1870218791#gid=1870218791"", ""Rev vs Mktg &amp; Mktg Mix!I"" &amp; ROW(K284))
"),20.077)</f>
        <v>20.077000000000002</v>
      </c>
      <c r="J226" s="58">
        <f ca="1">IFERROR(__xludf.DUMMYFUNCTION("IMPORTRANGE(""https://docs.google.com/spreadsheets/d/1bozxp9FwhaCNzy-RRGPVPfVYTttO4PUGDdaFvbz-Ue0/edit?gid=1870218791#gid=1870218791"", ""Rev vs Mktg &amp; Mktg Mix!J"" &amp; ROW(J284))
"),47.998)</f>
        <v>47.997999999999998</v>
      </c>
      <c r="K226" s="50">
        <f ca="1">IFERROR(__xludf.DUMMYFUNCTION("IMPORTRANGE(""https://docs.google.com/spreadsheets/d/1bozxp9FwhaCNzy-RRGPVPfVYTttO4PUGDdaFvbz-Ue0/edit?gid=1870218791#gid=1870218791"", ""Rev vs Mktg &amp; Mktg Mix!K"" &amp; ROW(M284))*1000
"),1906.82926829268)</f>
        <v>1906.8292682926799</v>
      </c>
      <c r="L226" s="58">
        <f ca="1">IFERROR(__xludf.DUMMYFUNCTION("IMPORTRANGE(""https://docs.google.com/spreadsheets/d/1bozxp9FwhaCNzy-RRGPVPfVYTttO4PUGDdaFvbz-Ue0/edit?gid=1870218791#gid=1870218791"", ""Rev vs Mktg &amp; Mktg Mix!L"" &amp; ROW(N284))
"),18.6151402016999)</f>
        <v>18.615140201699901</v>
      </c>
      <c r="M226" s="63">
        <f ca="1">IFERROR(__xludf.DUMMYFUNCTION("IMPORTRANGE(""https://docs.google.com/spreadsheets/d/1bozxp9FwhaCNzy-RRGPVPfVYTttO4PUGDdaFvbz-Ue0/edit?gid=1870218791#gid=1870218791"", ""Rev vs Mktg &amp; Mktg Mix!M"" &amp; ROW(M284))
"),1.31870481749999)</f>
        <v>1.31870481749999</v>
      </c>
      <c r="N226" s="60">
        <f ca="1">IFERROR(__xludf.DUMMYFUNCTION("IMPORTRANGE(""https://docs.google.com/spreadsheets/d/1bozxp9FwhaCNzy-RRGPVPfVYTttO4PUGDdaFvbz-Ue0/edit?gid=1870218791#gid=1870218791"", ""Rev vs Mktg &amp; Mktg Mix!N"" &amp; ROW(N284))
"),0.614)</f>
        <v>0.61399999999999999</v>
      </c>
      <c r="O226" s="39">
        <f ca="1">IFERROR(__xludf.DUMMYFUNCTION("IMPORTRANGE(""https://docs.google.com/spreadsheets/d/1bozxp9FwhaCNzy-RRGPVPfVYTttO4PUGDdaFvbz-Ue0/edit?gid=1870218791#gid=1870218791"", ""Rev vs Mktg &amp; Mktg Mix!O"" &amp; ROW(O284))
"),17.94)</f>
        <v>17.940000000000001</v>
      </c>
      <c r="P226" s="37">
        <f ca="1">IFERROR(__xludf.DUMMYFUNCTION("IMPORTRANGE(""https://docs.google.com/spreadsheets/d/1bozxp9FwhaCNzy-RRGPVPfVYTttO4PUGDdaFvbz-Ue0/edit?gid=1870218791#gid=1870218791"", ""Rev vs Mktg &amp; Mktg Mix!P"" &amp; ROW(P284))
"),11.0825)</f>
        <v>11.0825</v>
      </c>
      <c r="Q226" s="28"/>
      <c r="R226" s="50">
        <f ca="1">IFERROR(__xludf.DUMMYFUNCTION("IMPORTRANGE(""https://docs.google.com/spreadsheets/d/1bozxp9FwhaCNzy-RRGPVPfVYTttO4PUGDdaFvbz-Ue0/edit?gid=1870218791#gid=1870218791"", ""Rev vs Mktg &amp; Mktg Mix!S"" &amp; ROW(S284))*1000
"),10230)</f>
        <v>10230</v>
      </c>
      <c r="S226" s="50">
        <f ca="1">IFERROR(__xludf.DUMMYFUNCTION("IMPORTRANGE(""https://docs.google.com/spreadsheets/d/1bozxp9FwhaCNzy-RRGPVPfVYTttO4PUGDdaFvbz-Ue0/edit?gid=1870218791#gid=1870218791"", ""Rev vs Mktg &amp; Mktg Mix!T"" &amp; ROW(X284))*1000
"),7305.36585365853)</f>
        <v>7305.3658536585299</v>
      </c>
      <c r="T226" s="64">
        <f ca="1">IFERROR(__xludf.DUMMYFUNCTION("IMPORTRANGE(""https://docs.google.com/spreadsheets/d/1bozxp9FwhaCNzy-RRGPVPfVYTttO4PUGDdaFvbz-Ue0/edit?gid=1870218791#gid=1870218791"", ""Rev vs Mktg &amp; Mktg Mix!u"" &amp; ROW(Y284))
"),0.096)</f>
        <v>9.6000000000000002E-2</v>
      </c>
      <c r="U226" s="28"/>
      <c r="V226" s="28"/>
      <c r="W226" s="30">
        <f>VLOOKUP(VALUE(LEFT($A228, 4)), 'Raw Annual EBITDA'!$A:W, 23, FALSE) / 4</f>
        <v>44382.25</v>
      </c>
      <c r="X226" s="28"/>
      <c r="Y226" s="30"/>
      <c r="Z226" s="30"/>
      <c r="AA226" s="30"/>
      <c r="AB226" s="30"/>
      <c r="AC226" s="28"/>
    </row>
    <row r="227" spans="1:29" ht="13">
      <c r="A227" s="27" t="s">
        <v>137</v>
      </c>
      <c r="B227" s="38">
        <f ca="1">IFERROR(__xludf.DUMMYFUNCTION("IMPORTRANGE(""https://docs.google.com/spreadsheets/d/1bozxp9FwhaCNzy-RRGPVPfVYTttO4PUGDdaFvbz-Ue0/edit?gid=1870218791#gid=1870218791"", ""Rev vs Mktg &amp; Mktg Mix!B"" &amp; ROW(A285))
"),681)</f>
        <v>681</v>
      </c>
      <c r="C227" s="55">
        <f ca="1">IFERROR(__xludf.DUMMYFUNCTION("IMPORTRANGE(""https://docs.google.com/spreadsheets/d/1bozxp9FwhaCNzy-RRGPVPfVYTttO4PUGDdaFvbz-Ue0/edit?gid=1870218791#gid=1870218791"", ""Rev vs Mktg &amp; Mktg Mix!C"" &amp; ROW(B285))
"),1922)</f>
        <v>1922</v>
      </c>
      <c r="D227" s="55">
        <f ca="1">IFERROR(__xludf.DUMMYFUNCTION("IMPORTRANGE(""https://docs.google.com/spreadsheets/d/1bozxp9FwhaCNzy-RRGPVPfVYTttO4PUGDdaFvbz-Ue0/edit?gid=1870218791#gid=1870218791"", ""Rev vs Mktg &amp; Mktg Mix!D"" &amp; ROW(C285))
"),488)</f>
        <v>488</v>
      </c>
      <c r="E227" s="55">
        <f ca="1">IFERROR(__xludf.DUMMYFUNCTION("IMPORTRANGE(""https://docs.google.com/spreadsheets/d/1bozxp9FwhaCNzy-RRGPVPfVYTttO4PUGDdaFvbz-Ue0/edit?gid=1870218791#gid=1870218791"", ""Rev vs Mktg &amp; Mktg Mix!E"" &amp; ROW(D285))
"),480)</f>
        <v>480</v>
      </c>
      <c r="F227" s="55">
        <f ca="1">IFERROR(__xludf.DUMMYFUNCTION("IMPORTRANGE(""https://docs.google.com/spreadsheets/d/1bozxp9FwhaCNzy-RRGPVPfVYTttO4PUGDdaFvbz-Ue0/edit?gid=1870218791#gid=1870218791"", ""Rev vs Mktg &amp; Mktg Mix!F"" &amp; ROW(E285))
"),38)</f>
        <v>38</v>
      </c>
      <c r="G227" s="56">
        <f ca="1">IFERROR(__xludf.DUMMYFUNCTION("IMPORTRANGE(""https://docs.google.com/spreadsheets/d/1bozxp9FwhaCNzy-RRGPVPfVYTttO4PUGDdaFvbz-Ue0/edit?gid=1870218791#gid=1870218791"", ""Rev vs Mktg &amp; Mktg Mix!G"" &amp; ROW(F285))
"),-7.813)</f>
        <v>-7.8129999999999997</v>
      </c>
      <c r="H227" s="62">
        <f ca="1">IFERROR(__xludf.DUMMYFUNCTION("IMPORTRANGE(""https://docs.google.com/spreadsheets/d/1bozxp9FwhaCNzy-RRGPVPfVYTttO4PUGDdaFvbz-Ue0/edit?gid=1870218791#gid=1870218791"", ""Rev vs Mktg &amp; Mktg Mix!H"" &amp; ROW(G285))
"),20.68)</f>
        <v>20.68</v>
      </c>
      <c r="I227" s="58">
        <f ca="1">IFERROR(__xludf.DUMMYFUNCTION("IMPORTRANGE(""https://docs.google.com/spreadsheets/d/1bozxp9FwhaCNzy-RRGPVPfVYTttO4PUGDdaFvbz-Ue0/edit?gid=1870218791#gid=1870218791"", ""Rev vs Mktg &amp; Mktg Mix!I"" &amp; ROW(K285))
"),11.678)</f>
        <v>11.678000000000001</v>
      </c>
      <c r="J227" s="58">
        <f ca="1">IFERROR(__xludf.DUMMYFUNCTION("IMPORTRANGE(""https://docs.google.com/spreadsheets/d/1bozxp9FwhaCNzy-RRGPVPfVYTttO4PUGDdaFvbz-Ue0/edit?gid=1870218791#gid=1870218791"", ""Rev vs Mktg &amp; Mktg Mix!J"" &amp; ROW(J285))
"),29.518)</f>
        <v>29.518000000000001</v>
      </c>
      <c r="K227" s="50">
        <f ca="1">IFERROR(__xludf.DUMMYFUNCTION("IMPORTRANGE(""https://docs.google.com/spreadsheets/d/1bozxp9FwhaCNzy-RRGPVPfVYTttO4PUGDdaFvbz-Ue0/edit?gid=1870218791#gid=1870218791"", ""Rev vs Mktg &amp; Mktg Mix!K"" &amp; ROW(M285))*1000
"),1972.80487804878)</f>
        <v>1972.80487804878</v>
      </c>
      <c r="L227" s="58">
        <f ca="1">IFERROR(__xludf.DUMMYFUNCTION("IMPORTRANGE(""https://docs.google.com/spreadsheets/d/1bozxp9FwhaCNzy-RRGPVPfVYTttO4PUGDdaFvbz-Ue0/edit?gid=1870218791#gid=1870218791"", ""Rev vs Mktg &amp; Mktg Mix!L"" &amp; ROW(N285))
"),19.1648438393999)</f>
        <v>19.1648438393999</v>
      </c>
      <c r="M227" s="63">
        <f ca="1">IFERROR(__xludf.DUMMYFUNCTION("IMPORTRANGE(""https://docs.google.com/spreadsheets/d/1bozxp9FwhaCNzy-RRGPVPfVYTttO4PUGDdaFvbz-Ue0/edit?gid=1870218791#gid=1870218791"", ""Rev vs Mktg &amp; Mktg Mix!M"" &amp; ROW(M285))
"),8.001)</f>
        <v>8.0009999999999994</v>
      </c>
      <c r="N227" s="60">
        <f ca="1">IFERROR(__xludf.DUMMYFUNCTION("IMPORTRANGE(""https://docs.google.com/spreadsheets/d/1bozxp9FwhaCNzy-RRGPVPfVYTttO4PUGDdaFvbz-Ue0/edit?gid=1870218791#gid=1870218791"", ""Rev vs Mktg &amp; Mktg Mix!N"" &amp; ROW(N285))
"),2.217)</f>
        <v>2.2170000000000001</v>
      </c>
      <c r="O227" s="39" t="str">
        <f ca="1">IFERROR(__xludf.DUMMYFUNCTION("IMPORTRANGE(""https://docs.google.com/spreadsheets/d/1bozxp9FwhaCNzy-RRGPVPfVYTttO4PUGDdaFvbz-Ue0/edit?gid=1870218791#gid=1870218791"", ""Rev vs Mktg &amp; Mktg Mix!O"" &amp; ROW(O285))
"),"")</f>
        <v/>
      </c>
      <c r="P227" s="37">
        <f ca="1">IFERROR(__xludf.DUMMYFUNCTION("IMPORTRANGE(""https://docs.google.com/spreadsheets/d/1bozxp9FwhaCNzy-RRGPVPfVYTttO4PUGDdaFvbz-Ue0/edit?gid=1870218791#gid=1870218791"", ""Rev vs Mktg &amp; Mktg Mix!P"" &amp; ROW(P285))
"),8.905)</f>
        <v>8.9049999999999994</v>
      </c>
      <c r="Q227" s="28"/>
      <c r="R227" s="50">
        <f ca="1">IFERROR(__xludf.DUMMYFUNCTION("IMPORTRANGE(""https://docs.google.com/spreadsheets/d/1bozxp9FwhaCNzy-RRGPVPfVYTttO4PUGDdaFvbz-Ue0/edit?gid=1870218791#gid=1870218791"", ""Rev vs Mktg &amp; Mktg Mix!S"" &amp; ROW(S285))*1000
"),15070)</f>
        <v>15070</v>
      </c>
      <c r="S227" s="50">
        <f ca="1">IFERROR(__xludf.DUMMYFUNCTION("IMPORTRANGE(""https://docs.google.com/spreadsheets/d/1bozxp9FwhaCNzy-RRGPVPfVYTttO4PUGDdaFvbz-Ue0/edit?gid=1870218791#gid=1870218791"", ""Rev vs Mktg &amp; Mktg Mix!T"" &amp; ROW(X285))*1000
"),5621.21951219512)</f>
        <v>5621.2195121951199</v>
      </c>
      <c r="T227" s="64">
        <f ca="1">IFERROR(__xludf.DUMMYFUNCTION("IMPORTRANGE(""https://docs.google.com/spreadsheets/d/1bozxp9FwhaCNzy-RRGPVPfVYTttO4PUGDdaFvbz-Ue0/edit?gid=1870218791#gid=1870218791"", ""Rev vs Mktg &amp; Mktg Mix!u"" &amp; ROW(Y285))
"),0.037)</f>
        <v>3.6999999999999998E-2</v>
      </c>
      <c r="U227" s="28"/>
      <c r="V227" s="28"/>
      <c r="W227" s="30">
        <f>VLOOKUP(VALUE(LEFT($A229, 4)), 'Raw Annual EBITDA'!$A:W, 23, FALSE) / 4</f>
        <v>44382.25</v>
      </c>
      <c r="X227" s="28"/>
      <c r="Y227" s="30"/>
      <c r="Z227" s="30"/>
      <c r="AA227" s="30"/>
      <c r="AB227" s="30"/>
      <c r="AC227" s="28"/>
    </row>
    <row r="228" spans="1:29" ht="13">
      <c r="A228" s="27" t="s">
        <v>138</v>
      </c>
      <c r="B228" s="38">
        <f ca="1">IFERROR(__xludf.DUMMYFUNCTION("IMPORTRANGE(""https://docs.google.com/spreadsheets/d/1bozxp9FwhaCNzy-RRGPVPfVYTttO4PUGDdaFvbz-Ue0/edit?gid=1870218791#gid=1870218791"", ""Rev vs Mktg &amp; Mktg Mix!B"" &amp; ROW(A286))
"),1735)</f>
        <v>1735</v>
      </c>
      <c r="C228" s="55">
        <f ca="1">IFERROR(__xludf.DUMMYFUNCTION("IMPORTRANGE(""https://docs.google.com/spreadsheets/d/1bozxp9FwhaCNzy-RRGPVPfVYTttO4PUGDdaFvbz-Ue0/edit?gid=1870218791#gid=1870218791"", ""Rev vs Mktg &amp; Mktg Mix!C"" &amp; ROW(B286))
"),2869)</f>
        <v>2869</v>
      </c>
      <c r="D228" s="55">
        <f ca="1">IFERROR(__xludf.DUMMYFUNCTION("IMPORTRANGE(""https://docs.google.com/spreadsheets/d/1bozxp9FwhaCNzy-RRGPVPfVYTttO4PUGDdaFvbz-Ue0/edit?gid=1870218791#gid=1870218791"", ""Rev vs Mktg &amp; Mktg Mix!D"" &amp; ROW(C286))
"),874)</f>
        <v>874</v>
      </c>
      <c r="E228" s="55">
        <f ca="1">IFERROR(__xludf.DUMMYFUNCTION("IMPORTRANGE(""https://docs.google.com/spreadsheets/d/1bozxp9FwhaCNzy-RRGPVPfVYTttO4PUGDdaFvbz-Ue0/edit?gid=1870218791#gid=1870218791"", ""Rev vs Mktg &amp; Mktg Mix!E"" &amp; ROW(D286))
"),992)</f>
        <v>992</v>
      </c>
      <c r="F228" s="55">
        <f ca="1">IFERROR(__xludf.DUMMYFUNCTION("IMPORTRANGE(""https://docs.google.com/spreadsheets/d/1bozxp9FwhaCNzy-RRGPVPfVYTttO4PUGDdaFvbz-Ue0/edit?gid=1870218791#gid=1870218791"", ""Rev vs Mktg &amp; Mktg Mix!F"" &amp; ROW(E286))
"),66)</f>
        <v>66</v>
      </c>
      <c r="G228" s="56">
        <f ca="1">IFERROR(__xludf.DUMMYFUNCTION("IMPORTRANGE(""https://docs.google.com/spreadsheets/d/1bozxp9FwhaCNzy-RRGPVPfVYTttO4PUGDdaFvbz-Ue0/edit?gid=1870218791#gid=1870218791"", ""Rev vs Mktg &amp; Mktg Mix!G"" &amp; ROW(F286))
"),-18.371)</f>
        <v>-18.370999999999999</v>
      </c>
      <c r="H228" s="62">
        <f ca="1">IFERROR(__xludf.DUMMYFUNCTION("IMPORTRANGE(""https://docs.google.com/spreadsheets/d/1bozxp9FwhaCNzy-RRGPVPfVYTttO4PUGDdaFvbz-Ue0/edit?gid=1870218791#gid=1870218791"", ""Rev vs Mktg &amp; Mktg Mix!H"" &amp; ROW(G286))
"),22)</f>
        <v>22</v>
      </c>
      <c r="I228" s="58">
        <f ca="1">IFERROR(__xludf.DUMMYFUNCTION("IMPORTRANGE(""https://docs.google.com/spreadsheets/d/1bozxp9FwhaCNzy-RRGPVPfVYTttO4PUGDdaFvbz-Ue0/edit?gid=1870218791#gid=1870218791"", ""Rev vs Mktg &amp; Mktg Mix!I"" &amp; ROW(K286))
"),7.289)</f>
        <v>7.2889999999999997</v>
      </c>
      <c r="J228" s="63">
        <f ca="1">IFERROR(__xludf.DUMMYFUNCTION("IMPORTRANGE(""https://docs.google.com/spreadsheets/d/1bozxp9FwhaCNzy-RRGPVPfVYTttO4PUGDdaFvbz-Ue0/edit?gid=1870218791#gid=1870218791"", ""Rev vs Mktg &amp; Mktg Mix!J"" &amp; ROW(J286))
"),25.55)</f>
        <v>25.55</v>
      </c>
      <c r="K228" s="50">
        <f ca="1">IFERROR(__xludf.DUMMYFUNCTION("IMPORTRANGE(""https://docs.google.com/spreadsheets/d/1bozxp9FwhaCNzy-RRGPVPfVYTttO4PUGDdaFvbz-Ue0/edit?gid=1870218791#gid=1870218791"", ""Rev vs Mktg &amp; Mktg Mix!K"" &amp; ROW(M286))*1000
"),2359.0243902439)</f>
        <v>2359.0243902439001</v>
      </c>
      <c r="L228" s="58">
        <f ca="1">IFERROR(__xludf.DUMMYFUNCTION("IMPORTRANGE(""https://docs.google.com/spreadsheets/d/1bozxp9FwhaCNzy-RRGPVPfVYTttO4PUGDdaFvbz-Ue0/edit?gid=1870218791#gid=1870218791"", ""Rev vs Mktg &amp; Mktg Mix!L"" &amp; ROW(N286))
"),14.6218016301)</f>
        <v>14.6218016301</v>
      </c>
      <c r="M228" s="63">
        <f ca="1">IFERROR(__xludf.DUMMYFUNCTION("IMPORTRANGE(""https://docs.google.com/spreadsheets/d/1bozxp9FwhaCNzy-RRGPVPfVYTttO4PUGDdaFvbz-Ue0/edit?gid=1870218791#gid=1870218791"", ""Rev vs Mktg &amp; Mktg Mix!M"" &amp; ROW(M286))
"),5.3737740378)</f>
        <v>5.3737740377999996</v>
      </c>
      <c r="N228" s="60">
        <f ca="1">IFERROR(__xludf.DUMMYFUNCTION("IMPORTRANGE(""https://docs.google.com/spreadsheets/d/1bozxp9FwhaCNzy-RRGPVPfVYTttO4PUGDdaFvbz-Ue0/edit?gid=1870218791#gid=1870218791"", ""Rev vs Mktg &amp; Mktg Mix!N"" &amp; ROW(N286))
"),2.622)</f>
        <v>2.6219999999999999</v>
      </c>
      <c r="O228" s="29"/>
      <c r="P228" s="37">
        <f ca="1">IFERROR(__xludf.DUMMYFUNCTION("IMPORTRANGE(""https://docs.google.com/spreadsheets/d/1bozxp9FwhaCNzy-RRGPVPfVYTttO4PUGDdaFvbz-Ue0/edit?gid=1870218791#gid=1870218791"", ""Rev vs Mktg &amp; Mktg Mix!P"" &amp; ROW(P286))
"),8.905)</f>
        <v>8.9049999999999994</v>
      </c>
      <c r="Q228" s="28"/>
      <c r="R228" s="50">
        <f ca="1">IFERROR(__xludf.DUMMYFUNCTION("IMPORTRANGE(""https://docs.google.com/spreadsheets/d/1bozxp9FwhaCNzy-RRGPVPfVYTttO4PUGDdaFvbz-Ue0/edit?gid=1870218791#gid=1870218791"", ""Rev vs Mktg &amp; Mktg Mix!S"" &amp; ROW(S286))*1000
"),14080)</f>
        <v>14080</v>
      </c>
      <c r="S228" s="50">
        <f ca="1">IFERROR(__xludf.DUMMYFUNCTION("IMPORTRANGE(""https://docs.google.com/spreadsheets/d/1bozxp9FwhaCNzy-RRGPVPfVYTttO4PUGDdaFvbz-Ue0/edit?gid=1870218791#gid=1870218791"", ""Rev vs Mktg &amp; Mktg Mix!T"" &amp; ROW(X286))*1000
"),4605.97560975609)</f>
        <v>4605.9756097560903</v>
      </c>
      <c r="T228" s="64">
        <f ca="1">IFERROR(__xludf.DUMMYFUNCTION("IMPORTRANGE(""https://docs.google.com/spreadsheets/d/1bozxp9FwhaCNzy-RRGPVPfVYTttO4PUGDdaFvbz-Ue0/edit?gid=1870218791#gid=1870218791"", ""Rev vs Mktg &amp; Mktg Mix!u"" &amp; ROW(Y286))
"),-0.001)</f>
        <v>-1E-3</v>
      </c>
      <c r="U228" s="28"/>
      <c r="V228" s="28"/>
      <c r="W228" s="30"/>
      <c r="X228" s="28"/>
      <c r="Y228" s="28"/>
      <c r="Z228" s="28"/>
      <c r="AA228" s="28"/>
      <c r="AB228" s="28"/>
      <c r="AC228" s="28"/>
    </row>
    <row r="229" spans="1:29" ht="13">
      <c r="A229" s="27" t="s">
        <v>139</v>
      </c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9"/>
      <c r="P229" s="37"/>
      <c r="Q229" s="28"/>
      <c r="R229" s="28"/>
      <c r="S229" s="28"/>
      <c r="T229" s="28"/>
      <c r="U229" s="28"/>
      <c r="V229" s="28"/>
      <c r="W229" s="30"/>
      <c r="X229" s="28"/>
      <c r="Y229" s="28"/>
      <c r="Z229" s="28"/>
      <c r="AA229" s="28"/>
      <c r="AB229" s="28"/>
      <c r="AC229" s="28"/>
    </row>
    <row r="230" spans="1:29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9"/>
      <c r="P230" s="37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9"/>
      <c r="P231" s="37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9"/>
      <c r="P232" s="37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9"/>
      <c r="P233" s="37" t="str">
        <f ca="1">IFERROR(__xludf.DUMMYFUNCTION("IMPORTRANGE(""https://docs.google.com/spreadsheets/d/1bozxp9FwhaCNzy-RRGPVPfVYTttO4PUGDdaFvbz-Ue0/edit?gid=1870218791#gid=1870218791"", ""Rev vs Mktg &amp; Mktg Mix!P"" &amp; ROW(P289))
"),"")</f>
        <v/>
      </c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9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9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9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9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9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9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9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9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9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9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9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9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9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9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9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9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9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9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9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9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9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9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9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9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9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9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9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9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9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9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9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9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9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9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9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9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9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9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9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9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9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9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9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9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9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9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9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9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9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9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9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9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9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9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9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9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9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9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9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9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9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9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9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9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9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9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9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9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9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9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9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9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9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9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9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9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9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9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9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9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9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9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9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9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9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9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9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9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9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9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9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9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9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9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9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9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9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9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9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9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9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9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9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9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9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9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9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9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9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9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9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9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9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9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9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9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9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9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9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9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9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9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9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9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9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9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9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9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9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9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9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9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9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9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9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9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9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9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9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9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9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9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9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9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9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9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9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9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9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9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9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9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9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9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9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9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9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9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9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9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9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9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9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9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9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9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9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9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9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9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9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9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9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9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9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9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9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9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9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9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9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9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9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9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9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9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9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9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9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9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9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9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9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9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9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9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9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9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9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9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9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9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9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9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9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9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9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9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9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9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9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9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9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9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9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9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9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9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9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9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9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9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9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9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9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9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9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9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9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9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9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9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9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9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9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9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9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9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9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9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9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9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9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9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9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9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9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9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9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9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9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9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9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9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9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9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9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9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9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9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9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9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9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9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9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9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9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9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9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9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9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9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9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9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9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9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9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9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9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9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9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9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9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9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9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9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9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9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9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9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9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9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9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9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9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9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9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9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9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9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9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9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9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9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9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9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9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9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9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9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9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9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9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9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9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9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9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9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9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9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9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9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9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9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9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9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9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9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9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9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9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9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9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9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9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9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9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9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9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9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9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9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9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9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9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9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9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9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9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9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9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9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9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9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9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9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9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9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9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9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9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9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9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9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9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9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9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9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9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9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9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9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9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9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9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9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9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9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9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9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9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9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9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9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9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9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9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9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9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9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9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9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9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9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9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9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9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9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9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9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9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9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9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9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9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9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9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9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9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9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9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9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9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9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9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9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9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9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9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9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9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9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9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9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9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9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9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9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9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9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9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9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9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9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9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9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9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9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9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9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9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9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9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9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9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9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9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9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9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9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9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9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9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9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9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9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9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9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9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9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9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9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9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9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9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9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9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9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9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9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9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9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9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9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9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9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9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9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9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9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9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9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9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9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9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9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9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9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9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9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9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9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9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9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9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9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9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9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9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9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9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9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9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9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9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9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9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9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9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9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9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9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9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9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9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9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9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9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9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9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9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9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9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9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9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9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9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9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9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9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9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9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9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9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9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9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9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9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9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9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9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9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9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9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9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9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9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9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9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9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9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9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9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9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9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9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9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9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9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9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9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9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9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9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9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9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9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9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9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9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9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9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9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9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9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9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9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9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9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9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9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9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9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9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9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9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9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9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9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9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9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9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9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9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9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9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9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9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9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9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9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9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9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9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9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9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9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9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9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9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9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9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9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9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9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9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9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9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9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9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9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9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9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9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9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9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9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9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9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9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9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9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9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9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9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9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9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9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9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9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9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9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9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9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9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9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9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9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9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9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9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9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9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9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9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9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9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9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9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9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9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9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9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9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9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9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9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9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9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9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9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9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9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9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9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9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9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9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9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9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9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9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9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9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9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9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9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9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9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9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9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9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9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9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9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9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9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9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9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9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9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9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9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9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9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9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9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9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9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9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9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9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9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9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9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9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9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9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9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9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9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9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9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9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9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9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9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9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9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9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9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9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9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9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9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9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9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9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9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9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9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9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9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9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9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9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9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9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9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9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9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9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9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9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9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9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9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9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9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9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9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9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9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9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9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9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9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</sheetData>
  <pageMargins left="0.7" right="0.7" top="0.75" bottom="0.75" header="0.3" footer="0.3"/>
  <pageSetup orientation="portrait" horizontalDpi="0" verticalDpi="0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C1002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ColWidth="12.6640625" defaultRowHeight="15.75" customHeight="1"/>
  <cols>
    <col min="1" max="1" width="16.5" customWidth="1"/>
  </cols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323</v>
      </c>
      <c r="K1" s="4" t="s">
        <v>324</v>
      </c>
      <c r="L1" s="2" t="s">
        <v>10</v>
      </c>
      <c r="M1" s="5" t="s">
        <v>11</v>
      </c>
      <c r="N1" s="65" t="s">
        <v>12</v>
      </c>
      <c r="O1" s="2" t="s">
        <v>325</v>
      </c>
      <c r="P1" s="5" t="s">
        <v>14</v>
      </c>
      <c r="Q1" s="7" t="s">
        <v>15</v>
      </c>
      <c r="R1" s="6" t="s">
        <v>16</v>
      </c>
      <c r="S1" s="8" t="s">
        <v>326</v>
      </c>
      <c r="T1" s="9" t="s">
        <v>327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11"/>
    </row>
    <row r="2" spans="1:29" ht="14">
      <c r="A2" s="14" t="s">
        <v>321</v>
      </c>
      <c r="B2" s="11"/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</row>
    <row r="3" spans="1:29" ht="14">
      <c r="A3" s="14">
        <v>1997</v>
      </c>
      <c r="B3" s="11"/>
      <c r="C3" s="11"/>
      <c r="D3" s="66">
        <v>2742</v>
      </c>
      <c r="E3" s="11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66">
        <v>9287</v>
      </c>
      <c r="W3" s="66">
        <v>918725</v>
      </c>
      <c r="X3" s="11"/>
      <c r="Y3" s="11"/>
      <c r="Z3" s="11"/>
      <c r="AA3" s="11"/>
      <c r="AB3" s="11"/>
      <c r="AC3" s="11"/>
    </row>
    <row r="4" spans="1:29" ht="14">
      <c r="A4" s="14">
        <v>1998</v>
      </c>
      <c r="B4" s="11"/>
      <c r="C4" s="66">
        <v>35237</v>
      </c>
      <c r="D4" s="66">
        <v>13827</v>
      </c>
      <c r="E4" s="11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66">
        <v>21238</v>
      </c>
      <c r="W4" s="66">
        <v>925504</v>
      </c>
      <c r="X4" s="11"/>
      <c r="Y4" s="11"/>
      <c r="Z4" s="11"/>
      <c r="AA4" s="11"/>
      <c r="AB4" s="11"/>
      <c r="AC4" s="11"/>
    </row>
    <row r="5" spans="1:29" ht="14">
      <c r="A5" s="14">
        <v>1999</v>
      </c>
      <c r="B5" s="11"/>
      <c r="C5" s="66">
        <v>482410</v>
      </c>
      <c r="D5" s="66">
        <v>38699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66">
        <v>195</v>
      </c>
      <c r="S5" s="11"/>
      <c r="T5" s="11"/>
      <c r="U5" s="11"/>
      <c r="V5" s="66">
        <v>64187</v>
      </c>
      <c r="W5" s="66">
        <v>1211906</v>
      </c>
      <c r="X5" s="11"/>
      <c r="Y5" s="11"/>
      <c r="Z5" s="11"/>
      <c r="AA5" s="11"/>
      <c r="AB5" s="11"/>
      <c r="AC5" s="11"/>
    </row>
    <row r="6" spans="1:29" ht="14">
      <c r="A6" s="14">
        <v>2000</v>
      </c>
      <c r="B6" s="11"/>
      <c r="C6" s="66">
        <v>1235396</v>
      </c>
      <c r="D6" s="66">
        <v>94631</v>
      </c>
      <c r="E6" s="66">
        <v>780</v>
      </c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66">
        <v>5494</v>
      </c>
      <c r="S6" s="11"/>
      <c r="T6" s="11"/>
      <c r="U6" s="11"/>
      <c r="V6" s="66">
        <v>192670</v>
      </c>
      <c r="W6" s="66">
        <v>1440769</v>
      </c>
      <c r="X6" s="11"/>
      <c r="Y6" s="11"/>
      <c r="Z6" s="11"/>
      <c r="AA6" s="11"/>
      <c r="AB6" s="11"/>
      <c r="AC6" s="11"/>
    </row>
    <row r="7" spans="1:29" ht="14">
      <c r="A7" s="14">
        <v>2001</v>
      </c>
      <c r="B7" s="11"/>
      <c r="C7" s="66">
        <v>1171753</v>
      </c>
      <c r="D7" s="66">
        <v>222220</v>
      </c>
      <c r="E7" s="66">
        <v>5314</v>
      </c>
      <c r="F7" s="11"/>
      <c r="G7" s="11"/>
      <c r="H7" s="11"/>
      <c r="I7" s="11"/>
      <c r="J7" s="11"/>
      <c r="K7" s="11"/>
      <c r="L7" s="11"/>
      <c r="M7" s="11"/>
      <c r="N7" s="11"/>
      <c r="O7" s="66">
        <v>139</v>
      </c>
      <c r="P7" s="11"/>
      <c r="Q7" s="11"/>
      <c r="R7" s="66">
        <v>27055</v>
      </c>
      <c r="S7" s="11"/>
      <c r="T7" s="11"/>
      <c r="U7" s="66">
        <v>43403</v>
      </c>
      <c r="V7" s="66">
        <v>301770</v>
      </c>
      <c r="W7" s="66">
        <v>1528762</v>
      </c>
      <c r="X7" s="11"/>
      <c r="Y7" s="11"/>
      <c r="Z7" s="11"/>
      <c r="AA7" s="11"/>
      <c r="AB7" s="11"/>
      <c r="AC7" s="11"/>
    </row>
    <row r="8" spans="1:29" ht="14">
      <c r="A8" s="14">
        <v>2002</v>
      </c>
      <c r="B8" s="11"/>
      <c r="C8" s="66">
        <v>1003606</v>
      </c>
      <c r="D8" s="66">
        <v>1499075</v>
      </c>
      <c r="E8" s="66">
        <v>12210</v>
      </c>
      <c r="F8" s="11"/>
      <c r="G8" s="11"/>
      <c r="H8" s="11"/>
      <c r="I8" s="11"/>
      <c r="J8" s="11"/>
      <c r="K8" s="11"/>
      <c r="L8" s="11"/>
      <c r="M8" s="11"/>
      <c r="N8" s="11"/>
      <c r="O8" s="66">
        <f>AVERAGE(O7,O9)</f>
        <v>531.5</v>
      </c>
      <c r="P8" s="11"/>
      <c r="Q8" s="11"/>
      <c r="R8" s="66">
        <v>54777</v>
      </c>
      <c r="S8" s="11"/>
      <c r="T8" s="11"/>
      <c r="U8" s="66">
        <v>175510</v>
      </c>
      <c r="V8" s="11"/>
      <c r="W8" s="66">
        <v>2035184</v>
      </c>
      <c r="X8" s="11"/>
      <c r="Y8" s="11"/>
      <c r="Z8" s="11"/>
      <c r="AA8" s="11"/>
      <c r="AB8" s="11"/>
      <c r="AC8" s="11"/>
    </row>
    <row r="9" spans="1:29" ht="14">
      <c r="A9" s="14">
        <v>2003</v>
      </c>
      <c r="B9" s="11"/>
      <c r="C9" s="66">
        <v>863661</v>
      </c>
      <c r="D9" s="66">
        <v>2339813</v>
      </c>
      <c r="E9" s="66">
        <v>21535</v>
      </c>
      <c r="F9" s="11"/>
      <c r="G9" s="11"/>
      <c r="H9" s="11"/>
      <c r="I9" s="11"/>
      <c r="J9" s="11"/>
      <c r="K9" s="11"/>
      <c r="L9" s="11"/>
      <c r="M9" s="11"/>
      <c r="N9" s="11"/>
      <c r="O9" s="66">
        <v>924</v>
      </c>
      <c r="P9" s="11"/>
      <c r="Q9" s="11"/>
      <c r="R9" s="66">
        <v>354746</v>
      </c>
      <c r="S9" s="11"/>
      <c r="T9" s="11"/>
      <c r="U9" s="66">
        <v>241840</v>
      </c>
      <c r="V9" s="11"/>
      <c r="W9" s="66">
        <v>404790</v>
      </c>
      <c r="X9" s="11"/>
      <c r="Y9" s="11"/>
      <c r="Z9" s="11"/>
      <c r="AA9" s="11"/>
      <c r="AB9" s="11"/>
      <c r="AC9" s="11"/>
    </row>
    <row r="10" spans="1:29" ht="14">
      <c r="A10" s="14">
        <v>2004</v>
      </c>
      <c r="B10" s="11"/>
      <c r="C10" s="66">
        <v>914372</v>
      </c>
      <c r="D10" s="66">
        <v>1843013</v>
      </c>
      <c r="E10" s="66">
        <v>40873</v>
      </c>
      <c r="F10" s="11"/>
      <c r="G10" s="11"/>
      <c r="H10" s="11"/>
      <c r="I10" s="11"/>
      <c r="J10" s="11"/>
      <c r="K10" s="11"/>
      <c r="L10" s="11"/>
      <c r="M10" s="11"/>
      <c r="N10" s="11"/>
      <c r="O10" s="66">
        <v>991</v>
      </c>
      <c r="P10" s="11"/>
      <c r="Q10" s="11"/>
      <c r="R10" s="11"/>
      <c r="S10" s="11"/>
      <c r="T10" s="11"/>
      <c r="U10" s="66">
        <v>244000</v>
      </c>
      <c r="V10" s="11"/>
      <c r="W10" s="66">
        <v>533849</v>
      </c>
      <c r="X10" s="11"/>
      <c r="Y10" s="11"/>
      <c r="Z10" s="11"/>
      <c r="AA10" s="11"/>
      <c r="AB10" s="11"/>
      <c r="AC10" s="11"/>
    </row>
    <row r="11" spans="1:29" ht="14">
      <c r="A11" s="14">
        <v>2005</v>
      </c>
      <c r="B11" s="11"/>
      <c r="C11" s="66">
        <v>962660</v>
      </c>
      <c r="D11" s="66">
        <v>2119455</v>
      </c>
      <c r="E11" s="66">
        <v>67428</v>
      </c>
      <c r="F11" s="11"/>
      <c r="G11" s="11"/>
      <c r="H11" s="11"/>
      <c r="I11" s="11"/>
      <c r="J11" s="11"/>
      <c r="K11" s="11"/>
      <c r="L11" s="11"/>
      <c r="M11" s="11"/>
      <c r="N11" s="11"/>
      <c r="O11" s="66">
        <v>3990</v>
      </c>
      <c r="P11" s="11"/>
      <c r="Q11" s="11"/>
      <c r="R11" s="11"/>
      <c r="S11" s="11"/>
      <c r="T11" s="11"/>
      <c r="U11" s="66">
        <v>686000</v>
      </c>
      <c r="V11" s="11"/>
      <c r="W11" s="66">
        <v>665268</v>
      </c>
      <c r="X11" s="11"/>
      <c r="Y11" s="11"/>
      <c r="Z11" s="11"/>
      <c r="AA11" s="11"/>
      <c r="AB11" s="11"/>
      <c r="AC11" s="11"/>
    </row>
    <row r="12" spans="1:29" ht="14">
      <c r="A12" s="14">
        <v>2006</v>
      </c>
      <c r="B12" s="11"/>
      <c r="C12" s="66">
        <v>1123103</v>
      </c>
      <c r="D12" s="66">
        <v>2237586</v>
      </c>
      <c r="E12" s="66">
        <v>101315</v>
      </c>
      <c r="F12" s="11"/>
      <c r="G12" s="11"/>
      <c r="H12" s="11"/>
      <c r="I12" s="11"/>
      <c r="J12" s="11"/>
      <c r="K12" s="11"/>
      <c r="L12" s="11"/>
      <c r="M12" s="11"/>
      <c r="N12" s="11"/>
      <c r="O12" s="66">
        <v>8575</v>
      </c>
      <c r="P12" s="11"/>
      <c r="Q12" s="11"/>
      <c r="R12" s="11"/>
      <c r="S12" s="11"/>
      <c r="T12" s="11"/>
      <c r="U12" s="66">
        <v>752000</v>
      </c>
      <c r="V12" s="11"/>
      <c r="W12" s="66">
        <v>724610</v>
      </c>
      <c r="X12" s="11"/>
      <c r="Y12" s="11"/>
      <c r="Z12" s="11"/>
      <c r="AA12" s="11"/>
      <c r="AB12" s="11"/>
      <c r="AC12" s="11"/>
    </row>
    <row r="13" spans="1:29" ht="14">
      <c r="A13" s="14">
        <v>2007</v>
      </c>
      <c r="B13" s="11"/>
      <c r="C13" s="66">
        <v>1409409</v>
      </c>
      <c r="D13" s="66">
        <v>2665332</v>
      </c>
      <c r="E13" s="66">
        <v>168991</v>
      </c>
      <c r="F13" s="11"/>
      <c r="G13" s="11"/>
      <c r="H13" s="11"/>
      <c r="I13" s="11"/>
      <c r="J13" s="11"/>
      <c r="K13" s="11"/>
      <c r="L13" s="11"/>
      <c r="M13" s="11"/>
      <c r="N13" s="11"/>
      <c r="O13" s="66">
        <v>13382</v>
      </c>
      <c r="P13" s="11"/>
      <c r="Q13" s="11"/>
      <c r="R13" s="11"/>
      <c r="S13" s="11"/>
      <c r="T13" s="11"/>
      <c r="U13" s="66">
        <v>859000</v>
      </c>
      <c r="V13" s="11"/>
      <c r="W13" s="66">
        <v>943562</v>
      </c>
      <c r="X13" s="11"/>
      <c r="Y13" s="11"/>
      <c r="Z13" s="11"/>
      <c r="AA13" s="11"/>
      <c r="AB13" s="11"/>
      <c r="AC13" s="11"/>
    </row>
    <row r="14" spans="1:29" ht="14">
      <c r="A14" s="14">
        <v>2008</v>
      </c>
      <c r="B14" s="11"/>
      <c r="C14" s="66">
        <v>1884806</v>
      </c>
      <c r="D14" s="66">
        <v>2937013</v>
      </c>
      <c r="E14" s="66">
        <v>224878</v>
      </c>
      <c r="F14" s="11"/>
      <c r="G14" s="11"/>
      <c r="H14" s="11"/>
      <c r="I14" s="11"/>
      <c r="J14" s="11"/>
      <c r="K14" s="11"/>
      <c r="L14" s="11"/>
      <c r="M14" s="11"/>
      <c r="N14" s="11"/>
      <c r="O14" s="66">
        <v>22644</v>
      </c>
      <c r="P14" s="11"/>
      <c r="Q14" s="11"/>
      <c r="R14" s="11"/>
      <c r="S14" s="11"/>
      <c r="T14" s="11"/>
      <c r="U14" s="66">
        <v>870000</v>
      </c>
      <c r="V14" s="11"/>
      <c r="W14" s="66">
        <v>1387219</v>
      </c>
      <c r="X14" s="11"/>
      <c r="Y14" s="11"/>
      <c r="Z14" s="11"/>
      <c r="AA14" s="11"/>
      <c r="AB14" s="11"/>
      <c r="AC14" s="11"/>
    </row>
    <row r="15" spans="1:29" ht="14">
      <c r="A15" s="14">
        <v>2009</v>
      </c>
      <c r="B15" s="11"/>
      <c r="C15" s="66">
        <v>2338212</v>
      </c>
      <c r="D15" s="66">
        <v>2743051</v>
      </c>
      <c r="E15" s="66">
        <v>300051</v>
      </c>
      <c r="F15" s="66">
        <v>352089</v>
      </c>
      <c r="G15" s="11"/>
      <c r="H15" s="11"/>
      <c r="I15" s="11"/>
      <c r="J15" s="66">
        <v>68552</v>
      </c>
      <c r="K15" s="11"/>
      <c r="L15" s="66">
        <v>189683</v>
      </c>
      <c r="M15" s="11"/>
      <c r="N15" s="11"/>
      <c r="O15" s="66">
        <v>22997</v>
      </c>
      <c r="P15" s="11"/>
      <c r="Q15" s="11"/>
      <c r="R15" s="11"/>
      <c r="S15" s="11"/>
      <c r="T15" s="11"/>
      <c r="U15" s="66">
        <v>738000</v>
      </c>
      <c r="V15" s="11"/>
      <c r="W15" s="66">
        <v>1357810</v>
      </c>
      <c r="X15" s="11"/>
      <c r="Y15" s="11"/>
      <c r="Z15" s="11"/>
      <c r="AA15" s="11"/>
      <c r="AB15" s="11"/>
      <c r="AC15" s="11"/>
    </row>
    <row r="16" spans="1:29" ht="14">
      <c r="A16" s="14">
        <v>2010</v>
      </c>
      <c r="B16" s="11"/>
      <c r="C16" s="66">
        <v>3084905</v>
      </c>
      <c r="D16" s="66">
        <v>3033645</v>
      </c>
      <c r="E16" s="66">
        <v>450001</v>
      </c>
      <c r="F16" s="66">
        <v>484635</v>
      </c>
      <c r="G16" s="11"/>
      <c r="H16" s="11"/>
      <c r="I16" s="11"/>
      <c r="J16" s="66">
        <v>83560</v>
      </c>
      <c r="K16" s="11"/>
      <c r="L16" s="66">
        <v>265347</v>
      </c>
      <c r="M16" s="11"/>
      <c r="N16" s="11"/>
      <c r="O16" s="66">
        <v>31653</v>
      </c>
      <c r="P16" s="11"/>
      <c r="Q16" s="11"/>
      <c r="R16" s="11"/>
      <c r="S16" s="11"/>
      <c r="T16" s="11"/>
      <c r="U16" s="66">
        <v>757487</v>
      </c>
      <c r="V16" s="11"/>
      <c r="W16" s="66">
        <v>1503220</v>
      </c>
      <c r="X16" s="11"/>
      <c r="Y16" s="11"/>
      <c r="Z16" s="11"/>
      <c r="AA16" s="11"/>
      <c r="AB16" s="11"/>
      <c r="AC16" s="11"/>
    </row>
    <row r="17" spans="1:29" ht="14">
      <c r="A17" s="14">
        <v>2011</v>
      </c>
      <c r="B17" s="11"/>
      <c r="C17" s="66">
        <v>4355610</v>
      </c>
      <c r="D17" s="66">
        <v>3449009</v>
      </c>
      <c r="E17" s="66">
        <v>573840</v>
      </c>
      <c r="F17" s="66">
        <v>637063</v>
      </c>
      <c r="G17" s="11"/>
      <c r="H17" s="11"/>
      <c r="I17" s="11"/>
      <c r="J17" s="66">
        <v>124721</v>
      </c>
      <c r="K17" s="11"/>
      <c r="L17" s="66">
        <v>292290</v>
      </c>
      <c r="M17" s="11"/>
      <c r="N17" s="11"/>
      <c r="O17" s="66">
        <v>46766</v>
      </c>
      <c r="P17" s="11"/>
      <c r="Q17" s="11"/>
      <c r="R17" s="11"/>
      <c r="S17" s="11"/>
      <c r="T17" s="11"/>
      <c r="U17" s="66">
        <v>767819</v>
      </c>
      <c r="V17" s="11"/>
      <c r="W17" s="66">
        <v>1951711</v>
      </c>
      <c r="X17" s="11"/>
      <c r="Y17" s="11"/>
      <c r="Z17" s="11"/>
      <c r="AA17" s="11"/>
      <c r="AB17" s="11"/>
      <c r="AC17" s="11"/>
    </row>
    <row r="18" spans="1:29" ht="14">
      <c r="A18" s="14">
        <v>2012</v>
      </c>
      <c r="B18" s="11"/>
      <c r="C18" s="66">
        <v>5260956</v>
      </c>
      <c r="D18" s="66">
        <v>4030347</v>
      </c>
      <c r="E18" s="66">
        <v>681932</v>
      </c>
      <c r="F18" s="66">
        <v>763000</v>
      </c>
      <c r="G18" s="11"/>
      <c r="H18" s="66">
        <v>565684</v>
      </c>
      <c r="I18" s="11"/>
      <c r="J18" s="66">
        <v>196599</v>
      </c>
      <c r="K18" s="11"/>
      <c r="L18" s="66">
        <v>334638</v>
      </c>
      <c r="M18" s="11"/>
      <c r="N18" s="11"/>
      <c r="O18" s="66">
        <v>58770</v>
      </c>
      <c r="P18" s="11"/>
      <c r="Q18" s="11"/>
      <c r="R18" s="66">
        <v>98981</v>
      </c>
      <c r="S18" s="11"/>
      <c r="T18" s="11"/>
      <c r="U18" s="66">
        <v>778796</v>
      </c>
      <c r="V18" s="11"/>
      <c r="W18" s="66">
        <v>2021311</v>
      </c>
      <c r="X18" s="11"/>
      <c r="Y18" s="11"/>
      <c r="Z18" s="11"/>
      <c r="AA18" s="11"/>
      <c r="AB18" s="11"/>
      <c r="AC18" s="11"/>
    </row>
    <row r="19" spans="1:29" ht="14">
      <c r="A19" s="14">
        <v>2013</v>
      </c>
      <c r="B19" s="11"/>
      <c r="C19" s="66">
        <v>6793306</v>
      </c>
      <c r="D19" s="66">
        <v>4771259</v>
      </c>
      <c r="E19" s="66">
        <v>909456</v>
      </c>
      <c r="F19" s="66">
        <v>945000</v>
      </c>
      <c r="G19" s="11"/>
      <c r="H19" s="66">
        <v>614063</v>
      </c>
      <c r="I19" s="11"/>
      <c r="J19" s="66">
        <v>228822</v>
      </c>
      <c r="K19" s="11"/>
      <c r="L19" s="66">
        <v>383364</v>
      </c>
      <c r="M19" s="11"/>
      <c r="N19" s="11"/>
      <c r="O19" s="66">
        <v>69113</v>
      </c>
      <c r="P19" s="11"/>
      <c r="Q19" s="11"/>
      <c r="R19" s="66">
        <v>169883</v>
      </c>
      <c r="S19" s="11"/>
      <c r="T19" s="11"/>
      <c r="U19" s="66">
        <v>847003</v>
      </c>
      <c r="V19" s="11"/>
      <c r="W19" s="66">
        <v>1802800</v>
      </c>
      <c r="X19" s="66">
        <v>106643.47440000001</v>
      </c>
      <c r="Y19" s="11"/>
      <c r="Z19" s="11"/>
      <c r="AA19" s="11"/>
      <c r="AB19" s="11"/>
      <c r="AC19" s="11"/>
    </row>
    <row r="20" spans="1:29" ht="14">
      <c r="A20" s="14">
        <v>2014</v>
      </c>
      <c r="B20" s="11"/>
      <c r="C20" s="66">
        <v>8441971</v>
      </c>
      <c r="D20" s="66">
        <v>5763485</v>
      </c>
      <c r="E20" s="66">
        <v>1200673</v>
      </c>
      <c r="F20" s="66">
        <v>1246000</v>
      </c>
      <c r="G20" s="66">
        <v>375560</v>
      </c>
      <c r="H20" s="66">
        <v>660354</v>
      </c>
      <c r="I20" s="11"/>
      <c r="J20" s="66">
        <v>256543</v>
      </c>
      <c r="K20" s="11"/>
      <c r="L20" s="66">
        <v>468097</v>
      </c>
      <c r="M20" s="11"/>
      <c r="N20" s="66">
        <v>4477</v>
      </c>
      <c r="O20" s="66">
        <v>92923</v>
      </c>
      <c r="P20" s="11"/>
      <c r="Q20" s="11"/>
      <c r="R20" s="66">
        <v>178457</v>
      </c>
      <c r="S20" s="11"/>
      <c r="T20" s="11"/>
      <c r="U20" s="66">
        <v>932007</v>
      </c>
      <c r="V20" s="11"/>
      <c r="W20" s="66">
        <v>2079928</v>
      </c>
      <c r="X20" s="66">
        <v>138219.76559999998</v>
      </c>
      <c r="Y20" s="11"/>
      <c r="Z20" s="67">
        <v>6293</v>
      </c>
      <c r="AA20" s="11"/>
      <c r="AB20" s="11"/>
      <c r="AC20" s="11"/>
    </row>
    <row r="21" spans="1:29" ht="14">
      <c r="A21" s="14">
        <v>2015</v>
      </c>
      <c r="B21" s="66">
        <v>919041</v>
      </c>
      <c r="C21" s="66">
        <v>9223987</v>
      </c>
      <c r="D21" s="66">
        <v>6672317</v>
      </c>
      <c r="E21" s="66">
        <v>1678744</v>
      </c>
      <c r="F21" s="66">
        <v>1492000</v>
      </c>
      <c r="G21" s="66">
        <v>536819</v>
      </c>
      <c r="H21" s="66">
        <v>154985</v>
      </c>
      <c r="I21" s="66">
        <v>421711</v>
      </c>
      <c r="J21" s="66">
        <v>300515</v>
      </c>
      <c r="K21" s="11"/>
      <c r="L21" s="66">
        <v>540285</v>
      </c>
      <c r="M21" s="11"/>
      <c r="N21" s="66">
        <v>7739</v>
      </c>
      <c r="O21" s="66">
        <v>91502</v>
      </c>
      <c r="P21" s="11"/>
      <c r="Q21" s="11"/>
      <c r="R21" s="66">
        <v>271837</v>
      </c>
      <c r="S21" s="11"/>
      <c r="T21" s="11"/>
      <c r="U21" s="11"/>
      <c r="V21" s="11"/>
      <c r="W21" s="66">
        <v>1815252</v>
      </c>
      <c r="X21" s="66">
        <v>162931.9412</v>
      </c>
      <c r="Y21" s="66">
        <v>26156</v>
      </c>
      <c r="Z21" s="67">
        <v>86864</v>
      </c>
      <c r="AA21" s="11"/>
      <c r="AB21" s="67">
        <v>708.75599999999997</v>
      </c>
      <c r="AC21" s="11"/>
    </row>
    <row r="22" spans="1:29" ht="14">
      <c r="A22" s="14">
        <v>2016</v>
      </c>
      <c r="B22" s="66">
        <v>1655576</v>
      </c>
      <c r="C22" s="66">
        <v>10743000</v>
      </c>
      <c r="D22" s="66">
        <v>8773564</v>
      </c>
      <c r="E22" s="66">
        <v>2766762</v>
      </c>
      <c r="F22" s="66">
        <v>1480000</v>
      </c>
      <c r="G22" s="66">
        <v>794969</v>
      </c>
      <c r="H22" s="66">
        <v>527416</v>
      </c>
      <c r="I22" s="66">
        <v>411162</v>
      </c>
      <c r="J22" s="66">
        <v>337068</v>
      </c>
      <c r="K22" s="11"/>
      <c r="L22" s="66">
        <v>457089</v>
      </c>
      <c r="M22" s="11"/>
      <c r="N22" s="66">
        <v>8967</v>
      </c>
      <c r="O22" s="66">
        <v>114695</v>
      </c>
      <c r="P22" s="11"/>
      <c r="Q22" s="11"/>
      <c r="R22" s="66">
        <v>275682</v>
      </c>
      <c r="S22" s="11"/>
      <c r="T22" s="11"/>
      <c r="U22" s="11"/>
      <c r="V22" s="11"/>
      <c r="W22" s="66">
        <v>1958096</v>
      </c>
      <c r="X22" s="66">
        <v>194793.55859999999</v>
      </c>
      <c r="Y22" s="66">
        <v>37065</v>
      </c>
      <c r="Z22" s="67">
        <v>328958</v>
      </c>
      <c r="AA22" s="11"/>
      <c r="AB22" s="67">
        <v>66322.705000000002</v>
      </c>
      <c r="AC22" s="11"/>
    </row>
    <row r="23" spans="1:29" ht="14">
      <c r="A23" s="14">
        <v>2017</v>
      </c>
      <c r="B23" s="66">
        <v>2561721</v>
      </c>
      <c r="C23" s="66">
        <v>12681000</v>
      </c>
      <c r="D23" s="66">
        <v>10059844</v>
      </c>
      <c r="E23" s="66">
        <v>4112604</v>
      </c>
      <c r="F23" s="66">
        <v>1556000</v>
      </c>
      <c r="G23" s="66">
        <v>1241734</v>
      </c>
      <c r="H23" s="66">
        <v>520185</v>
      </c>
      <c r="I23" s="66">
        <v>523940</v>
      </c>
      <c r="J23" s="66">
        <v>447979</v>
      </c>
      <c r="K23" s="11"/>
      <c r="L23" s="66">
        <v>446000</v>
      </c>
      <c r="M23" s="11"/>
      <c r="N23" s="66">
        <v>11839</v>
      </c>
      <c r="O23" s="66">
        <v>158991</v>
      </c>
      <c r="P23" s="11"/>
      <c r="Q23" s="11"/>
      <c r="R23" s="66">
        <v>310415</v>
      </c>
      <c r="S23" s="66">
        <v>19710</v>
      </c>
      <c r="T23" s="66">
        <v>144866</v>
      </c>
      <c r="U23" s="11"/>
      <c r="V23" s="11"/>
      <c r="W23" s="66">
        <v>2036787</v>
      </c>
      <c r="X23" s="66">
        <v>289420.38345000002</v>
      </c>
      <c r="Y23" s="66">
        <v>49536</v>
      </c>
      <c r="Z23" s="67">
        <v>861180</v>
      </c>
      <c r="AA23" s="67">
        <v>48286</v>
      </c>
      <c r="AB23" s="67">
        <v>105305</v>
      </c>
      <c r="AC23" s="11"/>
    </row>
    <row r="24" spans="1:29" ht="14">
      <c r="A24" s="14">
        <v>2018</v>
      </c>
      <c r="B24" s="66">
        <v>3651985</v>
      </c>
      <c r="C24" s="66">
        <v>14527000</v>
      </c>
      <c r="D24" s="66">
        <v>11223000</v>
      </c>
      <c r="E24" s="66">
        <v>4518459</v>
      </c>
      <c r="F24" s="66">
        <v>1615000</v>
      </c>
      <c r="G24" s="66">
        <v>1047465</v>
      </c>
      <c r="H24" s="66">
        <v>630946</v>
      </c>
      <c r="I24" s="66">
        <v>530614</v>
      </c>
      <c r="J24" s="66">
        <v>675691</v>
      </c>
      <c r="K24" s="11"/>
      <c r="L24" s="66">
        <v>428000</v>
      </c>
      <c r="M24" s="11"/>
      <c r="N24" s="66">
        <v>18992</v>
      </c>
      <c r="O24" s="66">
        <v>562740</v>
      </c>
      <c r="P24" s="11"/>
      <c r="Q24" s="11"/>
      <c r="R24" s="66">
        <v>333089</v>
      </c>
      <c r="S24" s="66">
        <v>38713</v>
      </c>
      <c r="T24" s="66">
        <v>189674</v>
      </c>
      <c r="U24" s="11"/>
      <c r="V24" s="11"/>
      <c r="W24" s="66">
        <v>2162360</v>
      </c>
      <c r="X24" s="66">
        <v>331963.20354999998</v>
      </c>
      <c r="Y24" s="66">
        <v>65953</v>
      </c>
      <c r="Z24" s="67">
        <v>1235990</v>
      </c>
      <c r="AA24" s="67">
        <v>46650</v>
      </c>
      <c r="AB24" s="67">
        <v>186035</v>
      </c>
      <c r="AC24" s="11"/>
    </row>
    <row r="25" spans="1:29" ht="14">
      <c r="A25" s="14">
        <v>2019</v>
      </c>
      <c r="B25" s="66">
        <v>4805239</v>
      </c>
      <c r="C25" s="66">
        <v>15066000</v>
      </c>
      <c r="D25" s="66">
        <v>12067000</v>
      </c>
      <c r="E25" s="66">
        <v>5104623</v>
      </c>
      <c r="F25" s="66">
        <v>1560000</v>
      </c>
      <c r="G25" s="66">
        <v>942102</v>
      </c>
      <c r="H25" s="66">
        <v>619408</v>
      </c>
      <c r="I25" s="66">
        <v>524876</v>
      </c>
      <c r="J25" s="66">
        <v>486178</v>
      </c>
      <c r="K25" s="66">
        <v>5880</v>
      </c>
      <c r="L25" s="66">
        <v>381000</v>
      </c>
      <c r="M25" s="11"/>
      <c r="N25" s="66">
        <v>29110</v>
      </c>
      <c r="O25" s="66">
        <v>254094</v>
      </c>
      <c r="P25" s="11"/>
      <c r="Q25" s="11"/>
      <c r="R25" s="66">
        <v>392116</v>
      </c>
      <c r="S25" s="66">
        <v>28385</v>
      </c>
      <c r="T25" s="66">
        <v>139109</v>
      </c>
      <c r="U25" s="11"/>
      <c r="V25" s="11"/>
      <c r="W25" s="66">
        <v>2129688</v>
      </c>
      <c r="X25" s="66">
        <v>408600.88569999998</v>
      </c>
      <c r="Y25" s="66">
        <v>96242</v>
      </c>
      <c r="Z25" s="67">
        <v>1427710</v>
      </c>
      <c r="AA25" s="67">
        <v>41017</v>
      </c>
      <c r="AB25" s="67">
        <v>235357</v>
      </c>
      <c r="AC25" s="11"/>
    </row>
    <row r="26" spans="1:29" ht="14">
      <c r="A26" s="14">
        <v>2020</v>
      </c>
      <c r="B26" s="66">
        <v>3378199</v>
      </c>
      <c r="C26" s="66">
        <v>6796000</v>
      </c>
      <c r="D26" s="66">
        <v>5199000</v>
      </c>
      <c r="E26" s="66">
        <v>2802797</v>
      </c>
      <c r="F26" s="66">
        <v>604000</v>
      </c>
      <c r="G26" s="66">
        <v>305451</v>
      </c>
      <c r="H26" s="66">
        <v>615466</v>
      </c>
      <c r="I26" s="66">
        <v>131334</v>
      </c>
      <c r="J26" s="66">
        <v>511892</v>
      </c>
      <c r="K26" s="66">
        <v>14877</v>
      </c>
      <c r="L26" s="66">
        <v>82000</v>
      </c>
      <c r="M26" s="66">
        <v>62763.366569999998</v>
      </c>
      <c r="N26" s="66">
        <v>8197</v>
      </c>
      <c r="O26" s="66">
        <v>183173</v>
      </c>
      <c r="P26" s="11"/>
      <c r="Q26" s="11"/>
      <c r="R26" s="66">
        <v>128926</v>
      </c>
      <c r="S26" s="66">
        <v>22595</v>
      </c>
      <c r="T26" s="66">
        <v>98413</v>
      </c>
      <c r="U26" s="11"/>
      <c r="V26" s="11"/>
      <c r="W26" s="66">
        <v>1402859</v>
      </c>
      <c r="X26" s="66">
        <v>137758.984</v>
      </c>
      <c r="Y26" s="66">
        <v>38884</v>
      </c>
      <c r="Z26" s="67">
        <v>549441</v>
      </c>
      <c r="AA26" s="67">
        <v>14635</v>
      </c>
      <c r="AB26" s="67">
        <v>148011</v>
      </c>
      <c r="AC26" s="11"/>
    </row>
    <row r="27" spans="1:29" ht="14">
      <c r="A27" s="14">
        <v>2021</v>
      </c>
      <c r="B27" s="66">
        <v>5991760</v>
      </c>
      <c r="C27" s="66">
        <v>10958000</v>
      </c>
      <c r="D27" s="66">
        <v>8598000</v>
      </c>
      <c r="E27" s="66">
        <v>3143131</v>
      </c>
      <c r="F27" s="66">
        <v>902000</v>
      </c>
      <c r="G27" s="66">
        <v>409395</v>
      </c>
      <c r="H27" s="66">
        <v>125659</v>
      </c>
      <c r="I27" s="66">
        <v>322843</v>
      </c>
      <c r="J27" s="66">
        <v>167112</v>
      </c>
      <c r="K27" s="66">
        <v>18693</v>
      </c>
      <c r="L27" s="66">
        <v>162000</v>
      </c>
      <c r="M27" s="66">
        <v>130216.2006</v>
      </c>
      <c r="N27" s="66">
        <v>10638</v>
      </c>
      <c r="O27" s="66">
        <v>29420</v>
      </c>
      <c r="P27" s="67">
        <v>28438</v>
      </c>
      <c r="Q27" s="11"/>
      <c r="R27" s="66">
        <v>186424</v>
      </c>
      <c r="S27" s="66">
        <v>19021</v>
      </c>
      <c r="T27" s="66">
        <v>19091</v>
      </c>
      <c r="U27" s="11"/>
      <c r="V27" s="11"/>
      <c r="W27" s="66">
        <v>474546</v>
      </c>
      <c r="X27" s="66">
        <v>153177.15479999999</v>
      </c>
      <c r="Y27" s="66">
        <v>51714</v>
      </c>
      <c r="Z27" s="67">
        <v>776362</v>
      </c>
      <c r="AA27" s="67">
        <v>15303</v>
      </c>
      <c r="AB27" s="67">
        <v>131648</v>
      </c>
      <c r="AC27" s="11"/>
    </row>
    <row r="28" spans="1:29" ht="14">
      <c r="A28" s="14">
        <v>2022</v>
      </c>
      <c r="B28" s="66">
        <v>8399000</v>
      </c>
      <c r="C28" s="66">
        <v>17090000</v>
      </c>
      <c r="D28" s="66">
        <v>11667000</v>
      </c>
      <c r="E28" s="66">
        <v>2868451</v>
      </c>
      <c r="F28" s="66">
        <v>1492000</v>
      </c>
      <c r="G28" s="66">
        <v>570635</v>
      </c>
      <c r="H28" s="66">
        <v>454166</v>
      </c>
      <c r="I28" s="66">
        <v>537972</v>
      </c>
      <c r="J28" s="66">
        <v>307406</v>
      </c>
      <c r="K28" s="66">
        <v>50213</v>
      </c>
      <c r="L28" s="66">
        <v>246000</v>
      </c>
      <c r="M28" s="66">
        <v>137461.4497</v>
      </c>
      <c r="N28" s="66">
        <v>21231</v>
      </c>
      <c r="O28" s="66">
        <v>103775</v>
      </c>
      <c r="P28" s="67">
        <v>58078</v>
      </c>
      <c r="Q28" s="11"/>
      <c r="R28" s="66">
        <v>328118</v>
      </c>
      <c r="S28" s="66">
        <v>31388</v>
      </c>
      <c r="T28" s="66">
        <v>28335</v>
      </c>
      <c r="U28" s="11"/>
      <c r="V28" s="11"/>
      <c r="W28" s="66">
        <v>720034</v>
      </c>
      <c r="X28" s="66">
        <v>342604.48600000003</v>
      </c>
      <c r="Y28" s="66">
        <v>115247</v>
      </c>
      <c r="Z28" s="67">
        <v>264081</v>
      </c>
      <c r="AA28" s="67">
        <v>11640</v>
      </c>
      <c r="AB28" s="67">
        <v>227051</v>
      </c>
      <c r="AC28" s="11"/>
    </row>
    <row r="29" spans="1:29" ht="14">
      <c r="A29" s="14">
        <v>2023</v>
      </c>
      <c r="B29" s="66">
        <v>9917000</v>
      </c>
      <c r="C29" s="66">
        <v>21365000</v>
      </c>
      <c r="D29" s="66">
        <v>12839000</v>
      </c>
      <c r="E29" s="66">
        <v>6230752</v>
      </c>
      <c r="F29" s="66">
        <v>1788000</v>
      </c>
      <c r="G29" s="66">
        <v>535959</v>
      </c>
      <c r="H29" s="66">
        <v>642340</v>
      </c>
      <c r="I29" s="66">
        <v>706040</v>
      </c>
      <c r="J29" s="66">
        <v>595657</v>
      </c>
      <c r="K29" s="66">
        <v>61007</v>
      </c>
      <c r="L29" s="66">
        <v>377000</v>
      </c>
      <c r="M29" s="66">
        <v>219141.1807</v>
      </c>
      <c r="N29" s="66">
        <v>30608</v>
      </c>
      <c r="O29" s="66">
        <v>244585</v>
      </c>
      <c r="P29" s="67">
        <v>77480</v>
      </c>
      <c r="Q29" s="11"/>
      <c r="R29" s="66">
        <v>362292</v>
      </c>
      <c r="S29" s="66">
        <v>55436</v>
      </c>
      <c r="T29" s="66">
        <v>48406</v>
      </c>
      <c r="U29" s="11"/>
      <c r="V29" s="11"/>
      <c r="W29" s="66">
        <v>1512705</v>
      </c>
      <c r="X29" s="66">
        <v>436790</v>
      </c>
      <c r="Y29" s="66">
        <v>207295</v>
      </c>
      <c r="Z29" s="67">
        <v>314096</v>
      </c>
      <c r="AA29" s="11"/>
      <c r="AB29" s="67">
        <v>298004</v>
      </c>
      <c r="AC29" s="11"/>
    </row>
    <row r="30" spans="1:29" ht="14">
      <c r="A30" s="14">
        <v>2024</v>
      </c>
      <c r="B30" s="11"/>
      <c r="C30" s="11"/>
      <c r="D30" s="11"/>
      <c r="E30" s="11"/>
      <c r="F30" s="11"/>
      <c r="G30" s="11"/>
      <c r="H30" s="66">
        <v>703268</v>
      </c>
      <c r="I30" s="11"/>
      <c r="J30" s="66">
        <v>783162</v>
      </c>
      <c r="K30" s="66">
        <v>79772</v>
      </c>
      <c r="L30" s="11"/>
      <c r="M30" s="11"/>
      <c r="N30" s="11"/>
      <c r="O30" s="66">
        <v>314189</v>
      </c>
      <c r="P30" s="11"/>
      <c r="Q30" s="11"/>
      <c r="R30" s="11"/>
      <c r="S30" s="66">
        <v>73054</v>
      </c>
      <c r="T30" s="66">
        <v>51482</v>
      </c>
      <c r="U30" s="11"/>
      <c r="V30" s="11"/>
      <c r="W30" s="66">
        <v>1830865</v>
      </c>
      <c r="X30" s="11"/>
      <c r="Y30" s="11"/>
      <c r="Z30" s="11"/>
      <c r="AA30" s="11"/>
      <c r="AB30" s="11"/>
      <c r="AC30" s="11"/>
    </row>
    <row r="31" spans="1:29" ht="14">
      <c r="A31" s="11"/>
      <c r="B31" s="11"/>
      <c r="C31" s="11"/>
      <c r="D31" s="11"/>
      <c r="E31" s="11"/>
      <c r="F31" s="11"/>
      <c r="G31" s="11"/>
      <c r="H31" s="66"/>
      <c r="I31" s="11"/>
      <c r="J31" s="11"/>
      <c r="K31" s="11"/>
      <c r="L31" s="11"/>
      <c r="M31" s="11"/>
      <c r="N31" s="11"/>
      <c r="O31" s="66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</row>
    <row r="32" spans="1:29" ht="14">
      <c r="A32" s="14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66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</row>
    <row r="33" spans="1:29" ht="14">
      <c r="A33" s="14"/>
      <c r="B33" s="11"/>
      <c r="C33" s="11"/>
      <c r="D33" s="66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</row>
    <row r="34" spans="1:29" ht="14">
      <c r="A34" s="14"/>
      <c r="B34" s="11"/>
      <c r="C34" s="66"/>
      <c r="D34" s="66"/>
      <c r="E34" s="11"/>
      <c r="F34" s="11"/>
      <c r="G34" s="11"/>
      <c r="H34" s="11"/>
      <c r="I34" s="11"/>
      <c r="J34" s="11"/>
      <c r="K34" s="11"/>
      <c r="L34" s="11"/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</row>
    <row r="35" spans="1:29" ht="14">
      <c r="A35" s="14"/>
      <c r="B35" s="11"/>
      <c r="C35" s="66"/>
      <c r="D35" s="66"/>
      <c r="E35" s="11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</row>
    <row r="36" spans="1:29" ht="14">
      <c r="A36" s="14"/>
      <c r="B36" s="11"/>
      <c r="C36" s="66"/>
      <c r="D36" s="66"/>
      <c r="E36" s="66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</row>
    <row r="37" spans="1:29" ht="14">
      <c r="A37" s="14"/>
      <c r="B37" s="11"/>
      <c r="C37" s="66"/>
      <c r="D37" s="66"/>
      <c r="E37" s="66"/>
      <c r="F37" s="11"/>
      <c r="G37" s="11"/>
      <c r="H37" s="11"/>
      <c r="I37" s="11"/>
      <c r="J37" s="11"/>
      <c r="K37" s="11"/>
      <c r="L37" s="11"/>
      <c r="M37" s="11"/>
      <c r="N37" s="11"/>
      <c r="O37" s="66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</row>
    <row r="38" spans="1:29" ht="14">
      <c r="A38" s="14"/>
      <c r="B38" s="11"/>
      <c r="C38" s="66"/>
      <c r="D38" s="66"/>
      <c r="E38" s="66"/>
      <c r="F38" s="11"/>
      <c r="G38" s="11"/>
      <c r="H38" s="11"/>
      <c r="I38" s="11"/>
      <c r="J38" s="11"/>
      <c r="K38" s="11"/>
      <c r="L38" s="11"/>
      <c r="M38" s="11"/>
      <c r="N38" s="11"/>
      <c r="O38" s="66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</row>
    <row r="39" spans="1:29" ht="14">
      <c r="A39" s="14"/>
      <c r="B39" s="11"/>
      <c r="C39" s="66"/>
      <c r="D39" s="66"/>
      <c r="E39" s="66"/>
      <c r="F39" s="11"/>
      <c r="G39" s="11"/>
      <c r="H39" s="11"/>
      <c r="I39" s="11"/>
      <c r="J39" s="11"/>
      <c r="K39" s="11"/>
      <c r="L39" s="11"/>
      <c r="M39" s="11"/>
      <c r="N39" s="11"/>
      <c r="O39" s="66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</row>
    <row r="40" spans="1:29" ht="14">
      <c r="A40" s="14"/>
      <c r="B40" s="11"/>
      <c r="C40" s="66"/>
      <c r="D40" s="66"/>
      <c r="E40" s="66"/>
      <c r="F40" s="11"/>
      <c r="G40" s="11"/>
      <c r="H40" s="11"/>
      <c r="I40" s="11"/>
      <c r="J40" s="11"/>
      <c r="K40" s="11"/>
      <c r="L40" s="11"/>
      <c r="M40" s="11"/>
      <c r="N40" s="11"/>
      <c r="O40" s="66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</row>
    <row r="41" spans="1:29" ht="14">
      <c r="A41" s="14"/>
      <c r="B41" s="11"/>
      <c r="C41" s="66"/>
      <c r="D41" s="66"/>
      <c r="E41" s="66"/>
      <c r="F41" s="11"/>
      <c r="G41" s="11"/>
      <c r="H41" s="11"/>
      <c r="I41" s="11"/>
      <c r="J41" s="11"/>
      <c r="K41" s="11"/>
      <c r="L41" s="11"/>
      <c r="M41" s="11"/>
      <c r="N41" s="11"/>
      <c r="O41" s="66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</row>
    <row r="42" spans="1:29" ht="14">
      <c r="A42" s="14"/>
      <c r="B42" s="11"/>
      <c r="C42" s="66"/>
      <c r="D42" s="66"/>
      <c r="E42" s="66"/>
      <c r="F42" s="11"/>
      <c r="G42" s="11"/>
      <c r="H42" s="11"/>
      <c r="I42" s="11"/>
      <c r="J42" s="11"/>
      <c r="K42" s="11"/>
      <c r="L42" s="11"/>
      <c r="M42" s="11"/>
      <c r="N42" s="11"/>
      <c r="O42" s="66"/>
      <c r="P42" s="11"/>
      <c r="Q42" s="11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</row>
    <row r="43" spans="1:29" ht="14">
      <c r="A43" s="14"/>
      <c r="B43" s="11"/>
      <c r="C43" s="66"/>
      <c r="D43" s="66"/>
      <c r="E43" s="66"/>
      <c r="F43" s="11"/>
      <c r="G43" s="11"/>
      <c r="H43" s="11"/>
      <c r="I43" s="11"/>
      <c r="J43" s="11"/>
      <c r="K43" s="11"/>
      <c r="L43" s="11"/>
      <c r="M43" s="11"/>
      <c r="N43" s="11"/>
      <c r="O43" s="66"/>
      <c r="P43" s="11"/>
      <c r="Q43" s="11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</row>
    <row r="44" spans="1:29" ht="14">
      <c r="A44" s="14"/>
      <c r="B44" s="11"/>
      <c r="C44" s="66"/>
      <c r="D44" s="66"/>
      <c r="E44" s="66"/>
      <c r="F44" s="11"/>
      <c r="G44" s="11"/>
      <c r="H44" s="11"/>
      <c r="I44" s="11"/>
      <c r="J44" s="11"/>
      <c r="K44" s="11"/>
      <c r="L44" s="11"/>
      <c r="M44" s="11"/>
      <c r="N44" s="11"/>
      <c r="O44" s="66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</row>
    <row r="45" spans="1:29" ht="14">
      <c r="A45" s="14"/>
      <c r="B45" s="11"/>
      <c r="C45" s="66"/>
      <c r="D45" s="66"/>
      <c r="E45" s="66"/>
      <c r="F45" s="66"/>
      <c r="G45" s="11"/>
      <c r="H45" s="11"/>
      <c r="I45" s="11"/>
      <c r="J45" s="66"/>
      <c r="K45" s="11"/>
      <c r="L45" s="11"/>
      <c r="M45" s="11"/>
      <c r="N45" s="11"/>
      <c r="O45" s="66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</row>
    <row r="46" spans="1:29" ht="14">
      <c r="A46" s="14"/>
      <c r="B46" s="11"/>
      <c r="C46" s="66"/>
      <c r="D46" s="66"/>
      <c r="E46" s="66"/>
      <c r="F46" s="66"/>
      <c r="G46" s="11"/>
      <c r="H46" s="11"/>
      <c r="I46" s="11"/>
      <c r="J46" s="66"/>
      <c r="K46" s="11"/>
      <c r="L46" s="11"/>
      <c r="M46" s="11"/>
      <c r="N46" s="11"/>
      <c r="O46" s="66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</row>
    <row r="47" spans="1:29" ht="14">
      <c r="A47" s="14"/>
      <c r="B47" s="11"/>
      <c r="C47" s="66"/>
      <c r="D47" s="66"/>
      <c r="E47" s="66"/>
      <c r="F47" s="66"/>
      <c r="G47" s="11"/>
      <c r="H47" s="11"/>
      <c r="I47" s="11"/>
      <c r="J47" s="66"/>
      <c r="K47" s="11"/>
      <c r="L47" s="11"/>
      <c r="M47" s="11"/>
      <c r="N47" s="11"/>
      <c r="O47" s="66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</row>
    <row r="48" spans="1:29" ht="14">
      <c r="A48" s="14"/>
      <c r="B48" s="11"/>
      <c r="C48" s="66"/>
      <c r="D48" s="66"/>
      <c r="E48" s="66"/>
      <c r="F48" s="66"/>
      <c r="G48" s="11"/>
      <c r="H48" s="66"/>
      <c r="I48" s="11"/>
      <c r="J48" s="66"/>
      <c r="K48" s="11"/>
      <c r="L48" s="11"/>
      <c r="M48" s="11"/>
      <c r="N48" s="11"/>
      <c r="O48" s="66"/>
      <c r="P48" s="11"/>
      <c r="Q48" s="11"/>
      <c r="R48" s="66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</row>
    <row r="49" spans="1:29" ht="14">
      <c r="A49" s="14"/>
      <c r="B49" s="11"/>
      <c r="C49" s="66"/>
      <c r="D49" s="66"/>
      <c r="E49" s="66"/>
      <c r="F49" s="66"/>
      <c r="G49" s="11"/>
      <c r="H49" s="66"/>
      <c r="I49" s="11"/>
      <c r="J49" s="66"/>
      <c r="K49" s="11"/>
      <c r="L49" s="11"/>
      <c r="M49" s="11"/>
      <c r="N49" s="11"/>
      <c r="O49" s="66"/>
      <c r="P49" s="11"/>
      <c r="Q49" s="11"/>
      <c r="R49" s="66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</row>
    <row r="50" spans="1:29" ht="14">
      <c r="A50" s="14"/>
      <c r="B50" s="11"/>
      <c r="C50" s="66"/>
      <c r="D50" s="66"/>
      <c r="E50" s="66"/>
      <c r="F50" s="66"/>
      <c r="G50" s="66"/>
      <c r="H50" s="66"/>
      <c r="I50" s="11"/>
      <c r="J50" s="66"/>
      <c r="K50" s="11"/>
      <c r="L50" s="11"/>
      <c r="M50" s="11"/>
      <c r="N50" s="11"/>
      <c r="O50" s="66"/>
      <c r="P50" s="11"/>
      <c r="Q50" s="11"/>
      <c r="R50" s="66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</row>
    <row r="51" spans="1:29" ht="14">
      <c r="A51" s="14"/>
      <c r="B51" s="66"/>
      <c r="C51" s="66"/>
      <c r="D51" s="66"/>
      <c r="E51" s="66"/>
      <c r="F51" s="66"/>
      <c r="G51" s="66"/>
      <c r="H51" s="66"/>
      <c r="I51" s="66"/>
      <c r="J51" s="66"/>
      <c r="K51" s="11"/>
      <c r="L51" s="11"/>
      <c r="M51" s="11"/>
      <c r="N51" s="11"/>
      <c r="O51" s="66"/>
      <c r="P51" s="11"/>
      <c r="Q51" s="11"/>
      <c r="R51" s="66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</row>
    <row r="52" spans="1:29" ht="14">
      <c r="A52" s="14"/>
      <c r="B52" s="66"/>
      <c r="C52" s="66"/>
      <c r="D52" s="66"/>
      <c r="E52" s="66"/>
      <c r="F52" s="66"/>
      <c r="G52" s="66"/>
      <c r="H52" s="66"/>
      <c r="I52" s="66"/>
      <c r="J52" s="66"/>
      <c r="K52" s="11"/>
      <c r="L52" s="66"/>
      <c r="M52" s="68"/>
      <c r="N52" s="11"/>
      <c r="O52" s="66"/>
      <c r="P52" s="11"/>
      <c r="Q52" s="11"/>
      <c r="R52" s="66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</row>
    <row r="53" spans="1:29" ht="14">
      <c r="A53" s="14"/>
      <c r="B53" s="66"/>
      <c r="C53" s="66"/>
      <c r="D53" s="66"/>
      <c r="E53" s="66"/>
      <c r="F53" s="66"/>
      <c r="G53" s="66"/>
      <c r="H53" s="66"/>
      <c r="I53" s="66"/>
      <c r="J53" s="66"/>
      <c r="K53" s="11"/>
      <c r="L53" s="66"/>
      <c r="M53" s="68"/>
      <c r="N53" s="11"/>
      <c r="O53" s="66"/>
      <c r="P53" s="11"/>
      <c r="Q53" s="11"/>
      <c r="R53" s="66"/>
      <c r="S53" s="66"/>
      <c r="T53" s="66"/>
      <c r="U53" s="11"/>
      <c r="V53" s="11"/>
      <c r="W53" s="11"/>
      <c r="X53" s="11"/>
      <c r="Y53" s="11"/>
      <c r="Z53" s="11"/>
      <c r="AA53" s="11"/>
      <c r="AB53" s="11"/>
      <c r="AC53" s="11"/>
    </row>
    <row r="54" spans="1:29" ht="14">
      <c r="A54" s="14"/>
      <c r="B54" s="66"/>
      <c r="C54" s="66"/>
      <c r="D54" s="66"/>
      <c r="E54" s="66"/>
      <c r="F54" s="66"/>
      <c r="G54" s="66"/>
      <c r="H54" s="66"/>
      <c r="I54" s="66"/>
      <c r="J54" s="66"/>
      <c r="K54" s="11"/>
      <c r="L54" s="66"/>
      <c r="M54" s="68"/>
      <c r="N54" s="11"/>
      <c r="O54" s="66"/>
      <c r="P54" s="11"/>
      <c r="Q54" s="11"/>
      <c r="R54" s="66"/>
      <c r="S54" s="66"/>
      <c r="T54" s="66"/>
      <c r="U54" s="11"/>
      <c r="V54" s="11"/>
      <c r="W54" s="11"/>
      <c r="X54" s="11"/>
      <c r="Y54" s="11"/>
      <c r="Z54" s="11"/>
      <c r="AA54" s="11"/>
      <c r="AB54" s="11"/>
      <c r="AC54" s="11"/>
    </row>
    <row r="55" spans="1:29" ht="14">
      <c r="A55" s="14"/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8"/>
      <c r="N55" s="11"/>
      <c r="O55" s="66"/>
      <c r="P55" s="11"/>
      <c r="Q55" s="11"/>
      <c r="R55" s="66"/>
      <c r="S55" s="66"/>
      <c r="T55" s="66"/>
      <c r="U55" s="11"/>
      <c r="V55" s="11"/>
      <c r="W55" s="11"/>
      <c r="X55" s="11"/>
      <c r="Y55" s="11"/>
      <c r="Z55" s="11"/>
      <c r="AA55" s="11"/>
      <c r="AB55" s="11"/>
      <c r="AC55" s="11"/>
    </row>
    <row r="56" spans="1:29" ht="14">
      <c r="A56" s="14"/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8"/>
      <c r="N56" s="11"/>
      <c r="O56" s="66"/>
      <c r="P56" s="11"/>
      <c r="Q56" s="11"/>
      <c r="R56" s="66"/>
      <c r="S56" s="66"/>
      <c r="T56" s="66"/>
      <c r="U56" s="11"/>
      <c r="V56" s="11"/>
      <c r="W56" s="11"/>
      <c r="X56" s="11"/>
      <c r="Y56" s="11"/>
      <c r="Z56" s="11"/>
      <c r="AA56" s="11"/>
      <c r="AB56" s="11"/>
      <c r="AC56" s="11"/>
    </row>
    <row r="57" spans="1:29" ht="14">
      <c r="A57" s="14"/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8"/>
      <c r="N57" s="11"/>
      <c r="O57" s="66"/>
      <c r="P57" s="11"/>
      <c r="Q57" s="11"/>
      <c r="R57" s="66"/>
      <c r="S57" s="66"/>
      <c r="T57" s="66"/>
      <c r="U57" s="11"/>
      <c r="V57" s="11"/>
      <c r="W57" s="11"/>
      <c r="X57" s="11"/>
      <c r="Y57" s="11"/>
      <c r="Z57" s="11"/>
      <c r="AA57" s="11"/>
      <c r="AB57" s="11"/>
      <c r="AC57" s="11"/>
    </row>
    <row r="58" spans="1:29" ht="14">
      <c r="A58" s="14"/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8"/>
      <c r="N58" s="11"/>
      <c r="O58" s="66"/>
      <c r="P58" s="11"/>
      <c r="Q58" s="11"/>
      <c r="R58" s="66"/>
      <c r="S58" s="66"/>
      <c r="T58" s="66"/>
      <c r="U58" s="11"/>
      <c r="V58" s="11"/>
      <c r="W58" s="11"/>
      <c r="X58" s="11"/>
      <c r="Y58" s="11"/>
      <c r="Z58" s="11"/>
      <c r="AA58" s="11"/>
      <c r="AB58" s="11"/>
      <c r="AC58" s="11"/>
    </row>
    <row r="59" spans="1:29" ht="14">
      <c r="A59" s="14"/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8"/>
      <c r="N59" s="11"/>
      <c r="O59" s="66"/>
      <c r="P59" s="11"/>
      <c r="Q59" s="11"/>
      <c r="R59" s="66"/>
      <c r="S59" s="66"/>
      <c r="T59" s="66"/>
      <c r="U59" s="11"/>
      <c r="V59" s="11"/>
      <c r="W59" s="11"/>
      <c r="X59" s="11"/>
      <c r="Y59" s="11"/>
      <c r="Z59" s="11"/>
      <c r="AA59" s="11"/>
      <c r="AB59" s="11"/>
      <c r="AC59" s="11"/>
    </row>
    <row r="60" spans="1:29" ht="14">
      <c r="A60" s="14"/>
      <c r="B60" s="11"/>
      <c r="C60" s="11"/>
      <c r="D60" s="11"/>
      <c r="E60" s="11"/>
      <c r="F60" s="11"/>
      <c r="G60" s="11"/>
      <c r="H60" s="66"/>
      <c r="I60" s="11"/>
      <c r="J60" s="66"/>
      <c r="K60" s="66"/>
      <c r="L60" s="11"/>
      <c r="M60" s="11"/>
      <c r="N60" s="11"/>
      <c r="O60" s="66"/>
      <c r="P60" s="11"/>
      <c r="Q60" s="11"/>
      <c r="R60" s="11"/>
      <c r="S60" s="66"/>
      <c r="T60" s="66"/>
      <c r="U60" s="11"/>
      <c r="V60" s="11"/>
      <c r="W60" s="11"/>
      <c r="X60" s="11"/>
      <c r="Y60" s="11"/>
      <c r="Z60" s="11"/>
      <c r="AA60" s="11"/>
      <c r="AB60" s="11"/>
      <c r="AC60" s="11"/>
    </row>
    <row r="61" spans="1:29" ht="14">
      <c r="A61" s="11"/>
      <c r="B61" s="11"/>
      <c r="C61" s="11"/>
      <c r="D61" s="11"/>
      <c r="E61" s="11"/>
      <c r="F61" s="11"/>
      <c r="G61" s="11"/>
      <c r="H61" s="11"/>
      <c r="I61" s="11"/>
      <c r="J61" s="11"/>
      <c r="K61" s="11"/>
      <c r="L61" s="11"/>
      <c r="M61" s="11"/>
      <c r="N61" s="11"/>
      <c r="O61" s="11"/>
      <c r="P61" s="11"/>
      <c r="Q61" s="11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</row>
    <row r="62" spans="1:29" ht="14">
      <c r="A62" s="14"/>
      <c r="B62" s="11"/>
      <c r="C62" s="11"/>
      <c r="D62" s="11"/>
      <c r="E62" s="11"/>
      <c r="F62" s="11"/>
      <c r="G62" s="11"/>
      <c r="H62" s="11"/>
      <c r="I62" s="11"/>
      <c r="J62" s="11"/>
      <c r="K62" s="11"/>
      <c r="L62" s="11"/>
      <c r="M62" s="11"/>
      <c r="N62" s="11"/>
      <c r="O62" s="11"/>
      <c r="P62" s="11"/>
      <c r="Q62" s="11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</row>
    <row r="63" spans="1:29" ht="14">
      <c r="A63" s="14"/>
      <c r="B63" s="11"/>
      <c r="C63" s="11"/>
      <c r="D63" s="69"/>
      <c r="E63" s="11"/>
      <c r="F63" s="11"/>
      <c r="G63" s="11"/>
      <c r="H63" s="11"/>
      <c r="I63" s="11"/>
      <c r="J63" s="11"/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</row>
    <row r="64" spans="1:29" ht="14">
      <c r="A64" s="14"/>
      <c r="B64" s="11"/>
      <c r="C64" s="69"/>
      <c r="D64" s="69"/>
      <c r="E64" s="11"/>
      <c r="F64" s="11"/>
      <c r="G64" s="11"/>
      <c r="H64" s="11"/>
      <c r="I64" s="11"/>
      <c r="J64" s="11"/>
      <c r="K64" s="11"/>
      <c r="L64" s="11"/>
      <c r="M64" s="11"/>
      <c r="N64" s="11"/>
      <c r="O64" s="11"/>
      <c r="P64" s="11"/>
      <c r="Q64" s="11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</row>
    <row r="65" spans="1:29" ht="14">
      <c r="A65" s="14"/>
      <c r="B65" s="11"/>
      <c r="C65" s="69"/>
      <c r="D65" s="69"/>
      <c r="E65" s="11"/>
      <c r="F65" s="11"/>
      <c r="G65" s="11"/>
      <c r="H65" s="11"/>
      <c r="I65" s="11"/>
      <c r="J65" s="11"/>
      <c r="K65" s="11"/>
      <c r="L65" s="11"/>
      <c r="M65" s="11"/>
      <c r="N65" s="11"/>
      <c r="O65" s="11"/>
      <c r="P65" s="11"/>
      <c r="Q65" s="11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</row>
    <row r="66" spans="1:29" ht="14">
      <c r="A66" s="14"/>
      <c r="B66" s="11"/>
      <c r="C66" s="69"/>
      <c r="D66" s="69"/>
      <c r="E66" s="69"/>
      <c r="F66" s="11"/>
      <c r="G66" s="11"/>
      <c r="H66" s="11"/>
      <c r="I66" s="11"/>
      <c r="J66" s="11"/>
      <c r="K66" s="11"/>
      <c r="L66" s="11"/>
      <c r="M66" s="11"/>
      <c r="N66" s="11"/>
      <c r="O66" s="11"/>
      <c r="P66" s="11"/>
      <c r="Q66" s="11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</row>
    <row r="67" spans="1:29" ht="14">
      <c r="A67" s="14"/>
      <c r="B67" s="11"/>
      <c r="C67" s="69"/>
      <c r="D67" s="69"/>
      <c r="E67" s="69"/>
      <c r="F67" s="11"/>
      <c r="G67" s="11"/>
      <c r="H67" s="11"/>
      <c r="I67" s="11"/>
      <c r="J67" s="11"/>
      <c r="K67" s="11"/>
      <c r="L67" s="11"/>
      <c r="M67" s="11"/>
      <c r="N67" s="11"/>
      <c r="O67" s="69"/>
      <c r="P67" s="11"/>
      <c r="Q67" s="11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</row>
    <row r="68" spans="1:29" ht="14">
      <c r="A68" s="14"/>
      <c r="B68" s="11"/>
      <c r="C68" s="69"/>
      <c r="D68" s="69"/>
      <c r="E68" s="69"/>
      <c r="F68" s="11"/>
      <c r="G68" s="11"/>
      <c r="H68" s="11"/>
      <c r="I68" s="11"/>
      <c r="J68" s="11"/>
      <c r="K68" s="11"/>
      <c r="L68" s="11"/>
      <c r="M68" s="11"/>
      <c r="N68" s="11"/>
      <c r="O68" s="69"/>
      <c r="P68" s="11"/>
      <c r="Q68" s="11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</row>
    <row r="69" spans="1:29" ht="14">
      <c r="A69" s="14"/>
      <c r="B69" s="11"/>
      <c r="C69" s="69"/>
      <c r="D69" s="69"/>
      <c r="E69" s="69"/>
      <c r="F69" s="11"/>
      <c r="G69" s="11"/>
      <c r="H69" s="11"/>
      <c r="I69" s="11"/>
      <c r="J69" s="11"/>
      <c r="K69" s="11"/>
      <c r="L69" s="11"/>
      <c r="M69" s="11"/>
      <c r="N69" s="11"/>
      <c r="O69" s="69"/>
      <c r="P69" s="11"/>
      <c r="Q69" s="11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</row>
    <row r="70" spans="1:29" ht="14">
      <c r="A70" s="14"/>
      <c r="B70" s="11"/>
      <c r="C70" s="69"/>
      <c r="D70" s="69"/>
      <c r="E70" s="69"/>
      <c r="F70" s="11"/>
      <c r="G70" s="11"/>
      <c r="H70" s="11"/>
      <c r="I70" s="11"/>
      <c r="J70" s="11"/>
      <c r="K70" s="11"/>
      <c r="L70" s="11"/>
      <c r="M70" s="11"/>
      <c r="N70" s="11"/>
      <c r="O70" s="69"/>
      <c r="P70" s="11"/>
      <c r="Q70" s="11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</row>
    <row r="71" spans="1:29" ht="14">
      <c r="A71" s="14"/>
      <c r="B71" s="11"/>
      <c r="C71" s="69"/>
      <c r="D71" s="69"/>
      <c r="E71" s="69"/>
      <c r="F71" s="11"/>
      <c r="G71" s="11"/>
      <c r="H71" s="11"/>
      <c r="I71" s="11"/>
      <c r="J71" s="11"/>
      <c r="K71" s="11"/>
      <c r="L71" s="11"/>
      <c r="M71" s="11"/>
      <c r="N71" s="11"/>
      <c r="O71" s="69"/>
      <c r="P71" s="11"/>
      <c r="Q71" s="11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</row>
    <row r="72" spans="1:29" ht="14">
      <c r="A72" s="14"/>
      <c r="B72" s="11"/>
      <c r="C72" s="69"/>
      <c r="D72" s="69"/>
      <c r="E72" s="69"/>
      <c r="F72" s="11"/>
      <c r="G72" s="11"/>
      <c r="H72" s="11"/>
      <c r="I72" s="11"/>
      <c r="J72" s="11"/>
      <c r="K72" s="11"/>
      <c r="L72" s="11"/>
      <c r="M72" s="11"/>
      <c r="N72" s="11"/>
      <c r="O72" s="69"/>
      <c r="P72" s="11"/>
      <c r="Q72" s="11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</row>
    <row r="73" spans="1:29" ht="14">
      <c r="A73" s="14"/>
      <c r="B73" s="11"/>
      <c r="C73" s="69"/>
      <c r="D73" s="69"/>
      <c r="E73" s="69"/>
      <c r="F73" s="11"/>
      <c r="G73" s="11"/>
      <c r="H73" s="11"/>
      <c r="I73" s="11"/>
      <c r="J73" s="11"/>
      <c r="K73" s="11"/>
      <c r="L73" s="11"/>
      <c r="M73" s="11"/>
      <c r="N73" s="11"/>
      <c r="O73" s="69"/>
      <c r="P73" s="11"/>
      <c r="Q73" s="11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</row>
    <row r="74" spans="1:29" ht="14">
      <c r="A74" s="14"/>
      <c r="B74" s="11"/>
      <c r="C74" s="69"/>
      <c r="D74" s="69"/>
      <c r="E74" s="69"/>
      <c r="F74" s="11"/>
      <c r="G74" s="11"/>
      <c r="H74" s="11"/>
      <c r="I74" s="11"/>
      <c r="J74" s="11"/>
      <c r="K74" s="11"/>
      <c r="L74" s="11"/>
      <c r="M74" s="11"/>
      <c r="N74" s="11"/>
      <c r="O74" s="69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</row>
    <row r="75" spans="1:29" ht="14">
      <c r="A75" s="14"/>
      <c r="B75" s="11"/>
      <c r="C75" s="69"/>
      <c r="D75" s="69"/>
      <c r="E75" s="69"/>
      <c r="F75" s="69"/>
      <c r="G75" s="11"/>
      <c r="H75" s="11"/>
      <c r="I75" s="11"/>
      <c r="J75" s="69"/>
      <c r="K75" s="11"/>
      <c r="L75" s="11"/>
      <c r="M75" s="11"/>
      <c r="N75" s="11"/>
      <c r="O75" s="69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</row>
    <row r="76" spans="1:29" ht="14">
      <c r="A76" s="14"/>
      <c r="B76" s="11"/>
      <c r="C76" s="69"/>
      <c r="D76" s="69"/>
      <c r="E76" s="69"/>
      <c r="F76" s="69"/>
      <c r="G76" s="11"/>
      <c r="H76" s="11"/>
      <c r="I76" s="11"/>
      <c r="J76" s="69"/>
      <c r="K76" s="11"/>
      <c r="L76" s="11"/>
      <c r="M76" s="11"/>
      <c r="N76" s="11"/>
      <c r="O76" s="69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</row>
    <row r="77" spans="1:29" ht="14">
      <c r="A77" s="14"/>
      <c r="B77" s="11"/>
      <c r="C77" s="69"/>
      <c r="D77" s="69"/>
      <c r="E77" s="69"/>
      <c r="F77" s="69"/>
      <c r="G77" s="11"/>
      <c r="H77" s="11"/>
      <c r="I77" s="11"/>
      <c r="J77" s="69"/>
      <c r="K77" s="11"/>
      <c r="L77" s="11"/>
      <c r="M77" s="11"/>
      <c r="N77" s="11"/>
      <c r="O77" s="69"/>
      <c r="P77" s="11"/>
      <c r="Q77" s="11"/>
      <c r="R77" s="69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</row>
    <row r="78" spans="1:29" ht="14">
      <c r="A78" s="14"/>
      <c r="B78" s="11"/>
      <c r="C78" s="69"/>
      <c r="D78" s="69"/>
      <c r="E78" s="69"/>
      <c r="F78" s="69"/>
      <c r="G78" s="11"/>
      <c r="H78" s="69"/>
      <c r="I78" s="11"/>
      <c r="J78" s="69"/>
      <c r="K78" s="11"/>
      <c r="L78" s="11"/>
      <c r="M78" s="11"/>
      <c r="N78" s="11"/>
      <c r="O78" s="69"/>
      <c r="P78" s="11"/>
      <c r="Q78" s="11"/>
      <c r="R78" s="69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</row>
    <row r="79" spans="1:29" ht="14">
      <c r="A79" s="14"/>
      <c r="B79" s="11"/>
      <c r="C79" s="69"/>
      <c r="D79" s="69"/>
      <c r="E79" s="69"/>
      <c r="F79" s="69"/>
      <c r="G79" s="11"/>
      <c r="H79" s="69"/>
      <c r="I79" s="11"/>
      <c r="J79" s="69"/>
      <c r="K79" s="11"/>
      <c r="L79" s="11"/>
      <c r="M79" s="11"/>
      <c r="N79" s="11"/>
      <c r="O79" s="69"/>
      <c r="P79" s="11"/>
      <c r="Q79" s="11"/>
      <c r="R79" s="69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</row>
    <row r="80" spans="1:29" ht="14">
      <c r="A80" s="14"/>
      <c r="B80" s="11"/>
      <c r="C80" s="69"/>
      <c r="D80" s="69"/>
      <c r="E80" s="69"/>
      <c r="F80" s="69"/>
      <c r="G80" s="69"/>
      <c r="H80" s="69"/>
      <c r="I80" s="11"/>
      <c r="J80" s="69"/>
      <c r="K80" s="11"/>
      <c r="L80" s="11"/>
      <c r="M80" s="11"/>
      <c r="N80" s="11"/>
      <c r="O80" s="69"/>
      <c r="P80" s="11"/>
      <c r="Q80" s="11"/>
      <c r="R80" s="69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</row>
    <row r="81" spans="1:29" ht="14">
      <c r="A81" s="14"/>
      <c r="B81" s="69"/>
      <c r="C81" s="69"/>
      <c r="D81" s="69"/>
      <c r="E81" s="69"/>
      <c r="F81" s="69"/>
      <c r="G81" s="69"/>
      <c r="H81" s="69"/>
      <c r="I81" s="69"/>
      <c r="J81" s="69"/>
      <c r="K81" s="11"/>
      <c r="L81" s="11"/>
      <c r="M81" s="11"/>
      <c r="N81" s="11"/>
      <c r="O81" s="69"/>
      <c r="P81" s="11"/>
      <c r="Q81" s="11"/>
      <c r="R81" s="69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</row>
    <row r="82" spans="1:29" ht="14">
      <c r="A82" s="14"/>
      <c r="B82" s="69"/>
      <c r="C82" s="69"/>
      <c r="D82" s="69"/>
      <c r="E82" s="69"/>
      <c r="F82" s="69"/>
      <c r="G82" s="69"/>
      <c r="H82" s="69"/>
      <c r="I82" s="69"/>
      <c r="J82" s="69"/>
      <c r="K82" s="11"/>
      <c r="L82" s="69"/>
      <c r="M82" s="11"/>
      <c r="N82" s="11"/>
      <c r="O82" s="69"/>
      <c r="P82" s="11"/>
      <c r="Q82" s="11"/>
      <c r="R82" s="69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</row>
    <row r="83" spans="1:29" ht="14">
      <c r="A83" s="14"/>
      <c r="B83" s="69"/>
      <c r="C83" s="69"/>
      <c r="D83" s="69"/>
      <c r="E83" s="69"/>
      <c r="F83" s="69"/>
      <c r="G83" s="69"/>
      <c r="H83" s="69"/>
      <c r="I83" s="69"/>
      <c r="J83" s="69"/>
      <c r="K83" s="11"/>
      <c r="L83" s="69"/>
      <c r="M83" s="11"/>
      <c r="N83" s="11"/>
      <c r="O83" s="69"/>
      <c r="P83" s="11"/>
      <c r="Q83" s="11"/>
      <c r="R83" s="69"/>
      <c r="S83" s="69"/>
      <c r="T83" s="69"/>
      <c r="U83" s="11"/>
      <c r="V83" s="11"/>
      <c r="W83" s="11"/>
      <c r="X83" s="11"/>
      <c r="Y83" s="11"/>
      <c r="Z83" s="11"/>
      <c r="AA83" s="11"/>
      <c r="AB83" s="11"/>
      <c r="AC83" s="11"/>
    </row>
    <row r="84" spans="1:29" ht="14">
      <c r="A84" s="14"/>
      <c r="B84" s="69"/>
      <c r="C84" s="69"/>
      <c r="D84" s="69"/>
      <c r="E84" s="69"/>
      <c r="F84" s="69"/>
      <c r="G84" s="69"/>
      <c r="H84" s="69"/>
      <c r="I84" s="69"/>
      <c r="J84" s="69"/>
      <c r="K84" s="11"/>
      <c r="L84" s="69"/>
      <c r="M84" s="11"/>
      <c r="N84" s="11"/>
      <c r="O84" s="69"/>
      <c r="P84" s="11"/>
      <c r="Q84" s="11"/>
      <c r="R84" s="69"/>
      <c r="S84" s="69"/>
      <c r="T84" s="69"/>
      <c r="U84" s="11"/>
      <c r="V84" s="11"/>
      <c r="W84" s="11"/>
      <c r="X84" s="11"/>
      <c r="Y84" s="11"/>
      <c r="Z84" s="11"/>
      <c r="AA84" s="11"/>
      <c r="AB84" s="11"/>
      <c r="AC84" s="11"/>
    </row>
    <row r="85" spans="1:29" ht="14">
      <c r="A85" s="14"/>
      <c r="B85" s="69"/>
      <c r="C85" s="69"/>
      <c r="D85" s="69"/>
      <c r="E85" s="69"/>
      <c r="F85" s="69"/>
      <c r="G85" s="69"/>
      <c r="H85" s="69"/>
      <c r="I85" s="69"/>
      <c r="J85" s="69"/>
      <c r="K85" s="69"/>
      <c r="L85" s="69"/>
      <c r="M85" s="11"/>
      <c r="N85" s="11"/>
      <c r="O85" s="69"/>
      <c r="P85" s="11"/>
      <c r="Q85" s="11"/>
      <c r="R85" s="69"/>
      <c r="S85" s="69"/>
      <c r="T85" s="69"/>
      <c r="U85" s="11"/>
      <c r="V85" s="11"/>
      <c r="W85" s="11"/>
      <c r="X85" s="11"/>
      <c r="Y85" s="11"/>
      <c r="Z85" s="11"/>
      <c r="AA85" s="11"/>
      <c r="AB85" s="11"/>
      <c r="AC85" s="11"/>
    </row>
    <row r="86" spans="1:29" ht="14">
      <c r="A86" s="14"/>
      <c r="B86" s="69"/>
      <c r="C86" s="69"/>
      <c r="D86" s="69"/>
      <c r="E86" s="69"/>
      <c r="F86" s="69"/>
      <c r="G86" s="69"/>
      <c r="H86" s="69"/>
      <c r="I86" s="69"/>
      <c r="J86" s="69"/>
      <c r="K86" s="69"/>
      <c r="L86" s="69"/>
      <c r="M86" s="11"/>
      <c r="N86" s="11"/>
      <c r="O86" s="69"/>
      <c r="P86" s="11"/>
      <c r="Q86" s="11"/>
      <c r="R86" s="69"/>
      <c r="S86" s="69"/>
      <c r="T86" s="69"/>
      <c r="U86" s="11"/>
      <c r="V86" s="11"/>
      <c r="W86" s="11"/>
      <c r="X86" s="11"/>
      <c r="Y86" s="11"/>
      <c r="Z86" s="11"/>
      <c r="AA86" s="11"/>
      <c r="AB86" s="11"/>
      <c r="AC86" s="11"/>
    </row>
    <row r="87" spans="1:29" ht="14">
      <c r="A87" s="14"/>
      <c r="B87" s="69"/>
      <c r="C87" s="69"/>
      <c r="D87" s="69"/>
      <c r="E87" s="69"/>
      <c r="F87" s="69"/>
      <c r="G87" s="69"/>
      <c r="H87" s="69"/>
      <c r="I87" s="69"/>
      <c r="J87" s="69"/>
      <c r="K87" s="69"/>
      <c r="L87" s="69"/>
      <c r="M87" s="11"/>
      <c r="N87" s="11"/>
      <c r="O87" s="69"/>
      <c r="P87" s="11"/>
      <c r="Q87" s="11"/>
      <c r="R87" s="69"/>
      <c r="S87" s="69"/>
      <c r="T87" s="69"/>
      <c r="U87" s="11"/>
      <c r="V87" s="11"/>
      <c r="W87" s="11"/>
      <c r="X87" s="11"/>
      <c r="Y87" s="11"/>
      <c r="Z87" s="11"/>
      <c r="AA87" s="11"/>
      <c r="AB87" s="11"/>
      <c r="AC87" s="11"/>
    </row>
    <row r="88" spans="1:29" ht="14">
      <c r="A88" s="14"/>
      <c r="B88" s="69"/>
      <c r="C88" s="69"/>
      <c r="D88" s="69"/>
      <c r="E88" s="69"/>
      <c r="F88" s="69"/>
      <c r="G88" s="69"/>
      <c r="H88" s="69"/>
      <c r="I88" s="69"/>
      <c r="J88" s="69"/>
      <c r="K88" s="69"/>
      <c r="L88" s="69"/>
      <c r="M88" s="11"/>
      <c r="N88" s="11"/>
      <c r="O88" s="69"/>
      <c r="P88" s="11"/>
      <c r="Q88" s="11"/>
      <c r="R88" s="69"/>
      <c r="S88" s="69"/>
      <c r="T88" s="69"/>
      <c r="U88" s="11"/>
      <c r="V88" s="11"/>
      <c r="W88" s="11"/>
      <c r="X88" s="11"/>
      <c r="Y88" s="11"/>
      <c r="Z88" s="11"/>
      <c r="AA88" s="11"/>
      <c r="AB88" s="11"/>
      <c r="AC88" s="11"/>
    </row>
    <row r="89" spans="1:29" ht="14">
      <c r="A89" s="14"/>
      <c r="B89" s="69"/>
      <c r="C89" s="69"/>
      <c r="D89" s="69"/>
      <c r="E89" s="69"/>
      <c r="F89" s="69"/>
      <c r="G89" s="69"/>
      <c r="H89" s="69"/>
      <c r="I89" s="69"/>
      <c r="J89" s="69"/>
      <c r="K89" s="69"/>
      <c r="L89" s="69"/>
      <c r="M89" s="69"/>
      <c r="N89" s="69"/>
      <c r="O89" s="69"/>
      <c r="P89" s="69"/>
      <c r="Q89" s="69"/>
      <c r="R89" s="69"/>
      <c r="S89" s="69"/>
      <c r="T89" s="69"/>
      <c r="U89" s="11"/>
      <c r="V89" s="11"/>
      <c r="W89" s="11"/>
      <c r="X89" s="11"/>
      <c r="Y89" s="11"/>
      <c r="Z89" s="11"/>
      <c r="AA89" s="11"/>
      <c r="AB89" s="11"/>
      <c r="AC89" s="11"/>
    </row>
    <row r="90" spans="1:29" ht="14">
      <c r="A90" s="14"/>
      <c r="B90" s="69"/>
      <c r="C90" s="11"/>
      <c r="D90" s="11"/>
      <c r="E90" s="11"/>
      <c r="F90" s="11"/>
      <c r="G90" s="11"/>
      <c r="H90" s="69"/>
      <c r="I90" s="11"/>
      <c r="J90" s="69"/>
      <c r="K90" s="69"/>
      <c r="L90" s="11"/>
      <c r="M90" s="11"/>
      <c r="N90" s="11"/>
      <c r="O90" s="69"/>
      <c r="P90" s="11"/>
      <c r="Q90" s="11"/>
      <c r="R90" s="11"/>
      <c r="S90" s="69"/>
      <c r="T90" s="69"/>
      <c r="U90" s="11"/>
      <c r="V90" s="11"/>
      <c r="W90" s="11"/>
      <c r="X90" s="11"/>
      <c r="Y90" s="11"/>
      <c r="Z90" s="11"/>
      <c r="AA90" s="11"/>
      <c r="AB90" s="11"/>
      <c r="AC90" s="11"/>
    </row>
    <row r="91" spans="1:29" ht="14">
      <c r="A91" s="11"/>
      <c r="B91" s="69"/>
      <c r="C91" s="11"/>
      <c r="D91" s="11"/>
      <c r="E91" s="11"/>
      <c r="F91" s="11"/>
      <c r="G91" s="11"/>
      <c r="H91" s="11"/>
      <c r="I91" s="11"/>
      <c r="J91" s="69"/>
      <c r="K91" s="11"/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</row>
    <row r="92" spans="1:29" ht="14">
      <c r="A92" s="11"/>
      <c r="B92" s="69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</row>
    <row r="93" spans="1:29" ht="14">
      <c r="A93" s="11"/>
      <c r="B93" s="69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</row>
    <row r="94" spans="1:29" ht="14">
      <c r="A94" s="11"/>
      <c r="B94" s="69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</row>
    <row r="95" spans="1:29" ht="14">
      <c r="A95" s="11"/>
      <c r="B95" s="69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1"/>
      <c r="Q95" s="11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</row>
    <row r="96" spans="1:29" ht="14">
      <c r="A96" s="11"/>
      <c r="B96" s="69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11"/>
      <c r="Q96" s="11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</row>
    <row r="97" spans="1:29" ht="14">
      <c r="A97" s="11"/>
      <c r="B97" s="69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1"/>
      <c r="Q97" s="11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</row>
    <row r="98" spans="1:29" ht="14">
      <c r="A98" s="11"/>
      <c r="B98" s="69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11"/>
      <c r="Q98" s="11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</row>
    <row r="99" spans="1:29" ht="14">
      <c r="A99" s="11"/>
      <c r="B99" s="69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11"/>
      <c r="Q99" s="11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</row>
    <row r="100" spans="1:29" ht="14">
      <c r="A100" s="11"/>
      <c r="B100" s="69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11"/>
      <c r="Q100" s="11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</row>
    <row r="101" spans="1:29" ht="14">
      <c r="A101" s="11"/>
      <c r="B101" s="69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11"/>
      <c r="Q101" s="11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</row>
    <row r="102" spans="1:29" ht="14">
      <c r="A102" s="11"/>
      <c r="B102" s="69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11"/>
      <c r="Q102" s="11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</row>
    <row r="103" spans="1:29" ht="14">
      <c r="A103" s="11"/>
      <c r="B103" s="69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11"/>
      <c r="Q103" s="11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</row>
    <row r="104" spans="1:29" ht="14">
      <c r="A104" s="11"/>
      <c r="B104" s="69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</row>
    <row r="105" spans="1:29" ht="14">
      <c r="A105" s="11"/>
      <c r="B105" s="69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</row>
    <row r="106" spans="1:29" ht="14">
      <c r="A106" s="11"/>
      <c r="B106" s="69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</row>
    <row r="107" spans="1:29" ht="14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</row>
    <row r="108" spans="1:29" ht="14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11"/>
      <c r="Q108" s="11"/>
      <c r="R108" s="11"/>
      <c r="S108" s="11"/>
      <c r="T108" s="11"/>
      <c r="U108" s="11"/>
      <c r="V108" s="11"/>
      <c r="W108" s="11"/>
      <c r="X108" s="11"/>
      <c r="Y108" s="11"/>
      <c r="Z108" s="11"/>
      <c r="AA108" s="11"/>
      <c r="AB108" s="11"/>
      <c r="AC108" s="11"/>
    </row>
    <row r="109" spans="1:29" ht="14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</row>
    <row r="110" spans="1:29" ht="14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</row>
    <row r="111" spans="1:29" ht="14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1"/>
      <c r="Q111" s="11"/>
      <c r="R111" s="11"/>
      <c r="S111" s="11"/>
      <c r="T111" s="11"/>
      <c r="U111" s="11"/>
      <c r="V111" s="11"/>
      <c r="W111" s="11"/>
      <c r="X111" s="11"/>
      <c r="Y111" s="11"/>
      <c r="Z111" s="11"/>
      <c r="AA111" s="11"/>
      <c r="AB111" s="11"/>
      <c r="AC111" s="11"/>
    </row>
    <row r="112" spans="1:29" ht="14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11"/>
      <c r="Q112" s="11"/>
      <c r="R112" s="11"/>
      <c r="S112" s="11"/>
      <c r="T112" s="11"/>
      <c r="U112" s="11"/>
      <c r="V112" s="11"/>
      <c r="W112" s="11"/>
      <c r="X112" s="11"/>
      <c r="Y112" s="11"/>
      <c r="Z112" s="11"/>
      <c r="AA112" s="11"/>
      <c r="AB112" s="11"/>
      <c r="AC112" s="11"/>
    </row>
    <row r="113" spans="1:29" ht="14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11"/>
      <c r="Q113" s="11"/>
      <c r="R113" s="11"/>
      <c r="S113" s="11"/>
      <c r="T113" s="11"/>
      <c r="U113" s="11"/>
      <c r="V113" s="11"/>
      <c r="W113" s="11"/>
      <c r="X113" s="11"/>
      <c r="Y113" s="11"/>
      <c r="Z113" s="11"/>
      <c r="AA113" s="11"/>
      <c r="AB113" s="11"/>
      <c r="AC113" s="11"/>
    </row>
    <row r="114" spans="1:29" ht="14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11"/>
      <c r="Q114" s="11"/>
      <c r="R114" s="11"/>
      <c r="S114" s="11"/>
      <c r="T114" s="11"/>
      <c r="U114" s="11"/>
      <c r="V114" s="11"/>
      <c r="W114" s="11"/>
      <c r="X114" s="11"/>
      <c r="Y114" s="11"/>
      <c r="Z114" s="11"/>
      <c r="AA114" s="11"/>
      <c r="AB114" s="11"/>
      <c r="AC114" s="11"/>
    </row>
    <row r="115" spans="1:29" ht="14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11"/>
      <c r="Q115" s="11"/>
      <c r="R115" s="11"/>
      <c r="S115" s="11"/>
      <c r="T115" s="11"/>
      <c r="U115" s="11"/>
      <c r="V115" s="11"/>
      <c r="W115" s="11"/>
      <c r="X115" s="11"/>
      <c r="Y115" s="11"/>
      <c r="Z115" s="11"/>
      <c r="AA115" s="11"/>
      <c r="AB115" s="11"/>
      <c r="AC115" s="11"/>
    </row>
    <row r="116" spans="1:29" ht="14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11"/>
      <c r="Q116" s="11"/>
      <c r="R116" s="11"/>
      <c r="S116" s="11"/>
      <c r="T116" s="11"/>
      <c r="U116" s="11"/>
      <c r="V116" s="11"/>
      <c r="W116" s="11"/>
      <c r="X116" s="11"/>
      <c r="Y116" s="11"/>
      <c r="Z116" s="11"/>
      <c r="AA116" s="11"/>
      <c r="AB116" s="11"/>
      <c r="AC116" s="11"/>
    </row>
    <row r="117" spans="1:29" ht="14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11"/>
      <c r="Q117" s="11"/>
      <c r="R117" s="11"/>
      <c r="S117" s="11"/>
      <c r="T117" s="11"/>
      <c r="U117" s="11"/>
      <c r="V117" s="11"/>
      <c r="W117" s="11"/>
      <c r="X117" s="11"/>
      <c r="Y117" s="11"/>
      <c r="Z117" s="11"/>
      <c r="AA117" s="11"/>
      <c r="AB117" s="11"/>
      <c r="AC117" s="11"/>
    </row>
    <row r="118" spans="1:29" ht="14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11"/>
      <c r="Q118" s="11"/>
      <c r="R118" s="11"/>
      <c r="S118" s="11"/>
      <c r="T118" s="11"/>
      <c r="U118" s="11"/>
      <c r="V118" s="11"/>
      <c r="W118" s="11"/>
      <c r="X118" s="11"/>
      <c r="Y118" s="11"/>
      <c r="Z118" s="11"/>
      <c r="AA118" s="11"/>
      <c r="AB118" s="11"/>
      <c r="AC118" s="11"/>
    </row>
    <row r="119" spans="1:29" ht="14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11"/>
      <c r="Q119" s="11"/>
      <c r="R119" s="11"/>
      <c r="S119" s="11"/>
      <c r="T119" s="11"/>
      <c r="U119" s="11"/>
      <c r="V119" s="11"/>
      <c r="W119" s="11"/>
      <c r="X119" s="11"/>
      <c r="Y119" s="11"/>
      <c r="Z119" s="11"/>
      <c r="AA119" s="11"/>
      <c r="AB119" s="11"/>
      <c r="AC119" s="11"/>
    </row>
    <row r="120" spans="1:29" ht="14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1"/>
      <c r="T120" s="11"/>
      <c r="U120" s="11"/>
      <c r="V120" s="11"/>
      <c r="W120" s="11"/>
      <c r="X120" s="11"/>
      <c r="Y120" s="11"/>
      <c r="Z120" s="11"/>
      <c r="AA120" s="11"/>
      <c r="AB120" s="11"/>
      <c r="AC120" s="11"/>
    </row>
    <row r="121" spans="1:29" ht="14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11"/>
      <c r="Q121" s="11"/>
      <c r="R121" s="11"/>
      <c r="S121" s="11"/>
      <c r="T121" s="11"/>
      <c r="U121" s="11"/>
      <c r="V121" s="11"/>
      <c r="W121" s="11"/>
      <c r="X121" s="11"/>
      <c r="Y121" s="11"/>
      <c r="Z121" s="11"/>
      <c r="AA121" s="11"/>
      <c r="AB121" s="11"/>
      <c r="AC121" s="11"/>
    </row>
    <row r="122" spans="1:29" ht="14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11"/>
      <c r="Q122" s="11"/>
      <c r="R122" s="11"/>
      <c r="S122" s="11"/>
      <c r="T122" s="11"/>
      <c r="U122" s="11"/>
      <c r="V122" s="11"/>
      <c r="W122" s="11"/>
      <c r="X122" s="11"/>
      <c r="Y122" s="11"/>
      <c r="Z122" s="11"/>
      <c r="AA122" s="11"/>
      <c r="AB122" s="11"/>
      <c r="AC122" s="11"/>
    </row>
    <row r="123" spans="1:29" ht="14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11"/>
      <c r="Q123" s="11"/>
      <c r="R123" s="11"/>
      <c r="S123" s="11"/>
      <c r="T123" s="11"/>
      <c r="U123" s="11"/>
      <c r="V123" s="11"/>
      <c r="W123" s="11"/>
      <c r="X123" s="11"/>
      <c r="Y123" s="11"/>
      <c r="Z123" s="11"/>
      <c r="AA123" s="11"/>
      <c r="AB123" s="11"/>
      <c r="AC123" s="11"/>
    </row>
    <row r="124" spans="1:29" ht="14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11"/>
      <c r="Q124" s="11"/>
      <c r="R124" s="11"/>
      <c r="S124" s="11"/>
      <c r="T124" s="11"/>
      <c r="U124" s="11"/>
      <c r="V124" s="11"/>
      <c r="W124" s="11"/>
      <c r="X124" s="11"/>
      <c r="Y124" s="11"/>
      <c r="Z124" s="11"/>
      <c r="AA124" s="11"/>
      <c r="AB124" s="11"/>
      <c r="AC124" s="11"/>
    </row>
    <row r="125" spans="1:29" ht="14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11"/>
      <c r="Q125" s="11"/>
      <c r="R125" s="11"/>
      <c r="S125" s="11"/>
      <c r="T125" s="11"/>
      <c r="U125" s="11"/>
      <c r="V125" s="11"/>
      <c r="W125" s="11"/>
      <c r="X125" s="11"/>
      <c r="Y125" s="11"/>
      <c r="Z125" s="11"/>
      <c r="AA125" s="11"/>
      <c r="AB125" s="11"/>
      <c r="AC125" s="11"/>
    </row>
    <row r="126" spans="1:29" ht="14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11"/>
      <c r="Q126" s="11"/>
      <c r="R126" s="11"/>
      <c r="S126" s="11"/>
      <c r="T126" s="11"/>
      <c r="U126" s="11"/>
      <c r="V126" s="11"/>
      <c r="W126" s="11"/>
      <c r="X126" s="11"/>
      <c r="Y126" s="11"/>
      <c r="Z126" s="11"/>
      <c r="AA126" s="11"/>
      <c r="AB126" s="11"/>
      <c r="AC126" s="11"/>
    </row>
    <row r="127" spans="1:29" ht="14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11"/>
      <c r="Q127" s="11"/>
      <c r="R127" s="11"/>
      <c r="S127" s="11"/>
      <c r="T127" s="11"/>
      <c r="U127" s="11"/>
      <c r="V127" s="11"/>
      <c r="W127" s="11"/>
      <c r="X127" s="11"/>
      <c r="Y127" s="11"/>
      <c r="Z127" s="11"/>
      <c r="AA127" s="11"/>
      <c r="AB127" s="11"/>
      <c r="AC127" s="11"/>
    </row>
    <row r="128" spans="1:29" ht="14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11"/>
      <c r="Q128" s="11"/>
      <c r="R128" s="11"/>
      <c r="S128" s="11"/>
      <c r="T128" s="11"/>
      <c r="U128" s="11"/>
      <c r="V128" s="11"/>
      <c r="W128" s="11"/>
      <c r="X128" s="11"/>
      <c r="Y128" s="11"/>
      <c r="Z128" s="11"/>
      <c r="AA128" s="11"/>
      <c r="AB128" s="11"/>
      <c r="AC128" s="11"/>
    </row>
    <row r="129" spans="1:29" ht="14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11"/>
      <c r="Q129" s="11"/>
      <c r="R129" s="11"/>
      <c r="S129" s="11"/>
      <c r="T129" s="11"/>
      <c r="U129" s="11"/>
      <c r="V129" s="11"/>
      <c r="W129" s="11"/>
      <c r="X129" s="11"/>
      <c r="Y129" s="11"/>
      <c r="Z129" s="11"/>
      <c r="AA129" s="11"/>
      <c r="AB129" s="11"/>
      <c r="AC129" s="11"/>
    </row>
    <row r="130" spans="1:29" ht="14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11"/>
      <c r="Y130" s="11"/>
      <c r="Z130" s="11"/>
      <c r="AA130" s="11"/>
      <c r="AB130" s="11"/>
      <c r="AC130" s="11"/>
    </row>
    <row r="131" spans="1:29" ht="14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11"/>
      <c r="Q131" s="11"/>
      <c r="R131" s="11"/>
      <c r="S131" s="11"/>
      <c r="T131" s="11"/>
      <c r="U131" s="11"/>
      <c r="V131" s="11"/>
      <c r="W131" s="11"/>
      <c r="X131" s="11"/>
      <c r="Y131" s="11"/>
      <c r="Z131" s="11"/>
      <c r="AA131" s="11"/>
      <c r="AB131" s="11"/>
      <c r="AC131" s="11"/>
    </row>
    <row r="132" spans="1:29" ht="14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11"/>
      <c r="Q132" s="11"/>
      <c r="R132" s="11"/>
      <c r="S132" s="11"/>
      <c r="T132" s="11"/>
      <c r="U132" s="11"/>
      <c r="V132" s="11"/>
      <c r="W132" s="11"/>
      <c r="X132" s="11"/>
      <c r="Y132" s="11"/>
      <c r="Z132" s="11"/>
      <c r="AA132" s="11"/>
      <c r="AB132" s="11"/>
      <c r="AC132" s="11"/>
    </row>
    <row r="133" spans="1:29" ht="14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11"/>
      <c r="Q133" s="11"/>
      <c r="R133" s="11"/>
      <c r="S133" s="11"/>
      <c r="T133" s="11"/>
      <c r="U133" s="11"/>
      <c r="V133" s="11"/>
      <c r="W133" s="11"/>
      <c r="X133" s="11"/>
      <c r="Y133" s="11"/>
      <c r="Z133" s="11"/>
      <c r="AA133" s="11"/>
      <c r="AB133" s="11"/>
      <c r="AC133" s="11"/>
    </row>
    <row r="134" spans="1:29" ht="14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11"/>
      <c r="Q134" s="11"/>
      <c r="R134" s="11"/>
      <c r="S134" s="11"/>
      <c r="T134" s="11"/>
      <c r="U134" s="11"/>
      <c r="V134" s="11"/>
      <c r="W134" s="11"/>
      <c r="X134" s="11"/>
      <c r="Y134" s="11"/>
      <c r="Z134" s="11"/>
      <c r="AA134" s="11"/>
      <c r="AB134" s="11"/>
      <c r="AC134" s="11"/>
    </row>
    <row r="135" spans="1:29" ht="14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11"/>
      <c r="Q135" s="11"/>
      <c r="R135" s="11"/>
      <c r="S135" s="11"/>
      <c r="T135" s="11"/>
      <c r="U135" s="11"/>
      <c r="V135" s="11"/>
      <c r="W135" s="11"/>
      <c r="X135" s="11"/>
      <c r="Y135" s="11"/>
      <c r="Z135" s="11"/>
      <c r="AA135" s="11"/>
      <c r="AB135" s="11"/>
      <c r="AC135" s="11"/>
    </row>
    <row r="136" spans="1:29" ht="14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11"/>
      <c r="Q136" s="11"/>
      <c r="R136" s="11"/>
      <c r="S136" s="11"/>
      <c r="T136" s="11"/>
      <c r="U136" s="11"/>
      <c r="V136" s="11"/>
      <c r="W136" s="11"/>
      <c r="X136" s="11"/>
      <c r="Y136" s="11"/>
      <c r="Z136" s="11"/>
      <c r="AA136" s="11"/>
      <c r="AB136" s="11"/>
      <c r="AC136" s="11"/>
    </row>
    <row r="137" spans="1:29" ht="14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11"/>
      <c r="Q137" s="11"/>
      <c r="R137" s="11"/>
      <c r="S137" s="11"/>
      <c r="T137" s="11"/>
      <c r="U137" s="11"/>
      <c r="V137" s="11"/>
      <c r="W137" s="11"/>
      <c r="X137" s="11"/>
      <c r="Y137" s="11"/>
      <c r="Z137" s="11"/>
      <c r="AA137" s="11"/>
      <c r="AB137" s="11"/>
      <c r="AC137" s="11"/>
    </row>
    <row r="138" spans="1:29" ht="14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11"/>
      <c r="Q138" s="11"/>
      <c r="R138" s="11"/>
      <c r="S138" s="11"/>
      <c r="T138" s="11"/>
      <c r="U138" s="11"/>
      <c r="V138" s="11"/>
      <c r="W138" s="11"/>
      <c r="X138" s="11"/>
      <c r="Y138" s="11"/>
      <c r="Z138" s="11"/>
      <c r="AA138" s="11"/>
      <c r="AB138" s="11"/>
      <c r="AC138" s="11"/>
    </row>
    <row r="139" spans="1:29" ht="14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11"/>
      <c r="Q139" s="11"/>
      <c r="R139" s="11"/>
      <c r="S139" s="11"/>
      <c r="T139" s="11"/>
      <c r="U139" s="11"/>
      <c r="V139" s="11"/>
      <c r="W139" s="11"/>
      <c r="X139" s="11"/>
      <c r="Y139" s="11"/>
      <c r="Z139" s="11"/>
      <c r="AA139" s="11"/>
      <c r="AB139" s="11"/>
      <c r="AC139" s="11"/>
    </row>
    <row r="140" spans="1:29" ht="14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11"/>
      <c r="Q140" s="11"/>
      <c r="R140" s="11"/>
      <c r="S140" s="11"/>
      <c r="T140" s="11"/>
      <c r="U140" s="11"/>
      <c r="V140" s="11"/>
      <c r="W140" s="11"/>
      <c r="X140" s="11"/>
      <c r="Y140" s="11"/>
      <c r="Z140" s="11"/>
      <c r="AA140" s="11"/>
      <c r="AB140" s="11"/>
      <c r="AC140" s="11"/>
    </row>
    <row r="141" spans="1:29" ht="14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11"/>
      <c r="Q141" s="11"/>
      <c r="R141" s="11"/>
      <c r="S141" s="11"/>
      <c r="T141" s="11"/>
      <c r="U141" s="11"/>
      <c r="V141" s="11"/>
      <c r="W141" s="11"/>
      <c r="X141" s="11"/>
      <c r="Y141" s="11"/>
      <c r="Z141" s="11"/>
      <c r="AA141" s="11"/>
      <c r="AB141" s="11"/>
      <c r="AC141" s="11"/>
    </row>
    <row r="142" spans="1:29" ht="14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11"/>
      <c r="Q142" s="11"/>
      <c r="R142" s="11"/>
      <c r="S142" s="11"/>
      <c r="T142" s="11"/>
      <c r="U142" s="11"/>
      <c r="V142" s="11"/>
      <c r="W142" s="11"/>
      <c r="X142" s="11"/>
      <c r="Y142" s="11"/>
      <c r="Z142" s="11"/>
      <c r="AA142" s="11"/>
      <c r="AB142" s="11"/>
      <c r="AC142" s="11"/>
    </row>
    <row r="143" spans="1:29" ht="14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</row>
    <row r="144" spans="1:29" ht="14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11"/>
      <c r="Q144" s="11"/>
      <c r="R144" s="11"/>
      <c r="S144" s="11"/>
      <c r="T144" s="11"/>
      <c r="U144" s="11"/>
      <c r="V144" s="11"/>
      <c r="W144" s="11"/>
      <c r="X144" s="11"/>
      <c r="Y144" s="11"/>
      <c r="Z144" s="11"/>
      <c r="AA144" s="11"/>
      <c r="AB144" s="11"/>
      <c r="AC144" s="11"/>
    </row>
    <row r="145" spans="1:29" ht="14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</row>
    <row r="146" spans="1:29" ht="14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11"/>
      <c r="Q146" s="11"/>
      <c r="R146" s="11"/>
      <c r="S146" s="11"/>
      <c r="T146" s="11"/>
      <c r="U146" s="11"/>
      <c r="V146" s="11"/>
      <c r="W146" s="11"/>
      <c r="X146" s="11"/>
      <c r="Y146" s="11"/>
      <c r="Z146" s="11"/>
      <c r="AA146" s="11"/>
      <c r="AB146" s="11"/>
      <c r="AC146" s="11"/>
    </row>
    <row r="147" spans="1:29" ht="14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11"/>
      <c r="Q147" s="11"/>
      <c r="R147" s="11"/>
      <c r="S147" s="11"/>
      <c r="T147" s="11"/>
      <c r="U147" s="11"/>
      <c r="V147" s="11"/>
      <c r="W147" s="11"/>
      <c r="X147" s="11"/>
      <c r="Y147" s="11"/>
      <c r="Z147" s="11"/>
      <c r="AA147" s="11"/>
      <c r="AB147" s="11"/>
      <c r="AC147" s="11"/>
    </row>
    <row r="148" spans="1:29" ht="14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11"/>
      <c r="Q148" s="11"/>
      <c r="R148" s="11"/>
      <c r="S148" s="11"/>
      <c r="T148" s="11"/>
      <c r="U148" s="11"/>
      <c r="V148" s="11"/>
      <c r="W148" s="11"/>
      <c r="X148" s="11"/>
      <c r="Y148" s="11"/>
      <c r="Z148" s="11"/>
      <c r="AA148" s="11"/>
      <c r="AB148" s="11"/>
      <c r="AC148" s="11"/>
    </row>
    <row r="149" spans="1:29" ht="14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11"/>
      <c r="Q149" s="11"/>
      <c r="R149" s="11"/>
      <c r="S149" s="11"/>
      <c r="T149" s="11"/>
      <c r="U149" s="11"/>
      <c r="V149" s="11"/>
      <c r="W149" s="11"/>
      <c r="X149" s="11"/>
      <c r="Y149" s="11"/>
      <c r="Z149" s="11"/>
      <c r="AA149" s="11"/>
      <c r="AB149" s="11"/>
      <c r="AC149" s="11"/>
    </row>
    <row r="150" spans="1:29" ht="14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11"/>
      <c r="Q150" s="11"/>
      <c r="R150" s="11"/>
      <c r="S150" s="11"/>
      <c r="T150" s="11"/>
      <c r="U150" s="11"/>
      <c r="V150" s="11"/>
      <c r="W150" s="11"/>
      <c r="X150" s="11"/>
      <c r="Y150" s="11"/>
      <c r="Z150" s="11"/>
      <c r="AA150" s="11"/>
      <c r="AB150" s="11"/>
      <c r="AC150" s="11"/>
    </row>
    <row r="151" spans="1:29" ht="14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11"/>
      <c r="Q151" s="11"/>
      <c r="R151" s="11"/>
      <c r="S151" s="11"/>
      <c r="T151" s="11"/>
      <c r="U151" s="11"/>
      <c r="V151" s="11"/>
      <c r="W151" s="11"/>
      <c r="X151" s="11"/>
      <c r="Y151" s="11"/>
      <c r="Z151" s="11"/>
      <c r="AA151" s="11"/>
      <c r="AB151" s="11"/>
      <c r="AC151" s="11"/>
    </row>
    <row r="152" spans="1:29" ht="14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11"/>
      <c r="Q152" s="11"/>
      <c r="R152" s="11"/>
      <c r="S152" s="11"/>
      <c r="T152" s="11"/>
      <c r="U152" s="11"/>
      <c r="V152" s="11"/>
      <c r="W152" s="11"/>
      <c r="X152" s="11"/>
      <c r="Y152" s="11"/>
      <c r="Z152" s="11"/>
      <c r="AA152" s="11"/>
      <c r="AB152" s="11"/>
      <c r="AC152" s="11"/>
    </row>
    <row r="153" spans="1:29" ht="14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11"/>
      <c r="Q153" s="11"/>
      <c r="R153" s="11"/>
      <c r="S153" s="11"/>
      <c r="T153" s="11"/>
      <c r="U153" s="11"/>
      <c r="V153" s="11"/>
      <c r="W153" s="11"/>
      <c r="X153" s="11"/>
      <c r="Y153" s="11"/>
      <c r="Z153" s="11"/>
      <c r="AA153" s="11"/>
      <c r="AB153" s="11"/>
      <c r="AC153" s="11"/>
    </row>
    <row r="154" spans="1:29" ht="14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11"/>
      <c r="Q154" s="11"/>
      <c r="R154" s="11"/>
      <c r="S154" s="11"/>
      <c r="T154" s="11"/>
      <c r="U154" s="11"/>
      <c r="V154" s="11"/>
      <c r="W154" s="11"/>
      <c r="X154" s="11"/>
      <c r="Y154" s="11"/>
      <c r="Z154" s="11"/>
      <c r="AA154" s="11"/>
      <c r="AB154" s="11"/>
      <c r="AC154" s="11"/>
    </row>
    <row r="155" spans="1:29" ht="14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11"/>
      <c r="Q155" s="11"/>
      <c r="R155" s="11"/>
      <c r="S155" s="11"/>
      <c r="T155" s="11"/>
      <c r="U155" s="11"/>
      <c r="V155" s="11"/>
      <c r="W155" s="11"/>
      <c r="X155" s="11"/>
      <c r="Y155" s="11"/>
      <c r="Z155" s="11"/>
      <c r="AA155" s="11"/>
      <c r="AB155" s="11"/>
      <c r="AC155" s="11"/>
    </row>
    <row r="156" spans="1:29" ht="14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11"/>
      <c r="Q156" s="11"/>
      <c r="R156" s="11"/>
      <c r="S156" s="11"/>
      <c r="T156" s="11"/>
      <c r="U156" s="11"/>
      <c r="V156" s="11"/>
      <c r="W156" s="11"/>
      <c r="X156" s="11"/>
      <c r="Y156" s="11"/>
      <c r="Z156" s="11"/>
      <c r="AA156" s="11"/>
      <c r="AB156" s="11"/>
      <c r="AC156" s="11"/>
    </row>
    <row r="157" spans="1:29" ht="14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</row>
    <row r="158" spans="1:29" ht="14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11"/>
      <c r="Q158" s="11"/>
      <c r="R158" s="11"/>
      <c r="S158" s="11"/>
      <c r="T158" s="11"/>
      <c r="U158" s="11"/>
      <c r="V158" s="11"/>
      <c r="W158" s="11"/>
      <c r="X158" s="11"/>
      <c r="Y158" s="11"/>
      <c r="Z158" s="11"/>
      <c r="AA158" s="11"/>
      <c r="AB158" s="11"/>
      <c r="AC158" s="11"/>
    </row>
    <row r="159" spans="1:29" ht="14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11"/>
      <c r="Q159" s="11"/>
      <c r="R159" s="11"/>
      <c r="S159" s="11"/>
      <c r="T159" s="11"/>
      <c r="U159" s="11"/>
      <c r="V159" s="11"/>
      <c r="W159" s="11"/>
      <c r="X159" s="11"/>
      <c r="Y159" s="11"/>
      <c r="Z159" s="11"/>
      <c r="AA159" s="11"/>
      <c r="AB159" s="11"/>
      <c r="AC159" s="11"/>
    </row>
    <row r="160" spans="1:29" ht="14">
      <c r="A160" s="11"/>
      <c r="B160" s="11"/>
      <c r="C160" s="11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  <c r="O160" s="11"/>
      <c r="P160" s="11"/>
      <c r="Q160" s="11"/>
      <c r="R160" s="11"/>
      <c r="S160" s="11"/>
      <c r="T160" s="11"/>
      <c r="U160" s="11"/>
      <c r="V160" s="11"/>
      <c r="W160" s="11"/>
      <c r="X160" s="11"/>
      <c r="Y160" s="11"/>
      <c r="Z160" s="11"/>
      <c r="AA160" s="11"/>
      <c r="AB160" s="11"/>
      <c r="AC160" s="11"/>
    </row>
    <row r="161" spans="1:29" ht="14">
      <c r="A161" s="11"/>
      <c r="B161" s="11"/>
      <c r="C161" s="11"/>
      <c r="D161" s="11"/>
      <c r="E161" s="11"/>
      <c r="F161" s="11"/>
      <c r="G161" s="11"/>
      <c r="H161" s="11"/>
      <c r="I161" s="11"/>
      <c r="J161" s="11"/>
      <c r="K161" s="11"/>
      <c r="L161" s="11"/>
      <c r="M161" s="11"/>
      <c r="N161" s="11"/>
      <c r="O161" s="11"/>
      <c r="P161" s="11"/>
      <c r="Q161" s="11"/>
      <c r="R161" s="11"/>
      <c r="S161" s="11"/>
      <c r="T161" s="11"/>
      <c r="U161" s="11"/>
      <c r="V161" s="11"/>
      <c r="W161" s="11"/>
      <c r="X161" s="11"/>
      <c r="Y161" s="11"/>
      <c r="Z161" s="11"/>
      <c r="AA161" s="11"/>
      <c r="AB161" s="11"/>
      <c r="AC161" s="11"/>
    </row>
    <row r="162" spans="1:29" ht="14">
      <c r="A162" s="11"/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  <c r="O162" s="11"/>
      <c r="P162" s="11"/>
      <c r="Q162" s="11"/>
      <c r="R162" s="11"/>
      <c r="S162" s="11"/>
      <c r="T162" s="11"/>
      <c r="U162" s="11"/>
      <c r="V162" s="11"/>
      <c r="W162" s="11"/>
      <c r="X162" s="11"/>
      <c r="Y162" s="11"/>
      <c r="Z162" s="11"/>
      <c r="AA162" s="11"/>
      <c r="AB162" s="11"/>
      <c r="AC162" s="11"/>
    </row>
    <row r="163" spans="1:29" ht="14">
      <c r="A163" s="11"/>
      <c r="B163" s="11"/>
      <c r="C163" s="11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  <c r="O163" s="11"/>
      <c r="P163" s="11"/>
      <c r="Q163" s="11"/>
      <c r="R163" s="11"/>
      <c r="S163" s="11"/>
      <c r="T163" s="11"/>
      <c r="U163" s="11"/>
      <c r="V163" s="11"/>
      <c r="W163" s="11"/>
      <c r="X163" s="11"/>
      <c r="Y163" s="11"/>
      <c r="Z163" s="11"/>
      <c r="AA163" s="11"/>
      <c r="AB163" s="11"/>
      <c r="AC163" s="11"/>
    </row>
    <row r="164" spans="1:29" ht="14">
      <c r="A164" s="11"/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  <c r="O164" s="11"/>
      <c r="P164" s="11"/>
      <c r="Q164" s="11"/>
      <c r="R164" s="11"/>
      <c r="S164" s="11"/>
      <c r="T164" s="11"/>
      <c r="U164" s="11"/>
      <c r="V164" s="11"/>
      <c r="W164" s="11"/>
      <c r="X164" s="11"/>
      <c r="Y164" s="11"/>
      <c r="Z164" s="11"/>
      <c r="AA164" s="11"/>
      <c r="AB164" s="11"/>
      <c r="AC164" s="11"/>
    </row>
    <row r="165" spans="1:29" ht="14">
      <c r="A165" s="11"/>
      <c r="B165" s="11"/>
      <c r="C165" s="11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  <c r="O165" s="11"/>
      <c r="P165" s="11"/>
      <c r="Q165" s="11"/>
      <c r="R165" s="11"/>
      <c r="S165" s="11"/>
      <c r="T165" s="11"/>
      <c r="U165" s="11"/>
      <c r="V165" s="11"/>
      <c r="W165" s="11"/>
      <c r="X165" s="11"/>
      <c r="Y165" s="11"/>
      <c r="Z165" s="11"/>
      <c r="AA165" s="11"/>
      <c r="AB165" s="11"/>
      <c r="AC165" s="11"/>
    </row>
    <row r="166" spans="1:29" ht="14">
      <c r="A166" s="11"/>
      <c r="B166" s="11"/>
      <c r="C166" s="11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  <c r="O166" s="11"/>
      <c r="P166" s="11"/>
      <c r="Q166" s="11"/>
      <c r="R166" s="11"/>
      <c r="S166" s="11"/>
      <c r="T166" s="11"/>
      <c r="U166" s="11"/>
      <c r="V166" s="11"/>
      <c r="W166" s="11"/>
      <c r="X166" s="11"/>
      <c r="Y166" s="11"/>
      <c r="Z166" s="11"/>
      <c r="AA166" s="11"/>
      <c r="AB166" s="11"/>
      <c r="AC166" s="11"/>
    </row>
    <row r="167" spans="1:29" ht="14">
      <c r="A167" s="11"/>
      <c r="B167" s="11"/>
      <c r="C167" s="11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  <c r="O167" s="11"/>
      <c r="P167" s="11"/>
      <c r="Q167" s="11"/>
      <c r="R167" s="11"/>
      <c r="S167" s="11"/>
      <c r="T167" s="11"/>
      <c r="U167" s="11"/>
      <c r="V167" s="11"/>
      <c r="W167" s="11"/>
      <c r="X167" s="11"/>
      <c r="Y167" s="11"/>
      <c r="Z167" s="11"/>
      <c r="AA167" s="11"/>
      <c r="AB167" s="11"/>
      <c r="AC167" s="11"/>
    </row>
    <row r="168" spans="1:29" ht="14">
      <c r="A168" s="11"/>
      <c r="B168" s="11"/>
      <c r="C168" s="11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</row>
    <row r="169" spans="1:29" ht="14">
      <c r="A169" s="11"/>
      <c r="B169" s="11"/>
      <c r="C169" s="11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  <c r="O169" s="11"/>
      <c r="P169" s="11"/>
      <c r="Q169" s="11"/>
      <c r="R169" s="11"/>
      <c r="S169" s="11"/>
      <c r="T169" s="11"/>
      <c r="U169" s="11"/>
      <c r="V169" s="11"/>
      <c r="W169" s="11"/>
      <c r="X169" s="11"/>
      <c r="Y169" s="11"/>
      <c r="Z169" s="11"/>
      <c r="AA169" s="11"/>
      <c r="AB169" s="11"/>
      <c r="AC169" s="11"/>
    </row>
    <row r="170" spans="1:29" ht="14">
      <c r="A170" s="11"/>
      <c r="B170" s="11"/>
      <c r="C170" s="11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  <c r="O170" s="11"/>
      <c r="P170" s="11"/>
      <c r="Q170" s="11"/>
      <c r="R170" s="11"/>
      <c r="S170" s="11"/>
      <c r="T170" s="11"/>
      <c r="U170" s="11"/>
      <c r="V170" s="11"/>
      <c r="W170" s="11"/>
      <c r="X170" s="11"/>
      <c r="Y170" s="11"/>
      <c r="Z170" s="11"/>
      <c r="AA170" s="11"/>
      <c r="AB170" s="11"/>
      <c r="AC170" s="11"/>
    </row>
    <row r="171" spans="1:29" ht="14">
      <c r="A171" s="11"/>
      <c r="B171" s="11"/>
      <c r="C171" s="11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  <c r="O171" s="11"/>
      <c r="P171" s="11"/>
      <c r="Q171" s="11"/>
      <c r="R171" s="11"/>
      <c r="S171" s="11"/>
      <c r="T171" s="11"/>
      <c r="U171" s="11"/>
      <c r="V171" s="11"/>
      <c r="W171" s="11"/>
      <c r="X171" s="11"/>
      <c r="Y171" s="11"/>
      <c r="Z171" s="11"/>
      <c r="AA171" s="11"/>
      <c r="AB171" s="11"/>
      <c r="AC171" s="11"/>
    </row>
    <row r="172" spans="1:29" ht="14">
      <c r="A172" s="11"/>
      <c r="B172" s="11"/>
      <c r="C172" s="11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  <c r="O172" s="11"/>
      <c r="P172" s="11"/>
      <c r="Q172" s="11"/>
      <c r="R172" s="11"/>
      <c r="S172" s="11"/>
      <c r="T172" s="11"/>
      <c r="U172" s="11"/>
      <c r="V172" s="11"/>
      <c r="W172" s="11"/>
      <c r="X172" s="11"/>
      <c r="Y172" s="11"/>
      <c r="Z172" s="11"/>
      <c r="AA172" s="11"/>
      <c r="AB172" s="11"/>
      <c r="AC172" s="11"/>
    </row>
    <row r="173" spans="1:29" ht="14">
      <c r="A173" s="11"/>
      <c r="B173" s="11"/>
      <c r="C173" s="11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  <c r="O173" s="11"/>
      <c r="P173" s="11"/>
      <c r="Q173" s="11"/>
      <c r="R173" s="11"/>
      <c r="S173" s="11"/>
      <c r="T173" s="11"/>
      <c r="U173" s="11"/>
      <c r="V173" s="11"/>
      <c r="W173" s="11"/>
      <c r="X173" s="11"/>
      <c r="Y173" s="11"/>
      <c r="Z173" s="11"/>
      <c r="AA173" s="11"/>
      <c r="AB173" s="11"/>
      <c r="AC173" s="11"/>
    </row>
    <row r="174" spans="1:29" ht="14">
      <c r="A174" s="11"/>
      <c r="B174" s="11"/>
      <c r="C174" s="11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  <c r="O174" s="11"/>
      <c r="P174" s="11"/>
      <c r="Q174" s="11"/>
      <c r="R174" s="11"/>
      <c r="S174" s="11"/>
      <c r="T174" s="11"/>
      <c r="U174" s="11"/>
      <c r="V174" s="11"/>
      <c r="W174" s="11"/>
      <c r="X174" s="11"/>
      <c r="Y174" s="11"/>
      <c r="Z174" s="11"/>
      <c r="AA174" s="11"/>
      <c r="AB174" s="11"/>
      <c r="AC174" s="11"/>
    </row>
    <row r="175" spans="1:29" ht="14">
      <c r="A175" s="11"/>
      <c r="B175" s="11"/>
      <c r="C175" s="11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  <c r="O175" s="11"/>
      <c r="P175" s="11"/>
      <c r="Q175" s="11"/>
      <c r="R175" s="11"/>
      <c r="S175" s="11"/>
      <c r="T175" s="11"/>
      <c r="U175" s="11"/>
      <c r="V175" s="11"/>
      <c r="W175" s="11"/>
      <c r="X175" s="11"/>
      <c r="Y175" s="11"/>
      <c r="Z175" s="11"/>
      <c r="AA175" s="11"/>
      <c r="AB175" s="11"/>
      <c r="AC175" s="11"/>
    </row>
    <row r="176" spans="1:29" ht="14">
      <c r="A176" s="11"/>
      <c r="B176" s="11"/>
      <c r="C176" s="11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  <c r="O176" s="11"/>
      <c r="P176" s="11"/>
      <c r="Q176" s="11"/>
      <c r="R176" s="11"/>
      <c r="S176" s="11"/>
      <c r="T176" s="11"/>
      <c r="U176" s="11"/>
      <c r="V176" s="11"/>
      <c r="W176" s="11"/>
      <c r="X176" s="11"/>
      <c r="Y176" s="11"/>
      <c r="Z176" s="11"/>
      <c r="AA176" s="11"/>
      <c r="AB176" s="11"/>
      <c r="AC176" s="11"/>
    </row>
    <row r="177" spans="1:29" ht="14">
      <c r="A177" s="11"/>
      <c r="B177" s="11"/>
      <c r="C177" s="11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</row>
    <row r="178" spans="1:29" ht="14">
      <c r="A178" s="11"/>
      <c r="B178" s="11"/>
      <c r="C178" s="11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  <c r="O178" s="11"/>
      <c r="P178" s="11"/>
      <c r="Q178" s="11"/>
      <c r="R178" s="11"/>
      <c r="S178" s="11"/>
      <c r="T178" s="11"/>
      <c r="U178" s="11"/>
      <c r="V178" s="11"/>
      <c r="W178" s="11"/>
      <c r="X178" s="11"/>
      <c r="Y178" s="11"/>
      <c r="Z178" s="11"/>
      <c r="AA178" s="11"/>
      <c r="AB178" s="11"/>
      <c r="AC178" s="11"/>
    </row>
    <row r="179" spans="1:29" ht="14">
      <c r="A179" s="11"/>
      <c r="B179" s="11"/>
      <c r="C179" s="11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  <c r="O179" s="11"/>
      <c r="P179" s="11"/>
      <c r="Q179" s="11"/>
      <c r="R179" s="11"/>
      <c r="S179" s="11"/>
      <c r="T179" s="11"/>
      <c r="U179" s="11"/>
      <c r="V179" s="11"/>
      <c r="W179" s="11"/>
      <c r="X179" s="11"/>
      <c r="Y179" s="11"/>
      <c r="Z179" s="11"/>
      <c r="AA179" s="11"/>
      <c r="AB179" s="11"/>
      <c r="AC179" s="11"/>
    </row>
    <row r="180" spans="1:29" ht="14">
      <c r="A180" s="11"/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11"/>
      <c r="V180" s="11"/>
      <c r="W180" s="11"/>
      <c r="X180" s="11"/>
      <c r="Y180" s="11"/>
      <c r="Z180" s="11"/>
      <c r="AA180" s="11"/>
      <c r="AB180" s="11"/>
      <c r="AC180" s="11"/>
    </row>
    <row r="181" spans="1:29" ht="14">
      <c r="A181" s="11"/>
      <c r="B181" s="11"/>
      <c r="C181" s="11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  <c r="O181" s="11"/>
      <c r="P181" s="11"/>
      <c r="Q181" s="11"/>
      <c r="R181" s="11"/>
      <c r="S181" s="11"/>
      <c r="T181" s="11"/>
      <c r="U181" s="11"/>
      <c r="V181" s="11"/>
      <c r="W181" s="11"/>
      <c r="X181" s="11"/>
      <c r="Y181" s="11"/>
      <c r="Z181" s="11"/>
      <c r="AA181" s="11"/>
      <c r="AB181" s="11"/>
      <c r="AC181" s="11"/>
    </row>
    <row r="182" spans="1:29" ht="14">
      <c r="A182" s="11"/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  <c r="O182" s="11"/>
      <c r="P182" s="11"/>
      <c r="Q182" s="11"/>
      <c r="R182" s="11"/>
      <c r="S182" s="11"/>
      <c r="T182" s="11"/>
      <c r="U182" s="11"/>
      <c r="V182" s="11"/>
      <c r="W182" s="11"/>
      <c r="X182" s="11"/>
      <c r="Y182" s="11"/>
      <c r="Z182" s="11"/>
      <c r="AA182" s="11"/>
      <c r="AB182" s="11"/>
      <c r="AC182" s="11"/>
    </row>
    <row r="183" spans="1:29" ht="14">
      <c r="A183" s="11"/>
      <c r="B183" s="11"/>
      <c r="C183" s="11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  <c r="O183" s="11"/>
      <c r="P183" s="11"/>
      <c r="Q183" s="11"/>
      <c r="R183" s="11"/>
      <c r="S183" s="11"/>
      <c r="T183" s="11"/>
      <c r="U183" s="11"/>
      <c r="V183" s="11"/>
      <c r="W183" s="11"/>
      <c r="X183" s="11"/>
      <c r="Y183" s="11"/>
      <c r="Z183" s="11"/>
      <c r="AA183" s="11"/>
      <c r="AB183" s="11"/>
      <c r="AC183" s="11"/>
    </row>
    <row r="184" spans="1:29" ht="14">
      <c r="A184" s="11"/>
      <c r="B184" s="11"/>
      <c r="C184" s="11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  <c r="O184" s="11"/>
      <c r="P184" s="11"/>
      <c r="Q184" s="11"/>
      <c r="R184" s="11"/>
      <c r="S184" s="11"/>
      <c r="T184" s="11"/>
      <c r="U184" s="11"/>
      <c r="V184" s="11"/>
      <c r="W184" s="11"/>
      <c r="X184" s="11"/>
      <c r="Y184" s="11"/>
      <c r="Z184" s="11"/>
      <c r="AA184" s="11"/>
      <c r="AB184" s="11"/>
      <c r="AC184" s="11"/>
    </row>
    <row r="185" spans="1:29" ht="14">
      <c r="A185" s="11"/>
      <c r="B185" s="11"/>
      <c r="C185" s="11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</row>
    <row r="186" spans="1:29" ht="14">
      <c r="A186" s="11"/>
      <c r="B186" s="11"/>
      <c r="C186" s="11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</row>
    <row r="187" spans="1:29" ht="14">
      <c r="A187" s="11"/>
      <c r="B187" s="11"/>
      <c r="C187" s="11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</row>
    <row r="188" spans="1:29" ht="14">
      <c r="A188" s="11"/>
      <c r="B188" s="11"/>
      <c r="C188" s="11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</row>
    <row r="189" spans="1:29" ht="14">
      <c r="A189" s="11"/>
      <c r="B189" s="11"/>
      <c r="C189" s="11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</row>
    <row r="190" spans="1:29" ht="14">
      <c r="A190" s="11"/>
      <c r="B190" s="11"/>
      <c r="C190" s="11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</row>
    <row r="191" spans="1:29" ht="14">
      <c r="A191" s="11"/>
      <c r="B191" s="11"/>
      <c r="C191" s="11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</row>
    <row r="192" spans="1:29" ht="14">
      <c r="A192" s="11"/>
      <c r="B192" s="11"/>
      <c r="C192" s="11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</row>
    <row r="193" spans="1:29" ht="14">
      <c r="A193" s="11"/>
      <c r="B193" s="11"/>
      <c r="C193" s="11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</row>
    <row r="194" spans="1:29" ht="14">
      <c r="A194" s="11"/>
      <c r="B194" s="11"/>
      <c r="C194" s="11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  <c r="O194" s="11"/>
      <c r="P194" s="11"/>
      <c r="Q194" s="11"/>
      <c r="R194" s="11"/>
      <c r="S194" s="11"/>
      <c r="T194" s="11"/>
      <c r="U194" s="11"/>
      <c r="V194" s="11"/>
      <c r="W194" s="11"/>
      <c r="X194" s="11"/>
      <c r="Y194" s="11"/>
      <c r="Z194" s="11"/>
      <c r="AA194" s="11"/>
      <c r="AB194" s="11"/>
      <c r="AC194" s="11"/>
    </row>
    <row r="195" spans="1:29" ht="14">
      <c r="A195" s="11"/>
      <c r="B195" s="11"/>
      <c r="C195" s="11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  <c r="O195" s="11"/>
      <c r="P195" s="11"/>
      <c r="Q195" s="11"/>
      <c r="R195" s="11"/>
      <c r="S195" s="11"/>
      <c r="T195" s="11"/>
      <c r="U195" s="11"/>
      <c r="V195" s="11"/>
      <c r="W195" s="11"/>
      <c r="X195" s="11"/>
      <c r="Y195" s="11"/>
      <c r="Z195" s="11"/>
      <c r="AA195" s="11"/>
      <c r="AB195" s="11"/>
      <c r="AC195" s="11"/>
    </row>
    <row r="196" spans="1:29" ht="14">
      <c r="A196" s="11"/>
      <c r="B196" s="11"/>
      <c r="C196" s="11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  <c r="O196" s="11"/>
      <c r="P196" s="11"/>
      <c r="Q196" s="11"/>
      <c r="R196" s="11"/>
      <c r="S196" s="11"/>
      <c r="T196" s="11"/>
      <c r="U196" s="11"/>
      <c r="V196" s="11"/>
      <c r="W196" s="11"/>
      <c r="X196" s="11"/>
      <c r="Y196" s="11"/>
      <c r="Z196" s="11"/>
      <c r="AA196" s="11"/>
      <c r="AB196" s="11"/>
      <c r="AC196" s="11"/>
    </row>
    <row r="197" spans="1:29" ht="14">
      <c r="A197" s="11"/>
      <c r="B197" s="11"/>
      <c r="C197" s="11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  <c r="O197" s="11"/>
      <c r="P197" s="11"/>
      <c r="Q197" s="11"/>
      <c r="R197" s="11"/>
      <c r="S197" s="11"/>
      <c r="T197" s="11"/>
      <c r="U197" s="11"/>
      <c r="V197" s="11"/>
      <c r="W197" s="11"/>
      <c r="X197" s="11"/>
      <c r="Y197" s="11"/>
      <c r="Z197" s="11"/>
      <c r="AA197" s="11"/>
      <c r="AB197" s="11"/>
      <c r="AC197" s="11"/>
    </row>
    <row r="198" spans="1:29" ht="14">
      <c r="A198" s="11"/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  <c r="O198" s="11"/>
      <c r="P198" s="11"/>
      <c r="Q198" s="11"/>
      <c r="R198" s="11"/>
      <c r="S198" s="11"/>
      <c r="T198" s="11"/>
      <c r="U198" s="11"/>
      <c r="V198" s="11"/>
      <c r="W198" s="11"/>
      <c r="X198" s="11"/>
      <c r="Y198" s="11"/>
      <c r="Z198" s="11"/>
      <c r="AA198" s="11"/>
      <c r="AB198" s="11"/>
      <c r="AC198" s="11"/>
    </row>
    <row r="199" spans="1:29" ht="14">
      <c r="A199" s="11"/>
      <c r="B199" s="11"/>
      <c r="C199" s="11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  <c r="O199" s="11"/>
      <c r="P199" s="11"/>
      <c r="Q199" s="11"/>
      <c r="R199" s="11"/>
      <c r="S199" s="11"/>
      <c r="T199" s="11"/>
      <c r="U199" s="11"/>
      <c r="V199" s="11"/>
      <c r="W199" s="11"/>
      <c r="X199" s="11"/>
      <c r="Y199" s="11"/>
      <c r="Z199" s="11"/>
      <c r="AA199" s="11"/>
      <c r="AB199" s="11"/>
      <c r="AC199" s="11"/>
    </row>
    <row r="200" spans="1:29" ht="14">
      <c r="A200" s="11"/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1"/>
      <c r="O200" s="11"/>
      <c r="P200" s="11"/>
      <c r="Q200" s="11"/>
      <c r="R200" s="11"/>
      <c r="S200" s="11"/>
      <c r="T200" s="11"/>
      <c r="U200" s="11"/>
      <c r="V200" s="11"/>
      <c r="W200" s="11"/>
      <c r="X200" s="11"/>
      <c r="Y200" s="11"/>
      <c r="Z200" s="11"/>
      <c r="AA200" s="11"/>
      <c r="AB200" s="11"/>
      <c r="AC200" s="11"/>
    </row>
    <row r="201" spans="1:29" ht="14">
      <c r="A201" s="11"/>
      <c r="B201" s="11"/>
      <c r="C201" s="11"/>
      <c r="D201" s="11"/>
      <c r="E201" s="11"/>
      <c r="F201" s="11"/>
      <c r="G201" s="11"/>
      <c r="H201" s="11"/>
      <c r="I201" s="11"/>
      <c r="J201" s="11"/>
      <c r="K201" s="11"/>
      <c r="L201" s="11"/>
      <c r="M201" s="11"/>
      <c r="N201" s="11"/>
      <c r="O201" s="11"/>
      <c r="P201" s="11"/>
      <c r="Q201" s="11"/>
      <c r="R201" s="11"/>
      <c r="S201" s="11"/>
      <c r="T201" s="11"/>
      <c r="U201" s="11"/>
      <c r="V201" s="11"/>
      <c r="W201" s="11"/>
      <c r="X201" s="11"/>
      <c r="Y201" s="11"/>
      <c r="Z201" s="11"/>
      <c r="AA201" s="11"/>
      <c r="AB201" s="11"/>
      <c r="AC201" s="11"/>
    </row>
    <row r="202" spans="1:29" ht="14">
      <c r="A202" s="11"/>
      <c r="B202" s="11"/>
      <c r="C202" s="11"/>
      <c r="D202" s="11"/>
      <c r="E202" s="11"/>
      <c r="F202" s="11"/>
      <c r="G202" s="11"/>
      <c r="H202" s="11"/>
      <c r="I202" s="11"/>
      <c r="J202" s="11"/>
      <c r="K202" s="11"/>
      <c r="L202" s="11"/>
      <c r="M202" s="11"/>
      <c r="N202" s="11"/>
      <c r="O202" s="11"/>
      <c r="P202" s="11"/>
      <c r="Q202" s="11"/>
      <c r="R202" s="11"/>
      <c r="S202" s="11"/>
      <c r="T202" s="11"/>
      <c r="U202" s="11"/>
      <c r="V202" s="11"/>
      <c r="W202" s="11"/>
      <c r="X202" s="11"/>
      <c r="Y202" s="11"/>
      <c r="Z202" s="11"/>
      <c r="AA202" s="11"/>
      <c r="AB202" s="11"/>
      <c r="AC202" s="11"/>
    </row>
    <row r="203" spans="1:29" ht="14">
      <c r="A203" s="11"/>
      <c r="B203" s="11"/>
      <c r="C203" s="11"/>
      <c r="D203" s="11"/>
      <c r="E203" s="11"/>
      <c r="F203" s="11"/>
      <c r="G203" s="11"/>
      <c r="H203" s="11"/>
      <c r="I203" s="11"/>
      <c r="J203" s="11"/>
      <c r="K203" s="11"/>
      <c r="L203" s="11"/>
      <c r="M203" s="11"/>
      <c r="N203" s="11"/>
      <c r="O203" s="11"/>
      <c r="P203" s="11"/>
      <c r="Q203" s="11"/>
      <c r="R203" s="11"/>
      <c r="S203" s="11"/>
      <c r="T203" s="11"/>
      <c r="U203" s="11"/>
      <c r="V203" s="11"/>
      <c r="W203" s="11"/>
      <c r="X203" s="11"/>
      <c r="Y203" s="11"/>
      <c r="Z203" s="11"/>
      <c r="AA203" s="11"/>
      <c r="AB203" s="11"/>
      <c r="AC203" s="11"/>
    </row>
    <row r="204" spans="1:29" ht="14">
      <c r="A204" s="11"/>
      <c r="B204" s="11"/>
      <c r="C204" s="11"/>
      <c r="D204" s="11"/>
      <c r="E204" s="11"/>
      <c r="F204" s="11"/>
      <c r="G204" s="11"/>
      <c r="H204" s="11"/>
      <c r="I204" s="11"/>
      <c r="J204" s="11"/>
      <c r="K204" s="11"/>
      <c r="L204" s="11"/>
      <c r="M204" s="11"/>
      <c r="N204" s="11"/>
      <c r="O204" s="11"/>
      <c r="P204" s="11"/>
      <c r="Q204" s="11"/>
      <c r="R204" s="11"/>
      <c r="S204" s="11"/>
      <c r="T204" s="11"/>
      <c r="U204" s="11"/>
      <c r="V204" s="11"/>
      <c r="W204" s="11"/>
      <c r="X204" s="11"/>
      <c r="Y204" s="11"/>
      <c r="Z204" s="11"/>
      <c r="AA204" s="11"/>
      <c r="AB204" s="11"/>
      <c r="AC204" s="11"/>
    </row>
    <row r="205" spans="1:29" ht="14">
      <c r="A205" s="11"/>
      <c r="B205" s="11"/>
      <c r="C205" s="11"/>
      <c r="D205" s="11"/>
      <c r="E205" s="11"/>
      <c r="F205" s="11"/>
      <c r="G205" s="11"/>
      <c r="H205" s="11"/>
      <c r="I205" s="11"/>
      <c r="J205" s="11"/>
      <c r="K205" s="11"/>
      <c r="L205" s="11"/>
      <c r="M205" s="11"/>
      <c r="N205" s="11"/>
      <c r="O205" s="11"/>
      <c r="P205" s="11"/>
      <c r="Q205" s="11"/>
      <c r="R205" s="11"/>
      <c r="S205" s="11"/>
      <c r="T205" s="11"/>
      <c r="U205" s="11"/>
      <c r="V205" s="11"/>
      <c r="W205" s="11"/>
      <c r="X205" s="11"/>
      <c r="Y205" s="11"/>
      <c r="Z205" s="11"/>
      <c r="AA205" s="11"/>
      <c r="AB205" s="11"/>
      <c r="AC205" s="11"/>
    </row>
    <row r="206" spans="1:29" ht="14">
      <c r="A206" s="11"/>
      <c r="B206" s="11"/>
      <c r="C206" s="11"/>
      <c r="D206" s="11"/>
      <c r="E206" s="11"/>
      <c r="F206" s="11"/>
      <c r="G206" s="11"/>
      <c r="H206" s="11"/>
      <c r="I206" s="11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11"/>
      <c r="Y206" s="11"/>
      <c r="Z206" s="11"/>
      <c r="AA206" s="11"/>
      <c r="AB206" s="11"/>
      <c r="AC206" s="11"/>
    </row>
    <row r="207" spans="1:29" ht="14">
      <c r="A207" s="11"/>
      <c r="B207" s="11"/>
      <c r="C207" s="11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/>
      <c r="Z207" s="11"/>
      <c r="AA207" s="11"/>
      <c r="AB207" s="11"/>
      <c r="AC207" s="11"/>
    </row>
    <row r="208" spans="1:29" ht="14">
      <c r="A208" s="11"/>
      <c r="B208" s="11"/>
      <c r="C208" s="11"/>
      <c r="D208" s="11"/>
      <c r="E208" s="11"/>
      <c r="F208" s="11"/>
      <c r="G208" s="11"/>
      <c r="H208" s="11"/>
      <c r="I208" s="11"/>
      <c r="J208" s="11"/>
      <c r="K208" s="11"/>
      <c r="L208" s="11"/>
      <c r="M208" s="11"/>
      <c r="N208" s="11"/>
      <c r="O208" s="11"/>
      <c r="P208" s="11"/>
      <c r="Q208" s="11"/>
      <c r="R208" s="11"/>
      <c r="S208" s="11"/>
      <c r="T208" s="11"/>
      <c r="U208" s="11"/>
      <c r="V208" s="11"/>
      <c r="W208" s="11"/>
      <c r="X208" s="11"/>
      <c r="Y208" s="11"/>
      <c r="Z208" s="11"/>
      <c r="AA208" s="11"/>
      <c r="AB208" s="11"/>
      <c r="AC208" s="11"/>
    </row>
    <row r="209" spans="1:29" ht="14">
      <c r="A209" s="11"/>
      <c r="B209" s="11"/>
      <c r="C209" s="11"/>
      <c r="D209" s="11"/>
      <c r="E209" s="11"/>
      <c r="F209" s="11"/>
      <c r="G209" s="11"/>
      <c r="H209" s="11"/>
      <c r="I209" s="11"/>
      <c r="J209" s="11"/>
      <c r="K209" s="11"/>
      <c r="L209" s="11"/>
      <c r="M209" s="11"/>
      <c r="N209" s="11"/>
      <c r="O209" s="11"/>
      <c r="P209" s="11"/>
      <c r="Q209" s="11"/>
      <c r="R209" s="11"/>
      <c r="S209" s="11"/>
      <c r="T209" s="11"/>
      <c r="U209" s="11"/>
      <c r="V209" s="11"/>
      <c r="W209" s="11"/>
      <c r="X209" s="11"/>
      <c r="Y209" s="11"/>
      <c r="Z209" s="11"/>
      <c r="AA209" s="11"/>
      <c r="AB209" s="11"/>
      <c r="AC209" s="11"/>
    </row>
    <row r="210" spans="1:29" ht="14">
      <c r="A210" s="11"/>
      <c r="B210" s="11"/>
      <c r="C210" s="11"/>
      <c r="D210" s="11"/>
      <c r="E210" s="11"/>
      <c r="F210" s="11"/>
      <c r="G210" s="11"/>
      <c r="H210" s="11"/>
      <c r="I210" s="11"/>
      <c r="J210" s="11"/>
      <c r="K210" s="11"/>
      <c r="L210" s="11"/>
      <c r="M210" s="11"/>
      <c r="N210" s="11"/>
      <c r="O210" s="11"/>
      <c r="P210" s="11"/>
      <c r="Q210" s="11"/>
      <c r="R210" s="11"/>
      <c r="S210" s="11"/>
      <c r="T210" s="11"/>
      <c r="U210" s="11"/>
      <c r="V210" s="11"/>
      <c r="W210" s="11"/>
      <c r="X210" s="11"/>
      <c r="Y210" s="11"/>
      <c r="Z210" s="11"/>
      <c r="AA210" s="11"/>
      <c r="AB210" s="11"/>
      <c r="AC210" s="11"/>
    </row>
    <row r="211" spans="1:29" ht="14">
      <c r="A211" s="11"/>
      <c r="B211" s="11"/>
      <c r="C211" s="11"/>
      <c r="D211" s="11"/>
      <c r="E211" s="11"/>
      <c r="F211" s="11"/>
      <c r="G211" s="11"/>
      <c r="H211" s="11"/>
      <c r="I211" s="11"/>
      <c r="J211" s="11"/>
      <c r="K211" s="11"/>
      <c r="L211" s="11"/>
      <c r="M211" s="11"/>
      <c r="N211" s="11"/>
      <c r="O211" s="11"/>
      <c r="P211" s="11"/>
      <c r="Q211" s="11"/>
      <c r="R211" s="11"/>
      <c r="S211" s="11"/>
      <c r="T211" s="11"/>
      <c r="U211" s="11"/>
      <c r="V211" s="11"/>
      <c r="W211" s="11"/>
      <c r="X211" s="11"/>
      <c r="Y211" s="11"/>
      <c r="Z211" s="11"/>
      <c r="AA211" s="11"/>
      <c r="AB211" s="11"/>
      <c r="AC211" s="11"/>
    </row>
    <row r="212" spans="1:29" ht="14">
      <c r="A212" s="11"/>
      <c r="B212" s="11"/>
      <c r="C212" s="11"/>
      <c r="D212" s="11"/>
      <c r="E212" s="11"/>
      <c r="F212" s="11"/>
      <c r="G212" s="11"/>
      <c r="H212" s="11"/>
      <c r="I212" s="11"/>
      <c r="J212" s="11"/>
      <c r="K212" s="11"/>
      <c r="L212" s="11"/>
      <c r="M212" s="11"/>
      <c r="N212" s="11"/>
      <c r="O212" s="11"/>
      <c r="P212" s="11"/>
      <c r="Q212" s="11"/>
      <c r="R212" s="11"/>
      <c r="S212" s="11"/>
      <c r="T212" s="11"/>
      <c r="U212" s="11"/>
      <c r="V212" s="11"/>
      <c r="W212" s="11"/>
      <c r="X212" s="11"/>
      <c r="Y212" s="11"/>
      <c r="Z212" s="11"/>
      <c r="AA212" s="11"/>
      <c r="AB212" s="11"/>
      <c r="AC212" s="11"/>
    </row>
    <row r="213" spans="1:29" ht="14">
      <c r="A213" s="11"/>
      <c r="B213" s="11"/>
      <c r="C213" s="11"/>
      <c r="D213" s="11"/>
      <c r="E213" s="11"/>
      <c r="F213" s="11"/>
      <c r="G213" s="11"/>
      <c r="H213" s="11"/>
      <c r="I213" s="11"/>
      <c r="J213" s="11"/>
      <c r="K213" s="11"/>
      <c r="L213" s="11"/>
      <c r="M213" s="11"/>
      <c r="N213" s="11"/>
      <c r="O213" s="11"/>
      <c r="P213" s="11"/>
      <c r="Q213" s="11"/>
      <c r="R213" s="11"/>
      <c r="S213" s="11"/>
      <c r="T213" s="11"/>
      <c r="U213" s="11"/>
      <c r="V213" s="11"/>
      <c r="W213" s="11"/>
      <c r="X213" s="11"/>
      <c r="Y213" s="11"/>
      <c r="Z213" s="11"/>
      <c r="AA213" s="11"/>
      <c r="AB213" s="11"/>
      <c r="AC213" s="11"/>
    </row>
    <row r="214" spans="1:29" ht="14">
      <c r="A214" s="11"/>
      <c r="B214" s="11"/>
      <c r="C214" s="11"/>
      <c r="D214" s="11"/>
      <c r="E214" s="11"/>
      <c r="F214" s="11"/>
      <c r="G214" s="11"/>
      <c r="H214" s="11"/>
      <c r="I214" s="11"/>
      <c r="J214" s="11"/>
      <c r="K214" s="11"/>
      <c r="L214" s="11"/>
      <c r="M214" s="11"/>
      <c r="N214" s="11"/>
      <c r="O214" s="11"/>
      <c r="P214" s="11"/>
      <c r="Q214" s="11"/>
      <c r="R214" s="11"/>
      <c r="S214" s="11"/>
      <c r="T214" s="11"/>
      <c r="U214" s="11"/>
      <c r="V214" s="11"/>
      <c r="W214" s="11"/>
      <c r="X214" s="11"/>
      <c r="Y214" s="11"/>
      <c r="Z214" s="11"/>
      <c r="AA214" s="11"/>
      <c r="AB214" s="11"/>
      <c r="AC214" s="11"/>
    </row>
    <row r="215" spans="1:29" ht="14">
      <c r="A215" s="11"/>
      <c r="B215" s="11"/>
      <c r="C215" s="11"/>
      <c r="D215" s="11"/>
      <c r="E215" s="11"/>
      <c r="F215" s="11"/>
      <c r="G215" s="11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</row>
    <row r="216" spans="1:29" ht="14">
      <c r="A216" s="11"/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</row>
    <row r="217" spans="1:29" ht="14">
      <c r="A217" s="11"/>
      <c r="B217" s="11"/>
      <c r="C217" s="11"/>
      <c r="D217" s="11"/>
      <c r="E217" s="11"/>
      <c r="F217" s="11"/>
      <c r="G217" s="11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</row>
    <row r="218" spans="1:29" ht="14">
      <c r="A218" s="11"/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</row>
    <row r="219" spans="1:29" ht="14">
      <c r="A219" s="11"/>
      <c r="B219" s="11"/>
      <c r="C219" s="11"/>
      <c r="D219" s="11"/>
      <c r="E219" s="11"/>
      <c r="F219" s="11"/>
      <c r="G219" s="11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</row>
    <row r="220" spans="1:29" ht="14">
      <c r="A220" s="11"/>
      <c r="B220" s="11"/>
      <c r="C220" s="11"/>
      <c r="D220" s="11"/>
      <c r="E220" s="11"/>
      <c r="F220" s="11"/>
      <c r="G220" s="11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</row>
    <row r="221" spans="1:29" ht="14">
      <c r="A221" s="11"/>
      <c r="B221" s="11"/>
      <c r="C221" s="11"/>
      <c r="D221" s="11"/>
      <c r="E221" s="11"/>
      <c r="F221" s="11"/>
      <c r="G221" s="11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</row>
    <row r="222" spans="1:29" ht="14">
      <c r="A222" s="11"/>
      <c r="B222" s="11"/>
      <c r="C222" s="11"/>
      <c r="D222" s="11"/>
      <c r="E222" s="11"/>
      <c r="F222" s="11"/>
      <c r="G222" s="11"/>
      <c r="H222" s="11"/>
      <c r="I222" s="11"/>
      <c r="J222" s="11"/>
      <c r="K222" s="11"/>
      <c r="L222" s="11"/>
      <c r="M222" s="11"/>
      <c r="N222" s="11"/>
      <c r="O222" s="11"/>
      <c r="P222" s="11"/>
      <c r="Q222" s="11"/>
      <c r="R222" s="11"/>
      <c r="S222" s="11"/>
      <c r="T222" s="11"/>
      <c r="U222" s="11"/>
      <c r="V222" s="11"/>
      <c r="W222" s="11"/>
      <c r="X222" s="11"/>
      <c r="Y222" s="11"/>
      <c r="Z222" s="11"/>
      <c r="AA222" s="11"/>
      <c r="AB222" s="11"/>
      <c r="AC222" s="11"/>
    </row>
    <row r="223" spans="1:29" ht="14">
      <c r="A223" s="11"/>
      <c r="B223" s="11"/>
      <c r="C223" s="11"/>
      <c r="D223" s="11"/>
      <c r="E223" s="11"/>
      <c r="F223" s="11"/>
      <c r="G223" s="11"/>
      <c r="H223" s="11"/>
      <c r="I223" s="11"/>
      <c r="J223" s="11"/>
      <c r="K223" s="11"/>
      <c r="L223" s="11"/>
      <c r="M223" s="11"/>
      <c r="N223" s="11"/>
      <c r="O223" s="11"/>
      <c r="P223" s="11"/>
      <c r="Q223" s="11"/>
      <c r="R223" s="11"/>
      <c r="S223" s="11"/>
      <c r="T223" s="11"/>
      <c r="U223" s="11"/>
      <c r="V223" s="11"/>
      <c r="W223" s="11"/>
      <c r="X223" s="11"/>
      <c r="Y223" s="11"/>
      <c r="Z223" s="11"/>
      <c r="AA223" s="11"/>
      <c r="AB223" s="11"/>
      <c r="AC223" s="11"/>
    </row>
    <row r="224" spans="1:29" ht="14">
      <c r="A224" s="11"/>
      <c r="B224" s="11"/>
      <c r="C224" s="11"/>
      <c r="D224" s="11"/>
      <c r="E224" s="11"/>
      <c r="F224" s="11"/>
      <c r="G224" s="11"/>
      <c r="H224" s="11"/>
      <c r="I224" s="11"/>
      <c r="J224" s="11"/>
      <c r="K224" s="11"/>
      <c r="L224" s="11"/>
      <c r="M224" s="11"/>
      <c r="N224" s="11"/>
      <c r="O224" s="11"/>
      <c r="P224" s="11"/>
      <c r="Q224" s="11"/>
      <c r="R224" s="11"/>
      <c r="S224" s="11"/>
      <c r="T224" s="11"/>
      <c r="U224" s="11"/>
      <c r="V224" s="11"/>
      <c r="W224" s="11"/>
      <c r="X224" s="11"/>
      <c r="Y224" s="11"/>
      <c r="Z224" s="11"/>
      <c r="AA224" s="11"/>
      <c r="AB224" s="11"/>
      <c r="AC224" s="11"/>
    </row>
    <row r="225" spans="1:29" ht="14">
      <c r="A225" s="11"/>
      <c r="B225" s="11"/>
      <c r="C225" s="11"/>
      <c r="D225" s="11"/>
      <c r="E225" s="11"/>
      <c r="F225" s="11"/>
      <c r="G225" s="11"/>
      <c r="H225" s="11"/>
      <c r="I225" s="11"/>
      <c r="J225" s="11"/>
      <c r="K225" s="11"/>
      <c r="L225" s="11"/>
      <c r="M225" s="11"/>
      <c r="N225" s="11"/>
      <c r="O225" s="11"/>
      <c r="P225" s="11"/>
      <c r="Q225" s="11"/>
      <c r="R225" s="11"/>
      <c r="S225" s="11"/>
      <c r="T225" s="11"/>
      <c r="U225" s="11"/>
      <c r="V225" s="11"/>
      <c r="W225" s="11"/>
      <c r="X225" s="11"/>
      <c r="Y225" s="11"/>
      <c r="Z225" s="11"/>
      <c r="AA225" s="11"/>
      <c r="AB225" s="11"/>
      <c r="AC225" s="11"/>
    </row>
    <row r="226" spans="1:29" ht="14">
      <c r="A226" s="11"/>
      <c r="B226" s="11"/>
      <c r="C226" s="11"/>
      <c r="D226" s="11"/>
      <c r="E226" s="11"/>
      <c r="F226" s="11"/>
      <c r="G226" s="11"/>
      <c r="H226" s="11"/>
      <c r="I226" s="11"/>
      <c r="J226" s="11"/>
      <c r="K226" s="11"/>
      <c r="L226" s="11"/>
      <c r="M226" s="11"/>
      <c r="N226" s="11"/>
      <c r="O226" s="11"/>
      <c r="P226" s="11"/>
      <c r="Q226" s="11"/>
      <c r="R226" s="11"/>
      <c r="S226" s="11"/>
      <c r="T226" s="11"/>
      <c r="U226" s="11"/>
      <c r="V226" s="11"/>
      <c r="W226" s="11"/>
      <c r="X226" s="11"/>
      <c r="Y226" s="11"/>
      <c r="Z226" s="11"/>
      <c r="AA226" s="11"/>
      <c r="AB226" s="11"/>
      <c r="AC226" s="11"/>
    </row>
    <row r="227" spans="1:29" ht="14">
      <c r="A227" s="11"/>
      <c r="B227" s="11"/>
      <c r="C227" s="11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/>
      <c r="Z227" s="11"/>
      <c r="AA227" s="11"/>
      <c r="AB227" s="11"/>
      <c r="AC227" s="11"/>
    </row>
    <row r="228" spans="1:29" ht="14">
      <c r="A228" s="11"/>
      <c r="B228" s="11"/>
      <c r="C228" s="11"/>
      <c r="D228" s="11"/>
      <c r="E228" s="11"/>
      <c r="F228" s="11"/>
      <c r="G228" s="11"/>
      <c r="H228" s="11"/>
      <c r="I228" s="11"/>
      <c r="J228" s="11"/>
      <c r="K228" s="11"/>
      <c r="L228" s="11"/>
      <c r="M228" s="11"/>
      <c r="N228" s="11"/>
      <c r="O228" s="11"/>
      <c r="P228" s="11"/>
      <c r="Q228" s="11"/>
      <c r="R228" s="11"/>
      <c r="S228" s="11"/>
      <c r="T228" s="11"/>
      <c r="U228" s="11"/>
      <c r="V228" s="11"/>
      <c r="W228" s="11"/>
      <c r="X228" s="11"/>
      <c r="Y228" s="11"/>
      <c r="Z228" s="11"/>
      <c r="AA228" s="11"/>
      <c r="AB228" s="11"/>
      <c r="AC228" s="11"/>
    </row>
    <row r="229" spans="1:29" ht="14">
      <c r="A229" s="11"/>
      <c r="B229" s="11"/>
      <c r="C229" s="11"/>
      <c r="D229" s="11"/>
      <c r="E229" s="11"/>
      <c r="F229" s="11"/>
      <c r="G229" s="11"/>
      <c r="H229" s="11"/>
      <c r="I229" s="11"/>
      <c r="J229" s="11"/>
      <c r="K229" s="11"/>
      <c r="L229" s="11"/>
      <c r="M229" s="11"/>
      <c r="N229" s="11"/>
      <c r="O229" s="11"/>
      <c r="P229" s="11"/>
      <c r="Q229" s="11"/>
      <c r="R229" s="11"/>
      <c r="S229" s="11"/>
      <c r="T229" s="11"/>
      <c r="U229" s="11"/>
      <c r="V229" s="11"/>
      <c r="W229" s="11"/>
      <c r="X229" s="11"/>
      <c r="Y229" s="11"/>
      <c r="Z229" s="11"/>
      <c r="AA229" s="11"/>
      <c r="AB229" s="11"/>
      <c r="AC229" s="11"/>
    </row>
    <row r="230" spans="1:29" ht="14">
      <c r="A230" s="11"/>
      <c r="B230" s="11"/>
      <c r="C230" s="11"/>
      <c r="D230" s="11"/>
      <c r="E230" s="11"/>
      <c r="F230" s="11"/>
      <c r="G230" s="11"/>
      <c r="H230" s="11"/>
      <c r="I230" s="11"/>
      <c r="J230" s="11"/>
      <c r="K230" s="11"/>
      <c r="L230" s="11"/>
      <c r="M230" s="11"/>
      <c r="N230" s="11"/>
      <c r="O230" s="11"/>
      <c r="P230" s="11"/>
      <c r="Q230" s="11"/>
      <c r="R230" s="11"/>
      <c r="S230" s="11"/>
      <c r="T230" s="11"/>
      <c r="U230" s="11"/>
      <c r="V230" s="11"/>
      <c r="W230" s="11"/>
      <c r="X230" s="11"/>
      <c r="Y230" s="11"/>
      <c r="Z230" s="11"/>
      <c r="AA230" s="11"/>
      <c r="AB230" s="11"/>
      <c r="AC230" s="11"/>
    </row>
    <row r="231" spans="1:29" ht="14">
      <c r="A231" s="11"/>
      <c r="B231" s="11"/>
      <c r="C231" s="11"/>
      <c r="D231" s="11"/>
      <c r="E231" s="11"/>
      <c r="F231" s="11"/>
      <c r="G231" s="11"/>
      <c r="H231" s="11"/>
      <c r="I231" s="11"/>
      <c r="J231" s="11"/>
      <c r="K231" s="11"/>
      <c r="L231" s="11"/>
      <c r="M231" s="11"/>
      <c r="N231" s="11"/>
      <c r="O231" s="11"/>
      <c r="P231" s="11"/>
      <c r="Q231" s="11"/>
      <c r="R231" s="11"/>
      <c r="S231" s="11"/>
      <c r="T231" s="11"/>
      <c r="U231" s="11"/>
      <c r="V231" s="11"/>
      <c r="W231" s="11"/>
      <c r="X231" s="11"/>
      <c r="Y231" s="11"/>
      <c r="Z231" s="11"/>
      <c r="AA231" s="11"/>
      <c r="AB231" s="11"/>
      <c r="AC231" s="11"/>
    </row>
    <row r="232" spans="1:29" ht="14">
      <c r="A232" s="11"/>
      <c r="B232" s="11"/>
      <c r="C232" s="11"/>
      <c r="D232" s="11"/>
      <c r="E232" s="11"/>
      <c r="F232" s="11"/>
      <c r="G232" s="11"/>
      <c r="H232" s="11"/>
      <c r="I232" s="11"/>
      <c r="J232" s="11"/>
      <c r="K232" s="11"/>
      <c r="L232" s="11"/>
      <c r="M232" s="11"/>
      <c r="N232" s="11"/>
      <c r="O232" s="11"/>
      <c r="P232" s="11"/>
      <c r="Q232" s="11"/>
      <c r="R232" s="11"/>
      <c r="S232" s="11"/>
      <c r="T232" s="11"/>
      <c r="U232" s="11"/>
      <c r="V232" s="11"/>
      <c r="W232" s="11"/>
      <c r="X232" s="11"/>
      <c r="Y232" s="11"/>
      <c r="Z232" s="11"/>
      <c r="AA232" s="11"/>
      <c r="AB232" s="11"/>
      <c r="AC232" s="11"/>
    </row>
    <row r="233" spans="1:29" ht="14">
      <c r="A233" s="11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1"/>
      <c r="V233" s="11"/>
      <c r="W233" s="11"/>
      <c r="X233" s="11"/>
      <c r="Y233" s="11"/>
      <c r="Z233" s="11"/>
      <c r="AA233" s="11"/>
      <c r="AB233" s="11"/>
      <c r="AC233" s="11"/>
    </row>
    <row r="234" spans="1:29" ht="14">
      <c r="A234" s="11"/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  <c r="S234" s="11"/>
      <c r="T234" s="11"/>
      <c r="U234" s="11"/>
      <c r="V234" s="11"/>
      <c r="W234" s="11"/>
      <c r="X234" s="11"/>
      <c r="Y234" s="11"/>
      <c r="Z234" s="11"/>
      <c r="AA234" s="11"/>
      <c r="AB234" s="11"/>
      <c r="AC234" s="11"/>
    </row>
    <row r="235" spans="1:29" ht="14">
      <c r="A235" s="11"/>
      <c r="B235" s="11"/>
      <c r="C235" s="11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  <c r="S235" s="11"/>
      <c r="T235" s="11"/>
      <c r="U235" s="11"/>
      <c r="V235" s="11"/>
      <c r="W235" s="11"/>
      <c r="X235" s="11"/>
      <c r="Y235" s="11"/>
      <c r="Z235" s="11"/>
      <c r="AA235" s="11"/>
      <c r="AB235" s="11"/>
      <c r="AC235" s="11"/>
    </row>
    <row r="236" spans="1:29" ht="14">
      <c r="A236" s="11"/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  <c r="S236" s="11"/>
      <c r="T236" s="11"/>
      <c r="U236" s="11"/>
      <c r="V236" s="11"/>
      <c r="W236" s="11"/>
      <c r="X236" s="11"/>
      <c r="Y236" s="11"/>
      <c r="Z236" s="11"/>
      <c r="AA236" s="11"/>
      <c r="AB236" s="11"/>
      <c r="AC236" s="11"/>
    </row>
    <row r="237" spans="1:29" ht="14">
      <c r="A237" s="11"/>
      <c r="B237" s="11"/>
      <c r="C237" s="11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  <c r="S237" s="11"/>
      <c r="T237" s="11"/>
      <c r="U237" s="11"/>
      <c r="V237" s="11"/>
      <c r="W237" s="11"/>
      <c r="X237" s="11"/>
      <c r="Y237" s="11"/>
      <c r="Z237" s="11"/>
      <c r="AA237" s="11"/>
      <c r="AB237" s="11"/>
      <c r="AC237" s="11"/>
    </row>
    <row r="238" spans="1:29" ht="14">
      <c r="A238" s="11"/>
      <c r="B238" s="11"/>
      <c r="C238" s="11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  <c r="S238" s="11"/>
      <c r="T238" s="11"/>
      <c r="U238" s="11"/>
      <c r="V238" s="11"/>
      <c r="W238" s="11"/>
      <c r="X238" s="11"/>
      <c r="Y238" s="11"/>
      <c r="Z238" s="11"/>
      <c r="AA238" s="11"/>
      <c r="AB238" s="11"/>
      <c r="AC238" s="11"/>
    </row>
    <row r="239" spans="1:29" ht="14">
      <c r="A239" s="11"/>
      <c r="B239" s="11"/>
      <c r="C239" s="11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</row>
    <row r="240" spans="1:29" ht="14">
      <c r="A240" s="11"/>
      <c r="B240" s="11"/>
      <c r="C240" s="11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  <c r="S240" s="11"/>
      <c r="T240" s="11"/>
      <c r="U240" s="11"/>
      <c r="V240" s="11"/>
      <c r="W240" s="11"/>
      <c r="X240" s="11"/>
      <c r="Y240" s="11"/>
      <c r="Z240" s="11"/>
      <c r="AA240" s="11"/>
      <c r="AB240" s="11"/>
      <c r="AC240" s="11"/>
    </row>
    <row r="241" spans="1:29" ht="14">
      <c r="A241" s="11"/>
      <c r="B241" s="11"/>
      <c r="C241" s="11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</row>
    <row r="242" spans="1:29" ht="14">
      <c r="A242" s="11"/>
      <c r="B242" s="11"/>
      <c r="C242" s="11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  <c r="S242" s="11"/>
      <c r="T242" s="11"/>
      <c r="U242" s="11"/>
      <c r="V242" s="11"/>
      <c r="W242" s="11"/>
      <c r="X242" s="11"/>
      <c r="Y242" s="11"/>
      <c r="Z242" s="11"/>
      <c r="AA242" s="11"/>
      <c r="AB242" s="11"/>
      <c r="AC242" s="11"/>
    </row>
    <row r="243" spans="1:29" ht="14">
      <c r="A243" s="11"/>
      <c r="B243" s="11"/>
      <c r="C243" s="11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  <c r="S243" s="11"/>
      <c r="T243" s="11"/>
      <c r="U243" s="11"/>
      <c r="V243" s="11"/>
      <c r="W243" s="11"/>
      <c r="X243" s="11"/>
      <c r="Y243" s="11"/>
      <c r="Z243" s="11"/>
      <c r="AA243" s="11"/>
      <c r="AB243" s="11"/>
      <c r="AC243" s="11"/>
    </row>
    <row r="244" spans="1:29" ht="14">
      <c r="A244" s="11"/>
      <c r="B244" s="11"/>
      <c r="C244" s="11"/>
      <c r="D244" s="11"/>
      <c r="E244" s="11"/>
      <c r="F244" s="11"/>
      <c r="G244" s="11"/>
      <c r="H244" s="11"/>
      <c r="I244" s="11"/>
      <c r="J244" s="11"/>
      <c r="K244" s="11"/>
      <c r="L244" s="11"/>
      <c r="M244" s="11"/>
      <c r="N244" s="11"/>
      <c r="O244" s="11"/>
      <c r="P244" s="11"/>
      <c r="Q244" s="11"/>
      <c r="R244" s="11"/>
      <c r="S244" s="11"/>
      <c r="T244" s="11"/>
      <c r="U244" s="11"/>
      <c r="V244" s="11"/>
      <c r="W244" s="11"/>
      <c r="X244" s="11"/>
      <c r="Y244" s="11"/>
      <c r="Z244" s="11"/>
      <c r="AA244" s="11"/>
      <c r="AB244" s="11"/>
      <c r="AC244" s="11"/>
    </row>
    <row r="245" spans="1:29" ht="14">
      <c r="A245" s="11"/>
      <c r="B245" s="11"/>
      <c r="C245" s="11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  <c r="S245" s="11"/>
      <c r="T245" s="11"/>
      <c r="U245" s="11"/>
      <c r="V245" s="11"/>
      <c r="W245" s="11"/>
      <c r="X245" s="11"/>
      <c r="Y245" s="11"/>
      <c r="Z245" s="11"/>
      <c r="AA245" s="11"/>
      <c r="AB245" s="11"/>
      <c r="AC245" s="11"/>
    </row>
    <row r="246" spans="1:29" ht="14">
      <c r="A246" s="11"/>
      <c r="B246" s="11"/>
      <c r="C246" s="11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  <c r="S246" s="11"/>
      <c r="T246" s="11"/>
      <c r="U246" s="11"/>
      <c r="V246" s="11"/>
      <c r="W246" s="11"/>
      <c r="X246" s="11"/>
      <c r="Y246" s="11"/>
      <c r="Z246" s="11"/>
      <c r="AA246" s="11"/>
      <c r="AB246" s="11"/>
      <c r="AC246" s="11"/>
    </row>
    <row r="247" spans="1:29" ht="14">
      <c r="A247" s="11"/>
      <c r="B247" s="11"/>
      <c r="C247" s="11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  <c r="S247" s="11"/>
      <c r="T247" s="11"/>
      <c r="U247" s="11"/>
      <c r="V247" s="11"/>
      <c r="W247" s="11"/>
      <c r="X247" s="11"/>
      <c r="Y247" s="11"/>
      <c r="Z247" s="11"/>
      <c r="AA247" s="11"/>
      <c r="AB247" s="11"/>
      <c r="AC247" s="11"/>
    </row>
    <row r="248" spans="1:29" ht="14">
      <c r="A248" s="11"/>
      <c r="B248" s="11"/>
      <c r="C248" s="11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  <c r="S248" s="11"/>
      <c r="T248" s="11"/>
      <c r="U248" s="11"/>
      <c r="V248" s="11"/>
      <c r="W248" s="11"/>
      <c r="X248" s="11"/>
      <c r="Y248" s="11"/>
      <c r="Z248" s="11"/>
      <c r="AA248" s="11"/>
      <c r="AB248" s="11"/>
      <c r="AC248" s="11"/>
    </row>
    <row r="249" spans="1:29" ht="14">
      <c r="A249" s="11"/>
      <c r="B249" s="11"/>
      <c r="C249" s="11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  <c r="S249" s="11"/>
      <c r="T249" s="11"/>
      <c r="U249" s="11"/>
      <c r="V249" s="11"/>
      <c r="W249" s="11"/>
      <c r="X249" s="11"/>
      <c r="Y249" s="11"/>
      <c r="Z249" s="11"/>
      <c r="AA249" s="11"/>
      <c r="AB249" s="11"/>
      <c r="AC249" s="11"/>
    </row>
    <row r="250" spans="1:29" ht="14">
      <c r="A250" s="11"/>
      <c r="B250" s="11"/>
      <c r="C250" s="11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  <c r="S250" s="11"/>
      <c r="T250" s="11"/>
      <c r="U250" s="11"/>
      <c r="V250" s="11"/>
      <c r="W250" s="11"/>
      <c r="X250" s="11"/>
      <c r="Y250" s="11"/>
      <c r="Z250" s="11"/>
      <c r="AA250" s="11"/>
      <c r="AB250" s="11"/>
      <c r="AC250" s="11"/>
    </row>
    <row r="251" spans="1:29" ht="14">
      <c r="A251" s="11"/>
      <c r="B251" s="11"/>
      <c r="C251" s="11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  <c r="S251" s="11"/>
      <c r="T251" s="11"/>
      <c r="U251" s="11"/>
      <c r="V251" s="11"/>
      <c r="W251" s="11"/>
      <c r="X251" s="11"/>
      <c r="Y251" s="11"/>
      <c r="Z251" s="11"/>
      <c r="AA251" s="11"/>
      <c r="AB251" s="11"/>
      <c r="AC251" s="11"/>
    </row>
    <row r="252" spans="1:29" ht="14">
      <c r="A252" s="11"/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  <c r="S252" s="11"/>
      <c r="T252" s="11"/>
      <c r="U252" s="11"/>
      <c r="V252" s="11"/>
      <c r="W252" s="11"/>
      <c r="X252" s="11"/>
      <c r="Y252" s="11"/>
      <c r="Z252" s="11"/>
      <c r="AA252" s="11"/>
      <c r="AB252" s="11"/>
      <c r="AC252" s="11"/>
    </row>
    <row r="253" spans="1:29" ht="14">
      <c r="A253" s="11"/>
      <c r="B253" s="11"/>
      <c r="C253" s="11"/>
      <c r="D253" s="11"/>
      <c r="E253" s="11"/>
      <c r="F253" s="11"/>
      <c r="G253" s="11"/>
      <c r="H253" s="11"/>
      <c r="I253" s="11"/>
      <c r="J253" s="11"/>
      <c r="K253" s="11"/>
      <c r="L253" s="11"/>
      <c r="M253" s="11"/>
      <c r="N253" s="11"/>
      <c r="O253" s="11"/>
      <c r="P253" s="11"/>
      <c r="Q253" s="11"/>
      <c r="R253" s="11"/>
      <c r="S253" s="11"/>
      <c r="T253" s="11"/>
      <c r="U253" s="11"/>
      <c r="V253" s="11"/>
      <c r="W253" s="11"/>
      <c r="X253" s="11"/>
      <c r="Y253" s="11"/>
      <c r="Z253" s="11"/>
      <c r="AA253" s="11"/>
      <c r="AB253" s="11"/>
      <c r="AC253" s="11"/>
    </row>
    <row r="254" spans="1:29" ht="14">
      <c r="A254" s="11"/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  <c r="S254" s="11"/>
      <c r="T254" s="11"/>
      <c r="U254" s="11"/>
      <c r="V254" s="11"/>
      <c r="W254" s="11"/>
      <c r="X254" s="11"/>
      <c r="Y254" s="11"/>
      <c r="Z254" s="11"/>
      <c r="AA254" s="11"/>
      <c r="AB254" s="11"/>
      <c r="AC254" s="11"/>
    </row>
    <row r="255" spans="1:29" ht="14">
      <c r="A255" s="11"/>
      <c r="B255" s="11"/>
      <c r="C255" s="11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  <c r="S255" s="11"/>
      <c r="T255" s="11"/>
      <c r="U255" s="11"/>
      <c r="V255" s="11"/>
      <c r="W255" s="11"/>
      <c r="X255" s="11"/>
      <c r="Y255" s="11"/>
      <c r="Z255" s="11"/>
      <c r="AA255" s="11"/>
      <c r="AB255" s="11"/>
      <c r="AC255" s="11"/>
    </row>
    <row r="256" spans="1:29" ht="14">
      <c r="A256" s="11"/>
      <c r="B256" s="11"/>
      <c r="C256" s="11"/>
      <c r="D256" s="11"/>
      <c r="E256" s="11"/>
      <c r="F256" s="11"/>
      <c r="G256" s="11"/>
      <c r="H256" s="11"/>
      <c r="I256" s="11"/>
      <c r="J256" s="11"/>
      <c r="K256" s="11"/>
      <c r="L256" s="11"/>
      <c r="M256" s="11"/>
      <c r="N256" s="11"/>
      <c r="O256" s="11"/>
      <c r="P256" s="11"/>
      <c r="Q256" s="11"/>
      <c r="R256" s="11"/>
      <c r="S256" s="11"/>
      <c r="T256" s="11"/>
      <c r="U256" s="11"/>
      <c r="V256" s="11"/>
      <c r="W256" s="11"/>
      <c r="X256" s="11"/>
      <c r="Y256" s="11"/>
      <c r="Z256" s="11"/>
      <c r="AA256" s="11"/>
      <c r="AB256" s="11"/>
      <c r="AC256" s="11"/>
    </row>
    <row r="257" spans="1:29" ht="14">
      <c r="A257" s="11"/>
      <c r="B257" s="11"/>
      <c r="C257" s="11"/>
      <c r="D257" s="11"/>
      <c r="E257" s="11"/>
      <c r="F257" s="11"/>
      <c r="G257" s="11"/>
      <c r="H257" s="11"/>
      <c r="I257" s="11"/>
      <c r="J257" s="11"/>
      <c r="K257" s="11"/>
      <c r="L257" s="11"/>
      <c r="M257" s="11"/>
      <c r="N257" s="11"/>
      <c r="O257" s="11"/>
      <c r="P257" s="11"/>
      <c r="Q257" s="11"/>
      <c r="R257" s="11"/>
      <c r="S257" s="11"/>
      <c r="T257" s="11"/>
      <c r="U257" s="11"/>
      <c r="V257" s="11"/>
      <c r="W257" s="11"/>
      <c r="X257" s="11"/>
      <c r="Y257" s="11"/>
      <c r="Z257" s="11"/>
      <c r="AA257" s="11"/>
      <c r="AB257" s="11"/>
      <c r="AC257" s="11"/>
    </row>
    <row r="258" spans="1:29" ht="14">
      <c r="A258" s="11"/>
      <c r="B258" s="11"/>
      <c r="C258" s="11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  <c r="S258" s="11"/>
      <c r="T258" s="11"/>
      <c r="U258" s="11"/>
      <c r="V258" s="11"/>
      <c r="W258" s="11"/>
      <c r="X258" s="11"/>
      <c r="Y258" s="11"/>
      <c r="Z258" s="11"/>
      <c r="AA258" s="11"/>
      <c r="AB258" s="11"/>
      <c r="AC258" s="11"/>
    </row>
    <row r="259" spans="1:29" ht="14">
      <c r="A259" s="11"/>
      <c r="B259" s="11"/>
      <c r="C259" s="11"/>
      <c r="D259" s="11"/>
      <c r="E259" s="11"/>
      <c r="F259" s="11"/>
      <c r="G259" s="11"/>
      <c r="H259" s="11"/>
      <c r="I259" s="11"/>
      <c r="J259" s="11"/>
      <c r="K259" s="11"/>
      <c r="L259" s="11"/>
      <c r="M259" s="11"/>
      <c r="N259" s="11"/>
      <c r="O259" s="11"/>
      <c r="P259" s="11"/>
      <c r="Q259" s="11"/>
      <c r="R259" s="11"/>
      <c r="S259" s="11"/>
      <c r="T259" s="11"/>
      <c r="U259" s="11"/>
      <c r="V259" s="11"/>
      <c r="W259" s="11"/>
      <c r="X259" s="11"/>
      <c r="Y259" s="11"/>
      <c r="Z259" s="11"/>
      <c r="AA259" s="11"/>
      <c r="AB259" s="11"/>
      <c r="AC259" s="11"/>
    </row>
    <row r="260" spans="1:29" ht="14">
      <c r="A260" s="11"/>
      <c r="B260" s="11"/>
      <c r="C260" s="11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  <c r="S260" s="11"/>
      <c r="T260" s="11"/>
      <c r="U260" s="11"/>
      <c r="V260" s="11"/>
      <c r="W260" s="11"/>
      <c r="X260" s="11"/>
      <c r="Y260" s="11"/>
      <c r="Z260" s="11"/>
      <c r="AA260" s="11"/>
      <c r="AB260" s="11"/>
      <c r="AC260" s="11"/>
    </row>
    <row r="261" spans="1:29" ht="14">
      <c r="A261" s="11"/>
      <c r="B261" s="11"/>
      <c r="C261" s="11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  <c r="S261" s="11"/>
      <c r="T261" s="11"/>
      <c r="U261" s="11"/>
      <c r="V261" s="11"/>
      <c r="W261" s="11"/>
      <c r="X261" s="11"/>
      <c r="Y261" s="11"/>
      <c r="Z261" s="11"/>
      <c r="AA261" s="11"/>
      <c r="AB261" s="11"/>
      <c r="AC261" s="11"/>
    </row>
    <row r="262" spans="1:29" ht="14">
      <c r="A262" s="11"/>
      <c r="B262" s="11"/>
      <c r="C262" s="11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  <c r="S262" s="11"/>
      <c r="T262" s="11"/>
      <c r="U262" s="11"/>
      <c r="V262" s="11"/>
      <c r="W262" s="11"/>
      <c r="X262" s="11"/>
      <c r="Y262" s="11"/>
      <c r="Z262" s="11"/>
      <c r="AA262" s="11"/>
      <c r="AB262" s="11"/>
      <c r="AC262" s="11"/>
    </row>
    <row r="263" spans="1:29" ht="14">
      <c r="A263" s="11"/>
      <c r="B263" s="11"/>
      <c r="C263" s="11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  <c r="S263" s="11"/>
      <c r="T263" s="11"/>
      <c r="U263" s="11"/>
      <c r="V263" s="11"/>
      <c r="W263" s="11"/>
      <c r="X263" s="11"/>
      <c r="Y263" s="11"/>
      <c r="Z263" s="11"/>
      <c r="AA263" s="11"/>
      <c r="AB263" s="11"/>
      <c r="AC263" s="11"/>
    </row>
    <row r="264" spans="1:29" ht="14">
      <c r="A264" s="11"/>
      <c r="B264" s="11"/>
      <c r="C264" s="11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  <c r="S264" s="11"/>
      <c r="T264" s="11"/>
      <c r="U264" s="11"/>
      <c r="V264" s="11"/>
      <c r="W264" s="11"/>
      <c r="X264" s="11"/>
      <c r="Y264" s="11"/>
      <c r="Z264" s="11"/>
      <c r="AA264" s="11"/>
      <c r="AB264" s="11"/>
      <c r="AC264" s="11"/>
    </row>
    <row r="265" spans="1:29" ht="14">
      <c r="A265" s="11"/>
      <c r="B265" s="11"/>
      <c r="C265" s="11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  <c r="S265" s="11"/>
      <c r="T265" s="11"/>
      <c r="U265" s="11"/>
      <c r="V265" s="11"/>
      <c r="W265" s="11"/>
      <c r="X265" s="11"/>
      <c r="Y265" s="11"/>
      <c r="Z265" s="11"/>
      <c r="AA265" s="11"/>
      <c r="AB265" s="11"/>
      <c r="AC265" s="11"/>
    </row>
    <row r="266" spans="1:29" ht="14">
      <c r="A266" s="11"/>
      <c r="B266" s="11"/>
      <c r="C266" s="11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  <c r="S266" s="11"/>
      <c r="T266" s="11"/>
      <c r="U266" s="11"/>
      <c r="V266" s="11"/>
      <c r="W266" s="11"/>
      <c r="X266" s="11"/>
      <c r="Y266" s="11"/>
      <c r="Z266" s="11"/>
      <c r="AA266" s="11"/>
      <c r="AB266" s="11"/>
      <c r="AC266" s="11"/>
    </row>
    <row r="267" spans="1:29" ht="14">
      <c r="A267" s="11"/>
      <c r="B267" s="11"/>
      <c r="C267" s="11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  <c r="S267" s="11"/>
      <c r="T267" s="11"/>
      <c r="U267" s="11"/>
      <c r="V267" s="11"/>
      <c r="W267" s="11"/>
      <c r="X267" s="11"/>
      <c r="Y267" s="11"/>
      <c r="Z267" s="11"/>
      <c r="AA267" s="11"/>
      <c r="AB267" s="11"/>
      <c r="AC267" s="11"/>
    </row>
    <row r="268" spans="1:29" ht="14">
      <c r="A268" s="11"/>
      <c r="B268" s="11"/>
      <c r="C268" s="11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  <c r="S268" s="11"/>
      <c r="T268" s="11"/>
      <c r="U268" s="11"/>
      <c r="V268" s="11"/>
      <c r="W268" s="11"/>
      <c r="X268" s="11"/>
      <c r="Y268" s="11"/>
      <c r="Z268" s="11"/>
      <c r="AA268" s="11"/>
      <c r="AB268" s="11"/>
      <c r="AC268" s="11"/>
    </row>
    <row r="269" spans="1:29" ht="14">
      <c r="A269" s="11"/>
      <c r="B269" s="11"/>
      <c r="C269" s="11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  <c r="S269" s="11"/>
      <c r="T269" s="11"/>
      <c r="U269" s="11"/>
      <c r="V269" s="11"/>
      <c r="W269" s="11"/>
      <c r="X269" s="11"/>
      <c r="Y269" s="11"/>
      <c r="Z269" s="11"/>
      <c r="AA269" s="11"/>
      <c r="AB269" s="11"/>
      <c r="AC269" s="11"/>
    </row>
    <row r="270" spans="1:29" ht="14">
      <c r="A270" s="11"/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  <c r="S270" s="11"/>
      <c r="T270" s="11"/>
      <c r="U270" s="11"/>
      <c r="V270" s="11"/>
      <c r="W270" s="11"/>
      <c r="X270" s="11"/>
      <c r="Y270" s="11"/>
      <c r="Z270" s="11"/>
      <c r="AA270" s="11"/>
      <c r="AB270" s="11"/>
      <c r="AC270" s="11"/>
    </row>
    <row r="271" spans="1:29" ht="14">
      <c r="A271" s="11"/>
      <c r="B271" s="11"/>
      <c r="C271" s="11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  <c r="S271" s="11"/>
      <c r="T271" s="11"/>
      <c r="U271" s="11"/>
      <c r="V271" s="11"/>
      <c r="W271" s="11"/>
      <c r="X271" s="11"/>
      <c r="Y271" s="11"/>
      <c r="Z271" s="11"/>
      <c r="AA271" s="11"/>
      <c r="AB271" s="11"/>
      <c r="AC271" s="11"/>
    </row>
    <row r="272" spans="1:29" ht="14">
      <c r="A272" s="11"/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  <c r="S272" s="11"/>
      <c r="T272" s="11"/>
      <c r="U272" s="11"/>
      <c r="V272" s="11"/>
      <c r="W272" s="11"/>
      <c r="X272" s="11"/>
      <c r="Y272" s="11"/>
      <c r="Z272" s="11"/>
      <c r="AA272" s="11"/>
      <c r="AB272" s="11"/>
      <c r="AC272" s="11"/>
    </row>
    <row r="273" spans="1:29" ht="14">
      <c r="A273" s="11"/>
      <c r="B273" s="11"/>
      <c r="C273" s="11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  <c r="S273" s="11"/>
      <c r="T273" s="11"/>
      <c r="U273" s="11"/>
      <c r="V273" s="11"/>
      <c r="W273" s="11"/>
      <c r="X273" s="11"/>
      <c r="Y273" s="11"/>
      <c r="Z273" s="11"/>
      <c r="AA273" s="11"/>
      <c r="AB273" s="11"/>
      <c r="AC273" s="11"/>
    </row>
    <row r="274" spans="1:29" ht="14">
      <c r="A274" s="11"/>
      <c r="B274" s="11"/>
      <c r="C274" s="11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  <c r="S274" s="11"/>
      <c r="T274" s="11"/>
      <c r="U274" s="11"/>
      <c r="V274" s="11"/>
      <c r="W274" s="11"/>
      <c r="X274" s="11"/>
      <c r="Y274" s="11"/>
      <c r="Z274" s="11"/>
      <c r="AA274" s="11"/>
      <c r="AB274" s="11"/>
      <c r="AC274" s="11"/>
    </row>
    <row r="275" spans="1:29" ht="14">
      <c r="A275" s="11"/>
      <c r="B275" s="11"/>
      <c r="C275" s="11"/>
      <c r="D275" s="11"/>
      <c r="E275" s="11"/>
      <c r="F275" s="11"/>
      <c r="G275" s="11"/>
      <c r="H275" s="11"/>
      <c r="I275" s="11"/>
      <c r="J275" s="11"/>
      <c r="K275" s="11"/>
      <c r="L275" s="11"/>
      <c r="M275" s="11"/>
      <c r="N275" s="11"/>
      <c r="O275" s="11"/>
      <c r="P275" s="11"/>
      <c r="Q275" s="11"/>
      <c r="R275" s="11"/>
      <c r="S275" s="11"/>
      <c r="T275" s="11"/>
      <c r="U275" s="11"/>
      <c r="V275" s="11"/>
      <c r="W275" s="11"/>
      <c r="X275" s="11"/>
      <c r="Y275" s="11"/>
      <c r="Z275" s="11"/>
      <c r="AA275" s="11"/>
      <c r="AB275" s="11"/>
      <c r="AC275" s="11"/>
    </row>
    <row r="276" spans="1:29" ht="14">
      <c r="A276" s="11"/>
      <c r="B276" s="11"/>
      <c r="C276" s="11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  <c r="S276" s="11"/>
      <c r="T276" s="11"/>
      <c r="U276" s="11"/>
      <c r="V276" s="11"/>
      <c r="W276" s="11"/>
      <c r="X276" s="11"/>
      <c r="Y276" s="11"/>
      <c r="Z276" s="11"/>
      <c r="AA276" s="11"/>
      <c r="AB276" s="11"/>
      <c r="AC276" s="11"/>
    </row>
    <row r="277" spans="1:29" ht="14">
      <c r="A277" s="11"/>
      <c r="B277" s="11"/>
      <c r="C277" s="11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  <c r="S277" s="11"/>
      <c r="T277" s="11"/>
      <c r="U277" s="11"/>
      <c r="V277" s="11"/>
      <c r="W277" s="11"/>
      <c r="X277" s="11"/>
      <c r="Y277" s="11"/>
      <c r="Z277" s="11"/>
      <c r="AA277" s="11"/>
      <c r="AB277" s="11"/>
      <c r="AC277" s="11"/>
    </row>
    <row r="278" spans="1:29" ht="14">
      <c r="A278" s="11"/>
      <c r="B278" s="11"/>
      <c r="C278" s="11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  <c r="S278" s="11"/>
      <c r="T278" s="11"/>
      <c r="U278" s="11"/>
      <c r="V278" s="11"/>
      <c r="W278" s="11"/>
      <c r="X278" s="11"/>
      <c r="Y278" s="11"/>
      <c r="Z278" s="11"/>
      <c r="AA278" s="11"/>
      <c r="AB278" s="11"/>
      <c r="AC278" s="11"/>
    </row>
    <row r="279" spans="1:29" ht="14">
      <c r="A279" s="11"/>
      <c r="B279" s="11"/>
      <c r="C279" s="11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  <c r="S279" s="11"/>
      <c r="T279" s="11"/>
      <c r="U279" s="11"/>
      <c r="V279" s="11"/>
      <c r="W279" s="11"/>
      <c r="X279" s="11"/>
      <c r="Y279" s="11"/>
      <c r="Z279" s="11"/>
      <c r="AA279" s="11"/>
      <c r="AB279" s="11"/>
      <c r="AC279" s="11"/>
    </row>
    <row r="280" spans="1:29" ht="14">
      <c r="A280" s="11"/>
      <c r="B280" s="11"/>
      <c r="C280" s="11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  <c r="S280" s="11"/>
      <c r="T280" s="11"/>
      <c r="U280" s="11"/>
      <c r="V280" s="11"/>
      <c r="W280" s="11"/>
      <c r="X280" s="11"/>
      <c r="Y280" s="11"/>
      <c r="Z280" s="11"/>
      <c r="AA280" s="11"/>
      <c r="AB280" s="11"/>
      <c r="AC280" s="11"/>
    </row>
    <row r="281" spans="1:29" ht="14">
      <c r="A281" s="11"/>
      <c r="B281" s="11"/>
      <c r="C281" s="11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  <c r="S281" s="11"/>
      <c r="T281" s="11"/>
      <c r="U281" s="11"/>
      <c r="V281" s="11"/>
      <c r="W281" s="11"/>
      <c r="X281" s="11"/>
      <c r="Y281" s="11"/>
      <c r="Z281" s="11"/>
      <c r="AA281" s="11"/>
      <c r="AB281" s="11"/>
      <c r="AC281" s="11"/>
    </row>
    <row r="282" spans="1:29" ht="14">
      <c r="A282" s="11"/>
      <c r="B282" s="11"/>
      <c r="C282" s="11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11"/>
      <c r="Y282" s="11"/>
      <c r="Z282" s="11"/>
      <c r="AA282" s="11"/>
      <c r="AB282" s="11"/>
      <c r="AC282" s="11"/>
    </row>
    <row r="283" spans="1:29" ht="14">
      <c r="A283" s="11"/>
      <c r="B283" s="11"/>
      <c r="C283" s="11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  <c r="S283" s="11"/>
      <c r="T283" s="11"/>
      <c r="U283" s="11"/>
      <c r="V283" s="11"/>
      <c r="W283" s="11"/>
      <c r="X283" s="11"/>
      <c r="Y283" s="11"/>
      <c r="Z283" s="11"/>
      <c r="AA283" s="11"/>
      <c r="AB283" s="11"/>
      <c r="AC283" s="11"/>
    </row>
    <row r="284" spans="1:29" ht="14">
      <c r="A284" s="11"/>
      <c r="B284" s="11"/>
      <c r="C284" s="11"/>
      <c r="D284" s="11"/>
      <c r="E284" s="11"/>
      <c r="F284" s="11"/>
      <c r="G284" s="11"/>
      <c r="H284" s="11"/>
      <c r="I284" s="11"/>
      <c r="J284" s="11"/>
      <c r="K284" s="11"/>
      <c r="L284" s="11"/>
      <c r="M284" s="11"/>
      <c r="N284" s="11"/>
      <c r="O284" s="11"/>
      <c r="P284" s="11"/>
      <c r="Q284" s="11"/>
      <c r="R284" s="11"/>
      <c r="S284" s="11"/>
      <c r="T284" s="11"/>
      <c r="U284" s="11"/>
      <c r="V284" s="11"/>
      <c r="W284" s="11"/>
      <c r="X284" s="11"/>
      <c r="Y284" s="11"/>
      <c r="Z284" s="11"/>
      <c r="AA284" s="11"/>
      <c r="AB284" s="11"/>
      <c r="AC284" s="11"/>
    </row>
    <row r="285" spans="1:29" ht="14">
      <c r="A285" s="11"/>
      <c r="B285" s="11"/>
      <c r="C285" s="11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  <c r="S285" s="11"/>
      <c r="T285" s="11"/>
      <c r="U285" s="11"/>
      <c r="V285" s="11"/>
      <c r="W285" s="11"/>
      <c r="X285" s="11"/>
      <c r="Y285" s="11"/>
      <c r="Z285" s="11"/>
      <c r="AA285" s="11"/>
      <c r="AB285" s="11"/>
      <c r="AC285" s="11"/>
    </row>
    <row r="286" spans="1:29" ht="14">
      <c r="A286" s="11"/>
      <c r="B286" s="11"/>
      <c r="C286" s="11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  <c r="S286" s="11"/>
      <c r="T286" s="11"/>
      <c r="U286" s="11"/>
      <c r="V286" s="11"/>
      <c r="W286" s="11"/>
      <c r="X286" s="11"/>
      <c r="Y286" s="11"/>
      <c r="Z286" s="11"/>
      <c r="AA286" s="11"/>
      <c r="AB286" s="11"/>
      <c r="AC286" s="11"/>
    </row>
    <row r="287" spans="1:29" ht="14">
      <c r="A287" s="11"/>
      <c r="B287" s="11"/>
      <c r="C287" s="11"/>
      <c r="D287" s="11"/>
      <c r="E287" s="11"/>
      <c r="F287" s="11"/>
      <c r="G287" s="11"/>
      <c r="H287" s="11"/>
      <c r="I287" s="11"/>
      <c r="J287" s="11"/>
      <c r="K287" s="11"/>
      <c r="L287" s="11"/>
      <c r="M287" s="11"/>
      <c r="N287" s="11"/>
      <c r="O287" s="11"/>
      <c r="P287" s="11"/>
      <c r="Q287" s="11"/>
      <c r="R287" s="11"/>
      <c r="S287" s="11"/>
      <c r="T287" s="11"/>
      <c r="U287" s="11"/>
      <c r="V287" s="11"/>
      <c r="W287" s="11"/>
      <c r="X287" s="11"/>
      <c r="Y287" s="11"/>
      <c r="Z287" s="11"/>
      <c r="AA287" s="11"/>
      <c r="AB287" s="11"/>
      <c r="AC287" s="11"/>
    </row>
    <row r="288" spans="1:29" ht="14">
      <c r="A288" s="11"/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1"/>
      <c r="O288" s="11"/>
      <c r="P288" s="11"/>
      <c r="Q288" s="11"/>
      <c r="R288" s="11"/>
      <c r="S288" s="11"/>
      <c r="T288" s="11"/>
      <c r="U288" s="11"/>
      <c r="V288" s="11"/>
      <c r="W288" s="11"/>
      <c r="X288" s="11"/>
      <c r="Y288" s="11"/>
      <c r="Z288" s="11"/>
      <c r="AA288" s="11"/>
      <c r="AB288" s="11"/>
      <c r="AC288" s="11"/>
    </row>
    <row r="289" spans="1:29" ht="14">
      <c r="A289" s="11"/>
      <c r="B289" s="11"/>
      <c r="C289" s="11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  <c r="S289" s="11"/>
      <c r="T289" s="11"/>
      <c r="U289" s="11"/>
      <c r="V289" s="11"/>
      <c r="W289" s="11"/>
      <c r="X289" s="11"/>
      <c r="Y289" s="11"/>
      <c r="Z289" s="11"/>
      <c r="AA289" s="11"/>
      <c r="AB289" s="11"/>
      <c r="AC289" s="11"/>
    </row>
    <row r="290" spans="1:29" ht="14">
      <c r="A290" s="11"/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1"/>
      <c r="O290" s="11"/>
      <c r="P290" s="11"/>
      <c r="Q290" s="11"/>
      <c r="R290" s="11"/>
      <c r="S290" s="11"/>
      <c r="T290" s="11"/>
      <c r="U290" s="11"/>
      <c r="V290" s="11"/>
      <c r="W290" s="11"/>
      <c r="X290" s="11"/>
      <c r="Y290" s="11"/>
      <c r="Z290" s="11"/>
      <c r="AA290" s="11"/>
      <c r="AB290" s="11"/>
      <c r="AC290" s="11"/>
    </row>
    <row r="291" spans="1:29" ht="14">
      <c r="A291" s="11"/>
      <c r="B291" s="11"/>
      <c r="C291" s="11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  <c r="S291" s="11"/>
      <c r="T291" s="11"/>
      <c r="U291" s="11"/>
      <c r="V291" s="11"/>
      <c r="W291" s="11"/>
      <c r="X291" s="11"/>
      <c r="Y291" s="11"/>
      <c r="Z291" s="11"/>
      <c r="AA291" s="11"/>
      <c r="AB291" s="11"/>
      <c r="AC291" s="11"/>
    </row>
    <row r="292" spans="1:29" ht="14">
      <c r="A292" s="11"/>
      <c r="B292" s="11"/>
      <c r="C292" s="11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  <c r="S292" s="11"/>
      <c r="T292" s="11"/>
      <c r="U292" s="11"/>
      <c r="V292" s="11"/>
      <c r="W292" s="11"/>
      <c r="X292" s="11"/>
      <c r="Y292" s="11"/>
      <c r="Z292" s="11"/>
      <c r="AA292" s="11"/>
      <c r="AB292" s="11"/>
      <c r="AC292" s="11"/>
    </row>
    <row r="293" spans="1:29" ht="14">
      <c r="A293" s="11"/>
      <c r="B293" s="11"/>
      <c r="C293" s="11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  <c r="S293" s="11"/>
      <c r="T293" s="11"/>
      <c r="U293" s="11"/>
      <c r="V293" s="11"/>
      <c r="W293" s="11"/>
      <c r="X293" s="11"/>
      <c r="Y293" s="11"/>
      <c r="Z293" s="11"/>
      <c r="AA293" s="11"/>
      <c r="AB293" s="11"/>
      <c r="AC293" s="11"/>
    </row>
    <row r="294" spans="1:29" ht="14">
      <c r="A294" s="11"/>
      <c r="B294" s="11"/>
      <c r="C294" s="11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  <c r="S294" s="11"/>
      <c r="T294" s="11"/>
      <c r="U294" s="11"/>
      <c r="V294" s="11"/>
      <c r="W294" s="11"/>
      <c r="X294" s="11"/>
      <c r="Y294" s="11"/>
      <c r="Z294" s="11"/>
      <c r="AA294" s="11"/>
      <c r="AB294" s="11"/>
      <c r="AC294" s="11"/>
    </row>
    <row r="295" spans="1:29" ht="14">
      <c r="A295" s="11"/>
      <c r="B295" s="11"/>
      <c r="C295" s="11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  <c r="S295" s="11"/>
      <c r="T295" s="11"/>
      <c r="U295" s="11"/>
      <c r="V295" s="11"/>
      <c r="W295" s="11"/>
      <c r="X295" s="11"/>
      <c r="Y295" s="11"/>
      <c r="Z295" s="11"/>
      <c r="AA295" s="11"/>
      <c r="AB295" s="11"/>
      <c r="AC295" s="11"/>
    </row>
    <row r="296" spans="1:29" ht="14">
      <c r="A296" s="11"/>
      <c r="B296" s="11"/>
      <c r="C296" s="11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</row>
    <row r="297" spans="1:29" ht="14">
      <c r="A297" s="11"/>
      <c r="B297" s="11"/>
      <c r="C297" s="11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</row>
    <row r="298" spans="1:29" ht="14">
      <c r="A298" s="11"/>
      <c r="B298" s="11"/>
      <c r="C298" s="11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</row>
    <row r="299" spans="1:29" ht="14">
      <c r="A299" s="11"/>
      <c r="B299" s="11"/>
      <c r="C299" s="11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</row>
    <row r="300" spans="1:29" ht="14">
      <c r="A300" s="11"/>
      <c r="B300" s="11"/>
      <c r="C300" s="11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</row>
    <row r="301" spans="1:29" ht="14">
      <c r="A301" s="11"/>
      <c r="B301" s="11"/>
      <c r="C301" s="11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</row>
    <row r="302" spans="1:29" ht="14">
      <c r="A302" s="11"/>
      <c r="B302" s="11"/>
      <c r="C302" s="11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</row>
    <row r="303" spans="1:29" ht="14">
      <c r="A303" s="11"/>
      <c r="B303" s="11"/>
      <c r="C303" s="11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</row>
    <row r="304" spans="1:29" ht="14">
      <c r="A304" s="11"/>
      <c r="B304" s="11"/>
      <c r="C304" s="11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</row>
    <row r="305" spans="1:29" ht="14">
      <c r="A305" s="11"/>
      <c r="B305" s="11"/>
      <c r="C305" s="11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  <c r="S305" s="11"/>
      <c r="T305" s="11"/>
      <c r="U305" s="11"/>
      <c r="V305" s="11"/>
      <c r="W305" s="11"/>
      <c r="X305" s="11"/>
      <c r="Y305" s="11"/>
      <c r="Z305" s="11"/>
      <c r="AA305" s="11"/>
      <c r="AB305" s="11"/>
      <c r="AC305" s="11"/>
    </row>
    <row r="306" spans="1:29" ht="14">
      <c r="A306" s="11"/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1"/>
      <c r="O306" s="11"/>
      <c r="P306" s="11"/>
      <c r="Q306" s="11"/>
      <c r="R306" s="11"/>
      <c r="S306" s="11"/>
      <c r="T306" s="11"/>
      <c r="U306" s="11"/>
      <c r="V306" s="11"/>
      <c r="W306" s="11"/>
      <c r="X306" s="11"/>
      <c r="Y306" s="11"/>
      <c r="Z306" s="11"/>
      <c r="AA306" s="11"/>
      <c r="AB306" s="11"/>
      <c r="AC306" s="11"/>
    </row>
    <row r="307" spans="1:29" ht="14">
      <c r="A307" s="11"/>
      <c r="B307" s="11"/>
      <c r="C307" s="11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  <c r="S307" s="11"/>
      <c r="T307" s="11"/>
      <c r="U307" s="11"/>
      <c r="V307" s="11"/>
      <c r="W307" s="11"/>
      <c r="X307" s="11"/>
      <c r="Y307" s="11"/>
      <c r="Z307" s="11"/>
      <c r="AA307" s="11"/>
      <c r="AB307" s="11"/>
      <c r="AC307" s="11"/>
    </row>
    <row r="308" spans="1:29" ht="14">
      <c r="A308" s="11"/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  <c r="S308" s="11"/>
      <c r="T308" s="11"/>
      <c r="U308" s="11"/>
      <c r="V308" s="11"/>
      <c r="W308" s="11"/>
      <c r="X308" s="11"/>
      <c r="Y308" s="11"/>
      <c r="Z308" s="11"/>
      <c r="AA308" s="11"/>
      <c r="AB308" s="11"/>
      <c r="AC308" s="11"/>
    </row>
    <row r="309" spans="1:29" ht="14">
      <c r="A309" s="11"/>
      <c r="B309" s="11"/>
      <c r="C309" s="11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  <c r="S309" s="11"/>
      <c r="T309" s="11"/>
      <c r="U309" s="11"/>
      <c r="V309" s="11"/>
      <c r="W309" s="11"/>
      <c r="X309" s="11"/>
      <c r="Y309" s="11"/>
      <c r="Z309" s="11"/>
      <c r="AA309" s="11"/>
      <c r="AB309" s="11"/>
      <c r="AC309" s="11"/>
    </row>
    <row r="310" spans="1:29" ht="14">
      <c r="A310" s="11"/>
      <c r="B310" s="11"/>
      <c r="C310" s="11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  <c r="S310" s="11"/>
      <c r="T310" s="11"/>
      <c r="U310" s="11"/>
      <c r="V310" s="11"/>
      <c r="W310" s="11"/>
      <c r="X310" s="11"/>
      <c r="Y310" s="11"/>
      <c r="Z310" s="11"/>
      <c r="AA310" s="11"/>
      <c r="AB310" s="11"/>
      <c r="AC310" s="11"/>
    </row>
    <row r="311" spans="1:29" ht="14">
      <c r="A311" s="11"/>
      <c r="B311" s="11"/>
      <c r="C311" s="11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  <c r="S311" s="11"/>
      <c r="T311" s="11"/>
      <c r="U311" s="11"/>
      <c r="V311" s="11"/>
      <c r="W311" s="11"/>
      <c r="X311" s="11"/>
      <c r="Y311" s="11"/>
      <c r="Z311" s="11"/>
      <c r="AA311" s="11"/>
      <c r="AB311" s="11"/>
      <c r="AC311" s="11"/>
    </row>
    <row r="312" spans="1:29" ht="14">
      <c r="A312" s="11"/>
      <c r="B312" s="11"/>
      <c r="C312" s="11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  <c r="S312" s="11"/>
      <c r="T312" s="11"/>
      <c r="U312" s="11"/>
      <c r="V312" s="11"/>
      <c r="W312" s="11"/>
      <c r="X312" s="11"/>
      <c r="Y312" s="11"/>
      <c r="Z312" s="11"/>
      <c r="AA312" s="11"/>
      <c r="AB312" s="11"/>
      <c r="AC312" s="11"/>
    </row>
    <row r="313" spans="1:29" ht="14">
      <c r="A313" s="11"/>
      <c r="B313" s="11"/>
      <c r="C313" s="11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  <c r="S313" s="11"/>
      <c r="T313" s="11"/>
      <c r="U313" s="11"/>
      <c r="V313" s="11"/>
      <c r="W313" s="11"/>
      <c r="X313" s="11"/>
      <c r="Y313" s="11"/>
      <c r="Z313" s="11"/>
      <c r="AA313" s="11"/>
      <c r="AB313" s="11"/>
      <c r="AC313" s="11"/>
    </row>
    <row r="314" spans="1:29" ht="14">
      <c r="A314" s="11"/>
      <c r="B314" s="11"/>
      <c r="C314" s="11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  <c r="S314" s="11"/>
      <c r="T314" s="11"/>
      <c r="U314" s="11"/>
      <c r="V314" s="11"/>
      <c r="W314" s="11"/>
      <c r="X314" s="11"/>
      <c r="Y314" s="11"/>
      <c r="Z314" s="11"/>
      <c r="AA314" s="11"/>
      <c r="AB314" s="11"/>
      <c r="AC314" s="11"/>
    </row>
    <row r="315" spans="1:29" ht="14">
      <c r="A315" s="11"/>
      <c r="B315" s="11"/>
      <c r="C315" s="11"/>
      <c r="D315" s="11"/>
      <c r="E315" s="11"/>
      <c r="F315" s="11"/>
      <c r="G315" s="11"/>
      <c r="H315" s="11"/>
      <c r="I315" s="11"/>
      <c r="J315" s="11"/>
      <c r="K315" s="11"/>
      <c r="L315" s="11"/>
      <c r="M315" s="11"/>
      <c r="N315" s="11"/>
      <c r="O315" s="11"/>
      <c r="P315" s="11"/>
      <c r="Q315" s="11"/>
      <c r="R315" s="11"/>
      <c r="S315" s="11"/>
      <c r="T315" s="11"/>
      <c r="U315" s="11"/>
      <c r="V315" s="11"/>
      <c r="W315" s="11"/>
      <c r="X315" s="11"/>
      <c r="Y315" s="11"/>
      <c r="Z315" s="11"/>
      <c r="AA315" s="11"/>
      <c r="AB315" s="11"/>
      <c r="AC315" s="11"/>
    </row>
    <row r="316" spans="1:29" ht="14">
      <c r="A316" s="11"/>
      <c r="B316" s="11"/>
      <c r="C316" s="11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  <c r="S316" s="11"/>
      <c r="T316" s="11"/>
      <c r="U316" s="11"/>
      <c r="V316" s="11"/>
      <c r="W316" s="11"/>
      <c r="X316" s="11"/>
      <c r="Y316" s="11"/>
      <c r="Z316" s="11"/>
      <c r="AA316" s="11"/>
      <c r="AB316" s="11"/>
      <c r="AC316" s="11"/>
    </row>
    <row r="317" spans="1:29" ht="14">
      <c r="A317" s="11"/>
      <c r="B317" s="11"/>
      <c r="C317" s="11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  <c r="S317" s="11"/>
      <c r="T317" s="11"/>
      <c r="U317" s="11"/>
      <c r="V317" s="11"/>
      <c r="W317" s="11"/>
      <c r="X317" s="11"/>
      <c r="Y317" s="11"/>
      <c r="Z317" s="11"/>
      <c r="AA317" s="11"/>
      <c r="AB317" s="11"/>
      <c r="AC317" s="11"/>
    </row>
    <row r="318" spans="1:29" ht="14">
      <c r="A318" s="11"/>
      <c r="B318" s="11"/>
      <c r="C318" s="11"/>
      <c r="D318" s="11"/>
      <c r="E318" s="11"/>
      <c r="F318" s="11"/>
      <c r="G318" s="11"/>
      <c r="H318" s="11"/>
      <c r="I318" s="11"/>
      <c r="J318" s="11"/>
      <c r="K318" s="11"/>
      <c r="L318" s="11"/>
      <c r="M318" s="11"/>
      <c r="N318" s="11"/>
      <c r="O318" s="11"/>
      <c r="P318" s="11"/>
      <c r="Q318" s="11"/>
      <c r="R318" s="11"/>
      <c r="S318" s="11"/>
      <c r="T318" s="11"/>
      <c r="U318" s="11"/>
      <c r="V318" s="11"/>
      <c r="W318" s="11"/>
      <c r="X318" s="11"/>
      <c r="Y318" s="11"/>
      <c r="Z318" s="11"/>
      <c r="AA318" s="11"/>
      <c r="AB318" s="11"/>
      <c r="AC318" s="11"/>
    </row>
    <row r="319" spans="1:29" ht="14">
      <c r="A319" s="11"/>
      <c r="B319" s="11"/>
      <c r="C319" s="11"/>
      <c r="D319" s="11"/>
      <c r="E319" s="11"/>
      <c r="F319" s="11"/>
      <c r="G319" s="11"/>
      <c r="H319" s="11"/>
      <c r="I319" s="11"/>
      <c r="J319" s="11"/>
      <c r="K319" s="11"/>
      <c r="L319" s="11"/>
      <c r="M319" s="11"/>
      <c r="N319" s="11"/>
      <c r="O319" s="11"/>
      <c r="P319" s="11"/>
      <c r="Q319" s="11"/>
      <c r="R319" s="11"/>
      <c r="S319" s="11"/>
      <c r="T319" s="11"/>
      <c r="U319" s="11"/>
      <c r="V319" s="11"/>
      <c r="W319" s="11"/>
      <c r="X319" s="11"/>
      <c r="Y319" s="11"/>
      <c r="Z319" s="11"/>
      <c r="AA319" s="11"/>
      <c r="AB319" s="11"/>
      <c r="AC319" s="11"/>
    </row>
    <row r="320" spans="1:29" ht="14">
      <c r="A320" s="11"/>
      <c r="B320" s="11"/>
      <c r="C320" s="11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  <c r="S320" s="11"/>
      <c r="T320" s="11"/>
      <c r="U320" s="11"/>
      <c r="V320" s="11"/>
      <c r="W320" s="11"/>
      <c r="X320" s="11"/>
      <c r="Y320" s="11"/>
      <c r="Z320" s="11"/>
      <c r="AA320" s="11"/>
      <c r="AB320" s="11"/>
      <c r="AC320" s="11"/>
    </row>
    <row r="321" spans="1:29" ht="14">
      <c r="A321" s="11"/>
      <c r="B321" s="11"/>
      <c r="C321" s="11"/>
      <c r="D321" s="11"/>
      <c r="E321" s="11"/>
      <c r="F321" s="11"/>
      <c r="G321" s="11"/>
      <c r="H321" s="11"/>
      <c r="I321" s="11"/>
      <c r="J321" s="11"/>
      <c r="K321" s="11"/>
      <c r="L321" s="11"/>
      <c r="M321" s="11"/>
      <c r="N321" s="11"/>
      <c r="O321" s="11"/>
      <c r="P321" s="11"/>
      <c r="Q321" s="11"/>
      <c r="R321" s="11"/>
      <c r="S321" s="11"/>
      <c r="T321" s="11"/>
      <c r="U321" s="11"/>
      <c r="V321" s="11"/>
      <c r="W321" s="11"/>
      <c r="X321" s="11"/>
      <c r="Y321" s="11"/>
      <c r="Z321" s="11"/>
      <c r="AA321" s="11"/>
      <c r="AB321" s="11"/>
      <c r="AC321" s="11"/>
    </row>
    <row r="322" spans="1:29" ht="14">
      <c r="A322" s="11"/>
      <c r="B322" s="11"/>
      <c r="C322" s="11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  <c r="S322" s="11"/>
      <c r="T322" s="11"/>
      <c r="U322" s="11"/>
      <c r="V322" s="11"/>
      <c r="W322" s="11"/>
      <c r="X322" s="11"/>
      <c r="Y322" s="11"/>
      <c r="Z322" s="11"/>
      <c r="AA322" s="11"/>
      <c r="AB322" s="11"/>
      <c r="AC322" s="11"/>
    </row>
    <row r="323" spans="1:29" ht="14">
      <c r="A323" s="11"/>
      <c r="B323" s="11"/>
      <c r="C323" s="11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  <c r="S323" s="11"/>
      <c r="T323" s="11"/>
      <c r="U323" s="11"/>
      <c r="V323" s="11"/>
      <c r="W323" s="11"/>
      <c r="X323" s="11"/>
      <c r="Y323" s="11"/>
      <c r="Z323" s="11"/>
      <c r="AA323" s="11"/>
      <c r="AB323" s="11"/>
      <c r="AC323" s="11"/>
    </row>
    <row r="324" spans="1:29" ht="14">
      <c r="A324" s="11"/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  <c r="S324" s="11"/>
      <c r="T324" s="11"/>
      <c r="U324" s="11"/>
      <c r="V324" s="11"/>
      <c r="W324" s="11"/>
      <c r="X324" s="11"/>
      <c r="Y324" s="11"/>
      <c r="Z324" s="11"/>
      <c r="AA324" s="11"/>
      <c r="AB324" s="11"/>
      <c r="AC324" s="11"/>
    </row>
    <row r="325" spans="1:29" ht="14">
      <c r="A325" s="11"/>
      <c r="B325" s="11"/>
      <c r="C325" s="11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  <c r="S325" s="11"/>
      <c r="T325" s="11"/>
      <c r="U325" s="11"/>
      <c r="V325" s="11"/>
      <c r="W325" s="11"/>
      <c r="X325" s="11"/>
      <c r="Y325" s="11"/>
      <c r="Z325" s="11"/>
      <c r="AA325" s="11"/>
      <c r="AB325" s="11"/>
      <c r="AC325" s="11"/>
    </row>
    <row r="326" spans="1:29" ht="14">
      <c r="A326" s="11"/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</row>
    <row r="327" spans="1:29" ht="14">
      <c r="A327" s="11"/>
      <c r="B327" s="11"/>
      <c r="C327" s="11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</row>
    <row r="328" spans="1:29" ht="14">
      <c r="A328" s="11"/>
      <c r="B328" s="11"/>
      <c r="C328" s="11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</row>
    <row r="329" spans="1:29" ht="14">
      <c r="A329" s="11"/>
      <c r="B329" s="11"/>
      <c r="C329" s="11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</row>
    <row r="330" spans="1:29" ht="14">
      <c r="A330" s="11"/>
      <c r="B330" s="11"/>
      <c r="C330" s="11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</row>
    <row r="331" spans="1:29" ht="14">
      <c r="A331" s="11"/>
      <c r="B331" s="11"/>
      <c r="C331" s="11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</row>
    <row r="332" spans="1:29" ht="14">
      <c r="A332" s="11"/>
      <c r="B332" s="11"/>
      <c r="C332" s="11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</row>
    <row r="333" spans="1:29" ht="14">
      <c r="A333" s="11"/>
      <c r="B333" s="11"/>
      <c r="C333" s="11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  <c r="S333" s="11"/>
      <c r="T333" s="11"/>
      <c r="U333" s="11"/>
      <c r="V333" s="11"/>
      <c r="W333" s="11"/>
      <c r="X333" s="11"/>
      <c r="Y333" s="11"/>
      <c r="Z333" s="11"/>
      <c r="AA333" s="11"/>
      <c r="AB333" s="11"/>
      <c r="AC333" s="11"/>
    </row>
    <row r="334" spans="1:29" ht="14">
      <c r="A334" s="11"/>
      <c r="B334" s="11"/>
      <c r="C334" s="11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  <c r="S334" s="11"/>
      <c r="T334" s="11"/>
      <c r="U334" s="11"/>
      <c r="V334" s="11"/>
      <c r="W334" s="11"/>
      <c r="X334" s="11"/>
      <c r="Y334" s="11"/>
      <c r="Z334" s="11"/>
      <c r="AA334" s="11"/>
      <c r="AB334" s="11"/>
      <c r="AC334" s="11"/>
    </row>
    <row r="335" spans="1:29" ht="14">
      <c r="A335" s="11"/>
      <c r="B335" s="11"/>
      <c r="C335" s="11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  <c r="S335" s="11"/>
      <c r="T335" s="11"/>
      <c r="U335" s="11"/>
      <c r="V335" s="11"/>
      <c r="W335" s="11"/>
      <c r="X335" s="11"/>
      <c r="Y335" s="11"/>
      <c r="Z335" s="11"/>
      <c r="AA335" s="11"/>
      <c r="AB335" s="11"/>
      <c r="AC335" s="11"/>
    </row>
    <row r="336" spans="1:29" ht="14">
      <c r="A336" s="11"/>
      <c r="B336" s="11"/>
      <c r="C336" s="11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  <c r="S336" s="11"/>
      <c r="T336" s="11"/>
      <c r="U336" s="11"/>
      <c r="V336" s="11"/>
      <c r="W336" s="11"/>
      <c r="X336" s="11"/>
      <c r="Y336" s="11"/>
      <c r="Z336" s="11"/>
      <c r="AA336" s="11"/>
      <c r="AB336" s="11"/>
      <c r="AC336" s="11"/>
    </row>
    <row r="337" spans="1:29" ht="14">
      <c r="A337" s="11"/>
      <c r="B337" s="11"/>
      <c r="C337" s="11"/>
      <c r="D337" s="11"/>
      <c r="E337" s="11"/>
      <c r="F337" s="11"/>
      <c r="G337" s="11"/>
      <c r="H337" s="11"/>
      <c r="I337" s="11"/>
      <c r="J337" s="11"/>
      <c r="K337" s="11"/>
      <c r="L337" s="11"/>
      <c r="M337" s="11"/>
      <c r="N337" s="11"/>
      <c r="O337" s="11"/>
      <c r="P337" s="11"/>
      <c r="Q337" s="11"/>
      <c r="R337" s="11"/>
      <c r="S337" s="11"/>
      <c r="T337" s="11"/>
      <c r="U337" s="11"/>
      <c r="V337" s="11"/>
      <c r="W337" s="11"/>
      <c r="X337" s="11"/>
      <c r="Y337" s="11"/>
      <c r="Z337" s="11"/>
      <c r="AA337" s="11"/>
      <c r="AB337" s="11"/>
      <c r="AC337" s="11"/>
    </row>
    <row r="338" spans="1:29" ht="14">
      <c r="A338" s="11"/>
      <c r="B338" s="11"/>
      <c r="C338" s="11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  <c r="S338" s="11"/>
      <c r="T338" s="11"/>
      <c r="U338" s="11"/>
      <c r="V338" s="11"/>
      <c r="W338" s="11"/>
      <c r="X338" s="11"/>
      <c r="Y338" s="11"/>
      <c r="Z338" s="11"/>
      <c r="AA338" s="11"/>
      <c r="AB338" s="11"/>
      <c r="AC338" s="11"/>
    </row>
    <row r="339" spans="1:29" ht="14">
      <c r="A339" s="11"/>
      <c r="B339" s="11"/>
      <c r="C339" s="11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  <c r="S339" s="11"/>
      <c r="T339" s="11"/>
      <c r="U339" s="11"/>
      <c r="V339" s="11"/>
      <c r="W339" s="11"/>
      <c r="X339" s="11"/>
      <c r="Y339" s="11"/>
      <c r="Z339" s="11"/>
      <c r="AA339" s="11"/>
      <c r="AB339" s="11"/>
      <c r="AC339" s="11"/>
    </row>
    <row r="340" spans="1:29" ht="14">
      <c r="A340" s="11"/>
      <c r="B340" s="11"/>
      <c r="C340" s="11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  <c r="S340" s="11"/>
      <c r="T340" s="11"/>
      <c r="U340" s="11"/>
      <c r="V340" s="11"/>
      <c r="W340" s="11"/>
      <c r="X340" s="11"/>
      <c r="Y340" s="11"/>
      <c r="Z340" s="11"/>
      <c r="AA340" s="11"/>
      <c r="AB340" s="11"/>
      <c r="AC340" s="11"/>
    </row>
    <row r="341" spans="1:29" ht="14">
      <c r="A341" s="11"/>
      <c r="B341" s="11"/>
      <c r="C341" s="11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  <c r="S341" s="11"/>
      <c r="T341" s="11"/>
      <c r="U341" s="11"/>
      <c r="V341" s="11"/>
      <c r="W341" s="11"/>
      <c r="X341" s="11"/>
      <c r="Y341" s="11"/>
      <c r="Z341" s="11"/>
      <c r="AA341" s="11"/>
      <c r="AB341" s="11"/>
      <c r="AC341" s="11"/>
    </row>
    <row r="342" spans="1:29" ht="14">
      <c r="A342" s="11"/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  <c r="S342" s="11"/>
      <c r="T342" s="11"/>
      <c r="U342" s="11"/>
      <c r="V342" s="11"/>
      <c r="W342" s="11"/>
      <c r="X342" s="11"/>
      <c r="Y342" s="11"/>
      <c r="Z342" s="11"/>
      <c r="AA342" s="11"/>
      <c r="AB342" s="11"/>
      <c r="AC342" s="11"/>
    </row>
    <row r="343" spans="1:29" ht="14">
      <c r="A343" s="11"/>
      <c r="B343" s="11"/>
      <c r="C343" s="11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  <c r="S343" s="11"/>
      <c r="T343" s="11"/>
      <c r="U343" s="11"/>
      <c r="V343" s="11"/>
      <c r="W343" s="11"/>
      <c r="X343" s="11"/>
      <c r="Y343" s="11"/>
      <c r="Z343" s="11"/>
      <c r="AA343" s="11"/>
      <c r="AB343" s="11"/>
      <c r="AC343" s="11"/>
    </row>
    <row r="344" spans="1:29" ht="14">
      <c r="A344" s="11"/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  <c r="S344" s="11"/>
      <c r="T344" s="11"/>
      <c r="U344" s="11"/>
      <c r="V344" s="11"/>
      <c r="W344" s="11"/>
      <c r="X344" s="11"/>
      <c r="Y344" s="11"/>
      <c r="Z344" s="11"/>
      <c r="AA344" s="11"/>
      <c r="AB344" s="11"/>
      <c r="AC344" s="11"/>
    </row>
    <row r="345" spans="1:29" ht="14">
      <c r="A345" s="11"/>
      <c r="B345" s="11"/>
      <c r="C345" s="11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  <c r="S345" s="11"/>
      <c r="T345" s="11"/>
      <c r="U345" s="11"/>
      <c r="V345" s="11"/>
      <c r="W345" s="11"/>
      <c r="X345" s="11"/>
      <c r="Y345" s="11"/>
      <c r="Z345" s="11"/>
      <c r="AA345" s="11"/>
      <c r="AB345" s="11"/>
      <c r="AC345" s="11"/>
    </row>
    <row r="346" spans="1:29" ht="14">
      <c r="A346" s="11"/>
      <c r="B346" s="11"/>
      <c r="C346" s="11"/>
      <c r="D346" s="11"/>
      <c r="E346" s="11"/>
      <c r="F346" s="11"/>
      <c r="G346" s="11"/>
      <c r="H346" s="11"/>
      <c r="I346" s="11"/>
      <c r="J346" s="11"/>
      <c r="K346" s="11"/>
      <c r="L346" s="11"/>
      <c r="M346" s="11"/>
      <c r="N346" s="11"/>
      <c r="O346" s="11"/>
      <c r="P346" s="11"/>
      <c r="Q346" s="11"/>
      <c r="R346" s="11"/>
      <c r="S346" s="11"/>
      <c r="T346" s="11"/>
      <c r="U346" s="11"/>
      <c r="V346" s="11"/>
      <c r="W346" s="11"/>
      <c r="X346" s="11"/>
      <c r="Y346" s="11"/>
      <c r="Z346" s="11"/>
      <c r="AA346" s="11"/>
      <c r="AB346" s="11"/>
      <c r="AC346" s="11"/>
    </row>
    <row r="347" spans="1:29" ht="14">
      <c r="A347" s="11"/>
      <c r="B347" s="11"/>
      <c r="C347" s="11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  <c r="S347" s="11"/>
      <c r="T347" s="11"/>
      <c r="U347" s="11"/>
      <c r="V347" s="11"/>
      <c r="W347" s="11"/>
      <c r="X347" s="11"/>
      <c r="Y347" s="11"/>
      <c r="Z347" s="11"/>
      <c r="AA347" s="11"/>
      <c r="AB347" s="11"/>
      <c r="AC347" s="11"/>
    </row>
    <row r="348" spans="1:29" ht="14">
      <c r="A348" s="11"/>
      <c r="B348" s="11"/>
      <c r="C348" s="11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X348" s="11"/>
      <c r="Y348" s="11"/>
      <c r="Z348" s="11"/>
      <c r="AA348" s="11"/>
      <c r="AB348" s="11"/>
      <c r="AC348" s="11"/>
    </row>
    <row r="349" spans="1:29" ht="14">
      <c r="A349" s="11"/>
      <c r="B349" s="11"/>
      <c r="C349" s="11"/>
      <c r="D349" s="11"/>
      <c r="E349" s="11"/>
      <c r="F349" s="11"/>
      <c r="G349" s="11"/>
      <c r="H349" s="11"/>
      <c r="I349" s="11"/>
      <c r="J349" s="11"/>
      <c r="K349" s="11"/>
      <c r="L349" s="11"/>
      <c r="M349" s="11"/>
      <c r="N349" s="11"/>
      <c r="O349" s="11"/>
      <c r="P349" s="11"/>
      <c r="Q349" s="11"/>
      <c r="R349" s="11"/>
      <c r="S349" s="11"/>
      <c r="T349" s="11"/>
      <c r="U349" s="11"/>
      <c r="V349" s="11"/>
      <c r="W349" s="11"/>
      <c r="X349" s="11"/>
      <c r="Y349" s="11"/>
      <c r="Z349" s="11"/>
      <c r="AA349" s="11"/>
      <c r="AB349" s="11"/>
      <c r="AC349" s="11"/>
    </row>
    <row r="350" spans="1:29" ht="14">
      <c r="A350" s="11"/>
      <c r="B350" s="11"/>
      <c r="C350" s="11"/>
      <c r="D350" s="11"/>
      <c r="E350" s="11"/>
      <c r="F350" s="11"/>
      <c r="G350" s="11"/>
      <c r="H350" s="11"/>
      <c r="I350" s="11"/>
      <c r="J350" s="11"/>
      <c r="K350" s="11"/>
      <c r="L350" s="11"/>
      <c r="M350" s="11"/>
      <c r="N350" s="11"/>
      <c r="O350" s="11"/>
      <c r="P350" s="11"/>
      <c r="Q350" s="11"/>
      <c r="R350" s="11"/>
      <c r="S350" s="11"/>
      <c r="T350" s="11"/>
      <c r="U350" s="11"/>
      <c r="V350" s="11"/>
      <c r="W350" s="11"/>
      <c r="X350" s="11"/>
      <c r="Y350" s="11"/>
      <c r="Z350" s="11"/>
      <c r="AA350" s="11"/>
      <c r="AB350" s="11"/>
      <c r="AC350" s="11"/>
    </row>
    <row r="351" spans="1:29" ht="14">
      <c r="A351" s="11"/>
      <c r="B351" s="11"/>
      <c r="C351" s="11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  <c r="S351" s="11"/>
      <c r="T351" s="11"/>
      <c r="U351" s="11"/>
      <c r="V351" s="11"/>
      <c r="W351" s="11"/>
      <c r="X351" s="11"/>
      <c r="Y351" s="11"/>
      <c r="Z351" s="11"/>
      <c r="AA351" s="11"/>
      <c r="AB351" s="11"/>
      <c r="AC351" s="11"/>
    </row>
    <row r="352" spans="1:29" ht="14">
      <c r="A352" s="11"/>
      <c r="B352" s="11"/>
      <c r="C352" s="11"/>
      <c r="D352" s="11"/>
      <c r="E352" s="11"/>
      <c r="F352" s="11"/>
      <c r="G352" s="11"/>
      <c r="H352" s="11"/>
      <c r="I352" s="11"/>
      <c r="J352" s="11"/>
      <c r="K352" s="11"/>
      <c r="L352" s="11"/>
      <c r="M352" s="11"/>
      <c r="N352" s="11"/>
      <c r="O352" s="11"/>
      <c r="P352" s="11"/>
      <c r="Q352" s="11"/>
      <c r="R352" s="11"/>
      <c r="S352" s="11"/>
      <c r="T352" s="11"/>
      <c r="U352" s="11"/>
      <c r="V352" s="11"/>
      <c r="W352" s="11"/>
      <c r="X352" s="11"/>
      <c r="Y352" s="11"/>
      <c r="Z352" s="11"/>
      <c r="AA352" s="11"/>
      <c r="AB352" s="11"/>
      <c r="AC352" s="11"/>
    </row>
    <row r="353" spans="1:29" ht="14">
      <c r="A353" s="11"/>
      <c r="B353" s="11"/>
      <c r="C353" s="11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  <c r="S353" s="11"/>
      <c r="T353" s="11"/>
      <c r="U353" s="11"/>
      <c r="V353" s="11"/>
      <c r="W353" s="11"/>
      <c r="X353" s="11"/>
      <c r="Y353" s="11"/>
      <c r="Z353" s="11"/>
      <c r="AA353" s="11"/>
      <c r="AB353" s="11"/>
      <c r="AC353" s="11"/>
    </row>
    <row r="354" spans="1:29" ht="14">
      <c r="A354" s="11"/>
      <c r="B354" s="11"/>
      <c r="C354" s="11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  <c r="S354" s="11"/>
      <c r="T354" s="11"/>
      <c r="U354" s="11"/>
      <c r="V354" s="11"/>
      <c r="W354" s="11"/>
      <c r="X354" s="11"/>
      <c r="Y354" s="11"/>
      <c r="Z354" s="11"/>
      <c r="AA354" s="11"/>
      <c r="AB354" s="11"/>
      <c r="AC354" s="11"/>
    </row>
    <row r="355" spans="1:29" ht="14">
      <c r="A355" s="11"/>
      <c r="B355" s="11"/>
      <c r="C355" s="11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  <c r="S355" s="11"/>
      <c r="T355" s="11"/>
      <c r="U355" s="11"/>
      <c r="V355" s="11"/>
      <c r="W355" s="11"/>
      <c r="X355" s="11"/>
      <c r="Y355" s="11"/>
      <c r="Z355" s="11"/>
      <c r="AA355" s="11"/>
      <c r="AB355" s="11"/>
      <c r="AC355" s="11"/>
    </row>
    <row r="356" spans="1:29" ht="14">
      <c r="A356" s="11"/>
      <c r="B356" s="11"/>
      <c r="C356" s="11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  <c r="S356" s="11"/>
      <c r="T356" s="11"/>
      <c r="U356" s="11"/>
      <c r="V356" s="11"/>
      <c r="W356" s="11"/>
      <c r="X356" s="11"/>
      <c r="Y356" s="11"/>
      <c r="Z356" s="11"/>
      <c r="AA356" s="11"/>
      <c r="AB356" s="11"/>
      <c r="AC356" s="11"/>
    </row>
    <row r="357" spans="1:29" ht="14">
      <c r="A357" s="11"/>
      <c r="B357" s="11"/>
      <c r="C357" s="11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  <c r="S357" s="11"/>
      <c r="T357" s="11"/>
      <c r="U357" s="11"/>
      <c r="V357" s="11"/>
      <c r="W357" s="11"/>
      <c r="X357" s="11"/>
      <c r="Y357" s="11"/>
      <c r="Z357" s="11"/>
      <c r="AA357" s="11"/>
      <c r="AB357" s="11"/>
      <c r="AC357" s="11"/>
    </row>
    <row r="358" spans="1:29" ht="14">
      <c r="A358" s="11"/>
      <c r="B358" s="11"/>
      <c r="C358" s="11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  <c r="S358" s="11"/>
      <c r="T358" s="11"/>
      <c r="U358" s="11"/>
      <c r="V358" s="11"/>
      <c r="W358" s="11"/>
      <c r="X358" s="11"/>
      <c r="Y358" s="11"/>
      <c r="Z358" s="11"/>
      <c r="AA358" s="11"/>
      <c r="AB358" s="11"/>
      <c r="AC358" s="11"/>
    </row>
    <row r="359" spans="1:29" ht="14">
      <c r="A359" s="11"/>
      <c r="B359" s="11"/>
      <c r="C359" s="11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  <c r="S359" s="11"/>
      <c r="T359" s="11"/>
      <c r="U359" s="11"/>
      <c r="V359" s="11"/>
      <c r="W359" s="11"/>
      <c r="X359" s="11"/>
      <c r="Y359" s="11"/>
      <c r="Z359" s="11"/>
      <c r="AA359" s="11"/>
      <c r="AB359" s="11"/>
      <c r="AC359" s="11"/>
    </row>
    <row r="360" spans="1:29" ht="14">
      <c r="A360" s="11"/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  <c r="S360" s="11"/>
      <c r="T360" s="11"/>
      <c r="U360" s="11"/>
      <c r="V360" s="11"/>
      <c r="W360" s="11"/>
      <c r="X360" s="11"/>
      <c r="Y360" s="11"/>
      <c r="Z360" s="11"/>
      <c r="AA360" s="11"/>
      <c r="AB360" s="11"/>
      <c r="AC360" s="11"/>
    </row>
    <row r="361" spans="1:29" ht="14">
      <c r="A361" s="11"/>
      <c r="B361" s="11"/>
      <c r="C361" s="11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  <c r="S361" s="11"/>
      <c r="T361" s="11"/>
      <c r="U361" s="11"/>
      <c r="V361" s="11"/>
      <c r="W361" s="11"/>
      <c r="X361" s="11"/>
      <c r="Y361" s="11"/>
      <c r="Z361" s="11"/>
      <c r="AA361" s="11"/>
      <c r="AB361" s="11"/>
      <c r="AC361" s="11"/>
    </row>
    <row r="362" spans="1:29" ht="14">
      <c r="A362" s="11"/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  <c r="S362" s="11"/>
      <c r="T362" s="11"/>
      <c r="U362" s="11"/>
      <c r="V362" s="11"/>
      <c r="W362" s="11"/>
      <c r="X362" s="11"/>
      <c r="Y362" s="11"/>
      <c r="Z362" s="11"/>
      <c r="AA362" s="11"/>
      <c r="AB362" s="11"/>
      <c r="AC362" s="11"/>
    </row>
    <row r="363" spans="1:29" ht="14">
      <c r="A363" s="11"/>
      <c r="B363" s="11"/>
      <c r="C363" s="11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  <c r="S363" s="11"/>
      <c r="T363" s="11"/>
      <c r="U363" s="11"/>
      <c r="V363" s="11"/>
      <c r="W363" s="11"/>
      <c r="X363" s="11"/>
      <c r="Y363" s="11"/>
      <c r="Z363" s="11"/>
      <c r="AA363" s="11"/>
      <c r="AB363" s="11"/>
      <c r="AC363" s="11"/>
    </row>
    <row r="364" spans="1:29" ht="14">
      <c r="A364" s="11"/>
      <c r="B364" s="11"/>
      <c r="C364" s="11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  <c r="S364" s="11"/>
      <c r="T364" s="11"/>
      <c r="U364" s="11"/>
      <c r="V364" s="11"/>
      <c r="W364" s="11"/>
      <c r="X364" s="11"/>
      <c r="Y364" s="11"/>
      <c r="Z364" s="11"/>
      <c r="AA364" s="11"/>
      <c r="AB364" s="11"/>
      <c r="AC364" s="11"/>
    </row>
    <row r="365" spans="1:29" ht="14">
      <c r="A365" s="11"/>
      <c r="B365" s="11"/>
      <c r="C365" s="11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  <c r="S365" s="11"/>
      <c r="T365" s="11"/>
      <c r="U365" s="11"/>
      <c r="V365" s="11"/>
      <c r="W365" s="11"/>
      <c r="X365" s="11"/>
      <c r="Y365" s="11"/>
      <c r="Z365" s="11"/>
      <c r="AA365" s="11"/>
      <c r="AB365" s="11"/>
      <c r="AC365" s="11"/>
    </row>
    <row r="366" spans="1:29" ht="14">
      <c r="A366" s="11"/>
      <c r="B366" s="11"/>
      <c r="C366" s="11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  <c r="S366" s="11"/>
      <c r="T366" s="11"/>
      <c r="U366" s="11"/>
      <c r="V366" s="11"/>
      <c r="W366" s="11"/>
      <c r="X366" s="11"/>
      <c r="Y366" s="11"/>
      <c r="Z366" s="11"/>
      <c r="AA366" s="11"/>
      <c r="AB366" s="11"/>
      <c r="AC366" s="11"/>
    </row>
    <row r="367" spans="1:29" ht="14">
      <c r="A367" s="11"/>
      <c r="B367" s="11"/>
      <c r="C367" s="11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  <c r="S367" s="11"/>
      <c r="T367" s="11"/>
      <c r="U367" s="11"/>
      <c r="V367" s="11"/>
      <c r="W367" s="11"/>
      <c r="X367" s="11"/>
      <c r="Y367" s="11"/>
      <c r="Z367" s="11"/>
      <c r="AA367" s="11"/>
      <c r="AB367" s="11"/>
      <c r="AC367" s="11"/>
    </row>
    <row r="368" spans="1:29" ht="14">
      <c r="A368" s="11"/>
      <c r="B368" s="11"/>
      <c r="C368" s="11"/>
      <c r="D368" s="11"/>
      <c r="E368" s="11"/>
      <c r="F368" s="11"/>
      <c r="G368" s="11"/>
      <c r="H368" s="11"/>
      <c r="I368" s="11"/>
      <c r="J368" s="11"/>
      <c r="K368" s="11"/>
      <c r="L368" s="11"/>
      <c r="M368" s="11"/>
      <c r="N368" s="11"/>
      <c r="O368" s="11"/>
      <c r="P368" s="11"/>
      <c r="Q368" s="11"/>
      <c r="R368" s="11"/>
      <c r="S368" s="11"/>
      <c r="T368" s="11"/>
      <c r="U368" s="11"/>
      <c r="V368" s="11"/>
      <c r="W368" s="11"/>
      <c r="X368" s="11"/>
      <c r="Y368" s="11"/>
      <c r="Z368" s="11"/>
      <c r="AA368" s="11"/>
      <c r="AB368" s="11"/>
      <c r="AC368" s="11"/>
    </row>
    <row r="369" spans="1:29" ht="14">
      <c r="A369" s="11"/>
      <c r="B369" s="11"/>
      <c r="C369" s="11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  <c r="S369" s="11"/>
      <c r="T369" s="11"/>
      <c r="U369" s="11"/>
      <c r="V369" s="11"/>
      <c r="W369" s="11"/>
      <c r="X369" s="11"/>
      <c r="Y369" s="11"/>
      <c r="Z369" s="11"/>
      <c r="AA369" s="11"/>
      <c r="AB369" s="11"/>
      <c r="AC369" s="11"/>
    </row>
    <row r="370" spans="1:29" ht="14">
      <c r="A370" s="11"/>
      <c r="B370" s="11"/>
      <c r="C370" s="11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  <c r="S370" s="11"/>
      <c r="T370" s="11"/>
      <c r="U370" s="11"/>
      <c r="V370" s="11"/>
      <c r="W370" s="11"/>
      <c r="X370" s="11"/>
      <c r="Y370" s="11"/>
      <c r="Z370" s="11"/>
      <c r="AA370" s="11"/>
      <c r="AB370" s="11"/>
      <c r="AC370" s="11"/>
    </row>
    <row r="371" spans="1:29" ht="14">
      <c r="A371" s="11"/>
      <c r="B371" s="11"/>
      <c r="C371" s="11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  <c r="S371" s="11"/>
      <c r="T371" s="11"/>
      <c r="U371" s="11"/>
      <c r="V371" s="11"/>
      <c r="W371" s="11"/>
      <c r="X371" s="11"/>
      <c r="Y371" s="11"/>
      <c r="Z371" s="11"/>
      <c r="AA371" s="11"/>
      <c r="AB371" s="11"/>
      <c r="AC371" s="11"/>
    </row>
    <row r="372" spans="1:29" ht="14">
      <c r="A372" s="11"/>
      <c r="B372" s="11"/>
      <c r="C372" s="11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  <c r="S372" s="11"/>
      <c r="T372" s="11"/>
      <c r="U372" s="11"/>
      <c r="V372" s="11"/>
      <c r="W372" s="11"/>
      <c r="X372" s="11"/>
      <c r="Y372" s="11"/>
      <c r="Z372" s="11"/>
      <c r="AA372" s="11"/>
      <c r="AB372" s="11"/>
      <c r="AC372" s="11"/>
    </row>
    <row r="373" spans="1:29" ht="14">
      <c r="A373" s="11"/>
      <c r="B373" s="11"/>
      <c r="C373" s="11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  <c r="S373" s="11"/>
      <c r="T373" s="11"/>
      <c r="U373" s="11"/>
      <c r="V373" s="11"/>
      <c r="W373" s="11"/>
      <c r="X373" s="11"/>
      <c r="Y373" s="11"/>
      <c r="Z373" s="11"/>
      <c r="AA373" s="11"/>
      <c r="AB373" s="11"/>
      <c r="AC373" s="11"/>
    </row>
    <row r="374" spans="1:29" ht="14">
      <c r="A374" s="11"/>
      <c r="B374" s="11"/>
      <c r="C374" s="11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  <c r="S374" s="11"/>
      <c r="T374" s="11"/>
      <c r="U374" s="11"/>
      <c r="V374" s="11"/>
      <c r="W374" s="11"/>
      <c r="X374" s="11"/>
      <c r="Y374" s="11"/>
      <c r="Z374" s="11"/>
      <c r="AA374" s="11"/>
      <c r="AB374" s="11"/>
      <c r="AC374" s="11"/>
    </row>
    <row r="375" spans="1:29" ht="14">
      <c r="A375" s="11"/>
      <c r="B375" s="11"/>
      <c r="C375" s="11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  <c r="S375" s="11"/>
      <c r="T375" s="11"/>
      <c r="U375" s="11"/>
      <c r="V375" s="11"/>
      <c r="W375" s="11"/>
      <c r="X375" s="11"/>
      <c r="Y375" s="11"/>
      <c r="Z375" s="11"/>
      <c r="AA375" s="11"/>
      <c r="AB375" s="11"/>
      <c r="AC375" s="11"/>
    </row>
    <row r="376" spans="1:29" ht="14">
      <c r="A376" s="11"/>
      <c r="B376" s="11"/>
      <c r="C376" s="11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  <c r="S376" s="11"/>
      <c r="T376" s="11"/>
      <c r="U376" s="11"/>
      <c r="V376" s="11"/>
      <c r="W376" s="11"/>
      <c r="X376" s="11"/>
      <c r="Y376" s="11"/>
      <c r="Z376" s="11"/>
      <c r="AA376" s="11"/>
      <c r="AB376" s="11"/>
      <c r="AC376" s="11"/>
    </row>
    <row r="377" spans="1:29" ht="14">
      <c r="A377" s="11"/>
      <c r="B377" s="11"/>
      <c r="C377" s="11"/>
      <c r="D377" s="11"/>
      <c r="E377" s="11"/>
      <c r="F377" s="11"/>
      <c r="G377" s="11"/>
      <c r="H377" s="11"/>
      <c r="I377" s="11"/>
      <c r="J377" s="11"/>
      <c r="K377" s="11"/>
      <c r="L377" s="11"/>
      <c r="M377" s="11"/>
      <c r="N377" s="11"/>
      <c r="O377" s="11"/>
      <c r="P377" s="11"/>
      <c r="Q377" s="11"/>
      <c r="R377" s="11"/>
      <c r="S377" s="11"/>
      <c r="T377" s="11"/>
      <c r="U377" s="11"/>
      <c r="V377" s="11"/>
      <c r="W377" s="11"/>
      <c r="X377" s="11"/>
      <c r="Y377" s="11"/>
      <c r="Z377" s="11"/>
      <c r="AA377" s="11"/>
      <c r="AB377" s="11"/>
      <c r="AC377" s="11"/>
    </row>
    <row r="378" spans="1:29" ht="14">
      <c r="A378" s="11"/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  <c r="S378" s="11"/>
      <c r="T378" s="11"/>
      <c r="U378" s="11"/>
      <c r="V378" s="11"/>
      <c r="W378" s="11"/>
      <c r="X378" s="11"/>
      <c r="Y378" s="11"/>
      <c r="Z378" s="11"/>
      <c r="AA378" s="11"/>
      <c r="AB378" s="11"/>
      <c r="AC378" s="11"/>
    </row>
    <row r="379" spans="1:29" ht="14">
      <c r="A379" s="11"/>
      <c r="B379" s="11"/>
      <c r="C379" s="11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  <c r="S379" s="11"/>
      <c r="T379" s="11"/>
      <c r="U379" s="11"/>
      <c r="V379" s="11"/>
      <c r="W379" s="11"/>
      <c r="X379" s="11"/>
      <c r="Y379" s="11"/>
      <c r="Z379" s="11"/>
      <c r="AA379" s="11"/>
      <c r="AB379" s="11"/>
      <c r="AC379" s="11"/>
    </row>
    <row r="380" spans="1:29" ht="14">
      <c r="A380" s="11"/>
      <c r="B380" s="11"/>
      <c r="C380" s="11"/>
      <c r="D380" s="11"/>
      <c r="E380" s="11"/>
      <c r="F380" s="11"/>
      <c r="G380" s="11"/>
      <c r="H380" s="11"/>
      <c r="I380" s="11"/>
      <c r="J380" s="11"/>
      <c r="K380" s="11"/>
      <c r="L380" s="11"/>
      <c r="M380" s="11"/>
      <c r="N380" s="11"/>
      <c r="O380" s="11"/>
      <c r="P380" s="11"/>
      <c r="Q380" s="11"/>
      <c r="R380" s="11"/>
      <c r="S380" s="11"/>
      <c r="T380" s="11"/>
      <c r="U380" s="11"/>
      <c r="V380" s="11"/>
      <c r="W380" s="11"/>
      <c r="X380" s="11"/>
      <c r="Y380" s="11"/>
      <c r="Z380" s="11"/>
      <c r="AA380" s="11"/>
      <c r="AB380" s="11"/>
      <c r="AC380" s="11"/>
    </row>
    <row r="381" spans="1:29" ht="14">
      <c r="A381" s="11"/>
      <c r="B381" s="11"/>
      <c r="C381" s="11"/>
      <c r="D381" s="11"/>
      <c r="E381" s="11"/>
      <c r="F381" s="11"/>
      <c r="G381" s="11"/>
      <c r="H381" s="11"/>
      <c r="I381" s="11"/>
      <c r="J381" s="11"/>
      <c r="K381" s="11"/>
      <c r="L381" s="11"/>
      <c r="M381" s="11"/>
      <c r="N381" s="11"/>
      <c r="O381" s="11"/>
      <c r="P381" s="11"/>
      <c r="Q381" s="11"/>
      <c r="R381" s="11"/>
      <c r="S381" s="11"/>
      <c r="T381" s="11"/>
      <c r="U381" s="11"/>
      <c r="V381" s="11"/>
      <c r="W381" s="11"/>
      <c r="X381" s="11"/>
      <c r="Y381" s="11"/>
      <c r="Z381" s="11"/>
      <c r="AA381" s="11"/>
      <c r="AB381" s="11"/>
      <c r="AC381" s="11"/>
    </row>
    <row r="382" spans="1:29" ht="14">
      <c r="A382" s="11"/>
      <c r="B382" s="11"/>
      <c r="C382" s="11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  <c r="S382" s="11"/>
      <c r="T382" s="11"/>
      <c r="U382" s="11"/>
      <c r="V382" s="11"/>
      <c r="W382" s="11"/>
      <c r="X382" s="11"/>
      <c r="Y382" s="11"/>
      <c r="Z382" s="11"/>
      <c r="AA382" s="11"/>
      <c r="AB382" s="11"/>
      <c r="AC382" s="11"/>
    </row>
    <row r="383" spans="1:29" ht="14">
      <c r="A383" s="11"/>
      <c r="B383" s="11"/>
      <c r="C383" s="11"/>
      <c r="D383" s="11"/>
      <c r="E383" s="11"/>
      <c r="F383" s="11"/>
      <c r="G383" s="11"/>
      <c r="H383" s="11"/>
      <c r="I383" s="11"/>
      <c r="J383" s="11"/>
      <c r="K383" s="11"/>
      <c r="L383" s="11"/>
      <c r="M383" s="11"/>
      <c r="N383" s="11"/>
      <c r="O383" s="11"/>
      <c r="P383" s="11"/>
      <c r="Q383" s="11"/>
      <c r="R383" s="11"/>
      <c r="S383" s="11"/>
      <c r="T383" s="11"/>
      <c r="U383" s="11"/>
      <c r="V383" s="11"/>
      <c r="W383" s="11"/>
      <c r="X383" s="11"/>
      <c r="Y383" s="11"/>
      <c r="Z383" s="11"/>
      <c r="AA383" s="11"/>
      <c r="AB383" s="11"/>
      <c r="AC383" s="11"/>
    </row>
    <row r="384" spans="1:29" ht="14">
      <c r="A384" s="11"/>
      <c r="B384" s="11"/>
      <c r="C384" s="11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  <c r="S384" s="11"/>
      <c r="T384" s="11"/>
      <c r="U384" s="11"/>
      <c r="V384" s="11"/>
      <c r="W384" s="11"/>
      <c r="X384" s="11"/>
      <c r="Y384" s="11"/>
      <c r="Z384" s="11"/>
      <c r="AA384" s="11"/>
      <c r="AB384" s="11"/>
      <c r="AC384" s="11"/>
    </row>
    <row r="385" spans="1:29" ht="14">
      <c r="A385" s="11"/>
      <c r="B385" s="11"/>
      <c r="C385" s="11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  <c r="S385" s="11"/>
      <c r="T385" s="11"/>
      <c r="U385" s="11"/>
      <c r="V385" s="11"/>
      <c r="W385" s="11"/>
      <c r="X385" s="11"/>
      <c r="Y385" s="11"/>
      <c r="Z385" s="11"/>
      <c r="AA385" s="11"/>
      <c r="AB385" s="11"/>
      <c r="AC385" s="11"/>
    </row>
    <row r="386" spans="1:29" ht="14">
      <c r="A386" s="11"/>
      <c r="B386" s="11"/>
      <c r="C386" s="11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  <c r="S386" s="11"/>
      <c r="T386" s="11"/>
      <c r="U386" s="11"/>
      <c r="V386" s="11"/>
      <c r="W386" s="11"/>
      <c r="X386" s="11"/>
      <c r="Y386" s="11"/>
      <c r="Z386" s="11"/>
      <c r="AA386" s="11"/>
      <c r="AB386" s="11"/>
      <c r="AC386" s="11"/>
    </row>
    <row r="387" spans="1:29" ht="14">
      <c r="A387" s="11"/>
      <c r="B387" s="11"/>
      <c r="C387" s="11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  <c r="S387" s="11"/>
      <c r="T387" s="11"/>
      <c r="U387" s="11"/>
      <c r="V387" s="11"/>
      <c r="W387" s="11"/>
      <c r="X387" s="11"/>
      <c r="Y387" s="11"/>
      <c r="Z387" s="11"/>
      <c r="AA387" s="11"/>
      <c r="AB387" s="11"/>
      <c r="AC387" s="11"/>
    </row>
    <row r="388" spans="1:29" ht="14">
      <c r="A388" s="11"/>
      <c r="B388" s="11"/>
      <c r="C388" s="11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  <c r="S388" s="11"/>
      <c r="T388" s="11"/>
      <c r="U388" s="11"/>
      <c r="V388" s="11"/>
      <c r="W388" s="11"/>
      <c r="X388" s="11"/>
      <c r="Y388" s="11"/>
      <c r="Z388" s="11"/>
      <c r="AA388" s="11"/>
      <c r="AB388" s="11"/>
      <c r="AC388" s="11"/>
    </row>
    <row r="389" spans="1:29" ht="14">
      <c r="A389" s="11"/>
      <c r="B389" s="11"/>
      <c r="C389" s="11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  <c r="S389" s="11"/>
      <c r="T389" s="11"/>
      <c r="U389" s="11"/>
      <c r="V389" s="11"/>
      <c r="W389" s="11"/>
      <c r="X389" s="11"/>
      <c r="Y389" s="11"/>
      <c r="Z389" s="11"/>
      <c r="AA389" s="11"/>
      <c r="AB389" s="11"/>
      <c r="AC389" s="11"/>
    </row>
    <row r="390" spans="1:29" ht="14">
      <c r="A390" s="11"/>
      <c r="B390" s="11"/>
      <c r="C390" s="11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  <c r="S390" s="11"/>
      <c r="T390" s="11"/>
      <c r="U390" s="11"/>
      <c r="V390" s="11"/>
      <c r="W390" s="11"/>
      <c r="X390" s="11"/>
      <c r="Y390" s="11"/>
      <c r="Z390" s="11"/>
      <c r="AA390" s="11"/>
      <c r="AB390" s="11"/>
      <c r="AC390" s="11"/>
    </row>
    <row r="391" spans="1:29" ht="14">
      <c r="A391" s="11"/>
      <c r="B391" s="11"/>
      <c r="C391" s="11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  <c r="S391" s="11"/>
      <c r="T391" s="11"/>
      <c r="U391" s="11"/>
      <c r="V391" s="11"/>
      <c r="W391" s="11"/>
      <c r="X391" s="11"/>
      <c r="Y391" s="11"/>
      <c r="Z391" s="11"/>
      <c r="AA391" s="11"/>
      <c r="AB391" s="11"/>
      <c r="AC391" s="11"/>
    </row>
    <row r="392" spans="1:29" ht="14">
      <c r="A392" s="11"/>
      <c r="B392" s="11"/>
      <c r="C392" s="11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  <c r="S392" s="11"/>
      <c r="T392" s="11"/>
      <c r="U392" s="11"/>
      <c r="V392" s="11"/>
      <c r="W392" s="11"/>
      <c r="X392" s="11"/>
      <c r="Y392" s="11"/>
      <c r="Z392" s="11"/>
      <c r="AA392" s="11"/>
      <c r="AB392" s="11"/>
      <c r="AC392" s="11"/>
    </row>
    <row r="393" spans="1:29" ht="14">
      <c r="A393" s="11"/>
      <c r="B393" s="11"/>
      <c r="C393" s="11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  <c r="S393" s="11"/>
      <c r="T393" s="11"/>
      <c r="U393" s="11"/>
      <c r="V393" s="11"/>
      <c r="W393" s="11"/>
      <c r="X393" s="11"/>
      <c r="Y393" s="11"/>
      <c r="Z393" s="11"/>
      <c r="AA393" s="11"/>
      <c r="AB393" s="11"/>
      <c r="AC393" s="11"/>
    </row>
    <row r="394" spans="1:29" ht="14">
      <c r="A394" s="11"/>
      <c r="B394" s="11"/>
      <c r="C394" s="11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  <c r="S394" s="11"/>
      <c r="T394" s="11"/>
      <c r="U394" s="11"/>
      <c r="V394" s="11"/>
      <c r="W394" s="11"/>
      <c r="X394" s="11"/>
      <c r="Y394" s="11"/>
      <c r="Z394" s="11"/>
      <c r="AA394" s="11"/>
      <c r="AB394" s="11"/>
      <c r="AC394" s="11"/>
    </row>
    <row r="395" spans="1:29" ht="14">
      <c r="A395" s="11"/>
      <c r="B395" s="11"/>
      <c r="C395" s="11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  <c r="S395" s="11"/>
      <c r="T395" s="11"/>
      <c r="U395" s="11"/>
      <c r="V395" s="11"/>
      <c r="W395" s="11"/>
      <c r="X395" s="11"/>
      <c r="Y395" s="11"/>
      <c r="Z395" s="11"/>
      <c r="AA395" s="11"/>
      <c r="AB395" s="11"/>
      <c r="AC395" s="11"/>
    </row>
    <row r="396" spans="1:29" ht="14">
      <c r="A396" s="11"/>
      <c r="B396" s="11"/>
      <c r="C396" s="11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  <c r="S396" s="11"/>
      <c r="T396" s="11"/>
      <c r="U396" s="11"/>
      <c r="V396" s="11"/>
      <c r="W396" s="11"/>
      <c r="X396" s="11"/>
      <c r="Y396" s="11"/>
      <c r="Z396" s="11"/>
      <c r="AA396" s="11"/>
      <c r="AB396" s="11"/>
      <c r="AC396" s="11"/>
    </row>
    <row r="397" spans="1:29" ht="14">
      <c r="A397" s="11"/>
      <c r="B397" s="11"/>
      <c r="C397" s="11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  <c r="S397" s="11"/>
      <c r="T397" s="11"/>
      <c r="U397" s="11"/>
      <c r="V397" s="11"/>
      <c r="W397" s="11"/>
      <c r="X397" s="11"/>
      <c r="Y397" s="11"/>
      <c r="Z397" s="11"/>
      <c r="AA397" s="11"/>
      <c r="AB397" s="11"/>
      <c r="AC397" s="11"/>
    </row>
    <row r="398" spans="1:29" ht="14">
      <c r="A398" s="11"/>
      <c r="B398" s="11"/>
      <c r="C398" s="11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  <c r="S398" s="11"/>
      <c r="T398" s="11"/>
      <c r="U398" s="11"/>
      <c r="V398" s="11"/>
      <c r="W398" s="11"/>
      <c r="X398" s="11"/>
      <c r="Y398" s="11"/>
      <c r="Z398" s="11"/>
      <c r="AA398" s="11"/>
      <c r="AB398" s="11"/>
      <c r="AC398" s="11"/>
    </row>
    <row r="399" spans="1:29" ht="14">
      <c r="A399" s="11"/>
      <c r="B399" s="11"/>
      <c r="C399" s="11"/>
      <c r="D399" s="11"/>
      <c r="E399" s="11"/>
      <c r="F399" s="11"/>
      <c r="G399" s="11"/>
      <c r="H399" s="11"/>
      <c r="I399" s="11"/>
      <c r="J399" s="11"/>
      <c r="K399" s="11"/>
      <c r="L399" s="11"/>
      <c r="M399" s="11"/>
      <c r="N399" s="11"/>
      <c r="O399" s="11"/>
      <c r="P399" s="11"/>
      <c r="Q399" s="11"/>
      <c r="R399" s="11"/>
      <c r="S399" s="11"/>
      <c r="T399" s="11"/>
      <c r="U399" s="11"/>
      <c r="V399" s="11"/>
      <c r="W399" s="11"/>
      <c r="X399" s="11"/>
      <c r="Y399" s="11"/>
      <c r="Z399" s="11"/>
      <c r="AA399" s="11"/>
      <c r="AB399" s="11"/>
      <c r="AC399" s="11"/>
    </row>
    <row r="400" spans="1:29" ht="14">
      <c r="A400" s="11"/>
      <c r="B400" s="11"/>
      <c r="C400" s="11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  <c r="S400" s="11"/>
      <c r="T400" s="11"/>
      <c r="U400" s="11"/>
      <c r="V400" s="11"/>
      <c r="W400" s="11"/>
      <c r="X400" s="11"/>
      <c r="Y400" s="11"/>
      <c r="Z400" s="11"/>
      <c r="AA400" s="11"/>
      <c r="AB400" s="11"/>
      <c r="AC400" s="11"/>
    </row>
    <row r="401" spans="1:29" ht="14">
      <c r="A401" s="11"/>
      <c r="B401" s="11"/>
      <c r="C401" s="11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  <c r="S401" s="11"/>
      <c r="T401" s="11"/>
      <c r="U401" s="11"/>
      <c r="V401" s="11"/>
      <c r="W401" s="11"/>
      <c r="X401" s="11"/>
      <c r="Y401" s="11"/>
      <c r="Z401" s="11"/>
      <c r="AA401" s="11"/>
      <c r="AB401" s="11"/>
      <c r="AC401" s="11"/>
    </row>
    <row r="402" spans="1:29" ht="14">
      <c r="A402" s="11"/>
      <c r="B402" s="11"/>
      <c r="C402" s="11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  <c r="S402" s="11"/>
      <c r="T402" s="11"/>
      <c r="U402" s="11"/>
      <c r="V402" s="11"/>
      <c r="W402" s="11"/>
      <c r="X402" s="11"/>
      <c r="Y402" s="11"/>
      <c r="Z402" s="11"/>
      <c r="AA402" s="11"/>
      <c r="AB402" s="11"/>
      <c r="AC402" s="11"/>
    </row>
    <row r="403" spans="1:29" ht="14">
      <c r="A403" s="11"/>
      <c r="B403" s="11"/>
      <c r="C403" s="11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  <c r="S403" s="11"/>
      <c r="T403" s="11"/>
      <c r="U403" s="11"/>
      <c r="V403" s="11"/>
      <c r="W403" s="11"/>
      <c r="X403" s="11"/>
      <c r="Y403" s="11"/>
      <c r="Z403" s="11"/>
      <c r="AA403" s="11"/>
      <c r="AB403" s="11"/>
      <c r="AC403" s="11"/>
    </row>
    <row r="404" spans="1:29" ht="14">
      <c r="A404" s="11"/>
      <c r="B404" s="11"/>
      <c r="C404" s="11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  <c r="S404" s="11"/>
      <c r="T404" s="11"/>
      <c r="U404" s="11"/>
      <c r="V404" s="11"/>
      <c r="W404" s="11"/>
      <c r="X404" s="11"/>
      <c r="Y404" s="11"/>
      <c r="Z404" s="11"/>
      <c r="AA404" s="11"/>
      <c r="AB404" s="11"/>
      <c r="AC404" s="11"/>
    </row>
    <row r="405" spans="1:29" ht="14">
      <c r="A405" s="11"/>
      <c r="B405" s="11"/>
      <c r="C405" s="11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  <c r="S405" s="11"/>
      <c r="T405" s="11"/>
      <c r="U405" s="11"/>
      <c r="V405" s="11"/>
      <c r="W405" s="11"/>
      <c r="X405" s="11"/>
      <c r="Y405" s="11"/>
      <c r="Z405" s="11"/>
      <c r="AA405" s="11"/>
      <c r="AB405" s="11"/>
      <c r="AC405" s="11"/>
    </row>
    <row r="406" spans="1:29" ht="14">
      <c r="A406" s="11"/>
      <c r="B406" s="11"/>
      <c r="C406" s="11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  <c r="S406" s="11"/>
      <c r="T406" s="11"/>
      <c r="U406" s="11"/>
      <c r="V406" s="11"/>
      <c r="W406" s="11"/>
      <c r="X406" s="11"/>
      <c r="Y406" s="11"/>
      <c r="Z406" s="11"/>
      <c r="AA406" s="11"/>
      <c r="AB406" s="11"/>
      <c r="AC406" s="11"/>
    </row>
    <row r="407" spans="1:29" ht="14">
      <c r="A407" s="11"/>
      <c r="B407" s="11"/>
      <c r="C407" s="11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</row>
    <row r="408" spans="1:29" ht="14">
      <c r="A408" s="11"/>
      <c r="B408" s="11"/>
      <c r="C408" s="11"/>
      <c r="D408" s="11"/>
      <c r="E408" s="11"/>
      <c r="F408" s="11"/>
      <c r="G408" s="11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</row>
    <row r="409" spans="1:29" ht="14">
      <c r="A409" s="11"/>
      <c r="B409" s="11"/>
      <c r="C409" s="11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</row>
    <row r="410" spans="1:29" ht="14">
      <c r="A410" s="11"/>
      <c r="B410" s="11"/>
      <c r="C410" s="11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</row>
    <row r="411" spans="1:29" ht="14">
      <c r="A411" s="11"/>
      <c r="B411" s="11"/>
      <c r="C411" s="11"/>
      <c r="D411" s="11"/>
      <c r="E411" s="11"/>
      <c r="F411" s="11"/>
      <c r="G411" s="11"/>
      <c r="H411" s="11"/>
      <c r="I411" s="11"/>
      <c r="J411" s="11"/>
      <c r="K411" s="11"/>
      <c r="L411" s="11"/>
      <c r="M411" s="11"/>
      <c r="N411" s="11"/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</row>
    <row r="412" spans="1:29" ht="14">
      <c r="A412" s="11"/>
      <c r="B412" s="11"/>
      <c r="C412" s="11"/>
      <c r="D412" s="11"/>
      <c r="E412" s="11"/>
      <c r="F412" s="11"/>
      <c r="G412" s="11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</row>
    <row r="413" spans="1:29" ht="14">
      <c r="A413" s="11"/>
      <c r="B413" s="11"/>
      <c r="C413" s="11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</row>
    <row r="414" spans="1:29" ht="14">
      <c r="A414" s="11"/>
      <c r="B414" s="11"/>
      <c r="C414" s="11"/>
      <c r="D414" s="11"/>
      <c r="E414" s="11"/>
      <c r="F414" s="11"/>
      <c r="G414" s="11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</row>
    <row r="415" spans="1:29" ht="14">
      <c r="A415" s="11"/>
      <c r="B415" s="11"/>
      <c r="C415" s="11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  <c r="S415" s="11"/>
      <c r="T415" s="11"/>
      <c r="U415" s="11"/>
      <c r="V415" s="11"/>
      <c r="W415" s="11"/>
      <c r="X415" s="11"/>
      <c r="Y415" s="11"/>
      <c r="Z415" s="11"/>
      <c r="AA415" s="11"/>
      <c r="AB415" s="11"/>
      <c r="AC415" s="11"/>
    </row>
    <row r="416" spans="1:29" ht="14">
      <c r="A416" s="11"/>
      <c r="B416" s="11"/>
      <c r="C416" s="11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  <c r="S416" s="11"/>
      <c r="T416" s="11"/>
      <c r="U416" s="11"/>
      <c r="V416" s="11"/>
      <c r="W416" s="11"/>
      <c r="X416" s="11"/>
      <c r="Y416" s="11"/>
      <c r="Z416" s="11"/>
      <c r="AA416" s="11"/>
      <c r="AB416" s="11"/>
      <c r="AC416" s="11"/>
    </row>
    <row r="417" spans="1:29" ht="14">
      <c r="A417" s="11"/>
      <c r="B417" s="11"/>
      <c r="C417" s="11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  <c r="S417" s="11"/>
      <c r="T417" s="11"/>
      <c r="U417" s="11"/>
      <c r="V417" s="11"/>
      <c r="W417" s="11"/>
      <c r="X417" s="11"/>
      <c r="Y417" s="11"/>
      <c r="Z417" s="11"/>
      <c r="AA417" s="11"/>
      <c r="AB417" s="11"/>
      <c r="AC417" s="11"/>
    </row>
    <row r="418" spans="1:29" ht="14">
      <c r="A418" s="11"/>
      <c r="B418" s="11"/>
      <c r="C418" s="11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  <c r="S418" s="11"/>
      <c r="T418" s="11"/>
      <c r="U418" s="11"/>
      <c r="V418" s="11"/>
      <c r="W418" s="11"/>
      <c r="X418" s="11"/>
      <c r="Y418" s="11"/>
      <c r="Z418" s="11"/>
      <c r="AA418" s="11"/>
      <c r="AB418" s="11"/>
      <c r="AC418" s="11"/>
    </row>
    <row r="419" spans="1:29" ht="14">
      <c r="A419" s="11"/>
      <c r="B419" s="11"/>
      <c r="C419" s="11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  <c r="S419" s="11"/>
      <c r="T419" s="11"/>
      <c r="U419" s="11"/>
      <c r="V419" s="11"/>
      <c r="W419" s="11"/>
      <c r="X419" s="11"/>
      <c r="Y419" s="11"/>
      <c r="Z419" s="11"/>
      <c r="AA419" s="11"/>
      <c r="AB419" s="11"/>
      <c r="AC419" s="11"/>
    </row>
    <row r="420" spans="1:29" ht="14">
      <c r="A420" s="11"/>
      <c r="B420" s="11"/>
      <c r="C420" s="11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  <c r="S420" s="11"/>
      <c r="T420" s="11"/>
      <c r="U420" s="11"/>
      <c r="V420" s="11"/>
      <c r="W420" s="11"/>
      <c r="X420" s="11"/>
      <c r="Y420" s="11"/>
      <c r="Z420" s="11"/>
      <c r="AA420" s="11"/>
      <c r="AB420" s="11"/>
      <c r="AC420" s="11"/>
    </row>
    <row r="421" spans="1:29" ht="14">
      <c r="A421" s="11"/>
      <c r="B421" s="11"/>
      <c r="C421" s="11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  <c r="S421" s="11"/>
      <c r="T421" s="11"/>
      <c r="U421" s="11"/>
      <c r="V421" s="11"/>
      <c r="W421" s="11"/>
      <c r="X421" s="11"/>
      <c r="Y421" s="11"/>
      <c r="Z421" s="11"/>
      <c r="AA421" s="11"/>
      <c r="AB421" s="11"/>
      <c r="AC421" s="11"/>
    </row>
    <row r="422" spans="1:29" ht="14">
      <c r="A422" s="11"/>
      <c r="B422" s="11"/>
      <c r="C422" s="11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  <c r="S422" s="11"/>
      <c r="T422" s="11"/>
      <c r="U422" s="11"/>
      <c r="V422" s="11"/>
      <c r="W422" s="11"/>
      <c r="X422" s="11"/>
      <c r="Y422" s="11"/>
      <c r="Z422" s="11"/>
      <c r="AA422" s="11"/>
      <c r="AB422" s="11"/>
      <c r="AC422" s="11"/>
    </row>
    <row r="423" spans="1:29" ht="14">
      <c r="A423" s="11"/>
      <c r="B423" s="11"/>
      <c r="C423" s="11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  <c r="S423" s="11"/>
      <c r="T423" s="11"/>
      <c r="U423" s="11"/>
      <c r="V423" s="11"/>
      <c r="W423" s="11"/>
      <c r="X423" s="11"/>
      <c r="Y423" s="11"/>
      <c r="Z423" s="11"/>
      <c r="AA423" s="11"/>
      <c r="AB423" s="11"/>
      <c r="AC423" s="11"/>
    </row>
    <row r="424" spans="1:29" ht="14">
      <c r="A424" s="11"/>
      <c r="B424" s="11"/>
      <c r="C424" s="11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  <c r="S424" s="11"/>
      <c r="T424" s="11"/>
      <c r="U424" s="11"/>
      <c r="V424" s="11"/>
      <c r="W424" s="11"/>
      <c r="X424" s="11"/>
      <c r="Y424" s="11"/>
      <c r="Z424" s="11"/>
      <c r="AA424" s="11"/>
      <c r="AB424" s="11"/>
      <c r="AC424" s="11"/>
    </row>
    <row r="425" spans="1:29" ht="14">
      <c r="A425" s="11"/>
      <c r="B425" s="11"/>
      <c r="C425" s="11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  <c r="S425" s="11"/>
      <c r="T425" s="11"/>
      <c r="U425" s="11"/>
      <c r="V425" s="11"/>
      <c r="W425" s="11"/>
      <c r="X425" s="11"/>
      <c r="Y425" s="11"/>
      <c r="Z425" s="11"/>
      <c r="AA425" s="11"/>
      <c r="AB425" s="11"/>
      <c r="AC425" s="11"/>
    </row>
    <row r="426" spans="1:29" ht="14">
      <c r="A426" s="11"/>
      <c r="B426" s="11"/>
      <c r="C426" s="11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  <c r="S426" s="11"/>
      <c r="T426" s="11"/>
      <c r="U426" s="11"/>
      <c r="V426" s="11"/>
      <c r="W426" s="11"/>
      <c r="X426" s="11"/>
      <c r="Y426" s="11"/>
      <c r="Z426" s="11"/>
      <c r="AA426" s="11"/>
      <c r="AB426" s="11"/>
      <c r="AC426" s="11"/>
    </row>
    <row r="427" spans="1:29" ht="14">
      <c r="A427" s="11"/>
      <c r="B427" s="11"/>
      <c r="C427" s="11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  <c r="S427" s="11"/>
      <c r="T427" s="11"/>
      <c r="U427" s="11"/>
      <c r="V427" s="11"/>
      <c r="W427" s="11"/>
      <c r="X427" s="11"/>
      <c r="Y427" s="11"/>
      <c r="Z427" s="11"/>
      <c r="AA427" s="11"/>
      <c r="AB427" s="11"/>
      <c r="AC427" s="11"/>
    </row>
    <row r="428" spans="1:29" ht="14">
      <c r="A428" s="11"/>
      <c r="B428" s="11"/>
      <c r="C428" s="11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  <c r="S428" s="11"/>
      <c r="T428" s="11"/>
      <c r="U428" s="11"/>
      <c r="V428" s="11"/>
      <c r="W428" s="11"/>
      <c r="X428" s="11"/>
      <c r="Y428" s="11"/>
      <c r="Z428" s="11"/>
      <c r="AA428" s="11"/>
      <c r="AB428" s="11"/>
      <c r="AC428" s="11"/>
    </row>
    <row r="429" spans="1:29" ht="14">
      <c r="A429" s="11"/>
      <c r="B429" s="11"/>
      <c r="C429" s="11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  <c r="S429" s="11"/>
      <c r="T429" s="11"/>
      <c r="U429" s="11"/>
      <c r="V429" s="11"/>
      <c r="W429" s="11"/>
      <c r="X429" s="11"/>
      <c r="Y429" s="11"/>
      <c r="Z429" s="11"/>
      <c r="AA429" s="11"/>
      <c r="AB429" s="11"/>
      <c r="AC429" s="11"/>
    </row>
    <row r="430" spans="1:29" ht="14">
      <c r="A430" s="11"/>
      <c r="B430" s="11"/>
      <c r="C430" s="11"/>
      <c r="D430" s="11"/>
      <c r="E430" s="11"/>
      <c r="F430" s="11"/>
      <c r="G430" s="11"/>
      <c r="H430" s="11"/>
      <c r="I430" s="11"/>
      <c r="J430" s="11"/>
      <c r="K430" s="11"/>
      <c r="L430" s="11"/>
      <c r="M430" s="11"/>
      <c r="N430" s="11"/>
      <c r="O430" s="11"/>
      <c r="P430" s="11"/>
      <c r="Q430" s="11"/>
      <c r="R430" s="11"/>
      <c r="S430" s="11"/>
      <c r="T430" s="11"/>
      <c r="U430" s="11"/>
      <c r="V430" s="11"/>
      <c r="W430" s="11"/>
      <c r="X430" s="11"/>
      <c r="Y430" s="11"/>
      <c r="Z430" s="11"/>
      <c r="AA430" s="11"/>
      <c r="AB430" s="11"/>
      <c r="AC430" s="11"/>
    </row>
    <row r="431" spans="1:29" ht="14">
      <c r="A431" s="11"/>
      <c r="B431" s="11"/>
      <c r="C431" s="11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  <c r="S431" s="11"/>
      <c r="T431" s="11"/>
      <c r="U431" s="11"/>
      <c r="V431" s="11"/>
      <c r="W431" s="11"/>
      <c r="X431" s="11"/>
      <c r="Y431" s="11"/>
      <c r="Z431" s="11"/>
      <c r="AA431" s="11"/>
      <c r="AB431" s="11"/>
      <c r="AC431" s="11"/>
    </row>
    <row r="432" spans="1:29" ht="14">
      <c r="A432" s="11"/>
      <c r="B432" s="11"/>
      <c r="C432" s="11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</row>
    <row r="433" spans="1:29" ht="14">
      <c r="A433" s="11"/>
      <c r="B433" s="11"/>
      <c r="C433" s="11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</row>
    <row r="434" spans="1:29" ht="14">
      <c r="A434" s="11"/>
      <c r="B434" s="11"/>
      <c r="C434" s="11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</row>
    <row r="435" spans="1:29" ht="14">
      <c r="A435" s="11"/>
      <c r="B435" s="11"/>
      <c r="C435" s="11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</row>
    <row r="436" spans="1:29" ht="14">
      <c r="A436" s="11"/>
      <c r="B436" s="11"/>
      <c r="C436" s="11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</row>
    <row r="437" spans="1:29" ht="14">
      <c r="A437" s="11"/>
      <c r="B437" s="11"/>
      <c r="C437" s="11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</row>
    <row r="438" spans="1:29" ht="14">
      <c r="A438" s="11"/>
      <c r="B438" s="11"/>
      <c r="C438" s="11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</row>
    <row r="439" spans="1:29" ht="14">
      <c r="A439" s="11"/>
      <c r="B439" s="11"/>
      <c r="C439" s="11"/>
      <c r="D439" s="11"/>
      <c r="E439" s="11"/>
      <c r="F439" s="11"/>
      <c r="G439" s="11"/>
      <c r="H439" s="11"/>
      <c r="I439" s="11"/>
      <c r="J439" s="11"/>
      <c r="K439" s="11"/>
      <c r="L439" s="11"/>
      <c r="M439" s="11"/>
      <c r="N439" s="11"/>
      <c r="O439" s="11"/>
      <c r="P439" s="11"/>
      <c r="Q439" s="11"/>
      <c r="R439" s="11"/>
      <c r="S439" s="11"/>
      <c r="T439" s="11"/>
      <c r="U439" s="11"/>
      <c r="V439" s="11"/>
      <c r="W439" s="11"/>
      <c r="X439" s="11"/>
      <c r="Y439" s="11"/>
      <c r="Z439" s="11"/>
      <c r="AA439" s="11"/>
      <c r="AB439" s="11"/>
      <c r="AC439" s="11"/>
    </row>
    <row r="440" spans="1:29" ht="14">
      <c r="A440" s="11"/>
      <c r="B440" s="11"/>
      <c r="C440" s="11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  <c r="S440" s="11"/>
      <c r="T440" s="11"/>
      <c r="U440" s="11"/>
      <c r="V440" s="11"/>
      <c r="W440" s="11"/>
      <c r="X440" s="11"/>
      <c r="Y440" s="11"/>
      <c r="Z440" s="11"/>
      <c r="AA440" s="11"/>
      <c r="AB440" s="11"/>
      <c r="AC440" s="11"/>
    </row>
    <row r="441" spans="1:29" ht="14">
      <c r="A441" s="11"/>
      <c r="B441" s="11"/>
      <c r="C441" s="11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  <c r="S441" s="11"/>
      <c r="T441" s="11"/>
      <c r="U441" s="11"/>
      <c r="V441" s="11"/>
      <c r="W441" s="11"/>
      <c r="X441" s="11"/>
      <c r="Y441" s="11"/>
      <c r="Z441" s="11"/>
      <c r="AA441" s="11"/>
      <c r="AB441" s="11"/>
      <c r="AC441" s="11"/>
    </row>
    <row r="442" spans="1:29" ht="14">
      <c r="A442" s="11"/>
      <c r="B442" s="11"/>
      <c r="C442" s="11"/>
      <c r="D442" s="11"/>
      <c r="E442" s="11"/>
      <c r="F442" s="11"/>
      <c r="G442" s="11"/>
      <c r="H442" s="11"/>
      <c r="I442" s="11"/>
      <c r="J442" s="11"/>
      <c r="K442" s="11"/>
      <c r="L442" s="11"/>
      <c r="M442" s="11"/>
      <c r="N442" s="11"/>
      <c r="O442" s="11"/>
      <c r="P442" s="11"/>
      <c r="Q442" s="11"/>
      <c r="R442" s="11"/>
      <c r="S442" s="11"/>
      <c r="T442" s="11"/>
      <c r="U442" s="11"/>
      <c r="V442" s="11"/>
      <c r="W442" s="11"/>
      <c r="X442" s="11"/>
      <c r="Y442" s="11"/>
      <c r="Z442" s="11"/>
      <c r="AA442" s="11"/>
      <c r="AB442" s="11"/>
      <c r="AC442" s="11"/>
    </row>
    <row r="443" spans="1:29" ht="14">
      <c r="A443" s="11"/>
      <c r="B443" s="11"/>
      <c r="C443" s="11"/>
      <c r="D443" s="11"/>
      <c r="E443" s="11"/>
      <c r="F443" s="11"/>
      <c r="G443" s="11"/>
      <c r="H443" s="11"/>
      <c r="I443" s="11"/>
      <c r="J443" s="11"/>
      <c r="K443" s="11"/>
      <c r="L443" s="11"/>
      <c r="M443" s="11"/>
      <c r="N443" s="11"/>
      <c r="O443" s="11"/>
      <c r="P443" s="11"/>
      <c r="Q443" s="11"/>
      <c r="R443" s="11"/>
      <c r="S443" s="11"/>
      <c r="T443" s="11"/>
      <c r="U443" s="11"/>
      <c r="V443" s="11"/>
      <c r="W443" s="11"/>
      <c r="X443" s="11"/>
      <c r="Y443" s="11"/>
      <c r="Z443" s="11"/>
      <c r="AA443" s="11"/>
      <c r="AB443" s="11"/>
      <c r="AC443" s="11"/>
    </row>
    <row r="444" spans="1:29" ht="14">
      <c r="A444" s="11"/>
      <c r="B444" s="11"/>
      <c r="C444" s="11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  <c r="S444" s="11"/>
      <c r="T444" s="11"/>
      <c r="U444" s="11"/>
      <c r="V444" s="11"/>
      <c r="W444" s="11"/>
      <c r="X444" s="11"/>
      <c r="Y444" s="11"/>
      <c r="Z444" s="11"/>
      <c r="AA444" s="11"/>
      <c r="AB444" s="11"/>
      <c r="AC444" s="11"/>
    </row>
    <row r="445" spans="1:29" ht="14">
      <c r="A445" s="11"/>
      <c r="B445" s="11"/>
      <c r="C445" s="11"/>
      <c r="D445" s="11"/>
      <c r="E445" s="11"/>
      <c r="F445" s="11"/>
      <c r="G445" s="11"/>
      <c r="H445" s="11"/>
      <c r="I445" s="11"/>
      <c r="J445" s="11"/>
      <c r="K445" s="11"/>
      <c r="L445" s="11"/>
      <c r="M445" s="11"/>
      <c r="N445" s="11"/>
      <c r="O445" s="11"/>
      <c r="P445" s="11"/>
      <c r="Q445" s="11"/>
      <c r="R445" s="11"/>
      <c r="S445" s="11"/>
      <c r="T445" s="11"/>
      <c r="U445" s="11"/>
      <c r="V445" s="11"/>
      <c r="W445" s="11"/>
      <c r="X445" s="11"/>
      <c r="Y445" s="11"/>
      <c r="Z445" s="11"/>
      <c r="AA445" s="11"/>
      <c r="AB445" s="11"/>
      <c r="AC445" s="11"/>
    </row>
    <row r="446" spans="1:29" ht="14">
      <c r="A446" s="11"/>
      <c r="B446" s="11"/>
      <c r="C446" s="11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  <c r="S446" s="11"/>
      <c r="T446" s="11"/>
      <c r="U446" s="11"/>
      <c r="V446" s="11"/>
      <c r="W446" s="11"/>
      <c r="X446" s="11"/>
      <c r="Y446" s="11"/>
      <c r="Z446" s="11"/>
      <c r="AA446" s="11"/>
      <c r="AB446" s="11"/>
      <c r="AC446" s="11"/>
    </row>
    <row r="447" spans="1:29" ht="14">
      <c r="A447" s="11"/>
      <c r="B447" s="11"/>
      <c r="C447" s="11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  <c r="S447" s="11"/>
      <c r="T447" s="11"/>
      <c r="U447" s="11"/>
      <c r="V447" s="11"/>
      <c r="W447" s="11"/>
      <c r="X447" s="11"/>
      <c r="Y447" s="11"/>
      <c r="Z447" s="11"/>
      <c r="AA447" s="11"/>
      <c r="AB447" s="11"/>
      <c r="AC447" s="11"/>
    </row>
    <row r="448" spans="1:29" ht="14">
      <c r="A448" s="11"/>
      <c r="B448" s="11"/>
      <c r="C448" s="11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  <c r="S448" s="11"/>
      <c r="T448" s="11"/>
      <c r="U448" s="11"/>
      <c r="V448" s="11"/>
      <c r="W448" s="11"/>
      <c r="X448" s="11"/>
      <c r="Y448" s="11"/>
      <c r="Z448" s="11"/>
      <c r="AA448" s="11"/>
      <c r="AB448" s="11"/>
      <c r="AC448" s="11"/>
    </row>
    <row r="449" spans="1:29" ht="14">
      <c r="A449" s="11"/>
      <c r="B449" s="11"/>
      <c r="C449" s="11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  <c r="S449" s="11"/>
      <c r="T449" s="11"/>
      <c r="U449" s="11"/>
      <c r="V449" s="11"/>
      <c r="W449" s="11"/>
      <c r="X449" s="11"/>
      <c r="Y449" s="11"/>
      <c r="Z449" s="11"/>
      <c r="AA449" s="11"/>
      <c r="AB449" s="11"/>
      <c r="AC449" s="11"/>
    </row>
    <row r="450" spans="1:29" ht="14">
      <c r="A450" s="11"/>
      <c r="B450" s="11"/>
      <c r="C450" s="11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  <c r="S450" s="11"/>
      <c r="T450" s="11"/>
      <c r="U450" s="11"/>
      <c r="V450" s="11"/>
      <c r="W450" s="11"/>
      <c r="X450" s="11"/>
      <c r="Y450" s="11"/>
      <c r="Z450" s="11"/>
      <c r="AA450" s="11"/>
      <c r="AB450" s="11"/>
      <c r="AC450" s="11"/>
    </row>
    <row r="451" spans="1:29" ht="14">
      <c r="A451" s="11"/>
      <c r="B451" s="11"/>
      <c r="C451" s="11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  <c r="S451" s="11"/>
      <c r="T451" s="11"/>
      <c r="U451" s="11"/>
      <c r="V451" s="11"/>
      <c r="W451" s="11"/>
      <c r="X451" s="11"/>
      <c r="Y451" s="11"/>
      <c r="Z451" s="11"/>
      <c r="AA451" s="11"/>
      <c r="AB451" s="11"/>
      <c r="AC451" s="11"/>
    </row>
    <row r="452" spans="1:29" ht="14">
      <c r="A452" s="11"/>
      <c r="B452" s="11"/>
      <c r="C452" s="11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  <c r="S452" s="11"/>
      <c r="T452" s="11"/>
      <c r="U452" s="11"/>
      <c r="V452" s="11"/>
      <c r="W452" s="11"/>
      <c r="X452" s="11"/>
      <c r="Y452" s="11"/>
      <c r="Z452" s="11"/>
      <c r="AA452" s="11"/>
      <c r="AB452" s="11"/>
      <c r="AC452" s="11"/>
    </row>
    <row r="453" spans="1:29" ht="14">
      <c r="A453" s="11"/>
      <c r="B453" s="11"/>
      <c r="C453" s="11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  <c r="S453" s="11"/>
      <c r="T453" s="11"/>
      <c r="U453" s="11"/>
      <c r="V453" s="11"/>
      <c r="W453" s="11"/>
      <c r="X453" s="11"/>
      <c r="Y453" s="11"/>
      <c r="Z453" s="11"/>
      <c r="AA453" s="11"/>
      <c r="AB453" s="11"/>
      <c r="AC453" s="11"/>
    </row>
    <row r="454" spans="1:29" ht="14">
      <c r="A454" s="11"/>
      <c r="B454" s="11"/>
      <c r="C454" s="11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  <c r="S454" s="11"/>
      <c r="T454" s="11"/>
      <c r="U454" s="11"/>
      <c r="V454" s="11"/>
      <c r="W454" s="11"/>
      <c r="X454" s="11"/>
      <c r="Y454" s="11"/>
      <c r="Z454" s="11"/>
      <c r="AA454" s="11"/>
      <c r="AB454" s="11"/>
      <c r="AC454" s="11"/>
    </row>
    <row r="455" spans="1:29" ht="14">
      <c r="A455" s="11"/>
      <c r="B455" s="11"/>
      <c r="C455" s="11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  <c r="S455" s="11"/>
      <c r="T455" s="11"/>
      <c r="U455" s="11"/>
      <c r="V455" s="11"/>
      <c r="W455" s="11"/>
      <c r="X455" s="11"/>
      <c r="Y455" s="11"/>
      <c r="Z455" s="11"/>
      <c r="AA455" s="11"/>
      <c r="AB455" s="11"/>
      <c r="AC455" s="11"/>
    </row>
    <row r="456" spans="1:29" ht="14">
      <c r="A456" s="11"/>
      <c r="B456" s="11"/>
      <c r="C456" s="11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  <c r="S456" s="11"/>
      <c r="T456" s="11"/>
      <c r="U456" s="11"/>
      <c r="V456" s="11"/>
      <c r="W456" s="11"/>
      <c r="X456" s="11"/>
      <c r="Y456" s="11"/>
      <c r="Z456" s="11"/>
      <c r="AA456" s="11"/>
      <c r="AB456" s="11"/>
      <c r="AC456" s="11"/>
    </row>
    <row r="457" spans="1:29" ht="14">
      <c r="A457" s="11"/>
      <c r="B457" s="11"/>
      <c r="C457" s="11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  <c r="S457" s="11"/>
      <c r="T457" s="11"/>
      <c r="U457" s="11"/>
      <c r="V457" s="11"/>
      <c r="W457" s="11"/>
      <c r="X457" s="11"/>
      <c r="Y457" s="11"/>
      <c r="Z457" s="11"/>
      <c r="AA457" s="11"/>
      <c r="AB457" s="11"/>
      <c r="AC457" s="11"/>
    </row>
    <row r="458" spans="1:29" ht="14">
      <c r="A458" s="11"/>
      <c r="B458" s="11"/>
      <c r="C458" s="11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  <c r="S458" s="11"/>
      <c r="T458" s="11"/>
      <c r="U458" s="11"/>
      <c r="V458" s="11"/>
      <c r="W458" s="11"/>
      <c r="X458" s="11"/>
      <c r="Y458" s="11"/>
      <c r="Z458" s="11"/>
      <c r="AA458" s="11"/>
      <c r="AB458" s="11"/>
      <c r="AC458" s="11"/>
    </row>
    <row r="459" spans="1:29" ht="14">
      <c r="A459" s="11"/>
      <c r="B459" s="11"/>
      <c r="C459" s="11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  <c r="S459" s="11"/>
      <c r="T459" s="11"/>
      <c r="U459" s="11"/>
      <c r="V459" s="11"/>
      <c r="W459" s="11"/>
      <c r="X459" s="11"/>
      <c r="Y459" s="11"/>
      <c r="Z459" s="11"/>
      <c r="AA459" s="11"/>
      <c r="AB459" s="11"/>
      <c r="AC459" s="11"/>
    </row>
    <row r="460" spans="1:29" ht="14">
      <c r="A460" s="11"/>
      <c r="B460" s="11"/>
      <c r="C460" s="11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  <c r="S460" s="11"/>
      <c r="T460" s="11"/>
      <c r="U460" s="11"/>
      <c r="V460" s="11"/>
      <c r="W460" s="11"/>
      <c r="X460" s="11"/>
      <c r="Y460" s="11"/>
      <c r="Z460" s="11"/>
      <c r="AA460" s="11"/>
      <c r="AB460" s="11"/>
      <c r="AC460" s="11"/>
    </row>
    <row r="461" spans="1:29" ht="14">
      <c r="A461" s="11"/>
      <c r="B461" s="11"/>
      <c r="C461" s="11"/>
      <c r="D461" s="11"/>
      <c r="E461" s="11"/>
      <c r="F461" s="11"/>
      <c r="G461" s="11"/>
      <c r="H461" s="11"/>
      <c r="I461" s="11"/>
      <c r="J461" s="11"/>
      <c r="K461" s="11"/>
      <c r="L461" s="11"/>
      <c r="M461" s="11"/>
      <c r="N461" s="11"/>
      <c r="O461" s="11"/>
      <c r="P461" s="11"/>
      <c r="Q461" s="11"/>
      <c r="R461" s="11"/>
      <c r="S461" s="11"/>
      <c r="T461" s="11"/>
      <c r="U461" s="11"/>
      <c r="V461" s="11"/>
      <c r="W461" s="11"/>
      <c r="X461" s="11"/>
      <c r="Y461" s="11"/>
      <c r="Z461" s="11"/>
      <c r="AA461" s="11"/>
      <c r="AB461" s="11"/>
      <c r="AC461" s="11"/>
    </row>
    <row r="462" spans="1:29" ht="14">
      <c r="A462" s="11"/>
      <c r="B462" s="11"/>
      <c r="C462" s="11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  <c r="S462" s="11"/>
      <c r="T462" s="11"/>
      <c r="U462" s="11"/>
      <c r="V462" s="11"/>
      <c r="W462" s="11"/>
      <c r="X462" s="11"/>
      <c r="Y462" s="11"/>
      <c r="Z462" s="11"/>
      <c r="AA462" s="11"/>
      <c r="AB462" s="11"/>
      <c r="AC462" s="11"/>
    </row>
    <row r="463" spans="1:29" ht="14">
      <c r="A463" s="11"/>
      <c r="B463" s="11"/>
      <c r="C463" s="11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  <c r="S463" s="11"/>
      <c r="T463" s="11"/>
      <c r="U463" s="11"/>
      <c r="V463" s="11"/>
      <c r="W463" s="11"/>
      <c r="X463" s="11"/>
      <c r="Y463" s="11"/>
      <c r="Z463" s="11"/>
      <c r="AA463" s="11"/>
      <c r="AB463" s="11"/>
      <c r="AC463" s="11"/>
    </row>
    <row r="464" spans="1:29" ht="14">
      <c r="A464" s="11"/>
      <c r="B464" s="11"/>
      <c r="C464" s="11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  <c r="S464" s="11"/>
      <c r="T464" s="11"/>
      <c r="U464" s="11"/>
      <c r="V464" s="11"/>
      <c r="W464" s="11"/>
      <c r="X464" s="11"/>
      <c r="Y464" s="11"/>
      <c r="Z464" s="11"/>
      <c r="AA464" s="11"/>
      <c r="AB464" s="11"/>
      <c r="AC464" s="11"/>
    </row>
    <row r="465" spans="1:29" ht="14">
      <c r="A465" s="11"/>
      <c r="B465" s="11"/>
      <c r="C465" s="11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  <c r="S465" s="11"/>
      <c r="T465" s="11"/>
      <c r="U465" s="11"/>
      <c r="V465" s="11"/>
      <c r="W465" s="11"/>
      <c r="X465" s="11"/>
      <c r="Y465" s="11"/>
      <c r="Z465" s="11"/>
      <c r="AA465" s="11"/>
      <c r="AB465" s="11"/>
      <c r="AC465" s="11"/>
    </row>
    <row r="466" spans="1:29" ht="14">
      <c r="A466" s="11"/>
      <c r="B466" s="11"/>
      <c r="C466" s="11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  <c r="S466" s="11"/>
      <c r="T466" s="11"/>
      <c r="U466" s="11"/>
      <c r="V466" s="11"/>
      <c r="W466" s="11"/>
      <c r="X466" s="11"/>
      <c r="Y466" s="11"/>
      <c r="Z466" s="11"/>
      <c r="AA466" s="11"/>
      <c r="AB466" s="11"/>
      <c r="AC466" s="11"/>
    </row>
    <row r="467" spans="1:29" ht="14">
      <c r="A467" s="11"/>
      <c r="B467" s="11"/>
      <c r="C467" s="11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  <c r="S467" s="11"/>
      <c r="T467" s="11"/>
      <c r="U467" s="11"/>
      <c r="V467" s="11"/>
      <c r="W467" s="11"/>
      <c r="X467" s="11"/>
      <c r="Y467" s="11"/>
      <c r="Z467" s="11"/>
      <c r="AA467" s="11"/>
      <c r="AB467" s="11"/>
      <c r="AC467" s="11"/>
    </row>
    <row r="468" spans="1:29" ht="14">
      <c r="A468" s="11"/>
      <c r="B468" s="11"/>
      <c r="C468" s="11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  <c r="S468" s="11"/>
      <c r="T468" s="11"/>
      <c r="U468" s="11"/>
      <c r="V468" s="11"/>
      <c r="W468" s="11"/>
      <c r="X468" s="11"/>
      <c r="Y468" s="11"/>
      <c r="Z468" s="11"/>
      <c r="AA468" s="11"/>
      <c r="AB468" s="11"/>
      <c r="AC468" s="11"/>
    </row>
    <row r="469" spans="1:29" ht="14">
      <c r="A469" s="11"/>
      <c r="B469" s="11"/>
      <c r="C469" s="11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  <c r="S469" s="11"/>
      <c r="T469" s="11"/>
      <c r="U469" s="11"/>
      <c r="V469" s="11"/>
      <c r="W469" s="11"/>
      <c r="X469" s="11"/>
      <c r="Y469" s="11"/>
      <c r="Z469" s="11"/>
      <c r="AA469" s="11"/>
      <c r="AB469" s="11"/>
      <c r="AC469" s="11"/>
    </row>
    <row r="470" spans="1:29" ht="14">
      <c r="A470" s="11"/>
      <c r="B470" s="11"/>
      <c r="C470" s="11"/>
      <c r="D470" s="11"/>
      <c r="E470" s="11"/>
      <c r="F470" s="11"/>
      <c r="G470" s="11"/>
      <c r="H470" s="11"/>
      <c r="I470" s="11"/>
      <c r="J470" s="11"/>
      <c r="K470" s="11"/>
      <c r="L470" s="11"/>
      <c r="M470" s="11"/>
      <c r="N470" s="11"/>
      <c r="O470" s="11"/>
      <c r="P470" s="11"/>
      <c r="Q470" s="11"/>
      <c r="R470" s="11"/>
      <c r="S470" s="11"/>
      <c r="T470" s="11"/>
      <c r="U470" s="11"/>
      <c r="V470" s="11"/>
      <c r="W470" s="11"/>
      <c r="X470" s="11"/>
      <c r="Y470" s="11"/>
      <c r="Z470" s="11"/>
      <c r="AA470" s="11"/>
      <c r="AB470" s="11"/>
      <c r="AC470" s="11"/>
    </row>
    <row r="471" spans="1:29" ht="14">
      <c r="A471" s="11"/>
      <c r="B471" s="11"/>
      <c r="C471" s="11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  <c r="S471" s="11"/>
      <c r="T471" s="11"/>
      <c r="U471" s="11"/>
      <c r="V471" s="11"/>
      <c r="W471" s="11"/>
      <c r="X471" s="11"/>
      <c r="Y471" s="11"/>
      <c r="Z471" s="11"/>
      <c r="AA471" s="11"/>
      <c r="AB471" s="11"/>
      <c r="AC471" s="11"/>
    </row>
    <row r="472" spans="1:29" ht="14">
      <c r="A472" s="11"/>
      <c r="B472" s="11"/>
      <c r="C472" s="11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  <c r="S472" s="11"/>
      <c r="T472" s="11"/>
      <c r="U472" s="11"/>
      <c r="V472" s="11"/>
      <c r="W472" s="11"/>
      <c r="X472" s="11"/>
      <c r="Y472" s="11"/>
      <c r="Z472" s="11"/>
      <c r="AA472" s="11"/>
      <c r="AB472" s="11"/>
      <c r="AC472" s="11"/>
    </row>
    <row r="473" spans="1:29" ht="14">
      <c r="A473" s="11"/>
      <c r="B473" s="11"/>
      <c r="C473" s="11"/>
      <c r="D473" s="11"/>
      <c r="E473" s="11"/>
      <c r="F473" s="11"/>
      <c r="G473" s="11"/>
      <c r="H473" s="11"/>
      <c r="I473" s="11"/>
      <c r="J473" s="11"/>
      <c r="K473" s="11"/>
      <c r="L473" s="11"/>
      <c r="M473" s="11"/>
      <c r="N473" s="11"/>
      <c r="O473" s="11"/>
      <c r="P473" s="11"/>
      <c r="Q473" s="11"/>
      <c r="R473" s="11"/>
      <c r="S473" s="11"/>
      <c r="T473" s="11"/>
      <c r="U473" s="11"/>
      <c r="V473" s="11"/>
      <c r="W473" s="11"/>
      <c r="X473" s="11"/>
      <c r="Y473" s="11"/>
      <c r="Z473" s="11"/>
      <c r="AA473" s="11"/>
      <c r="AB473" s="11"/>
      <c r="AC473" s="11"/>
    </row>
    <row r="474" spans="1:29" ht="14">
      <c r="A474" s="11"/>
      <c r="B474" s="11"/>
      <c r="C474" s="11"/>
      <c r="D474" s="11"/>
      <c r="E474" s="11"/>
      <c r="F474" s="11"/>
      <c r="G474" s="11"/>
      <c r="H474" s="11"/>
      <c r="I474" s="11"/>
      <c r="J474" s="11"/>
      <c r="K474" s="11"/>
      <c r="L474" s="11"/>
      <c r="M474" s="11"/>
      <c r="N474" s="11"/>
      <c r="O474" s="11"/>
      <c r="P474" s="11"/>
      <c r="Q474" s="11"/>
      <c r="R474" s="11"/>
      <c r="S474" s="11"/>
      <c r="T474" s="11"/>
      <c r="U474" s="11"/>
      <c r="V474" s="11"/>
      <c r="W474" s="11"/>
      <c r="X474" s="11"/>
      <c r="Y474" s="11"/>
      <c r="Z474" s="11"/>
      <c r="AA474" s="11"/>
      <c r="AB474" s="11"/>
      <c r="AC474" s="11"/>
    </row>
    <row r="475" spans="1:29" ht="14">
      <c r="A475" s="11"/>
      <c r="B475" s="11"/>
      <c r="C475" s="11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  <c r="S475" s="11"/>
      <c r="T475" s="11"/>
      <c r="U475" s="11"/>
      <c r="V475" s="11"/>
      <c r="W475" s="11"/>
      <c r="X475" s="11"/>
      <c r="Y475" s="11"/>
      <c r="Z475" s="11"/>
      <c r="AA475" s="11"/>
      <c r="AB475" s="11"/>
      <c r="AC475" s="11"/>
    </row>
    <row r="476" spans="1:29" ht="14">
      <c r="A476" s="11"/>
      <c r="B476" s="11"/>
      <c r="C476" s="11"/>
      <c r="D476" s="11"/>
      <c r="E476" s="11"/>
      <c r="F476" s="11"/>
      <c r="G476" s="11"/>
      <c r="H476" s="11"/>
      <c r="I476" s="11"/>
      <c r="J476" s="11"/>
      <c r="K476" s="11"/>
      <c r="L476" s="11"/>
      <c r="M476" s="11"/>
      <c r="N476" s="11"/>
      <c r="O476" s="11"/>
      <c r="P476" s="11"/>
      <c r="Q476" s="11"/>
      <c r="R476" s="11"/>
      <c r="S476" s="11"/>
      <c r="T476" s="11"/>
      <c r="U476" s="11"/>
      <c r="V476" s="11"/>
      <c r="W476" s="11"/>
      <c r="X476" s="11"/>
      <c r="Y476" s="11"/>
      <c r="Z476" s="11"/>
      <c r="AA476" s="11"/>
      <c r="AB476" s="11"/>
      <c r="AC476" s="11"/>
    </row>
    <row r="477" spans="1:29" ht="14">
      <c r="A477" s="11"/>
      <c r="B477" s="11"/>
      <c r="C477" s="11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  <c r="S477" s="11"/>
      <c r="T477" s="11"/>
      <c r="U477" s="11"/>
      <c r="V477" s="11"/>
      <c r="W477" s="11"/>
      <c r="X477" s="11"/>
      <c r="Y477" s="11"/>
      <c r="Z477" s="11"/>
      <c r="AA477" s="11"/>
      <c r="AB477" s="11"/>
      <c r="AC477" s="11"/>
    </row>
    <row r="478" spans="1:29" ht="14">
      <c r="A478" s="11"/>
      <c r="B478" s="11"/>
      <c r="C478" s="11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  <c r="S478" s="11"/>
      <c r="T478" s="11"/>
      <c r="U478" s="11"/>
      <c r="V478" s="11"/>
      <c r="W478" s="11"/>
      <c r="X478" s="11"/>
      <c r="Y478" s="11"/>
      <c r="Z478" s="11"/>
      <c r="AA478" s="11"/>
      <c r="AB478" s="11"/>
      <c r="AC478" s="11"/>
    </row>
    <row r="479" spans="1:29" ht="14">
      <c r="A479" s="11"/>
      <c r="B479" s="11"/>
      <c r="C479" s="11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  <c r="S479" s="11"/>
      <c r="T479" s="11"/>
      <c r="U479" s="11"/>
      <c r="V479" s="11"/>
      <c r="W479" s="11"/>
      <c r="X479" s="11"/>
      <c r="Y479" s="11"/>
      <c r="Z479" s="11"/>
      <c r="AA479" s="11"/>
      <c r="AB479" s="11"/>
      <c r="AC479" s="11"/>
    </row>
    <row r="480" spans="1:29" ht="14">
      <c r="A480" s="11"/>
      <c r="B480" s="11"/>
      <c r="C480" s="11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  <c r="S480" s="11"/>
      <c r="T480" s="11"/>
      <c r="U480" s="11"/>
      <c r="V480" s="11"/>
      <c r="W480" s="11"/>
      <c r="X480" s="11"/>
      <c r="Y480" s="11"/>
      <c r="Z480" s="11"/>
      <c r="AA480" s="11"/>
      <c r="AB480" s="11"/>
      <c r="AC480" s="11"/>
    </row>
    <row r="481" spans="1:29" ht="14">
      <c r="A481" s="11"/>
      <c r="B481" s="11"/>
      <c r="C481" s="11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  <c r="S481" s="11"/>
      <c r="T481" s="11"/>
      <c r="U481" s="11"/>
      <c r="V481" s="11"/>
      <c r="W481" s="11"/>
      <c r="X481" s="11"/>
      <c r="Y481" s="11"/>
      <c r="Z481" s="11"/>
      <c r="AA481" s="11"/>
      <c r="AB481" s="11"/>
      <c r="AC481" s="11"/>
    </row>
    <row r="482" spans="1:29" ht="14">
      <c r="A482" s="11"/>
      <c r="B482" s="11"/>
      <c r="C482" s="11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  <c r="S482" s="11"/>
      <c r="T482" s="11"/>
      <c r="U482" s="11"/>
      <c r="V482" s="11"/>
      <c r="W482" s="11"/>
      <c r="X482" s="11"/>
      <c r="Y482" s="11"/>
      <c r="Z482" s="11"/>
      <c r="AA482" s="11"/>
      <c r="AB482" s="11"/>
      <c r="AC482" s="11"/>
    </row>
    <row r="483" spans="1:29" ht="14">
      <c r="A483" s="11"/>
      <c r="B483" s="11"/>
      <c r="C483" s="11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  <c r="S483" s="11"/>
      <c r="T483" s="11"/>
      <c r="U483" s="11"/>
      <c r="V483" s="11"/>
      <c r="W483" s="11"/>
      <c r="X483" s="11"/>
      <c r="Y483" s="11"/>
      <c r="Z483" s="11"/>
      <c r="AA483" s="11"/>
      <c r="AB483" s="11"/>
      <c r="AC483" s="11"/>
    </row>
    <row r="484" spans="1:29" ht="14">
      <c r="A484" s="11"/>
      <c r="B484" s="11"/>
      <c r="C484" s="11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  <c r="S484" s="11"/>
      <c r="T484" s="11"/>
      <c r="U484" s="11"/>
      <c r="V484" s="11"/>
      <c r="W484" s="11"/>
      <c r="X484" s="11"/>
      <c r="Y484" s="11"/>
      <c r="Z484" s="11"/>
      <c r="AA484" s="11"/>
      <c r="AB484" s="11"/>
      <c r="AC484" s="11"/>
    </row>
    <row r="485" spans="1:29" ht="14">
      <c r="A485" s="11"/>
      <c r="B485" s="11"/>
      <c r="C485" s="11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  <c r="S485" s="11"/>
      <c r="T485" s="11"/>
      <c r="U485" s="11"/>
      <c r="V485" s="11"/>
      <c r="W485" s="11"/>
      <c r="X485" s="11"/>
      <c r="Y485" s="11"/>
      <c r="Z485" s="11"/>
      <c r="AA485" s="11"/>
      <c r="AB485" s="11"/>
      <c r="AC485" s="11"/>
    </row>
    <row r="486" spans="1:29" ht="14">
      <c r="A486" s="11"/>
      <c r="B486" s="11"/>
      <c r="C486" s="11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  <c r="S486" s="11"/>
      <c r="T486" s="11"/>
      <c r="U486" s="11"/>
      <c r="V486" s="11"/>
      <c r="W486" s="11"/>
      <c r="X486" s="11"/>
      <c r="Y486" s="11"/>
      <c r="Z486" s="11"/>
      <c r="AA486" s="11"/>
      <c r="AB486" s="11"/>
      <c r="AC486" s="11"/>
    </row>
    <row r="487" spans="1:29" ht="14">
      <c r="A487" s="11"/>
      <c r="B487" s="11"/>
      <c r="C487" s="11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  <c r="S487" s="11"/>
      <c r="T487" s="11"/>
      <c r="U487" s="11"/>
      <c r="V487" s="11"/>
      <c r="W487" s="11"/>
      <c r="X487" s="11"/>
      <c r="Y487" s="11"/>
      <c r="Z487" s="11"/>
      <c r="AA487" s="11"/>
      <c r="AB487" s="11"/>
      <c r="AC487" s="11"/>
    </row>
    <row r="488" spans="1:29" ht="14">
      <c r="A488" s="11"/>
      <c r="B488" s="11"/>
      <c r="C488" s="11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  <c r="S488" s="11"/>
      <c r="T488" s="11"/>
      <c r="U488" s="11"/>
      <c r="V488" s="11"/>
      <c r="W488" s="11"/>
      <c r="X488" s="11"/>
      <c r="Y488" s="11"/>
      <c r="Z488" s="11"/>
      <c r="AA488" s="11"/>
      <c r="AB488" s="11"/>
      <c r="AC488" s="11"/>
    </row>
    <row r="489" spans="1:29" ht="14">
      <c r="A489" s="11"/>
      <c r="B489" s="11"/>
      <c r="C489" s="11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  <c r="S489" s="11"/>
      <c r="T489" s="11"/>
      <c r="U489" s="11"/>
      <c r="V489" s="11"/>
      <c r="W489" s="11"/>
      <c r="X489" s="11"/>
      <c r="Y489" s="11"/>
      <c r="Z489" s="11"/>
      <c r="AA489" s="11"/>
      <c r="AB489" s="11"/>
      <c r="AC489" s="11"/>
    </row>
    <row r="490" spans="1:29" ht="14">
      <c r="A490" s="11"/>
      <c r="B490" s="11"/>
      <c r="C490" s="11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  <c r="S490" s="11"/>
      <c r="T490" s="11"/>
      <c r="U490" s="11"/>
      <c r="V490" s="11"/>
      <c r="W490" s="11"/>
      <c r="X490" s="11"/>
      <c r="Y490" s="11"/>
      <c r="Z490" s="11"/>
      <c r="AA490" s="11"/>
      <c r="AB490" s="11"/>
      <c r="AC490" s="11"/>
    </row>
    <row r="491" spans="1:29" ht="14">
      <c r="A491" s="11"/>
      <c r="B491" s="11"/>
      <c r="C491" s="11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  <c r="S491" s="11"/>
      <c r="T491" s="11"/>
      <c r="U491" s="11"/>
      <c r="V491" s="11"/>
      <c r="W491" s="11"/>
      <c r="X491" s="11"/>
      <c r="Y491" s="11"/>
      <c r="Z491" s="11"/>
      <c r="AA491" s="11"/>
      <c r="AB491" s="11"/>
      <c r="AC491" s="11"/>
    </row>
    <row r="492" spans="1:29" ht="14">
      <c r="A492" s="11"/>
      <c r="B492" s="11"/>
      <c r="C492" s="11"/>
      <c r="D492" s="11"/>
      <c r="E492" s="11"/>
      <c r="F492" s="11"/>
      <c r="G492" s="11"/>
      <c r="H492" s="11"/>
      <c r="I492" s="11"/>
      <c r="J492" s="11"/>
      <c r="K492" s="11"/>
      <c r="L492" s="11"/>
      <c r="M492" s="11"/>
      <c r="N492" s="11"/>
      <c r="O492" s="11"/>
      <c r="P492" s="11"/>
      <c r="Q492" s="11"/>
      <c r="R492" s="11"/>
      <c r="S492" s="11"/>
      <c r="T492" s="11"/>
      <c r="U492" s="11"/>
      <c r="V492" s="11"/>
      <c r="W492" s="11"/>
      <c r="X492" s="11"/>
      <c r="Y492" s="11"/>
      <c r="Z492" s="11"/>
      <c r="AA492" s="11"/>
      <c r="AB492" s="11"/>
      <c r="AC492" s="11"/>
    </row>
    <row r="493" spans="1:29" ht="14">
      <c r="A493" s="11"/>
      <c r="B493" s="11"/>
      <c r="C493" s="11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  <c r="S493" s="11"/>
      <c r="T493" s="11"/>
      <c r="U493" s="11"/>
      <c r="V493" s="11"/>
      <c r="W493" s="11"/>
      <c r="X493" s="11"/>
      <c r="Y493" s="11"/>
      <c r="Z493" s="11"/>
      <c r="AA493" s="11"/>
      <c r="AB493" s="11"/>
      <c r="AC493" s="11"/>
    </row>
    <row r="494" spans="1:29" ht="14">
      <c r="A494" s="11"/>
      <c r="B494" s="11"/>
      <c r="C494" s="11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  <c r="S494" s="11"/>
      <c r="T494" s="11"/>
      <c r="U494" s="11"/>
      <c r="V494" s="11"/>
      <c r="W494" s="11"/>
      <c r="X494" s="11"/>
      <c r="Y494" s="11"/>
      <c r="Z494" s="11"/>
      <c r="AA494" s="11"/>
      <c r="AB494" s="11"/>
      <c r="AC494" s="11"/>
    </row>
    <row r="495" spans="1:29" ht="14">
      <c r="A495" s="11"/>
      <c r="B495" s="11"/>
      <c r="C495" s="11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  <c r="S495" s="11"/>
      <c r="T495" s="11"/>
      <c r="U495" s="11"/>
      <c r="V495" s="11"/>
      <c r="W495" s="11"/>
      <c r="X495" s="11"/>
      <c r="Y495" s="11"/>
      <c r="Z495" s="11"/>
      <c r="AA495" s="11"/>
      <c r="AB495" s="11"/>
      <c r="AC495" s="11"/>
    </row>
    <row r="496" spans="1:29" ht="14">
      <c r="A496" s="11"/>
      <c r="B496" s="11"/>
      <c r="C496" s="11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  <c r="S496" s="11"/>
      <c r="T496" s="11"/>
      <c r="U496" s="11"/>
      <c r="V496" s="11"/>
      <c r="W496" s="11"/>
      <c r="X496" s="11"/>
      <c r="Y496" s="11"/>
      <c r="Z496" s="11"/>
      <c r="AA496" s="11"/>
      <c r="AB496" s="11"/>
      <c r="AC496" s="11"/>
    </row>
    <row r="497" spans="1:29" ht="14">
      <c r="A497" s="11"/>
      <c r="B497" s="11"/>
      <c r="C497" s="11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  <c r="S497" s="11"/>
      <c r="T497" s="11"/>
      <c r="U497" s="11"/>
      <c r="V497" s="11"/>
      <c r="W497" s="11"/>
      <c r="X497" s="11"/>
      <c r="Y497" s="11"/>
      <c r="Z497" s="11"/>
      <c r="AA497" s="11"/>
      <c r="AB497" s="11"/>
      <c r="AC497" s="11"/>
    </row>
    <row r="498" spans="1:29" ht="14">
      <c r="A498" s="11"/>
      <c r="B498" s="11"/>
      <c r="C498" s="11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  <c r="S498" s="11"/>
      <c r="T498" s="11"/>
      <c r="U498" s="11"/>
      <c r="V498" s="11"/>
      <c r="W498" s="11"/>
      <c r="X498" s="11"/>
      <c r="Y498" s="11"/>
      <c r="Z498" s="11"/>
      <c r="AA498" s="11"/>
      <c r="AB498" s="11"/>
      <c r="AC498" s="11"/>
    </row>
    <row r="499" spans="1:29" ht="14">
      <c r="A499" s="11"/>
      <c r="B499" s="11"/>
      <c r="C499" s="11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  <c r="S499" s="11"/>
      <c r="T499" s="11"/>
      <c r="U499" s="11"/>
      <c r="V499" s="11"/>
      <c r="W499" s="11"/>
      <c r="X499" s="11"/>
      <c r="Y499" s="11"/>
      <c r="Z499" s="11"/>
      <c r="AA499" s="11"/>
      <c r="AB499" s="11"/>
      <c r="AC499" s="11"/>
    </row>
    <row r="500" spans="1:29" ht="14">
      <c r="A500" s="11"/>
      <c r="B500" s="11"/>
      <c r="C500" s="11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  <c r="S500" s="11"/>
      <c r="T500" s="11"/>
      <c r="U500" s="11"/>
      <c r="V500" s="11"/>
      <c r="W500" s="11"/>
      <c r="X500" s="11"/>
      <c r="Y500" s="11"/>
      <c r="Z500" s="11"/>
      <c r="AA500" s="11"/>
      <c r="AB500" s="11"/>
      <c r="AC500" s="11"/>
    </row>
    <row r="501" spans="1:29" ht="14">
      <c r="A501" s="11"/>
      <c r="B501" s="11"/>
      <c r="C501" s="11"/>
      <c r="D501" s="11"/>
      <c r="E501" s="11"/>
      <c r="F501" s="11"/>
      <c r="G501" s="11"/>
      <c r="H501" s="11"/>
      <c r="I501" s="11"/>
      <c r="J501" s="11"/>
      <c r="K501" s="11"/>
      <c r="L501" s="11"/>
      <c r="M501" s="11"/>
      <c r="N501" s="11"/>
      <c r="O501" s="11"/>
      <c r="P501" s="11"/>
      <c r="Q501" s="11"/>
      <c r="R501" s="11"/>
      <c r="S501" s="11"/>
      <c r="T501" s="11"/>
      <c r="U501" s="11"/>
      <c r="V501" s="11"/>
      <c r="W501" s="11"/>
      <c r="X501" s="11"/>
      <c r="Y501" s="11"/>
      <c r="Z501" s="11"/>
      <c r="AA501" s="11"/>
      <c r="AB501" s="11"/>
      <c r="AC501" s="11"/>
    </row>
    <row r="502" spans="1:29" ht="14">
      <c r="A502" s="11"/>
      <c r="B502" s="11"/>
      <c r="C502" s="11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  <c r="S502" s="11"/>
      <c r="T502" s="11"/>
      <c r="U502" s="11"/>
      <c r="V502" s="11"/>
      <c r="W502" s="11"/>
      <c r="X502" s="11"/>
      <c r="Y502" s="11"/>
      <c r="Z502" s="11"/>
      <c r="AA502" s="11"/>
      <c r="AB502" s="11"/>
      <c r="AC502" s="11"/>
    </row>
    <row r="503" spans="1:29" ht="14">
      <c r="A503" s="11"/>
      <c r="B503" s="11"/>
      <c r="C503" s="11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  <c r="S503" s="11"/>
      <c r="T503" s="11"/>
      <c r="U503" s="11"/>
      <c r="V503" s="11"/>
      <c r="W503" s="11"/>
      <c r="X503" s="11"/>
      <c r="Y503" s="11"/>
      <c r="Z503" s="11"/>
      <c r="AA503" s="11"/>
      <c r="AB503" s="11"/>
      <c r="AC503" s="11"/>
    </row>
    <row r="504" spans="1:29" ht="14">
      <c r="A504" s="11"/>
      <c r="B504" s="11"/>
      <c r="C504" s="11"/>
      <c r="D504" s="11"/>
      <c r="E504" s="11"/>
      <c r="F504" s="11"/>
      <c r="G504" s="11"/>
      <c r="H504" s="11"/>
      <c r="I504" s="11"/>
      <c r="J504" s="11"/>
      <c r="K504" s="11"/>
      <c r="L504" s="11"/>
      <c r="M504" s="11"/>
      <c r="N504" s="11"/>
      <c r="O504" s="11"/>
      <c r="P504" s="11"/>
      <c r="Q504" s="11"/>
      <c r="R504" s="11"/>
      <c r="S504" s="11"/>
      <c r="T504" s="11"/>
      <c r="U504" s="11"/>
      <c r="V504" s="11"/>
      <c r="W504" s="11"/>
      <c r="X504" s="11"/>
      <c r="Y504" s="11"/>
      <c r="Z504" s="11"/>
      <c r="AA504" s="11"/>
      <c r="AB504" s="11"/>
      <c r="AC504" s="11"/>
    </row>
    <row r="505" spans="1:29" ht="14">
      <c r="A505" s="11"/>
      <c r="B505" s="11"/>
      <c r="C505" s="11"/>
      <c r="D505" s="11"/>
      <c r="E505" s="11"/>
      <c r="F505" s="11"/>
      <c r="G505" s="11"/>
      <c r="H505" s="11"/>
      <c r="I505" s="11"/>
      <c r="J505" s="11"/>
      <c r="K505" s="11"/>
      <c r="L505" s="11"/>
      <c r="M505" s="11"/>
      <c r="N505" s="11"/>
      <c r="O505" s="11"/>
      <c r="P505" s="11"/>
      <c r="Q505" s="11"/>
      <c r="R505" s="11"/>
      <c r="S505" s="11"/>
      <c r="T505" s="11"/>
      <c r="U505" s="11"/>
      <c r="V505" s="11"/>
      <c r="W505" s="11"/>
      <c r="X505" s="11"/>
      <c r="Y505" s="11"/>
      <c r="Z505" s="11"/>
      <c r="AA505" s="11"/>
      <c r="AB505" s="11"/>
      <c r="AC505" s="11"/>
    </row>
    <row r="506" spans="1:29" ht="14">
      <c r="A506" s="11"/>
      <c r="B506" s="11"/>
      <c r="C506" s="11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  <c r="S506" s="11"/>
      <c r="T506" s="11"/>
      <c r="U506" s="11"/>
      <c r="V506" s="11"/>
      <c r="W506" s="11"/>
      <c r="X506" s="11"/>
      <c r="Y506" s="11"/>
      <c r="Z506" s="11"/>
      <c r="AA506" s="11"/>
      <c r="AB506" s="11"/>
      <c r="AC506" s="11"/>
    </row>
    <row r="507" spans="1:29" ht="14">
      <c r="A507" s="11"/>
      <c r="B507" s="11"/>
      <c r="C507" s="11"/>
      <c r="D507" s="11"/>
      <c r="E507" s="11"/>
      <c r="F507" s="11"/>
      <c r="G507" s="11"/>
      <c r="H507" s="11"/>
      <c r="I507" s="11"/>
      <c r="J507" s="11"/>
      <c r="K507" s="11"/>
      <c r="L507" s="11"/>
      <c r="M507" s="11"/>
      <c r="N507" s="11"/>
      <c r="O507" s="11"/>
      <c r="P507" s="11"/>
      <c r="Q507" s="11"/>
      <c r="R507" s="11"/>
      <c r="S507" s="11"/>
      <c r="T507" s="11"/>
      <c r="U507" s="11"/>
      <c r="V507" s="11"/>
      <c r="W507" s="11"/>
      <c r="X507" s="11"/>
      <c r="Y507" s="11"/>
      <c r="Z507" s="11"/>
      <c r="AA507" s="11"/>
      <c r="AB507" s="11"/>
      <c r="AC507" s="11"/>
    </row>
    <row r="508" spans="1:29" ht="14">
      <c r="A508" s="11"/>
      <c r="B508" s="11"/>
      <c r="C508" s="11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  <c r="S508" s="11"/>
      <c r="T508" s="11"/>
      <c r="U508" s="11"/>
      <c r="V508" s="11"/>
      <c r="W508" s="11"/>
      <c r="X508" s="11"/>
      <c r="Y508" s="11"/>
      <c r="Z508" s="11"/>
      <c r="AA508" s="11"/>
      <c r="AB508" s="11"/>
      <c r="AC508" s="11"/>
    </row>
    <row r="509" spans="1:29" ht="14">
      <c r="A509" s="11"/>
      <c r="B509" s="11"/>
      <c r="C509" s="11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  <c r="S509" s="11"/>
      <c r="T509" s="11"/>
      <c r="U509" s="11"/>
      <c r="V509" s="11"/>
      <c r="W509" s="11"/>
      <c r="X509" s="11"/>
      <c r="Y509" s="11"/>
      <c r="Z509" s="11"/>
      <c r="AA509" s="11"/>
      <c r="AB509" s="11"/>
      <c r="AC509" s="11"/>
    </row>
    <row r="510" spans="1:29" ht="14">
      <c r="A510" s="11"/>
      <c r="B510" s="11"/>
      <c r="C510" s="11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  <c r="S510" s="11"/>
      <c r="T510" s="11"/>
      <c r="U510" s="11"/>
      <c r="V510" s="11"/>
      <c r="W510" s="11"/>
      <c r="X510" s="11"/>
      <c r="Y510" s="11"/>
      <c r="Z510" s="11"/>
      <c r="AA510" s="11"/>
      <c r="AB510" s="11"/>
      <c r="AC510" s="11"/>
    </row>
    <row r="511" spans="1:29" ht="14">
      <c r="A511" s="11"/>
      <c r="B511" s="11"/>
      <c r="C511" s="11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  <c r="S511" s="11"/>
      <c r="T511" s="11"/>
      <c r="U511" s="11"/>
      <c r="V511" s="11"/>
      <c r="W511" s="11"/>
      <c r="X511" s="11"/>
      <c r="Y511" s="11"/>
      <c r="Z511" s="11"/>
      <c r="AA511" s="11"/>
      <c r="AB511" s="11"/>
      <c r="AC511" s="11"/>
    </row>
    <row r="512" spans="1:29" ht="14">
      <c r="A512" s="11"/>
      <c r="B512" s="11"/>
      <c r="C512" s="11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  <c r="S512" s="11"/>
      <c r="T512" s="11"/>
      <c r="U512" s="11"/>
      <c r="V512" s="11"/>
      <c r="W512" s="11"/>
      <c r="X512" s="11"/>
      <c r="Y512" s="11"/>
      <c r="Z512" s="11"/>
      <c r="AA512" s="11"/>
      <c r="AB512" s="11"/>
      <c r="AC512" s="11"/>
    </row>
    <row r="513" spans="1:29" ht="14">
      <c r="A513" s="11"/>
      <c r="B513" s="11"/>
      <c r="C513" s="11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  <c r="S513" s="11"/>
      <c r="T513" s="11"/>
      <c r="U513" s="11"/>
      <c r="V513" s="11"/>
      <c r="W513" s="11"/>
      <c r="X513" s="11"/>
      <c r="Y513" s="11"/>
      <c r="Z513" s="11"/>
      <c r="AA513" s="11"/>
      <c r="AB513" s="11"/>
      <c r="AC513" s="11"/>
    </row>
    <row r="514" spans="1:29" ht="14">
      <c r="A514" s="11"/>
      <c r="B514" s="11"/>
      <c r="C514" s="11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  <c r="S514" s="11"/>
      <c r="T514" s="11"/>
      <c r="U514" s="11"/>
      <c r="V514" s="11"/>
      <c r="W514" s="11"/>
      <c r="X514" s="11"/>
      <c r="Y514" s="11"/>
      <c r="Z514" s="11"/>
      <c r="AA514" s="11"/>
      <c r="AB514" s="11"/>
      <c r="AC514" s="11"/>
    </row>
    <row r="515" spans="1:29" ht="14">
      <c r="A515" s="11"/>
      <c r="B515" s="11"/>
      <c r="C515" s="11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  <c r="S515" s="11"/>
      <c r="T515" s="11"/>
      <c r="U515" s="11"/>
      <c r="V515" s="11"/>
      <c r="W515" s="11"/>
      <c r="X515" s="11"/>
      <c r="Y515" s="11"/>
      <c r="Z515" s="11"/>
      <c r="AA515" s="11"/>
      <c r="AB515" s="11"/>
      <c r="AC515" s="11"/>
    </row>
    <row r="516" spans="1:29" ht="14">
      <c r="A516" s="11"/>
      <c r="B516" s="11"/>
      <c r="C516" s="11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  <c r="S516" s="11"/>
      <c r="T516" s="11"/>
      <c r="U516" s="11"/>
      <c r="V516" s="11"/>
      <c r="W516" s="11"/>
      <c r="X516" s="11"/>
      <c r="Y516" s="11"/>
      <c r="Z516" s="11"/>
      <c r="AA516" s="11"/>
      <c r="AB516" s="11"/>
      <c r="AC516" s="11"/>
    </row>
    <row r="517" spans="1:29" ht="14">
      <c r="A517" s="11"/>
      <c r="B517" s="11"/>
      <c r="C517" s="11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  <c r="S517" s="11"/>
      <c r="T517" s="11"/>
      <c r="U517" s="11"/>
      <c r="V517" s="11"/>
      <c r="W517" s="11"/>
      <c r="X517" s="11"/>
      <c r="Y517" s="11"/>
      <c r="Z517" s="11"/>
      <c r="AA517" s="11"/>
      <c r="AB517" s="11"/>
      <c r="AC517" s="11"/>
    </row>
    <row r="518" spans="1:29" ht="14">
      <c r="A518" s="11"/>
      <c r="B518" s="11"/>
      <c r="C518" s="11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  <c r="S518" s="11"/>
      <c r="T518" s="11"/>
      <c r="U518" s="11"/>
      <c r="V518" s="11"/>
      <c r="W518" s="11"/>
      <c r="X518" s="11"/>
      <c r="Y518" s="11"/>
      <c r="Z518" s="11"/>
      <c r="AA518" s="11"/>
      <c r="AB518" s="11"/>
      <c r="AC518" s="11"/>
    </row>
    <row r="519" spans="1:29" ht="14">
      <c r="A519" s="11"/>
      <c r="B519" s="11"/>
      <c r="C519" s="11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  <c r="S519" s="11"/>
      <c r="T519" s="11"/>
      <c r="U519" s="11"/>
      <c r="V519" s="11"/>
      <c r="W519" s="11"/>
      <c r="X519" s="11"/>
      <c r="Y519" s="11"/>
      <c r="Z519" s="11"/>
      <c r="AA519" s="11"/>
      <c r="AB519" s="11"/>
      <c r="AC519" s="11"/>
    </row>
    <row r="520" spans="1:29" ht="14">
      <c r="A520" s="11"/>
      <c r="B520" s="11"/>
      <c r="C520" s="11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  <c r="S520" s="11"/>
      <c r="T520" s="11"/>
      <c r="U520" s="11"/>
      <c r="V520" s="11"/>
      <c r="W520" s="11"/>
      <c r="X520" s="11"/>
      <c r="Y520" s="11"/>
      <c r="Z520" s="11"/>
      <c r="AA520" s="11"/>
      <c r="AB520" s="11"/>
      <c r="AC520" s="11"/>
    </row>
    <row r="521" spans="1:29" ht="14">
      <c r="A521" s="11"/>
      <c r="B521" s="11"/>
      <c r="C521" s="11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  <c r="S521" s="11"/>
      <c r="T521" s="11"/>
      <c r="U521" s="11"/>
      <c r="V521" s="11"/>
      <c r="W521" s="11"/>
      <c r="X521" s="11"/>
      <c r="Y521" s="11"/>
      <c r="Z521" s="11"/>
      <c r="AA521" s="11"/>
      <c r="AB521" s="11"/>
      <c r="AC521" s="11"/>
    </row>
    <row r="522" spans="1:29" ht="14">
      <c r="A522" s="11"/>
      <c r="B522" s="11"/>
      <c r="C522" s="11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  <c r="S522" s="11"/>
      <c r="T522" s="11"/>
      <c r="U522" s="11"/>
      <c r="V522" s="11"/>
      <c r="W522" s="11"/>
      <c r="X522" s="11"/>
      <c r="Y522" s="11"/>
      <c r="Z522" s="11"/>
      <c r="AA522" s="11"/>
      <c r="AB522" s="11"/>
      <c r="AC522" s="11"/>
    </row>
    <row r="523" spans="1:29" ht="14">
      <c r="A523" s="11"/>
      <c r="B523" s="11"/>
      <c r="C523" s="11"/>
      <c r="D523" s="11"/>
      <c r="E523" s="11"/>
      <c r="F523" s="11"/>
      <c r="G523" s="11"/>
      <c r="H523" s="11"/>
      <c r="I523" s="11"/>
      <c r="J523" s="11"/>
      <c r="K523" s="11"/>
      <c r="L523" s="11"/>
      <c r="M523" s="11"/>
      <c r="N523" s="11"/>
      <c r="O523" s="11"/>
      <c r="P523" s="11"/>
      <c r="Q523" s="11"/>
      <c r="R523" s="11"/>
      <c r="S523" s="11"/>
      <c r="T523" s="11"/>
      <c r="U523" s="11"/>
      <c r="V523" s="11"/>
      <c r="W523" s="11"/>
      <c r="X523" s="11"/>
      <c r="Y523" s="11"/>
      <c r="Z523" s="11"/>
      <c r="AA523" s="11"/>
      <c r="AB523" s="11"/>
      <c r="AC523" s="11"/>
    </row>
    <row r="524" spans="1:29" ht="14">
      <c r="A524" s="11"/>
      <c r="B524" s="11"/>
      <c r="C524" s="11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  <c r="S524" s="11"/>
      <c r="T524" s="11"/>
      <c r="U524" s="11"/>
      <c r="V524" s="11"/>
      <c r="W524" s="11"/>
      <c r="X524" s="11"/>
      <c r="Y524" s="11"/>
      <c r="Z524" s="11"/>
      <c r="AA524" s="11"/>
      <c r="AB524" s="11"/>
      <c r="AC524" s="11"/>
    </row>
    <row r="525" spans="1:29" ht="14">
      <c r="A525" s="11"/>
      <c r="B525" s="11"/>
      <c r="C525" s="11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  <c r="S525" s="11"/>
      <c r="T525" s="11"/>
      <c r="U525" s="11"/>
      <c r="V525" s="11"/>
      <c r="W525" s="11"/>
      <c r="X525" s="11"/>
      <c r="Y525" s="11"/>
      <c r="Z525" s="11"/>
      <c r="AA525" s="11"/>
      <c r="AB525" s="11"/>
      <c r="AC525" s="11"/>
    </row>
    <row r="526" spans="1:29" ht="14">
      <c r="A526" s="11"/>
      <c r="B526" s="11"/>
      <c r="C526" s="11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  <c r="S526" s="11"/>
      <c r="T526" s="11"/>
      <c r="U526" s="11"/>
      <c r="V526" s="11"/>
      <c r="W526" s="11"/>
      <c r="X526" s="11"/>
      <c r="Y526" s="11"/>
      <c r="Z526" s="11"/>
      <c r="AA526" s="11"/>
      <c r="AB526" s="11"/>
      <c r="AC526" s="11"/>
    </row>
    <row r="527" spans="1:29" ht="14">
      <c r="A527" s="11"/>
      <c r="B527" s="11"/>
      <c r="C527" s="11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  <c r="S527" s="11"/>
      <c r="T527" s="11"/>
      <c r="U527" s="11"/>
      <c r="V527" s="11"/>
      <c r="W527" s="11"/>
      <c r="X527" s="11"/>
      <c r="Y527" s="11"/>
      <c r="Z527" s="11"/>
      <c r="AA527" s="11"/>
      <c r="AB527" s="11"/>
      <c r="AC527" s="11"/>
    </row>
    <row r="528" spans="1:29" ht="14">
      <c r="A528" s="11"/>
      <c r="B528" s="11"/>
      <c r="C528" s="11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  <c r="S528" s="11"/>
      <c r="T528" s="11"/>
      <c r="U528" s="11"/>
      <c r="V528" s="11"/>
      <c r="W528" s="11"/>
      <c r="X528" s="11"/>
      <c r="Y528" s="11"/>
      <c r="Z528" s="11"/>
      <c r="AA528" s="11"/>
      <c r="AB528" s="11"/>
      <c r="AC528" s="11"/>
    </row>
    <row r="529" spans="1:29" ht="14">
      <c r="A529" s="11"/>
      <c r="B529" s="11"/>
      <c r="C529" s="11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  <c r="S529" s="11"/>
      <c r="T529" s="11"/>
      <c r="U529" s="11"/>
      <c r="V529" s="11"/>
      <c r="W529" s="11"/>
      <c r="X529" s="11"/>
      <c r="Y529" s="11"/>
      <c r="Z529" s="11"/>
      <c r="AA529" s="11"/>
      <c r="AB529" s="11"/>
      <c r="AC529" s="11"/>
    </row>
    <row r="530" spans="1:29" ht="14">
      <c r="A530" s="11"/>
      <c r="B530" s="11"/>
      <c r="C530" s="11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  <c r="S530" s="11"/>
      <c r="T530" s="11"/>
      <c r="U530" s="11"/>
      <c r="V530" s="11"/>
      <c r="W530" s="11"/>
      <c r="X530" s="11"/>
      <c r="Y530" s="11"/>
      <c r="Z530" s="11"/>
      <c r="AA530" s="11"/>
      <c r="AB530" s="11"/>
      <c r="AC530" s="11"/>
    </row>
    <row r="531" spans="1:29" ht="14">
      <c r="A531" s="11"/>
      <c r="B531" s="11"/>
      <c r="C531" s="11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  <c r="S531" s="11"/>
      <c r="T531" s="11"/>
      <c r="U531" s="11"/>
      <c r="V531" s="11"/>
      <c r="W531" s="11"/>
      <c r="X531" s="11"/>
      <c r="Y531" s="11"/>
      <c r="Z531" s="11"/>
      <c r="AA531" s="11"/>
      <c r="AB531" s="11"/>
      <c r="AC531" s="11"/>
    </row>
    <row r="532" spans="1:29" ht="14">
      <c r="A532" s="11"/>
      <c r="B532" s="11"/>
      <c r="C532" s="11"/>
      <c r="D532" s="11"/>
      <c r="E532" s="11"/>
      <c r="F532" s="11"/>
      <c r="G532" s="11"/>
      <c r="H532" s="11"/>
      <c r="I532" s="11"/>
      <c r="J532" s="11"/>
      <c r="K532" s="11"/>
      <c r="L532" s="11"/>
      <c r="M532" s="11"/>
      <c r="N532" s="11"/>
      <c r="O532" s="11"/>
      <c r="P532" s="11"/>
      <c r="Q532" s="11"/>
      <c r="R532" s="11"/>
      <c r="S532" s="11"/>
      <c r="T532" s="11"/>
      <c r="U532" s="11"/>
      <c r="V532" s="11"/>
      <c r="W532" s="11"/>
      <c r="X532" s="11"/>
      <c r="Y532" s="11"/>
      <c r="Z532" s="11"/>
      <c r="AA532" s="11"/>
      <c r="AB532" s="11"/>
      <c r="AC532" s="11"/>
    </row>
    <row r="533" spans="1:29" ht="14">
      <c r="A533" s="11"/>
      <c r="B533" s="11"/>
      <c r="C533" s="11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  <c r="S533" s="11"/>
      <c r="T533" s="11"/>
      <c r="U533" s="11"/>
      <c r="V533" s="11"/>
      <c r="W533" s="11"/>
      <c r="X533" s="11"/>
      <c r="Y533" s="11"/>
      <c r="Z533" s="11"/>
      <c r="AA533" s="11"/>
      <c r="AB533" s="11"/>
      <c r="AC533" s="11"/>
    </row>
    <row r="534" spans="1:29" ht="14">
      <c r="A534" s="11"/>
      <c r="B534" s="11"/>
      <c r="C534" s="11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  <c r="S534" s="11"/>
      <c r="T534" s="11"/>
      <c r="U534" s="11"/>
      <c r="V534" s="11"/>
      <c r="W534" s="11"/>
      <c r="X534" s="11"/>
      <c r="Y534" s="11"/>
      <c r="Z534" s="11"/>
      <c r="AA534" s="11"/>
      <c r="AB534" s="11"/>
      <c r="AC534" s="11"/>
    </row>
    <row r="535" spans="1:29" ht="14">
      <c r="A535" s="11"/>
      <c r="B535" s="11"/>
      <c r="C535" s="11"/>
      <c r="D535" s="11"/>
      <c r="E535" s="11"/>
      <c r="F535" s="11"/>
      <c r="G535" s="11"/>
      <c r="H535" s="11"/>
      <c r="I535" s="11"/>
      <c r="J535" s="11"/>
      <c r="K535" s="11"/>
      <c r="L535" s="11"/>
      <c r="M535" s="11"/>
      <c r="N535" s="11"/>
      <c r="O535" s="11"/>
      <c r="P535" s="11"/>
      <c r="Q535" s="11"/>
      <c r="R535" s="11"/>
      <c r="S535" s="11"/>
      <c r="T535" s="11"/>
      <c r="U535" s="11"/>
      <c r="V535" s="11"/>
      <c r="W535" s="11"/>
      <c r="X535" s="11"/>
      <c r="Y535" s="11"/>
      <c r="Z535" s="11"/>
      <c r="AA535" s="11"/>
      <c r="AB535" s="11"/>
      <c r="AC535" s="11"/>
    </row>
    <row r="536" spans="1:29" ht="14">
      <c r="A536" s="11"/>
      <c r="B536" s="11"/>
      <c r="C536" s="11"/>
      <c r="D536" s="11"/>
      <c r="E536" s="11"/>
      <c r="F536" s="11"/>
      <c r="G536" s="11"/>
      <c r="H536" s="11"/>
      <c r="I536" s="11"/>
      <c r="J536" s="11"/>
      <c r="K536" s="11"/>
      <c r="L536" s="11"/>
      <c r="M536" s="11"/>
      <c r="N536" s="11"/>
      <c r="O536" s="11"/>
      <c r="P536" s="11"/>
      <c r="Q536" s="11"/>
      <c r="R536" s="11"/>
      <c r="S536" s="11"/>
      <c r="T536" s="11"/>
      <c r="U536" s="11"/>
      <c r="V536" s="11"/>
      <c r="W536" s="11"/>
      <c r="X536" s="11"/>
      <c r="Y536" s="11"/>
      <c r="Z536" s="11"/>
      <c r="AA536" s="11"/>
      <c r="AB536" s="11"/>
      <c r="AC536" s="11"/>
    </row>
    <row r="537" spans="1:29" ht="14">
      <c r="A537" s="11"/>
      <c r="B537" s="11"/>
      <c r="C537" s="11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  <c r="S537" s="11"/>
      <c r="T537" s="11"/>
      <c r="U537" s="11"/>
      <c r="V537" s="11"/>
      <c r="W537" s="11"/>
      <c r="X537" s="11"/>
      <c r="Y537" s="11"/>
      <c r="Z537" s="11"/>
      <c r="AA537" s="11"/>
      <c r="AB537" s="11"/>
      <c r="AC537" s="11"/>
    </row>
    <row r="538" spans="1:29" ht="14">
      <c r="A538" s="11"/>
      <c r="B538" s="11"/>
      <c r="C538" s="11"/>
      <c r="D538" s="11"/>
      <c r="E538" s="11"/>
      <c r="F538" s="11"/>
      <c r="G538" s="11"/>
      <c r="H538" s="11"/>
      <c r="I538" s="11"/>
      <c r="J538" s="11"/>
      <c r="K538" s="11"/>
      <c r="L538" s="11"/>
      <c r="M538" s="11"/>
      <c r="N538" s="11"/>
      <c r="O538" s="11"/>
      <c r="P538" s="11"/>
      <c r="Q538" s="11"/>
      <c r="R538" s="11"/>
      <c r="S538" s="11"/>
      <c r="T538" s="11"/>
      <c r="U538" s="11"/>
      <c r="V538" s="11"/>
      <c r="W538" s="11"/>
      <c r="X538" s="11"/>
      <c r="Y538" s="11"/>
      <c r="Z538" s="11"/>
      <c r="AA538" s="11"/>
      <c r="AB538" s="11"/>
      <c r="AC538" s="11"/>
    </row>
    <row r="539" spans="1:29" ht="14">
      <c r="A539" s="11"/>
      <c r="B539" s="11"/>
      <c r="C539" s="11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  <c r="S539" s="11"/>
      <c r="T539" s="11"/>
      <c r="U539" s="11"/>
      <c r="V539" s="11"/>
      <c r="W539" s="11"/>
      <c r="X539" s="11"/>
      <c r="Y539" s="11"/>
      <c r="Z539" s="11"/>
      <c r="AA539" s="11"/>
      <c r="AB539" s="11"/>
      <c r="AC539" s="11"/>
    </row>
    <row r="540" spans="1:29" ht="14">
      <c r="A540" s="11"/>
      <c r="B540" s="11"/>
      <c r="C540" s="11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  <c r="S540" s="11"/>
      <c r="T540" s="11"/>
      <c r="U540" s="11"/>
      <c r="V540" s="11"/>
      <c r="W540" s="11"/>
      <c r="X540" s="11"/>
      <c r="Y540" s="11"/>
      <c r="Z540" s="11"/>
      <c r="AA540" s="11"/>
      <c r="AB540" s="11"/>
      <c r="AC540" s="11"/>
    </row>
    <row r="541" spans="1:29" ht="14">
      <c r="A541" s="11"/>
      <c r="B541" s="11"/>
      <c r="C541" s="11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  <c r="S541" s="11"/>
      <c r="T541" s="11"/>
      <c r="U541" s="11"/>
      <c r="V541" s="11"/>
      <c r="W541" s="11"/>
      <c r="X541" s="11"/>
      <c r="Y541" s="11"/>
      <c r="Z541" s="11"/>
      <c r="AA541" s="11"/>
      <c r="AB541" s="11"/>
      <c r="AC541" s="11"/>
    </row>
    <row r="542" spans="1:29" ht="14">
      <c r="A542" s="11"/>
      <c r="B542" s="11"/>
      <c r="C542" s="11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  <c r="S542" s="11"/>
      <c r="T542" s="11"/>
      <c r="U542" s="11"/>
      <c r="V542" s="11"/>
      <c r="W542" s="11"/>
      <c r="X542" s="11"/>
      <c r="Y542" s="11"/>
      <c r="Z542" s="11"/>
      <c r="AA542" s="11"/>
      <c r="AB542" s="11"/>
      <c r="AC542" s="11"/>
    </row>
    <row r="543" spans="1:29" ht="14">
      <c r="A543" s="11"/>
      <c r="B543" s="11"/>
      <c r="C543" s="11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  <c r="S543" s="11"/>
      <c r="T543" s="11"/>
      <c r="U543" s="11"/>
      <c r="V543" s="11"/>
      <c r="W543" s="11"/>
      <c r="X543" s="11"/>
      <c r="Y543" s="11"/>
      <c r="Z543" s="11"/>
      <c r="AA543" s="11"/>
      <c r="AB543" s="11"/>
      <c r="AC543" s="11"/>
    </row>
    <row r="544" spans="1:29" ht="14">
      <c r="A544" s="11"/>
      <c r="B544" s="11"/>
      <c r="C544" s="11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  <c r="S544" s="11"/>
      <c r="T544" s="11"/>
      <c r="U544" s="11"/>
      <c r="V544" s="11"/>
      <c r="W544" s="11"/>
      <c r="X544" s="11"/>
      <c r="Y544" s="11"/>
      <c r="Z544" s="11"/>
      <c r="AA544" s="11"/>
      <c r="AB544" s="11"/>
      <c r="AC544" s="11"/>
    </row>
    <row r="545" spans="1:29" ht="14">
      <c r="A545" s="11"/>
      <c r="B545" s="11"/>
      <c r="C545" s="11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  <c r="S545" s="11"/>
      <c r="T545" s="11"/>
      <c r="U545" s="11"/>
      <c r="V545" s="11"/>
      <c r="W545" s="11"/>
      <c r="X545" s="11"/>
      <c r="Y545" s="11"/>
      <c r="Z545" s="11"/>
      <c r="AA545" s="11"/>
      <c r="AB545" s="11"/>
      <c r="AC545" s="11"/>
    </row>
    <row r="546" spans="1:29" ht="14">
      <c r="A546" s="11"/>
      <c r="B546" s="11"/>
      <c r="C546" s="11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  <c r="S546" s="11"/>
      <c r="T546" s="11"/>
      <c r="U546" s="11"/>
      <c r="V546" s="11"/>
      <c r="W546" s="11"/>
      <c r="X546" s="11"/>
      <c r="Y546" s="11"/>
      <c r="Z546" s="11"/>
      <c r="AA546" s="11"/>
      <c r="AB546" s="11"/>
      <c r="AC546" s="11"/>
    </row>
    <row r="547" spans="1:29" ht="14">
      <c r="A547" s="11"/>
      <c r="B547" s="11"/>
      <c r="C547" s="11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  <c r="S547" s="11"/>
      <c r="T547" s="11"/>
      <c r="U547" s="11"/>
      <c r="V547" s="11"/>
      <c r="W547" s="11"/>
      <c r="X547" s="11"/>
      <c r="Y547" s="11"/>
      <c r="Z547" s="11"/>
      <c r="AA547" s="11"/>
      <c r="AB547" s="11"/>
      <c r="AC547" s="11"/>
    </row>
    <row r="548" spans="1:29" ht="14">
      <c r="A548" s="11"/>
      <c r="B548" s="11"/>
      <c r="C548" s="11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  <c r="S548" s="11"/>
      <c r="T548" s="11"/>
      <c r="U548" s="11"/>
      <c r="V548" s="11"/>
      <c r="W548" s="11"/>
      <c r="X548" s="11"/>
      <c r="Y548" s="11"/>
      <c r="Z548" s="11"/>
      <c r="AA548" s="11"/>
      <c r="AB548" s="11"/>
      <c r="AC548" s="11"/>
    </row>
    <row r="549" spans="1:29" ht="14">
      <c r="A549" s="11"/>
      <c r="B549" s="11"/>
      <c r="C549" s="11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  <c r="S549" s="11"/>
      <c r="T549" s="11"/>
      <c r="U549" s="11"/>
      <c r="V549" s="11"/>
      <c r="W549" s="11"/>
      <c r="X549" s="11"/>
      <c r="Y549" s="11"/>
      <c r="Z549" s="11"/>
      <c r="AA549" s="11"/>
      <c r="AB549" s="11"/>
      <c r="AC549" s="11"/>
    </row>
    <row r="550" spans="1:29" ht="14">
      <c r="A550" s="11"/>
      <c r="B550" s="11"/>
      <c r="C550" s="11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  <c r="S550" s="11"/>
      <c r="T550" s="11"/>
      <c r="U550" s="11"/>
      <c r="V550" s="11"/>
      <c r="W550" s="11"/>
      <c r="X550" s="11"/>
      <c r="Y550" s="11"/>
      <c r="Z550" s="11"/>
      <c r="AA550" s="11"/>
      <c r="AB550" s="11"/>
      <c r="AC550" s="11"/>
    </row>
    <row r="551" spans="1:29" ht="14">
      <c r="A551" s="11"/>
      <c r="B551" s="11"/>
      <c r="C551" s="11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  <c r="S551" s="11"/>
      <c r="T551" s="11"/>
      <c r="U551" s="11"/>
      <c r="V551" s="11"/>
      <c r="W551" s="11"/>
      <c r="X551" s="11"/>
      <c r="Y551" s="11"/>
      <c r="Z551" s="11"/>
      <c r="AA551" s="11"/>
      <c r="AB551" s="11"/>
      <c r="AC551" s="11"/>
    </row>
    <row r="552" spans="1:29" ht="14">
      <c r="A552" s="11"/>
      <c r="B552" s="11"/>
      <c r="C552" s="11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  <c r="S552" s="11"/>
      <c r="T552" s="11"/>
      <c r="U552" s="11"/>
      <c r="V552" s="11"/>
      <c r="W552" s="11"/>
      <c r="X552" s="11"/>
      <c r="Y552" s="11"/>
      <c r="Z552" s="11"/>
      <c r="AA552" s="11"/>
      <c r="AB552" s="11"/>
      <c r="AC552" s="11"/>
    </row>
    <row r="553" spans="1:29" ht="14">
      <c r="A553" s="11"/>
      <c r="B553" s="11"/>
      <c r="C553" s="11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  <c r="S553" s="11"/>
      <c r="T553" s="11"/>
      <c r="U553" s="11"/>
      <c r="V553" s="11"/>
      <c r="W553" s="11"/>
      <c r="X553" s="11"/>
      <c r="Y553" s="11"/>
      <c r="Z553" s="11"/>
      <c r="AA553" s="11"/>
      <c r="AB553" s="11"/>
      <c r="AC553" s="11"/>
    </row>
    <row r="554" spans="1:29" ht="14">
      <c r="A554" s="11"/>
      <c r="B554" s="11"/>
      <c r="C554" s="11"/>
      <c r="D554" s="11"/>
      <c r="E554" s="11"/>
      <c r="F554" s="11"/>
      <c r="G554" s="11"/>
      <c r="H554" s="11"/>
      <c r="I554" s="11"/>
      <c r="J554" s="11"/>
      <c r="K554" s="11"/>
      <c r="L554" s="11"/>
      <c r="M554" s="11"/>
      <c r="N554" s="11"/>
      <c r="O554" s="11"/>
      <c r="P554" s="11"/>
      <c r="Q554" s="11"/>
      <c r="R554" s="11"/>
      <c r="S554" s="11"/>
      <c r="T554" s="11"/>
      <c r="U554" s="11"/>
      <c r="V554" s="11"/>
      <c r="W554" s="11"/>
      <c r="X554" s="11"/>
      <c r="Y554" s="11"/>
      <c r="Z554" s="11"/>
      <c r="AA554" s="11"/>
      <c r="AB554" s="11"/>
      <c r="AC554" s="11"/>
    </row>
    <row r="555" spans="1:29" ht="14">
      <c r="A555" s="11"/>
      <c r="B555" s="11"/>
      <c r="C555" s="11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  <c r="S555" s="11"/>
      <c r="T555" s="11"/>
      <c r="U555" s="11"/>
      <c r="V555" s="11"/>
      <c r="W555" s="11"/>
      <c r="X555" s="11"/>
      <c r="Y555" s="11"/>
      <c r="Z555" s="11"/>
      <c r="AA555" s="11"/>
      <c r="AB555" s="11"/>
      <c r="AC555" s="11"/>
    </row>
    <row r="556" spans="1:29" ht="14">
      <c r="A556" s="11"/>
      <c r="B556" s="11"/>
      <c r="C556" s="11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  <c r="S556" s="11"/>
      <c r="T556" s="11"/>
      <c r="U556" s="11"/>
      <c r="V556" s="11"/>
      <c r="W556" s="11"/>
      <c r="X556" s="11"/>
      <c r="Y556" s="11"/>
      <c r="Z556" s="11"/>
      <c r="AA556" s="11"/>
      <c r="AB556" s="11"/>
      <c r="AC556" s="11"/>
    </row>
    <row r="557" spans="1:29" ht="14">
      <c r="A557" s="11"/>
      <c r="B557" s="11"/>
      <c r="C557" s="11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  <c r="S557" s="11"/>
      <c r="T557" s="11"/>
      <c r="U557" s="11"/>
      <c r="V557" s="11"/>
      <c r="W557" s="11"/>
      <c r="X557" s="11"/>
      <c r="Y557" s="11"/>
      <c r="Z557" s="11"/>
      <c r="AA557" s="11"/>
      <c r="AB557" s="11"/>
      <c r="AC557" s="11"/>
    </row>
    <row r="558" spans="1:29" ht="14">
      <c r="A558" s="11"/>
      <c r="B558" s="11"/>
      <c r="C558" s="11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  <c r="S558" s="11"/>
      <c r="T558" s="11"/>
      <c r="U558" s="11"/>
      <c r="V558" s="11"/>
      <c r="W558" s="11"/>
      <c r="X558" s="11"/>
      <c r="Y558" s="11"/>
      <c r="Z558" s="11"/>
      <c r="AA558" s="11"/>
      <c r="AB558" s="11"/>
      <c r="AC558" s="11"/>
    </row>
    <row r="559" spans="1:29" ht="14">
      <c r="A559" s="11"/>
      <c r="B559" s="11"/>
      <c r="C559" s="11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  <c r="S559" s="11"/>
      <c r="T559" s="11"/>
      <c r="U559" s="11"/>
      <c r="V559" s="11"/>
      <c r="W559" s="11"/>
      <c r="X559" s="11"/>
      <c r="Y559" s="11"/>
      <c r="Z559" s="11"/>
      <c r="AA559" s="11"/>
      <c r="AB559" s="11"/>
      <c r="AC559" s="11"/>
    </row>
    <row r="560" spans="1:29" ht="14">
      <c r="A560" s="11"/>
      <c r="B560" s="11"/>
      <c r="C560" s="11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  <c r="S560" s="11"/>
      <c r="T560" s="11"/>
      <c r="U560" s="11"/>
      <c r="V560" s="11"/>
      <c r="W560" s="11"/>
      <c r="X560" s="11"/>
      <c r="Y560" s="11"/>
      <c r="Z560" s="11"/>
      <c r="AA560" s="11"/>
      <c r="AB560" s="11"/>
      <c r="AC560" s="11"/>
    </row>
    <row r="561" spans="1:29" ht="14">
      <c r="A561" s="11"/>
      <c r="B561" s="11"/>
      <c r="C561" s="11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  <c r="S561" s="11"/>
      <c r="T561" s="11"/>
      <c r="U561" s="11"/>
      <c r="V561" s="11"/>
      <c r="W561" s="11"/>
      <c r="X561" s="11"/>
      <c r="Y561" s="11"/>
      <c r="Z561" s="11"/>
      <c r="AA561" s="11"/>
      <c r="AB561" s="11"/>
      <c r="AC561" s="11"/>
    </row>
    <row r="562" spans="1:29" ht="14">
      <c r="A562" s="11"/>
      <c r="B562" s="11"/>
      <c r="C562" s="11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  <c r="S562" s="11"/>
      <c r="T562" s="11"/>
      <c r="U562" s="11"/>
      <c r="V562" s="11"/>
      <c r="W562" s="11"/>
      <c r="X562" s="11"/>
      <c r="Y562" s="11"/>
      <c r="Z562" s="11"/>
      <c r="AA562" s="11"/>
      <c r="AB562" s="11"/>
      <c r="AC562" s="11"/>
    </row>
    <row r="563" spans="1:29" ht="14">
      <c r="A563" s="11"/>
      <c r="B563" s="11"/>
      <c r="C563" s="11"/>
      <c r="D563" s="11"/>
      <c r="E563" s="11"/>
      <c r="F563" s="11"/>
      <c r="G563" s="11"/>
      <c r="H563" s="11"/>
      <c r="I563" s="11"/>
      <c r="J563" s="11"/>
      <c r="K563" s="11"/>
      <c r="L563" s="11"/>
      <c r="M563" s="11"/>
      <c r="N563" s="11"/>
      <c r="O563" s="11"/>
      <c r="P563" s="11"/>
      <c r="Q563" s="11"/>
      <c r="R563" s="11"/>
      <c r="S563" s="11"/>
      <c r="T563" s="11"/>
      <c r="U563" s="11"/>
      <c r="V563" s="11"/>
      <c r="W563" s="11"/>
      <c r="X563" s="11"/>
      <c r="Y563" s="11"/>
      <c r="Z563" s="11"/>
      <c r="AA563" s="11"/>
      <c r="AB563" s="11"/>
      <c r="AC563" s="11"/>
    </row>
    <row r="564" spans="1:29" ht="14">
      <c r="A564" s="11"/>
      <c r="B564" s="11"/>
      <c r="C564" s="11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  <c r="S564" s="11"/>
      <c r="T564" s="11"/>
      <c r="U564" s="11"/>
      <c r="V564" s="11"/>
      <c r="W564" s="11"/>
      <c r="X564" s="11"/>
      <c r="Y564" s="11"/>
      <c r="Z564" s="11"/>
      <c r="AA564" s="11"/>
      <c r="AB564" s="11"/>
      <c r="AC564" s="11"/>
    </row>
    <row r="565" spans="1:29" ht="14">
      <c r="A565" s="11"/>
      <c r="B565" s="11"/>
      <c r="C565" s="11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  <c r="S565" s="11"/>
      <c r="T565" s="11"/>
      <c r="U565" s="11"/>
      <c r="V565" s="11"/>
      <c r="W565" s="11"/>
      <c r="X565" s="11"/>
      <c r="Y565" s="11"/>
      <c r="Z565" s="11"/>
      <c r="AA565" s="11"/>
      <c r="AB565" s="11"/>
      <c r="AC565" s="11"/>
    </row>
    <row r="566" spans="1:29" ht="14">
      <c r="A566" s="11"/>
      <c r="B566" s="11"/>
      <c r="C566" s="11"/>
      <c r="D566" s="11"/>
      <c r="E566" s="11"/>
      <c r="F566" s="11"/>
      <c r="G566" s="11"/>
      <c r="H566" s="11"/>
      <c r="I566" s="11"/>
      <c r="J566" s="11"/>
      <c r="K566" s="11"/>
      <c r="L566" s="11"/>
      <c r="M566" s="11"/>
      <c r="N566" s="11"/>
      <c r="O566" s="11"/>
      <c r="P566" s="11"/>
      <c r="Q566" s="11"/>
      <c r="R566" s="11"/>
      <c r="S566" s="11"/>
      <c r="T566" s="11"/>
      <c r="U566" s="11"/>
      <c r="V566" s="11"/>
      <c r="W566" s="11"/>
      <c r="X566" s="11"/>
      <c r="Y566" s="11"/>
      <c r="Z566" s="11"/>
      <c r="AA566" s="11"/>
      <c r="AB566" s="11"/>
      <c r="AC566" s="11"/>
    </row>
    <row r="567" spans="1:29" ht="14">
      <c r="A567" s="11"/>
      <c r="B567" s="11"/>
      <c r="C567" s="11"/>
      <c r="D567" s="11"/>
      <c r="E567" s="11"/>
      <c r="F567" s="11"/>
      <c r="G567" s="11"/>
      <c r="H567" s="11"/>
      <c r="I567" s="11"/>
      <c r="J567" s="11"/>
      <c r="K567" s="11"/>
      <c r="L567" s="11"/>
      <c r="M567" s="11"/>
      <c r="N567" s="11"/>
      <c r="O567" s="11"/>
      <c r="P567" s="11"/>
      <c r="Q567" s="11"/>
      <c r="R567" s="11"/>
      <c r="S567" s="11"/>
      <c r="T567" s="11"/>
      <c r="U567" s="11"/>
      <c r="V567" s="11"/>
      <c r="W567" s="11"/>
      <c r="X567" s="11"/>
      <c r="Y567" s="11"/>
      <c r="Z567" s="11"/>
      <c r="AA567" s="11"/>
      <c r="AB567" s="11"/>
      <c r="AC567" s="11"/>
    </row>
    <row r="568" spans="1:29" ht="14">
      <c r="A568" s="11"/>
      <c r="B568" s="11"/>
      <c r="C568" s="11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  <c r="S568" s="11"/>
      <c r="T568" s="11"/>
      <c r="U568" s="11"/>
      <c r="V568" s="11"/>
      <c r="W568" s="11"/>
      <c r="X568" s="11"/>
      <c r="Y568" s="11"/>
      <c r="Z568" s="11"/>
      <c r="AA568" s="11"/>
      <c r="AB568" s="11"/>
      <c r="AC568" s="11"/>
    </row>
    <row r="569" spans="1:29" ht="14">
      <c r="A569" s="11"/>
      <c r="B569" s="11"/>
      <c r="C569" s="11"/>
      <c r="D569" s="11"/>
      <c r="E569" s="11"/>
      <c r="F569" s="11"/>
      <c r="G569" s="11"/>
      <c r="H569" s="11"/>
      <c r="I569" s="11"/>
      <c r="J569" s="11"/>
      <c r="K569" s="11"/>
      <c r="L569" s="11"/>
      <c r="M569" s="11"/>
      <c r="N569" s="11"/>
      <c r="O569" s="11"/>
      <c r="P569" s="11"/>
      <c r="Q569" s="11"/>
      <c r="R569" s="11"/>
      <c r="S569" s="11"/>
      <c r="T569" s="11"/>
      <c r="U569" s="11"/>
      <c r="V569" s="11"/>
      <c r="W569" s="11"/>
      <c r="X569" s="11"/>
      <c r="Y569" s="11"/>
      <c r="Z569" s="11"/>
      <c r="AA569" s="11"/>
      <c r="AB569" s="11"/>
      <c r="AC569" s="11"/>
    </row>
    <row r="570" spans="1:29" ht="14">
      <c r="A570" s="11"/>
      <c r="B570" s="11"/>
      <c r="C570" s="11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  <c r="S570" s="11"/>
      <c r="T570" s="11"/>
      <c r="U570" s="11"/>
      <c r="V570" s="11"/>
      <c r="W570" s="11"/>
      <c r="X570" s="11"/>
      <c r="Y570" s="11"/>
      <c r="Z570" s="11"/>
      <c r="AA570" s="11"/>
      <c r="AB570" s="11"/>
      <c r="AC570" s="11"/>
    </row>
    <row r="571" spans="1:29" ht="14">
      <c r="A571" s="11"/>
      <c r="B571" s="11"/>
      <c r="C571" s="11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  <c r="S571" s="11"/>
      <c r="T571" s="11"/>
      <c r="U571" s="11"/>
      <c r="V571" s="11"/>
      <c r="W571" s="11"/>
      <c r="X571" s="11"/>
      <c r="Y571" s="11"/>
      <c r="Z571" s="11"/>
      <c r="AA571" s="11"/>
      <c r="AB571" s="11"/>
      <c r="AC571" s="11"/>
    </row>
    <row r="572" spans="1:29" ht="14">
      <c r="A572" s="11"/>
      <c r="B572" s="11"/>
      <c r="C572" s="11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  <c r="S572" s="11"/>
      <c r="T572" s="11"/>
      <c r="U572" s="11"/>
      <c r="V572" s="11"/>
      <c r="W572" s="11"/>
      <c r="X572" s="11"/>
      <c r="Y572" s="11"/>
      <c r="Z572" s="11"/>
      <c r="AA572" s="11"/>
      <c r="AB572" s="11"/>
      <c r="AC572" s="11"/>
    </row>
    <row r="573" spans="1:29" ht="14">
      <c r="A573" s="11"/>
      <c r="B573" s="11"/>
      <c r="C573" s="11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  <c r="S573" s="11"/>
      <c r="T573" s="11"/>
      <c r="U573" s="11"/>
      <c r="V573" s="11"/>
      <c r="W573" s="11"/>
      <c r="X573" s="11"/>
      <c r="Y573" s="11"/>
      <c r="Z573" s="11"/>
      <c r="AA573" s="11"/>
      <c r="AB573" s="11"/>
      <c r="AC573" s="11"/>
    </row>
    <row r="574" spans="1:29" ht="14">
      <c r="A574" s="11"/>
      <c r="B574" s="11"/>
      <c r="C574" s="11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  <c r="S574" s="11"/>
      <c r="T574" s="11"/>
      <c r="U574" s="11"/>
      <c r="V574" s="11"/>
      <c r="W574" s="11"/>
      <c r="X574" s="11"/>
      <c r="Y574" s="11"/>
      <c r="Z574" s="11"/>
      <c r="AA574" s="11"/>
      <c r="AB574" s="11"/>
      <c r="AC574" s="11"/>
    </row>
    <row r="575" spans="1:29" ht="14">
      <c r="A575" s="11"/>
      <c r="B575" s="11"/>
      <c r="C575" s="11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  <c r="S575" s="11"/>
      <c r="T575" s="11"/>
      <c r="U575" s="11"/>
      <c r="V575" s="11"/>
      <c r="W575" s="11"/>
      <c r="X575" s="11"/>
      <c r="Y575" s="11"/>
      <c r="Z575" s="11"/>
      <c r="AA575" s="11"/>
      <c r="AB575" s="11"/>
      <c r="AC575" s="11"/>
    </row>
    <row r="576" spans="1:29" ht="14">
      <c r="A576" s="11"/>
      <c r="B576" s="11"/>
      <c r="C576" s="11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  <c r="S576" s="11"/>
      <c r="T576" s="11"/>
      <c r="U576" s="11"/>
      <c r="V576" s="11"/>
      <c r="W576" s="11"/>
      <c r="X576" s="11"/>
      <c r="Y576" s="11"/>
      <c r="Z576" s="11"/>
      <c r="AA576" s="11"/>
      <c r="AB576" s="11"/>
      <c r="AC576" s="11"/>
    </row>
    <row r="577" spans="1:29" ht="14">
      <c r="A577" s="11"/>
      <c r="B577" s="11"/>
      <c r="C577" s="11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  <c r="S577" s="11"/>
      <c r="T577" s="11"/>
      <c r="U577" s="11"/>
      <c r="V577" s="11"/>
      <c r="W577" s="11"/>
      <c r="X577" s="11"/>
      <c r="Y577" s="11"/>
      <c r="Z577" s="11"/>
      <c r="AA577" s="11"/>
      <c r="AB577" s="11"/>
      <c r="AC577" s="11"/>
    </row>
    <row r="578" spans="1:29" ht="14">
      <c r="A578" s="11"/>
      <c r="B578" s="11"/>
      <c r="C578" s="11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  <c r="S578" s="11"/>
      <c r="T578" s="11"/>
      <c r="U578" s="11"/>
      <c r="V578" s="11"/>
      <c r="W578" s="11"/>
      <c r="X578" s="11"/>
      <c r="Y578" s="11"/>
      <c r="Z578" s="11"/>
      <c r="AA578" s="11"/>
      <c r="AB578" s="11"/>
      <c r="AC578" s="11"/>
    </row>
    <row r="579" spans="1:29" ht="14">
      <c r="A579" s="11"/>
      <c r="B579" s="11"/>
      <c r="C579" s="11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  <c r="S579" s="11"/>
      <c r="T579" s="11"/>
      <c r="U579" s="11"/>
      <c r="V579" s="11"/>
      <c r="W579" s="11"/>
      <c r="X579" s="11"/>
      <c r="Y579" s="11"/>
      <c r="Z579" s="11"/>
      <c r="AA579" s="11"/>
      <c r="AB579" s="11"/>
      <c r="AC579" s="11"/>
    </row>
    <row r="580" spans="1:29" ht="14">
      <c r="A580" s="11"/>
      <c r="B580" s="11"/>
      <c r="C580" s="11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  <c r="S580" s="11"/>
      <c r="T580" s="11"/>
      <c r="U580" s="11"/>
      <c r="V580" s="11"/>
      <c r="W580" s="11"/>
      <c r="X580" s="11"/>
      <c r="Y580" s="11"/>
      <c r="Z580" s="11"/>
      <c r="AA580" s="11"/>
      <c r="AB580" s="11"/>
      <c r="AC580" s="11"/>
    </row>
    <row r="581" spans="1:29" ht="14">
      <c r="A581" s="11"/>
      <c r="B581" s="11"/>
      <c r="C581" s="11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  <c r="S581" s="11"/>
      <c r="T581" s="11"/>
      <c r="U581" s="11"/>
      <c r="V581" s="11"/>
      <c r="W581" s="11"/>
      <c r="X581" s="11"/>
      <c r="Y581" s="11"/>
      <c r="Z581" s="11"/>
      <c r="AA581" s="11"/>
      <c r="AB581" s="11"/>
      <c r="AC581" s="11"/>
    </row>
    <row r="582" spans="1:29" ht="14">
      <c r="A582" s="11"/>
      <c r="B582" s="11"/>
      <c r="C582" s="11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  <c r="S582" s="11"/>
      <c r="T582" s="11"/>
      <c r="U582" s="11"/>
      <c r="V582" s="11"/>
      <c r="W582" s="11"/>
      <c r="X582" s="11"/>
      <c r="Y582" s="11"/>
      <c r="Z582" s="11"/>
      <c r="AA582" s="11"/>
      <c r="AB582" s="11"/>
      <c r="AC582" s="11"/>
    </row>
    <row r="583" spans="1:29" ht="14">
      <c r="A583" s="11"/>
      <c r="B583" s="11"/>
      <c r="C583" s="11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  <c r="S583" s="11"/>
      <c r="T583" s="11"/>
      <c r="U583" s="11"/>
      <c r="V583" s="11"/>
      <c r="W583" s="11"/>
      <c r="X583" s="11"/>
      <c r="Y583" s="11"/>
      <c r="Z583" s="11"/>
      <c r="AA583" s="11"/>
      <c r="AB583" s="11"/>
      <c r="AC583" s="11"/>
    </row>
    <row r="584" spans="1:29" ht="14">
      <c r="A584" s="11"/>
      <c r="B584" s="11"/>
      <c r="C584" s="11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  <c r="S584" s="11"/>
      <c r="T584" s="11"/>
      <c r="U584" s="11"/>
      <c r="V584" s="11"/>
      <c r="W584" s="11"/>
      <c r="X584" s="11"/>
      <c r="Y584" s="11"/>
      <c r="Z584" s="11"/>
      <c r="AA584" s="11"/>
      <c r="AB584" s="11"/>
      <c r="AC584" s="11"/>
    </row>
    <row r="585" spans="1:29" ht="14">
      <c r="A585" s="11"/>
      <c r="B585" s="11"/>
      <c r="C585" s="11"/>
      <c r="D585" s="11"/>
      <c r="E585" s="11"/>
      <c r="F585" s="11"/>
      <c r="G585" s="11"/>
      <c r="H585" s="11"/>
      <c r="I585" s="11"/>
      <c r="J585" s="11"/>
      <c r="K585" s="11"/>
      <c r="L585" s="11"/>
      <c r="M585" s="11"/>
      <c r="N585" s="11"/>
      <c r="O585" s="11"/>
      <c r="P585" s="11"/>
      <c r="Q585" s="11"/>
      <c r="R585" s="11"/>
      <c r="S585" s="11"/>
      <c r="T585" s="11"/>
      <c r="U585" s="11"/>
      <c r="V585" s="11"/>
      <c r="W585" s="11"/>
      <c r="X585" s="11"/>
      <c r="Y585" s="11"/>
      <c r="Z585" s="11"/>
      <c r="AA585" s="11"/>
      <c r="AB585" s="11"/>
      <c r="AC585" s="11"/>
    </row>
    <row r="586" spans="1:29" ht="14">
      <c r="A586" s="11"/>
      <c r="B586" s="11"/>
      <c r="C586" s="11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  <c r="S586" s="11"/>
      <c r="T586" s="11"/>
      <c r="U586" s="11"/>
      <c r="V586" s="11"/>
      <c r="W586" s="11"/>
      <c r="X586" s="11"/>
      <c r="Y586" s="11"/>
      <c r="Z586" s="11"/>
      <c r="AA586" s="11"/>
      <c r="AB586" s="11"/>
      <c r="AC586" s="11"/>
    </row>
    <row r="587" spans="1:29" ht="14">
      <c r="A587" s="11"/>
      <c r="B587" s="11"/>
      <c r="C587" s="11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  <c r="S587" s="11"/>
      <c r="T587" s="11"/>
      <c r="U587" s="11"/>
      <c r="V587" s="11"/>
      <c r="W587" s="11"/>
      <c r="X587" s="11"/>
      <c r="Y587" s="11"/>
      <c r="Z587" s="11"/>
      <c r="AA587" s="11"/>
      <c r="AB587" s="11"/>
      <c r="AC587" s="11"/>
    </row>
    <row r="588" spans="1:29" ht="14">
      <c r="A588" s="11"/>
      <c r="B588" s="11"/>
      <c r="C588" s="11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  <c r="S588" s="11"/>
      <c r="T588" s="11"/>
      <c r="U588" s="11"/>
      <c r="V588" s="11"/>
      <c r="W588" s="11"/>
      <c r="X588" s="11"/>
      <c r="Y588" s="11"/>
      <c r="Z588" s="11"/>
      <c r="AA588" s="11"/>
      <c r="AB588" s="11"/>
      <c r="AC588" s="11"/>
    </row>
    <row r="589" spans="1:29" ht="14">
      <c r="A589" s="11"/>
      <c r="B589" s="11"/>
      <c r="C589" s="11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  <c r="S589" s="11"/>
      <c r="T589" s="11"/>
      <c r="U589" s="11"/>
      <c r="V589" s="11"/>
      <c r="W589" s="11"/>
      <c r="X589" s="11"/>
      <c r="Y589" s="11"/>
      <c r="Z589" s="11"/>
      <c r="AA589" s="11"/>
      <c r="AB589" s="11"/>
      <c r="AC589" s="11"/>
    </row>
    <row r="590" spans="1:29" ht="14">
      <c r="A590" s="11"/>
      <c r="B590" s="11"/>
      <c r="C590" s="11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  <c r="S590" s="11"/>
      <c r="T590" s="11"/>
      <c r="U590" s="11"/>
      <c r="V590" s="11"/>
      <c r="W590" s="11"/>
      <c r="X590" s="11"/>
      <c r="Y590" s="11"/>
      <c r="Z590" s="11"/>
      <c r="AA590" s="11"/>
      <c r="AB590" s="11"/>
      <c r="AC590" s="11"/>
    </row>
    <row r="591" spans="1:29" ht="14">
      <c r="A591" s="11"/>
      <c r="B591" s="11"/>
      <c r="C591" s="11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  <c r="S591" s="11"/>
      <c r="T591" s="11"/>
      <c r="U591" s="11"/>
      <c r="V591" s="11"/>
      <c r="W591" s="11"/>
      <c r="X591" s="11"/>
      <c r="Y591" s="11"/>
      <c r="Z591" s="11"/>
      <c r="AA591" s="11"/>
      <c r="AB591" s="11"/>
      <c r="AC591" s="11"/>
    </row>
    <row r="592" spans="1:29" ht="14">
      <c r="A592" s="11"/>
      <c r="B592" s="11"/>
      <c r="C592" s="11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  <c r="S592" s="11"/>
      <c r="T592" s="11"/>
      <c r="U592" s="11"/>
      <c r="V592" s="11"/>
      <c r="W592" s="11"/>
      <c r="X592" s="11"/>
      <c r="Y592" s="11"/>
      <c r="Z592" s="11"/>
      <c r="AA592" s="11"/>
      <c r="AB592" s="11"/>
      <c r="AC592" s="11"/>
    </row>
    <row r="593" spans="1:29" ht="14">
      <c r="A593" s="11"/>
      <c r="B593" s="11"/>
      <c r="C593" s="11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  <c r="S593" s="11"/>
      <c r="T593" s="11"/>
      <c r="U593" s="11"/>
      <c r="V593" s="11"/>
      <c r="W593" s="11"/>
      <c r="X593" s="11"/>
      <c r="Y593" s="11"/>
      <c r="Z593" s="11"/>
      <c r="AA593" s="11"/>
      <c r="AB593" s="11"/>
      <c r="AC593" s="11"/>
    </row>
    <row r="594" spans="1:29" ht="14">
      <c r="A594" s="11"/>
      <c r="B594" s="11"/>
      <c r="C594" s="11"/>
      <c r="D594" s="11"/>
      <c r="E594" s="11"/>
      <c r="F594" s="11"/>
      <c r="G594" s="11"/>
      <c r="H594" s="11"/>
      <c r="I594" s="11"/>
      <c r="J594" s="11"/>
      <c r="K594" s="11"/>
      <c r="L594" s="11"/>
      <c r="M594" s="11"/>
      <c r="N594" s="11"/>
      <c r="O594" s="11"/>
      <c r="P594" s="11"/>
      <c r="Q594" s="11"/>
      <c r="R594" s="11"/>
      <c r="S594" s="11"/>
      <c r="T594" s="11"/>
      <c r="U594" s="11"/>
      <c r="V594" s="11"/>
      <c r="W594" s="11"/>
      <c r="X594" s="11"/>
      <c r="Y594" s="11"/>
      <c r="Z594" s="11"/>
      <c r="AA594" s="11"/>
      <c r="AB594" s="11"/>
      <c r="AC594" s="11"/>
    </row>
    <row r="595" spans="1:29" ht="14">
      <c r="A595" s="11"/>
      <c r="B595" s="11"/>
      <c r="C595" s="11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  <c r="S595" s="11"/>
      <c r="T595" s="11"/>
      <c r="U595" s="11"/>
      <c r="V595" s="11"/>
      <c r="W595" s="11"/>
      <c r="X595" s="11"/>
      <c r="Y595" s="11"/>
      <c r="Z595" s="11"/>
      <c r="AA595" s="11"/>
      <c r="AB595" s="11"/>
      <c r="AC595" s="11"/>
    </row>
    <row r="596" spans="1:29" ht="14">
      <c r="A596" s="11"/>
      <c r="B596" s="11"/>
      <c r="C596" s="11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  <c r="S596" s="11"/>
      <c r="T596" s="11"/>
      <c r="U596" s="11"/>
      <c r="V596" s="11"/>
      <c r="W596" s="11"/>
      <c r="X596" s="11"/>
      <c r="Y596" s="11"/>
      <c r="Z596" s="11"/>
      <c r="AA596" s="11"/>
      <c r="AB596" s="11"/>
      <c r="AC596" s="11"/>
    </row>
    <row r="597" spans="1:29" ht="14">
      <c r="A597" s="11"/>
      <c r="B597" s="11"/>
      <c r="C597" s="11"/>
      <c r="D597" s="11"/>
      <c r="E597" s="11"/>
      <c r="F597" s="11"/>
      <c r="G597" s="11"/>
      <c r="H597" s="11"/>
      <c r="I597" s="11"/>
      <c r="J597" s="11"/>
      <c r="K597" s="11"/>
      <c r="L597" s="11"/>
      <c r="M597" s="11"/>
      <c r="N597" s="11"/>
      <c r="O597" s="11"/>
      <c r="P597" s="11"/>
      <c r="Q597" s="11"/>
      <c r="R597" s="11"/>
      <c r="S597" s="11"/>
      <c r="T597" s="11"/>
      <c r="U597" s="11"/>
      <c r="V597" s="11"/>
      <c r="W597" s="11"/>
      <c r="X597" s="11"/>
      <c r="Y597" s="11"/>
      <c r="Z597" s="11"/>
      <c r="AA597" s="11"/>
      <c r="AB597" s="11"/>
      <c r="AC597" s="11"/>
    </row>
    <row r="598" spans="1:29" ht="14">
      <c r="A598" s="11"/>
      <c r="B598" s="11"/>
      <c r="C598" s="11"/>
      <c r="D598" s="11"/>
      <c r="E598" s="11"/>
      <c r="F598" s="11"/>
      <c r="G598" s="11"/>
      <c r="H598" s="11"/>
      <c r="I598" s="11"/>
      <c r="J598" s="11"/>
      <c r="K598" s="11"/>
      <c r="L598" s="11"/>
      <c r="M598" s="11"/>
      <c r="N598" s="11"/>
      <c r="O598" s="11"/>
      <c r="P598" s="11"/>
      <c r="Q598" s="11"/>
      <c r="R598" s="11"/>
      <c r="S598" s="11"/>
      <c r="T598" s="11"/>
      <c r="U598" s="11"/>
      <c r="V598" s="11"/>
      <c r="W598" s="11"/>
      <c r="X598" s="11"/>
      <c r="Y598" s="11"/>
      <c r="Z598" s="11"/>
      <c r="AA598" s="11"/>
      <c r="AB598" s="11"/>
      <c r="AC598" s="11"/>
    </row>
    <row r="599" spans="1:29" ht="14">
      <c r="A599" s="11"/>
      <c r="B599" s="11"/>
      <c r="C599" s="11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  <c r="S599" s="11"/>
      <c r="T599" s="11"/>
      <c r="U599" s="11"/>
      <c r="V599" s="11"/>
      <c r="W599" s="11"/>
      <c r="X599" s="11"/>
      <c r="Y599" s="11"/>
      <c r="Z599" s="11"/>
      <c r="AA599" s="11"/>
      <c r="AB599" s="11"/>
      <c r="AC599" s="11"/>
    </row>
    <row r="600" spans="1:29" ht="14">
      <c r="A600" s="11"/>
      <c r="B600" s="11"/>
      <c r="C600" s="11"/>
      <c r="D600" s="11"/>
      <c r="E600" s="11"/>
      <c r="F600" s="11"/>
      <c r="G600" s="11"/>
      <c r="H600" s="11"/>
      <c r="I600" s="11"/>
      <c r="J600" s="11"/>
      <c r="K600" s="11"/>
      <c r="L600" s="11"/>
      <c r="M600" s="11"/>
      <c r="N600" s="11"/>
      <c r="O600" s="11"/>
      <c r="P600" s="11"/>
      <c r="Q600" s="11"/>
      <c r="R600" s="11"/>
      <c r="S600" s="11"/>
      <c r="T600" s="11"/>
      <c r="U600" s="11"/>
      <c r="V600" s="11"/>
      <c r="W600" s="11"/>
      <c r="X600" s="11"/>
      <c r="Y600" s="11"/>
      <c r="Z600" s="11"/>
      <c r="AA600" s="11"/>
      <c r="AB600" s="11"/>
      <c r="AC600" s="11"/>
    </row>
    <row r="601" spans="1:29" ht="14">
      <c r="A601" s="11"/>
      <c r="B601" s="11"/>
      <c r="C601" s="11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  <c r="S601" s="11"/>
      <c r="T601" s="11"/>
      <c r="U601" s="11"/>
      <c r="V601" s="11"/>
      <c r="W601" s="11"/>
      <c r="X601" s="11"/>
      <c r="Y601" s="11"/>
      <c r="Z601" s="11"/>
      <c r="AA601" s="11"/>
      <c r="AB601" s="11"/>
      <c r="AC601" s="11"/>
    </row>
    <row r="602" spans="1:29" ht="14">
      <c r="A602" s="11"/>
      <c r="B602" s="11"/>
      <c r="C602" s="11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  <c r="S602" s="11"/>
      <c r="T602" s="11"/>
      <c r="U602" s="11"/>
      <c r="V602" s="11"/>
      <c r="W602" s="11"/>
      <c r="X602" s="11"/>
      <c r="Y602" s="11"/>
      <c r="Z602" s="11"/>
      <c r="AA602" s="11"/>
      <c r="AB602" s="11"/>
      <c r="AC602" s="11"/>
    </row>
    <row r="603" spans="1:29" ht="14">
      <c r="A603" s="11"/>
      <c r="B603" s="11"/>
      <c r="C603" s="11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  <c r="S603" s="11"/>
      <c r="T603" s="11"/>
      <c r="U603" s="11"/>
      <c r="V603" s="11"/>
      <c r="W603" s="11"/>
      <c r="X603" s="11"/>
      <c r="Y603" s="11"/>
      <c r="Z603" s="11"/>
      <c r="AA603" s="11"/>
      <c r="AB603" s="11"/>
      <c r="AC603" s="11"/>
    </row>
    <row r="604" spans="1:29" ht="14">
      <c r="A604" s="11"/>
      <c r="B604" s="11"/>
      <c r="C604" s="11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  <c r="S604" s="11"/>
      <c r="T604" s="11"/>
      <c r="U604" s="11"/>
      <c r="V604" s="11"/>
      <c r="W604" s="11"/>
      <c r="X604" s="11"/>
      <c r="Y604" s="11"/>
      <c r="Z604" s="11"/>
      <c r="AA604" s="11"/>
      <c r="AB604" s="11"/>
      <c r="AC604" s="11"/>
    </row>
    <row r="605" spans="1:29" ht="14">
      <c r="A605" s="11"/>
      <c r="B605" s="11"/>
      <c r="C605" s="11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  <c r="S605" s="11"/>
      <c r="T605" s="11"/>
      <c r="U605" s="11"/>
      <c r="V605" s="11"/>
      <c r="W605" s="11"/>
      <c r="X605" s="11"/>
      <c r="Y605" s="11"/>
      <c r="Z605" s="11"/>
      <c r="AA605" s="11"/>
      <c r="AB605" s="11"/>
      <c r="AC605" s="11"/>
    </row>
    <row r="606" spans="1:29" ht="14">
      <c r="A606" s="11"/>
      <c r="B606" s="11"/>
      <c r="C606" s="11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  <c r="S606" s="11"/>
      <c r="T606" s="11"/>
      <c r="U606" s="11"/>
      <c r="V606" s="11"/>
      <c r="W606" s="11"/>
      <c r="X606" s="11"/>
      <c r="Y606" s="11"/>
      <c r="Z606" s="11"/>
      <c r="AA606" s="11"/>
      <c r="AB606" s="11"/>
      <c r="AC606" s="11"/>
    </row>
    <row r="607" spans="1:29" ht="14">
      <c r="A607" s="11"/>
      <c r="B607" s="11"/>
      <c r="C607" s="11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  <c r="S607" s="11"/>
      <c r="T607" s="11"/>
      <c r="U607" s="11"/>
      <c r="V607" s="11"/>
      <c r="W607" s="11"/>
      <c r="X607" s="11"/>
      <c r="Y607" s="11"/>
      <c r="Z607" s="11"/>
      <c r="AA607" s="11"/>
      <c r="AB607" s="11"/>
      <c r="AC607" s="11"/>
    </row>
    <row r="608" spans="1:29" ht="14">
      <c r="A608" s="11"/>
      <c r="B608" s="11"/>
      <c r="C608" s="11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  <c r="S608" s="11"/>
      <c r="T608" s="11"/>
      <c r="U608" s="11"/>
      <c r="V608" s="11"/>
      <c r="W608" s="11"/>
      <c r="X608" s="11"/>
      <c r="Y608" s="11"/>
      <c r="Z608" s="11"/>
      <c r="AA608" s="11"/>
      <c r="AB608" s="11"/>
      <c r="AC608" s="11"/>
    </row>
    <row r="609" spans="1:29" ht="14">
      <c r="A609" s="11"/>
      <c r="B609" s="11"/>
      <c r="C609" s="11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  <c r="S609" s="11"/>
      <c r="T609" s="11"/>
      <c r="U609" s="11"/>
      <c r="V609" s="11"/>
      <c r="W609" s="11"/>
      <c r="X609" s="11"/>
      <c r="Y609" s="11"/>
      <c r="Z609" s="11"/>
      <c r="AA609" s="11"/>
      <c r="AB609" s="11"/>
      <c r="AC609" s="11"/>
    </row>
    <row r="610" spans="1:29" ht="14">
      <c r="A610" s="11"/>
      <c r="B610" s="11"/>
      <c r="C610" s="11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  <c r="S610" s="11"/>
      <c r="T610" s="11"/>
      <c r="U610" s="11"/>
      <c r="V610" s="11"/>
      <c r="W610" s="11"/>
      <c r="X610" s="11"/>
      <c r="Y610" s="11"/>
      <c r="Z610" s="11"/>
      <c r="AA610" s="11"/>
      <c r="AB610" s="11"/>
      <c r="AC610" s="11"/>
    </row>
    <row r="611" spans="1:29" ht="14">
      <c r="A611" s="11"/>
      <c r="B611" s="11"/>
      <c r="C611" s="11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  <c r="S611" s="11"/>
      <c r="T611" s="11"/>
      <c r="U611" s="11"/>
      <c r="V611" s="11"/>
      <c r="W611" s="11"/>
      <c r="X611" s="11"/>
      <c r="Y611" s="11"/>
      <c r="Z611" s="11"/>
      <c r="AA611" s="11"/>
      <c r="AB611" s="11"/>
      <c r="AC611" s="11"/>
    </row>
    <row r="612" spans="1:29" ht="14">
      <c r="A612" s="11"/>
      <c r="B612" s="11"/>
      <c r="C612" s="11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  <c r="S612" s="11"/>
      <c r="T612" s="11"/>
      <c r="U612" s="11"/>
      <c r="V612" s="11"/>
      <c r="W612" s="11"/>
      <c r="X612" s="11"/>
      <c r="Y612" s="11"/>
      <c r="Z612" s="11"/>
      <c r="AA612" s="11"/>
      <c r="AB612" s="11"/>
      <c r="AC612" s="11"/>
    </row>
    <row r="613" spans="1:29" ht="14">
      <c r="A613" s="11"/>
      <c r="B613" s="11"/>
      <c r="C613" s="11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  <c r="S613" s="11"/>
      <c r="T613" s="11"/>
      <c r="U613" s="11"/>
      <c r="V613" s="11"/>
      <c r="W613" s="11"/>
      <c r="X613" s="11"/>
      <c r="Y613" s="11"/>
      <c r="Z613" s="11"/>
      <c r="AA613" s="11"/>
      <c r="AB613" s="11"/>
      <c r="AC613" s="11"/>
    </row>
    <row r="614" spans="1:29" ht="14">
      <c r="A614" s="11"/>
      <c r="B614" s="11"/>
      <c r="C614" s="11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  <c r="S614" s="11"/>
      <c r="T614" s="11"/>
      <c r="U614" s="11"/>
      <c r="V614" s="11"/>
      <c r="W614" s="11"/>
      <c r="X614" s="11"/>
      <c r="Y614" s="11"/>
      <c r="Z614" s="11"/>
      <c r="AA614" s="11"/>
      <c r="AB614" s="11"/>
      <c r="AC614" s="11"/>
    </row>
    <row r="615" spans="1:29" ht="14">
      <c r="A615" s="11"/>
      <c r="B615" s="11"/>
      <c r="C615" s="11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  <c r="S615" s="11"/>
      <c r="T615" s="11"/>
      <c r="U615" s="11"/>
      <c r="V615" s="11"/>
      <c r="W615" s="11"/>
      <c r="X615" s="11"/>
      <c r="Y615" s="11"/>
      <c r="Z615" s="11"/>
      <c r="AA615" s="11"/>
      <c r="AB615" s="11"/>
      <c r="AC615" s="11"/>
    </row>
    <row r="616" spans="1:29" ht="14">
      <c r="A616" s="11"/>
      <c r="B616" s="11"/>
      <c r="C616" s="11"/>
      <c r="D616" s="11"/>
      <c r="E616" s="11"/>
      <c r="F616" s="11"/>
      <c r="G616" s="11"/>
      <c r="H616" s="11"/>
      <c r="I616" s="11"/>
      <c r="J616" s="11"/>
      <c r="K616" s="11"/>
      <c r="L616" s="11"/>
      <c r="M616" s="11"/>
      <c r="N616" s="11"/>
      <c r="O616" s="11"/>
      <c r="P616" s="11"/>
      <c r="Q616" s="11"/>
      <c r="R616" s="11"/>
      <c r="S616" s="11"/>
      <c r="T616" s="11"/>
      <c r="U616" s="11"/>
      <c r="V616" s="11"/>
      <c r="W616" s="11"/>
      <c r="X616" s="11"/>
      <c r="Y616" s="11"/>
      <c r="Z616" s="11"/>
      <c r="AA616" s="11"/>
      <c r="AB616" s="11"/>
      <c r="AC616" s="11"/>
    </row>
    <row r="617" spans="1:29" ht="14">
      <c r="A617" s="11"/>
      <c r="B617" s="11"/>
      <c r="C617" s="11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  <c r="S617" s="11"/>
      <c r="T617" s="11"/>
      <c r="U617" s="11"/>
      <c r="V617" s="11"/>
      <c r="W617" s="11"/>
      <c r="X617" s="11"/>
      <c r="Y617" s="11"/>
      <c r="Z617" s="11"/>
      <c r="AA617" s="11"/>
      <c r="AB617" s="11"/>
      <c r="AC617" s="11"/>
    </row>
    <row r="618" spans="1:29" ht="14">
      <c r="A618" s="11"/>
      <c r="B618" s="11"/>
      <c r="C618" s="11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  <c r="S618" s="11"/>
      <c r="T618" s="11"/>
      <c r="U618" s="11"/>
      <c r="V618" s="11"/>
      <c r="W618" s="11"/>
      <c r="X618" s="11"/>
      <c r="Y618" s="11"/>
      <c r="Z618" s="11"/>
      <c r="AA618" s="11"/>
      <c r="AB618" s="11"/>
      <c r="AC618" s="11"/>
    </row>
    <row r="619" spans="1:29" ht="14">
      <c r="A619" s="11"/>
      <c r="B619" s="11"/>
      <c r="C619" s="11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  <c r="S619" s="11"/>
      <c r="T619" s="11"/>
      <c r="U619" s="11"/>
      <c r="V619" s="11"/>
      <c r="W619" s="11"/>
      <c r="X619" s="11"/>
      <c r="Y619" s="11"/>
      <c r="Z619" s="11"/>
      <c r="AA619" s="11"/>
      <c r="AB619" s="11"/>
      <c r="AC619" s="11"/>
    </row>
    <row r="620" spans="1:29" ht="14">
      <c r="A620" s="11"/>
      <c r="B620" s="11"/>
      <c r="C620" s="11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  <c r="S620" s="11"/>
      <c r="T620" s="11"/>
      <c r="U620" s="11"/>
      <c r="V620" s="11"/>
      <c r="W620" s="11"/>
      <c r="X620" s="11"/>
      <c r="Y620" s="11"/>
      <c r="Z620" s="11"/>
      <c r="AA620" s="11"/>
      <c r="AB620" s="11"/>
      <c r="AC620" s="11"/>
    </row>
    <row r="621" spans="1:29" ht="14">
      <c r="A621" s="11"/>
      <c r="B621" s="11"/>
      <c r="C621" s="11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  <c r="S621" s="11"/>
      <c r="T621" s="11"/>
      <c r="U621" s="11"/>
      <c r="V621" s="11"/>
      <c r="W621" s="11"/>
      <c r="X621" s="11"/>
      <c r="Y621" s="11"/>
      <c r="Z621" s="11"/>
      <c r="AA621" s="11"/>
      <c r="AB621" s="11"/>
      <c r="AC621" s="11"/>
    </row>
    <row r="622" spans="1:29" ht="14">
      <c r="A622" s="11"/>
      <c r="B622" s="11"/>
      <c r="C622" s="11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  <c r="S622" s="11"/>
      <c r="T622" s="11"/>
      <c r="U622" s="11"/>
      <c r="V622" s="11"/>
      <c r="W622" s="11"/>
      <c r="X622" s="11"/>
      <c r="Y622" s="11"/>
      <c r="Z622" s="11"/>
      <c r="AA622" s="11"/>
      <c r="AB622" s="11"/>
      <c r="AC622" s="11"/>
    </row>
    <row r="623" spans="1:29" ht="14">
      <c r="A623" s="11"/>
      <c r="B623" s="11"/>
      <c r="C623" s="11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  <c r="S623" s="11"/>
      <c r="T623" s="11"/>
      <c r="U623" s="11"/>
      <c r="V623" s="11"/>
      <c r="W623" s="11"/>
      <c r="X623" s="11"/>
      <c r="Y623" s="11"/>
      <c r="Z623" s="11"/>
      <c r="AA623" s="11"/>
      <c r="AB623" s="11"/>
      <c r="AC623" s="11"/>
    </row>
    <row r="624" spans="1:29" ht="14">
      <c r="A624" s="11"/>
      <c r="B624" s="11"/>
      <c r="C624" s="11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  <c r="S624" s="11"/>
      <c r="T624" s="11"/>
      <c r="U624" s="11"/>
      <c r="V624" s="11"/>
      <c r="W624" s="11"/>
      <c r="X624" s="11"/>
      <c r="Y624" s="11"/>
      <c r="Z624" s="11"/>
      <c r="AA624" s="11"/>
      <c r="AB624" s="11"/>
      <c r="AC624" s="11"/>
    </row>
    <row r="625" spans="1:29" ht="14">
      <c r="A625" s="11"/>
      <c r="B625" s="11"/>
      <c r="C625" s="11"/>
      <c r="D625" s="11"/>
      <c r="E625" s="11"/>
      <c r="F625" s="11"/>
      <c r="G625" s="11"/>
      <c r="H625" s="11"/>
      <c r="I625" s="11"/>
      <c r="J625" s="11"/>
      <c r="K625" s="11"/>
      <c r="L625" s="11"/>
      <c r="M625" s="11"/>
      <c r="N625" s="11"/>
      <c r="O625" s="11"/>
      <c r="P625" s="11"/>
      <c r="Q625" s="11"/>
      <c r="R625" s="11"/>
      <c r="S625" s="11"/>
      <c r="T625" s="11"/>
      <c r="U625" s="11"/>
      <c r="V625" s="11"/>
      <c r="W625" s="11"/>
      <c r="X625" s="11"/>
      <c r="Y625" s="11"/>
      <c r="Z625" s="11"/>
      <c r="AA625" s="11"/>
      <c r="AB625" s="11"/>
      <c r="AC625" s="11"/>
    </row>
    <row r="626" spans="1:29" ht="14">
      <c r="A626" s="11"/>
      <c r="B626" s="11"/>
      <c r="C626" s="11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  <c r="S626" s="11"/>
      <c r="T626" s="11"/>
      <c r="U626" s="11"/>
      <c r="V626" s="11"/>
      <c r="W626" s="11"/>
      <c r="X626" s="11"/>
      <c r="Y626" s="11"/>
      <c r="Z626" s="11"/>
      <c r="AA626" s="11"/>
      <c r="AB626" s="11"/>
      <c r="AC626" s="11"/>
    </row>
    <row r="627" spans="1:29" ht="14">
      <c r="A627" s="11"/>
      <c r="B627" s="11"/>
      <c r="C627" s="11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  <c r="S627" s="11"/>
      <c r="T627" s="11"/>
      <c r="U627" s="11"/>
      <c r="V627" s="11"/>
      <c r="W627" s="11"/>
      <c r="X627" s="11"/>
      <c r="Y627" s="11"/>
      <c r="Z627" s="11"/>
      <c r="AA627" s="11"/>
      <c r="AB627" s="11"/>
      <c r="AC627" s="11"/>
    </row>
    <row r="628" spans="1:29" ht="14">
      <c r="A628" s="11"/>
      <c r="B628" s="11"/>
      <c r="C628" s="11"/>
      <c r="D628" s="11"/>
      <c r="E628" s="11"/>
      <c r="F628" s="11"/>
      <c r="G628" s="11"/>
      <c r="H628" s="11"/>
      <c r="I628" s="11"/>
      <c r="J628" s="11"/>
      <c r="K628" s="11"/>
      <c r="L628" s="11"/>
      <c r="M628" s="11"/>
      <c r="N628" s="11"/>
      <c r="O628" s="11"/>
      <c r="P628" s="11"/>
      <c r="Q628" s="11"/>
      <c r="R628" s="11"/>
      <c r="S628" s="11"/>
      <c r="T628" s="11"/>
      <c r="U628" s="11"/>
      <c r="V628" s="11"/>
      <c r="W628" s="11"/>
      <c r="X628" s="11"/>
      <c r="Y628" s="11"/>
      <c r="Z628" s="11"/>
      <c r="AA628" s="11"/>
      <c r="AB628" s="11"/>
      <c r="AC628" s="11"/>
    </row>
    <row r="629" spans="1:29" ht="14">
      <c r="A629" s="11"/>
      <c r="B629" s="11"/>
      <c r="C629" s="11"/>
      <c r="D629" s="11"/>
      <c r="E629" s="11"/>
      <c r="F629" s="11"/>
      <c r="G629" s="11"/>
      <c r="H629" s="11"/>
      <c r="I629" s="11"/>
      <c r="J629" s="11"/>
      <c r="K629" s="11"/>
      <c r="L629" s="11"/>
      <c r="M629" s="11"/>
      <c r="N629" s="11"/>
      <c r="O629" s="11"/>
      <c r="P629" s="11"/>
      <c r="Q629" s="11"/>
      <c r="R629" s="11"/>
      <c r="S629" s="11"/>
      <c r="T629" s="11"/>
      <c r="U629" s="11"/>
      <c r="V629" s="11"/>
      <c r="W629" s="11"/>
      <c r="X629" s="11"/>
      <c r="Y629" s="11"/>
      <c r="Z629" s="11"/>
      <c r="AA629" s="11"/>
      <c r="AB629" s="11"/>
      <c r="AC629" s="11"/>
    </row>
    <row r="630" spans="1:29" ht="14">
      <c r="A630" s="11"/>
      <c r="B630" s="11"/>
      <c r="C630" s="11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  <c r="S630" s="11"/>
      <c r="T630" s="11"/>
      <c r="U630" s="11"/>
      <c r="V630" s="11"/>
      <c r="W630" s="11"/>
      <c r="X630" s="11"/>
      <c r="Y630" s="11"/>
      <c r="Z630" s="11"/>
      <c r="AA630" s="11"/>
      <c r="AB630" s="11"/>
      <c r="AC630" s="11"/>
    </row>
    <row r="631" spans="1:29" ht="14">
      <c r="A631" s="11"/>
      <c r="B631" s="11"/>
      <c r="C631" s="11"/>
      <c r="D631" s="11"/>
      <c r="E631" s="11"/>
      <c r="F631" s="11"/>
      <c r="G631" s="11"/>
      <c r="H631" s="11"/>
      <c r="I631" s="11"/>
      <c r="J631" s="11"/>
      <c r="K631" s="11"/>
      <c r="L631" s="11"/>
      <c r="M631" s="11"/>
      <c r="N631" s="11"/>
      <c r="O631" s="11"/>
      <c r="P631" s="11"/>
      <c r="Q631" s="11"/>
      <c r="R631" s="11"/>
      <c r="S631" s="11"/>
      <c r="T631" s="11"/>
      <c r="U631" s="11"/>
      <c r="V631" s="11"/>
      <c r="W631" s="11"/>
      <c r="X631" s="11"/>
      <c r="Y631" s="11"/>
      <c r="Z631" s="11"/>
      <c r="AA631" s="11"/>
      <c r="AB631" s="11"/>
      <c r="AC631" s="11"/>
    </row>
    <row r="632" spans="1:29" ht="14">
      <c r="A632" s="11"/>
      <c r="B632" s="11"/>
      <c r="C632" s="11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  <c r="S632" s="11"/>
      <c r="T632" s="11"/>
      <c r="U632" s="11"/>
      <c r="V632" s="11"/>
      <c r="W632" s="11"/>
      <c r="X632" s="11"/>
      <c r="Y632" s="11"/>
      <c r="Z632" s="11"/>
      <c r="AA632" s="11"/>
      <c r="AB632" s="11"/>
      <c r="AC632" s="11"/>
    </row>
    <row r="633" spans="1:29" ht="14">
      <c r="A633" s="11"/>
      <c r="B633" s="11"/>
      <c r="C633" s="11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  <c r="S633" s="11"/>
      <c r="T633" s="11"/>
      <c r="U633" s="11"/>
      <c r="V633" s="11"/>
      <c r="W633" s="11"/>
      <c r="X633" s="11"/>
      <c r="Y633" s="11"/>
      <c r="Z633" s="11"/>
      <c r="AA633" s="11"/>
      <c r="AB633" s="11"/>
      <c r="AC633" s="11"/>
    </row>
    <row r="634" spans="1:29" ht="14">
      <c r="A634" s="11"/>
      <c r="B634" s="11"/>
      <c r="C634" s="11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  <c r="S634" s="11"/>
      <c r="T634" s="11"/>
      <c r="U634" s="11"/>
      <c r="V634" s="11"/>
      <c r="W634" s="11"/>
      <c r="X634" s="11"/>
      <c r="Y634" s="11"/>
      <c r="Z634" s="11"/>
      <c r="AA634" s="11"/>
      <c r="AB634" s="11"/>
      <c r="AC634" s="11"/>
    </row>
    <row r="635" spans="1:29" ht="14">
      <c r="A635" s="11"/>
      <c r="B635" s="11"/>
      <c r="C635" s="11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  <c r="S635" s="11"/>
      <c r="T635" s="11"/>
      <c r="U635" s="11"/>
      <c r="V635" s="11"/>
      <c r="W635" s="11"/>
      <c r="X635" s="11"/>
      <c r="Y635" s="11"/>
      <c r="Z635" s="11"/>
      <c r="AA635" s="11"/>
      <c r="AB635" s="11"/>
      <c r="AC635" s="11"/>
    </row>
    <row r="636" spans="1:29" ht="14">
      <c r="A636" s="11"/>
      <c r="B636" s="11"/>
      <c r="C636" s="11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  <c r="S636" s="11"/>
      <c r="T636" s="11"/>
      <c r="U636" s="11"/>
      <c r="V636" s="11"/>
      <c r="W636" s="11"/>
      <c r="X636" s="11"/>
      <c r="Y636" s="11"/>
      <c r="Z636" s="11"/>
      <c r="AA636" s="11"/>
      <c r="AB636" s="11"/>
      <c r="AC636" s="11"/>
    </row>
    <row r="637" spans="1:29" ht="14">
      <c r="A637" s="11"/>
      <c r="B637" s="11"/>
      <c r="C637" s="11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  <c r="S637" s="11"/>
      <c r="T637" s="11"/>
      <c r="U637" s="11"/>
      <c r="V637" s="11"/>
      <c r="W637" s="11"/>
      <c r="X637" s="11"/>
      <c r="Y637" s="11"/>
      <c r="Z637" s="11"/>
      <c r="AA637" s="11"/>
      <c r="AB637" s="11"/>
      <c r="AC637" s="11"/>
    </row>
    <row r="638" spans="1:29" ht="14">
      <c r="A638" s="11"/>
      <c r="B638" s="11"/>
      <c r="C638" s="11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  <c r="S638" s="11"/>
      <c r="T638" s="11"/>
      <c r="U638" s="11"/>
      <c r="V638" s="11"/>
      <c r="W638" s="11"/>
      <c r="X638" s="11"/>
      <c r="Y638" s="11"/>
      <c r="Z638" s="11"/>
      <c r="AA638" s="11"/>
      <c r="AB638" s="11"/>
      <c r="AC638" s="11"/>
    </row>
    <row r="639" spans="1:29" ht="14">
      <c r="A639" s="11"/>
      <c r="B639" s="11"/>
      <c r="C639" s="11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  <c r="S639" s="11"/>
      <c r="T639" s="11"/>
      <c r="U639" s="11"/>
      <c r="V639" s="11"/>
      <c r="W639" s="11"/>
      <c r="X639" s="11"/>
      <c r="Y639" s="11"/>
      <c r="Z639" s="11"/>
      <c r="AA639" s="11"/>
      <c r="AB639" s="11"/>
      <c r="AC639" s="11"/>
    </row>
    <row r="640" spans="1:29" ht="14">
      <c r="A640" s="11"/>
      <c r="B640" s="11"/>
      <c r="C640" s="11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  <c r="S640" s="11"/>
      <c r="T640" s="11"/>
      <c r="U640" s="11"/>
      <c r="V640" s="11"/>
      <c r="W640" s="11"/>
      <c r="X640" s="11"/>
      <c r="Y640" s="11"/>
      <c r="Z640" s="11"/>
      <c r="AA640" s="11"/>
      <c r="AB640" s="11"/>
      <c r="AC640" s="11"/>
    </row>
    <row r="641" spans="1:29" ht="14">
      <c r="A641" s="11"/>
      <c r="B641" s="11"/>
      <c r="C641" s="11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  <c r="S641" s="11"/>
      <c r="T641" s="11"/>
      <c r="U641" s="11"/>
      <c r="V641" s="11"/>
      <c r="W641" s="11"/>
      <c r="X641" s="11"/>
      <c r="Y641" s="11"/>
      <c r="Z641" s="11"/>
      <c r="AA641" s="11"/>
      <c r="AB641" s="11"/>
      <c r="AC641" s="11"/>
    </row>
    <row r="642" spans="1:29" ht="14">
      <c r="A642" s="11"/>
      <c r="B642" s="11"/>
      <c r="C642" s="11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  <c r="S642" s="11"/>
      <c r="T642" s="11"/>
      <c r="U642" s="11"/>
      <c r="V642" s="11"/>
      <c r="W642" s="11"/>
      <c r="X642" s="11"/>
      <c r="Y642" s="11"/>
      <c r="Z642" s="11"/>
      <c r="AA642" s="11"/>
      <c r="AB642" s="11"/>
      <c r="AC642" s="11"/>
    </row>
    <row r="643" spans="1:29" ht="14">
      <c r="A643" s="11"/>
      <c r="B643" s="11"/>
      <c r="C643" s="11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  <c r="S643" s="11"/>
      <c r="T643" s="11"/>
      <c r="U643" s="11"/>
      <c r="V643" s="11"/>
      <c r="W643" s="11"/>
      <c r="X643" s="11"/>
      <c r="Y643" s="11"/>
      <c r="Z643" s="11"/>
      <c r="AA643" s="11"/>
      <c r="AB643" s="11"/>
      <c r="AC643" s="11"/>
    </row>
    <row r="644" spans="1:29" ht="14">
      <c r="A644" s="11"/>
      <c r="B644" s="11"/>
      <c r="C644" s="11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  <c r="S644" s="11"/>
      <c r="T644" s="11"/>
      <c r="U644" s="11"/>
      <c r="V644" s="11"/>
      <c r="W644" s="11"/>
      <c r="X644" s="11"/>
      <c r="Y644" s="11"/>
      <c r="Z644" s="11"/>
      <c r="AA644" s="11"/>
      <c r="AB644" s="11"/>
      <c r="AC644" s="11"/>
    </row>
    <row r="645" spans="1:29" ht="14">
      <c r="A645" s="11"/>
      <c r="B645" s="11"/>
      <c r="C645" s="11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  <c r="S645" s="11"/>
      <c r="T645" s="11"/>
      <c r="U645" s="11"/>
      <c r="V645" s="11"/>
      <c r="W645" s="11"/>
      <c r="X645" s="11"/>
      <c r="Y645" s="11"/>
      <c r="Z645" s="11"/>
      <c r="AA645" s="11"/>
      <c r="AB645" s="11"/>
      <c r="AC645" s="11"/>
    </row>
    <row r="646" spans="1:29" ht="14">
      <c r="A646" s="11"/>
      <c r="B646" s="11"/>
      <c r="C646" s="11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  <c r="S646" s="11"/>
      <c r="T646" s="11"/>
      <c r="U646" s="11"/>
      <c r="V646" s="11"/>
      <c r="W646" s="11"/>
      <c r="X646" s="11"/>
      <c r="Y646" s="11"/>
      <c r="Z646" s="11"/>
      <c r="AA646" s="11"/>
      <c r="AB646" s="11"/>
      <c r="AC646" s="11"/>
    </row>
    <row r="647" spans="1:29" ht="14">
      <c r="A647" s="11"/>
      <c r="B647" s="11"/>
      <c r="C647" s="11"/>
      <c r="D647" s="11"/>
      <c r="E647" s="11"/>
      <c r="F647" s="11"/>
      <c r="G647" s="11"/>
      <c r="H647" s="11"/>
      <c r="I647" s="11"/>
      <c r="J647" s="11"/>
      <c r="K647" s="11"/>
      <c r="L647" s="11"/>
      <c r="M647" s="11"/>
      <c r="N647" s="11"/>
      <c r="O647" s="11"/>
      <c r="P647" s="11"/>
      <c r="Q647" s="11"/>
      <c r="R647" s="11"/>
      <c r="S647" s="11"/>
      <c r="T647" s="11"/>
      <c r="U647" s="11"/>
      <c r="V647" s="11"/>
      <c r="W647" s="11"/>
      <c r="X647" s="11"/>
      <c r="Y647" s="11"/>
      <c r="Z647" s="11"/>
      <c r="AA647" s="11"/>
      <c r="AB647" s="11"/>
      <c r="AC647" s="11"/>
    </row>
    <row r="648" spans="1:29" ht="14">
      <c r="A648" s="11"/>
      <c r="B648" s="11"/>
      <c r="C648" s="11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  <c r="S648" s="11"/>
      <c r="T648" s="11"/>
      <c r="U648" s="11"/>
      <c r="V648" s="11"/>
      <c r="W648" s="11"/>
      <c r="X648" s="11"/>
      <c r="Y648" s="11"/>
      <c r="Z648" s="11"/>
      <c r="AA648" s="11"/>
      <c r="AB648" s="11"/>
      <c r="AC648" s="11"/>
    </row>
    <row r="649" spans="1:29" ht="14">
      <c r="A649" s="11"/>
      <c r="B649" s="11"/>
      <c r="C649" s="11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  <c r="S649" s="11"/>
      <c r="T649" s="11"/>
      <c r="U649" s="11"/>
      <c r="V649" s="11"/>
      <c r="W649" s="11"/>
      <c r="X649" s="11"/>
      <c r="Y649" s="11"/>
      <c r="Z649" s="11"/>
      <c r="AA649" s="11"/>
      <c r="AB649" s="11"/>
      <c r="AC649" s="11"/>
    </row>
    <row r="650" spans="1:29" ht="14">
      <c r="A650" s="11"/>
      <c r="B650" s="11"/>
      <c r="C650" s="11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  <c r="S650" s="11"/>
      <c r="T650" s="11"/>
      <c r="U650" s="11"/>
      <c r="V650" s="11"/>
      <c r="W650" s="11"/>
      <c r="X650" s="11"/>
      <c r="Y650" s="11"/>
      <c r="Z650" s="11"/>
      <c r="AA650" s="11"/>
      <c r="AB650" s="11"/>
      <c r="AC650" s="11"/>
    </row>
    <row r="651" spans="1:29" ht="14">
      <c r="A651" s="11"/>
      <c r="B651" s="11"/>
      <c r="C651" s="11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  <c r="S651" s="11"/>
      <c r="T651" s="11"/>
      <c r="U651" s="11"/>
      <c r="V651" s="11"/>
      <c r="W651" s="11"/>
      <c r="X651" s="11"/>
      <c r="Y651" s="11"/>
      <c r="Z651" s="11"/>
      <c r="AA651" s="11"/>
      <c r="AB651" s="11"/>
      <c r="AC651" s="11"/>
    </row>
    <row r="652" spans="1:29" ht="14">
      <c r="A652" s="11"/>
      <c r="B652" s="11"/>
      <c r="C652" s="11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  <c r="S652" s="11"/>
      <c r="T652" s="11"/>
      <c r="U652" s="11"/>
      <c r="V652" s="11"/>
      <c r="W652" s="11"/>
      <c r="X652" s="11"/>
      <c r="Y652" s="11"/>
      <c r="Z652" s="11"/>
      <c r="AA652" s="11"/>
      <c r="AB652" s="11"/>
      <c r="AC652" s="11"/>
    </row>
    <row r="653" spans="1:29" ht="14">
      <c r="A653" s="11"/>
      <c r="B653" s="11"/>
      <c r="C653" s="11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  <c r="S653" s="11"/>
      <c r="T653" s="11"/>
      <c r="U653" s="11"/>
      <c r="V653" s="11"/>
      <c r="W653" s="11"/>
      <c r="X653" s="11"/>
      <c r="Y653" s="11"/>
      <c r="Z653" s="11"/>
      <c r="AA653" s="11"/>
      <c r="AB653" s="11"/>
      <c r="AC653" s="11"/>
    </row>
    <row r="654" spans="1:29" ht="14">
      <c r="A654" s="11"/>
      <c r="B654" s="11"/>
      <c r="C654" s="11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  <c r="S654" s="11"/>
      <c r="T654" s="11"/>
      <c r="U654" s="11"/>
      <c r="V654" s="11"/>
      <c r="W654" s="11"/>
      <c r="X654" s="11"/>
      <c r="Y654" s="11"/>
      <c r="Z654" s="11"/>
      <c r="AA654" s="11"/>
      <c r="AB654" s="11"/>
      <c r="AC654" s="11"/>
    </row>
    <row r="655" spans="1:29" ht="14">
      <c r="A655" s="11"/>
      <c r="B655" s="11"/>
      <c r="C655" s="11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  <c r="S655" s="11"/>
      <c r="T655" s="11"/>
      <c r="U655" s="11"/>
      <c r="V655" s="11"/>
      <c r="W655" s="11"/>
      <c r="X655" s="11"/>
      <c r="Y655" s="11"/>
      <c r="Z655" s="11"/>
      <c r="AA655" s="11"/>
      <c r="AB655" s="11"/>
      <c r="AC655" s="11"/>
    </row>
    <row r="656" spans="1:29" ht="14">
      <c r="A656" s="11"/>
      <c r="B656" s="11"/>
      <c r="C656" s="11"/>
      <c r="D656" s="11"/>
      <c r="E656" s="11"/>
      <c r="F656" s="11"/>
      <c r="G656" s="11"/>
      <c r="H656" s="11"/>
      <c r="I656" s="11"/>
      <c r="J656" s="11"/>
      <c r="K656" s="11"/>
      <c r="L656" s="11"/>
      <c r="M656" s="11"/>
      <c r="N656" s="11"/>
      <c r="O656" s="11"/>
      <c r="P656" s="11"/>
      <c r="Q656" s="11"/>
      <c r="R656" s="11"/>
      <c r="S656" s="11"/>
      <c r="T656" s="11"/>
      <c r="U656" s="11"/>
      <c r="V656" s="11"/>
      <c r="W656" s="11"/>
      <c r="X656" s="11"/>
      <c r="Y656" s="11"/>
      <c r="Z656" s="11"/>
      <c r="AA656" s="11"/>
      <c r="AB656" s="11"/>
      <c r="AC656" s="11"/>
    </row>
    <row r="657" spans="1:29" ht="14">
      <c r="A657" s="11"/>
      <c r="B657" s="11"/>
      <c r="C657" s="11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  <c r="S657" s="11"/>
      <c r="T657" s="11"/>
      <c r="U657" s="11"/>
      <c r="V657" s="11"/>
      <c r="W657" s="11"/>
      <c r="X657" s="11"/>
      <c r="Y657" s="11"/>
      <c r="Z657" s="11"/>
      <c r="AA657" s="11"/>
      <c r="AB657" s="11"/>
      <c r="AC657" s="11"/>
    </row>
    <row r="658" spans="1:29" ht="14">
      <c r="A658" s="11"/>
      <c r="B658" s="11"/>
      <c r="C658" s="11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  <c r="S658" s="11"/>
      <c r="T658" s="11"/>
      <c r="U658" s="11"/>
      <c r="V658" s="11"/>
      <c r="W658" s="11"/>
      <c r="X658" s="11"/>
      <c r="Y658" s="11"/>
      <c r="Z658" s="11"/>
      <c r="AA658" s="11"/>
      <c r="AB658" s="11"/>
      <c r="AC658" s="11"/>
    </row>
    <row r="659" spans="1:29" ht="14">
      <c r="A659" s="11"/>
      <c r="B659" s="11"/>
      <c r="C659" s="11"/>
      <c r="D659" s="11"/>
      <c r="E659" s="11"/>
      <c r="F659" s="11"/>
      <c r="G659" s="11"/>
      <c r="H659" s="11"/>
      <c r="I659" s="11"/>
      <c r="J659" s="11"/>
      <c r="K659" s="11"/>
      <c r="L659" s="11"/>
      <c r="M659" s="11"/>
      <c r="N659" s="11"/>
      <c r="O659" s="11"/>
      <c r="P659" s="11"/>
      <c r="Q659" s="11"/>
      <c r="R659" s="11"/>
      <c r="S659" s="11"/>
      <c r="T659" s="11"/>
      <c r="U659" s="11"/>
      <c r="V659" s="11"/>
      <c r="W659" s="11"/>
      <c r="X659" s="11"/>
      <c r="Y659" s="11"/>
      <c r="Z659" s="11"/>
      <c r="AA659" s="11"/>
      <c r="AB659" s="11"/>
      <c r="AC659" s="11"/>
    </row>
    <row r="660" spans="1:29" ht="14">
      <c r="A660" s="11"/>
      <c r="B660" s="11"/>
      <c r="C660" s="11"/>
      <c r="D660" s="11"/>
      <c r="E660" s="11"/>
      <c r="F660" s="11"/>
      <c r="G660" s="11"/>
      <c r="H660" s="11"/>
      <c r="I660" s="11"/>
      <c r="J660" s="11"/>
      <c r="K660" s="11"/>
      <c r="L660" s="11"/>
      <c r="M660" s="11"/>
      <c r="N660" s="11"/>
      <c r="O660" s="11"/>
      <c r="P660" s="11"/>
      <c r="Q660" s="11"/>
      <c r="R660" s="11"/>
      <c r="S660" s="11"/>
      <c r="T660" s="11"/>
      <c r="U660" s="11"/>
      <c r="V660" s="11"/>
      <c r="W660" s="11"/>
      <c r="X660" s="11"/>
      <c r="Y660" s="11"/>
      <c r="Z660" s="11"/>
      <c r="AA660" s="11"/>
      <c r="AB660" s="11"/>
      <c r="AC660" s="11"/>
    </row>
    <row r="661" spans="1:29" ht="14">
      <c r="A661" s="11"/>
      <c r="B661" s="11"/>
      <c r="C661" s="11"/>
      <c r="D661" s="11"/>
      <c r="E661" s="11"/>
      <c r="F661" s="11"/>
      <c r="G661" s="11"/>
      <c r="H661" s="11"/>
      <c r="I661" s="11"/>
      <c r="J661" s="11"/>
      <c r="K661" s="11"/>
      <c r="L661" s="11"/>
      <c r="M661" s="11"/>
      <c r="N661" s="11"/>
      <c r="O661" s="11"/>
      <c r="P661" s="11"/>
      <c r="Q661" s="11"/>
      <c r="R661" s="11"/>
      <c r="S661" s="11"/>
      <c r="T661" s="11"/>
      <c r="U661" s="11"/>
      <c r="V661" s="11"/>
      <c r="W661" s="11"/>
      <c r="X661" s="11"/>
      <c r="Y661" s="11"/>
      <c r="Z661" s="11"/>
      <c r="AA661" s="11"/>
      <c r="AB661" s="11"/>
      <c r="AC661" s="11"/>
    </row>
    <row r="662" spans="1:29" ht="14">
      <c r="A662" s="11"/>
      <c r="B662" s="11"/>
      <c r="C662" s="11"/>
      <c r="D662" s="11"/>
      <c r="E662" s="11"/>
      <c r="F662" s="11"/>
      <c r="G662" s="11"/>
      <c r="H662" s="11"/>
      <c r="I662" s="11"/>
      <c r="J662" s="11"/>
      <c r="K662" s="11"/>
      <c r="L662" s="11"/>
      <c r="M662" s="11"/>
      <c r="N662" s="11"/>
      <c r="O662" s="11"/>
      <c r="P662" s="11"/>
      <c r="Q662" s="11"/>
      <c r="R662" s="11"/>
      <c r="S662" s="11"/>
      <c r="T662" s="11"/>
      <c r="U662" s="11"/>
      <c r="V662" s="11"/>
      <c r="W662" s="11"/>
      <c r="X662" s="11"/>
      <c r="Y662" s="11"/>
      <c r="Z662" s="11"/>
      <c r="AA662" s="11"/>
      <c r="AB662" s="11"/>
      <c r="AC662" s="11"/>
    </row>
    <row r="663" spans="1:29" ht="14">
      <c r="A663" s="11"/>
      <c r="B663" s="11"/>
      <c r="C663" s="11"/>
      <c r="D663" s="11"/>
      <c r="E663" s="11"/>
      <c r="F663" s="11"/>
      <c r="G663" s="11"/>
      <c r="H663" s="11"/>
      <c r="I663" s="11"/>
      <c r="J663" s="11"/>
      <c r="K663" s="11"/>
      <c r="L663" s="11"/>
      <c r="M663" s="11"/>
      <c r="N663" s="11"/>
      <c r="O663" s="11"/>
      <c r="P663" s="11"/>
      <c r="Q663" s="11"/>
      <c r="R663" s="11"/>
      <c r="S663" s="11"/>
      <c r="T663" s="11"/>
      <c r="U663" s="11"/>
      <c r="V663" s="11"/>
      <c r="W663" s="11"/>
      <c r="X663" s="11"/>
      <c r="Y663" s="11"/>
      <c r="Z663" s="11"/>
      <c r="AA663" s="11"/>
      <c r="AB663" s="11"/>
      <c r="AC663" s="11"/>
    </row>
    <row r="664" spans="1:29" ht="14">
      <c r="A664" s="11"/>
      <c r="B664" s="11"/>
      <c r="C664" s="11"/>
      <c r="D664" s="11"/>
      <c r="E664" s="11"/>
      <c r="F664" s="11"/>
      <c r="G664" s="11"/>
      <c r="H664" s="11"/>
      <c r="I664" s="11"/>
      <c r="J664" s="11"/>
      <c r="K664" s="11"/>
      <c r="L664" s="11"/>
      <c r="M664" s="11"/>
      <c r="N664" s="11"/>
      <c r="O664" s="11"/>
      <c r="P664" s="11"/>
      <c r="Q664" s="11"/>
      <c r="R664" s="11"/>
      <c r="S664" s="11"/>
      <c r="T664" s="11"/>
      <c r="U664" s="11"/>
      <c r="V664" s="11"/>
      <c r="W664" s="11"/>
      <c r="X664" s="11"/>
      <c r="Y664" s="11"/>
      <c r="Z664" s="11"/>
      <c r="AA664" s="11"/>
      <c r="AB664" s="11"/>
      <c r="AC664" s="11"/>
    </row>
    <row r="665" spans="1:29" ht="14">
      <c r="A665" s="11"/>
      <c r="B665" s="11"/>
      <c r="C665" s="11"/>
      <c r="D665" s="11"/>
      <c r="E665" s="11"/>
      <c r="F665" s="11"/>
      <c r="G665" s="11"/>
      <c r="H665" s="11"/>
      <c r="I665" s="11"/>
      <c r="J665" s="11"/>
      <c r="K665" s="11"/>
      <c r="L665" s="11"/>
      <c r="M665" s="11"/>
      <c r="N665" s="11"/>
      <c r="O665" s="11"/>
      <c r="P665" s="11"/>
      <c r="Q665" s="11"/>
      <c r="R665" s="11"/>
      <c r="S665" s="11"/>
      <c r="T665" s="11"/>
      <c r="U665" s="11"/>
      <c r="V665" s="11"/>
      <c r="W665" s="11"/>
      <c r="X665" s="11"/>
      <c r="Y665" s="11"/>
      <c r="Z665" s="11"/>
      <c r="AA665" s="11"/>
      <c r="AB665" s="11"/>
      <c r="AC665" s="11"/>
    </row>
    <row r="666" spans="1:29" ht="14">
      <c r="A666" s="11"/>
      <c r="B666" s="11"/>
      <c r="C666" s="11"/>
      <c r="D666" s="11"/>
      <c r="E666" s="11"/>
      <c r="F666" s="11"/>
      <c r="G666" s="11"/>
      <c r="H666" s="11"/>
      <c r="I666" s="11"/>
      <c r="J666" s="11"/>
      <c r="K666" s="11"/>
      <c r="L666" s="11"/>
      <c r="M666" s="11"/>
      <c r="N666" s="11"/>
      <c r="O666" s="11"/>
      <c r="P666" s="11"/>
      <c r="Q666" s="11"/>
      <c r="R666" s="11"/>
      <c r="S666" s="11"/>
      <c r="T666" s="11"/>
      <c r="U666" s="11"/>
      <c r="V666" s="11"/>
      <c r="W666" s="11"/>
      <c r="X666" s="11"/>
      <c r="Y666" s="11"/>
      <c r="Z666" s="11"/>
      <c r="AA666" s="11"/>
      <c r="AB666" s="11"/>
      <c r="AC666" s="11"/>
    </row>
    <row r="667" spans="1:29" ht="14">
      <c r="A667" s="11"/>
      <c r="B667" s="11"/>
      <c r="C667" s="11"/>
      <c r="D667" s="11"/>
      <c r="E667" s="11"/>
      <c r="F667" s="11"/>
      <c r="G667" s="11"/>
      <c r="H667" s="11"/>
      <c r="I667" s="11"/>
      <c r="J667" s="11"/>
      <c r="K667" s="11"/>
      <c r="L667" s="11"/>
      <c r="M667" s="11"/>
      <c r="N667" s="11"/>
      <c r="O667" s="11"/>
      <c r="P667" s="11"/>
      <c r="Q667" s="11"/>
      <c r="R667" s="11"/>
      <c r="S667" s="11"/>
      <c r="T667" s="11"/>
      <c r="U667" s="11"/>
      <c r="V667" s="11"/>
      <c r="W667" s="11"/>
      <c r="X667" s="11"/>
      <c r="Y667" s="11"/>
      <c r="Z667" s="11"/>
      <c r="AA667" s="11"/>
      <c r="AB667" s="11"/>
      <c r="AC667" s="11"/>
    </row>
    <row r="668" spans="1:29" ht="14">
      <c r="A668" s="11"/>
      <c r="B668" s="11"/>
      <c r="C668" s="11"/>
      <c r="D668" s="11"/>
      <c r="E668" s="11"/>
      <c r="F668" s="11"/>
      <c r="G668" s="11"/>
      <c r="H668" s="11"/>
      <c r="I668" s="11"/>
      <c r="J668" s="11"/>
      <c r="K668" s="11"/>
      <c r="L668" s="11"/>
      <c r="M668" s="11"/>
      <c r="N668" s="11"/>
      <c r="O668" s="11"/>
      <c r="P668" s="11"/>
      <c r="Q668" s="11"/>
      <c r="R668" s="11"/>
      <c r="S668" s="11"/>
      <c r="T668" s="11"/>
      <c r="U668" s="11"/>
      <c r="V668" s="11"/>
      <c r="W668" s="11"/>
      <c r="X668" s="11"/>
      <c r="Y668" s="11"/>
      <c r="Z668" s="11"/>
      <c r="AA668" s="11"/>
      <c r="AB668" s="11"/>
      <c r="AC668" s="11"/>
    </row>
    <row r="669" spans="1:29" ht="14">
      <c r="A669" s="11"/>
      <c r="B669" s="11"/>
      <c r="C669" s="11"/>
      <c r="D669" s="11"/>
      <c r="E669" s="11"/>
      <c r="F669" s="11"/>
      <c r="G669" s="11"/>
      <c r="H669" s="11"/>
      <c r="I669" s="11"/>
      <c r="J669" s="11"/>
      <c r="K669" s="11"/>
      <c r="L669" s="11"/>
      <c r="M669" s="11"/>
      <c r="N669" s="11"/>
      <c r="O669" s="11"/>
      <c r="P669" s="11"/>
      <c r="Q669" s="11"/>
      <c r="R669" s="11"/>
      <c r="S669" s="11"/>
      <c r="T669" s="11"/>
      <c r="U669" s="11"/>
      <c r="V669" s="11"/>
      <c r="W669" s="11"/>
      <c r="X669" s="11"/>
      <c r="Y669" s="11"/>
      <c r="Z669" s="11"/>
      <c r="AA669" s="11"/>
      <c r="AB669" s="11"/>
      <c r="AC669" s="11"/>
    </row>
    <row r="670" spans="1:29" ht="14">
      <c r="A670" s="11"/>
      <c r="B670" s="11"/>
      <c r="C670" s="11"/>
      <c r="D670" s="11"/>
      <c r="E670" s="11"/>
      <c r="F670" s="11"/>
      <c r="G670" s="11"/>
      <c r="H670" s="11"/>
      <c r="I670" s="11"/>
      <c r="J670" s="11"/>
      <c r="K670" s="11"/>
      <c r="L670" s="11"/>
      <c r="M670" s="11"/>
      <c r="N670" s="11"/>
      <c r="O670" s="11"/>
      <c r="P670" s="11"/>
      <c r="Q670" s="11"/>
      <c r="R670" s="11"/>
      <c r="S670" s="11"/>
      <c r="T670" s="11"/>
      <c r="U670" s="11"/>
      <c r="V670" s="11"/>
      <c r="W670" s="11"/>
      <c r="X670" s="11"/>
      <c r="Y670" s="11"/>
      <c r="Z670" s="11"/>
      <c r="AA670" s="11"/>
      <c r="AB670" s="11"/>
      <c r="AC670" s="11"/>
    </row>
    <row r="671" spans="1:29" ht="14">
      <c r="A671" s="11"/>
      <c r="B671" s="11"/>
      <c r="C671" s="11"/>
      <c r="D671" s="11"/>
      <c r="E671" s="11"/>
      <c r="F671" s="11"/>
      <c r="G671" s="11"/>
      <c r="H671" s="11"/>
      <c r="I671" s="11"/>
      <c r="J671" s="11"/>
      <c r="K671" s="11"/>
      <c r="L671" s="11"/>
      <c r="M671" s="11"/>
      <c r="N671" s="11"/>
      <c r="O671" s="11"/>
      <c r="P671" s="11"/>
      <c r="Q671" s="11"/>
      <c r="R671" s="11"/>
      <c r="S671" s="11"/>
      <c r="T671" s="11"/>
      <c r="U671" s="11"/>
      <c r="V671" s="11"/>
      <c r="W671" s="11"/>
      <c r="X671" s="11"/>
      <c r="Y671" s="11"/>
      <c r="Z671" s="11"/>
      <c r="AA671" s="11"/>
      <c r="AB671" s="11"/>
      <c r="AC671" s="11"/>
    </row>
    <row r="672" spans="1:29" ht="14">
      <c r="A672" s="11"/>
      <c r="B672" s="11"/>
      <c r="C672" s="11"/>
      <c r="D672" s="11"/>
      <c r="E672" s="11"/>
      <c r="F672" s="11"/>
      <c r="G672" s="11"/>
      <c r="H672" s="11"/>
      <c r="I672" s="11"/>
      <c r="J672" s="11"/>
      <c r="K672" s="11"/>
      <c r="L672" s="11"/>
      <c r="M672" s="11"/>
      <c r="N672" s="11"/>
      <c r="O672" s="11"/>
      <c r="P672" s="11"/>
      <c r="Q672" s="11"/>
      <c r="R672" s="11"/>
      <c r="S672" s="11"/>
      <c r="T672" s="11"/>
      <c r="U672" s="11"/>
      <c r="V672" s="11"/>
      <c r="W672" s="11"/>
      <c r="X672" s="11"/>
      <c r="Y672" s="11"/>
      <c r="Z672" s="11"/>
      <c r="AA672" s="11"/>
      <c r="AB672" s="11"/>
      <c r="AC672" s="11"/>
    </row>
    <row r="673" spans="1:29" ht="14">
      <c r="A673" s="11"/>
      <c r="B673" s="11"/>
      <c r="C673" s="11"/>
      <c r="D673" s="11"/>
      <c r="E673" s="11"/>
      <c r="F673" s="11"/>
      <c r="G673" s="11"/>
      <c r="H673" s="11"/>
      <c r="I673" s="11"/>
      <c r="J673" s="11"/>
      <c r="K673" s="11"/>
      <c r="L673" s="11"/>
      <c r="M673" s="11"/>
      <c r="N673" s="11"/>
      <c r="O673" s="11"/>
      <c r="P673" s="11"/>
      <c r="Q673" s="11"/>
      <c r="R673" s="11"/>
      <c r="S673" s="11"/>
      <c r="T673" s="11"/>
      <c r="U673" s="11"/>
      <c r="V673" s="11"/>
      <c r="W673" s="11"/>
      <c r="X673" s="11"/>
      <c r="Y673" s="11"/>
      <c r="Z673" s="11"/>
      <c r="AA673" s="11"/>
      <c r="AB673" s="11"/>
      <c r="AC673" s="11"/>
    </row>
    <row r="674" spans="1:29" ht="14">
      <c r="A674" s="11"/>
      <c r="B674" s="11"/>
      <c r="C674" s="11"/>
      <c r="D674" s="11"/>
      <c r="E674" s="11"/>
      <c r="F674" s="11"/>
      <c r="G674" s="11"/>
      <c r="H674" s="11"/>
      <c r="I674" s="11"/>
      <c r="J674" s="11"/>
      <c r="K674" s="11"/>
      <c r="L674" s="11"/>
      <c r="M674" s="11"/>
      <c r="N674" s="11"/>
      <c r="O674" s="11"/>
      <c r="P674" s="11"/>
      <c r="Q674" s="11"/>
      <c r="R674" s="11"/>
      <c r="S674" s="11"/>
      <c r="T674" s="11"/>
      <c r="U674" s="11"/>
      <c r="V674" s="11"/>
      <c r="W674" s="11"/>
      <c r="X674" s="11"/>
      <c r="Y674" s="11"/>
      <c r="Z674" s="11"/>
      <c r="AA674" s="11"/>
      <c r="AB674" s="11"/>
      <c r="AC674" s="11"/>
    </row>
    <row r="675" spans="1:29" ht="14">
      <c r="A675" s="11"/>
      <c r="B675" s="11"/>
      <c r="C675" s="11"/>
      <c r="D675" s="11"/>
      <c r="E675" s="11"/>
      <c r="F675" s="11"/>
      <c r="G675" s="11"/>
      <c r="H675" s="11"/>
      <c r="I675" s="11"/>
      <c r="J675" s="11"/>
      <c r="K675" s="11"/>
      <c r="L675" s="11"/>
      <c r="M675" s="11"/>
      <c r="N675" s="11"/>
      <c r="O675" s="11"/>
      <c r="P675" s="11"/>
      <c r="Q675" s="11"/>
      <c r="R675" s="11"/>
      <c r="S675" s="11"/>
      <c r="T675" s="11"/>
      <c r="U675" s="11"/>
      <c r="V675" s="11"/>
      <c r="W675" s="11"/>
      <c r="X675" s="11"/>
      <c r="Y675" s="11"/>
      <c r="Z675" s="11"/>
      <c r="AA675" s="11"/>
      <c r="AB675" s="11"/>
      <c r="AC675" s="11"/>
    </row>
    <row r="676" spans="1:29" ht="14">
      <c r="A676" s="11"/>
      <c r="B676" s="11"/>
      <c r="C676" s="11"/>
      <c r="D676" s="11"/>
      <c r="E676" s="11"/>
      <c r="F676" s="11"/>
      <c r="G676" s="11"/>
      <c r="H676" s="11"/>
      <c r="I676" s="11"/>
      <c r="J676" s="11"/>
      <c r="K676" s="11"/>
      <c r="L676" s="11"/>
      <c r="M676" s="11"/>
      <c r="N676" s="11"/>
      <c r="O676" s="11"/>
      <c r="P676" s="11"/>
      <c r="Q676" s="11"/>
      <c r="R676" s="11"/>
      <c r="S676" s="11"/>
      <c r="T676" s="11"/>
      <c r="U676" s="11"/>
      <c r="V676" s="11"/>
      <c r="W676" s="11"/>
      <c r="X676" s="11"/>
      <c r="Y676" s="11"/>
      <c r="Z676" s="11"/>
      <c r="AA676" s="11"/>
      <c r="AB676" s="11"/>
      <c r="AC676" s="11"/>
    </row>
    <row r="677" spans="1:29" ht="14">
      <c r="A677" s="11"/>
      <c r="B677" s="11"/>
      <c r="C677" s="11"/>
      <c r="D677" s="11"/>
      <c r="E677" s="11"/>
      <c r="F677" s="11"/>
      <c r="G677" s="11"/>
      <c r="H677" s="11"/>
      <c r="I677" s="11"/>
      <c r="J677" s="11"/>
      <c r="K677" s="11"/>
      <c r="L677" s="11"/>
      <c r="M677" s="11"/>
      <c r="N677" s="11"/>
      <c r="O677" s="11"/>
      <c r="P677" s="11"/>
      <c r="Q677" s="11"/>
      <c r="R677" s="11"/>
      <c r="S677" s="11"/>
      <c r="T677" s="11"/>
      <c r="U677" s="11"/>
      <c r="V677" s="11"/>
      <c r="W677" s="11"/>
      <c r="X677" s="11"/>
      <c r="Y677" s="11"/>
      <c r="Z677" s="11"/>
      <c r="AA677" s="11"/>
      <c r="AB677" s="11"/>
      <c r="AC677" s="11"/>
    </row>
    <row r="678" spans="1:29" ht="14">
      <c r="A678" s="11"/>
      <c r="B678" s="11"/>
      <c r="C678" s="11"/>
      <c r="D678" s="11"/>
      <c r="E678" s="11"/>
      <c r="F678" s="11"/>
      <c r="G678" s="11"/>
      <c r="H678" s="11"/>
      <c r="I678" s="11"/>
      <c r="J678" s="11"/>
      <c r="K678" s="11"/>
      <c r="L678" s="11"/>
      <c r="M678" s="11"/>
      <c r="N678" s="11"/>
      <c r="O678" s="11"/>
      <c r="P678" s="11"/>
      <c r="Q678" s="11"/>
      <c r="R678" s="11"/>
      <c r="S678" s="11"/>
      <c r="T678" s="11"/>
      <c r="U678" s="11"/>
      <c r="V678" s="11"/>
      <c r="W678" s="11"/>
      <c r="X678" s="11"/>
      <c r="Y678" s="11"/>
      <c r="Z678" s="11"/>
      <c r="AA678" s="11"/>
      <c r="AB678" s="11"/>
      <c r="AC678" s="11"/>
    </row>
    <row r="679" spans="1:29" ht="14">
      <c r="A679" s="11"/>
      <c r="B679" s="11"/>
      <c r="C679" s="11"/>
      <c r="D679" s="11"/>
      <c r="E679" s="11"/>
      <c r="F679" s="11"/>
      <c r="G679" s="11"/>
      <c r="H679" s="11"/>
      <c r="I679" s="11"/>
      <c r="J679" s="11"/>
      <c r="K679" s="11"/>
      <c r="L679" s="11"/>
      <c r="M679" s="11"/>
      <c r="N679" s="11"/>
      <c r="O679" s="11"/>
      <c r="P679" s="11"/>
      <c r="Q679" s="11"/>
      <c r="R679" s="11"/>
      <c r="S679" s="11"/>
      <c r="T679" s="11"/>
      <c r="U679" s="11"/>
      <c r="V679" s="11"/>
      <c r="W679" s="11"/>
      <c r="X679" s="11"/>
      <c r="Y679" s="11"/>
      <c r="Z679" s="11"/>
      <c r="AA679" s="11"/>
      <c r="AB679" s="11"/>
      <c r="AC679" s="11"/>
    </row>
    <row r="680" spans="1:29" ht="14">
      <c r="A680" s="11"/>
      <c r="B680" s="11"/>
      <c r="C680" s="11"/>
      <c r="D680" s="11"/>
      <c r="E680" s="11"/>
      <c r="F680" s="11"/>
      <c r="G680" s="11"/>
      <c r="H680" s="11"/>
      <c r="I680" s="11"/>
      <c r="J680" s="11"/>
      <c r="K680" s="11"/>
      <c r="L680" s="11"/>
      <c r="M680" s="11"/>
      <c r="N680" s="11"/>
      <c r="O680" s="11"/>
      <c r="P680" s="11"/>
      <c r="Q680" s="11"/>
      <c r="R680" s="11"/>
      <c r="S680" s="11"/>
      <c r="T680" s="11"/>
      <c r="U680" s="11"/>
      <c r="V680" s="11"/>
      <c r="W680" s="11"/>
      <c r="X680" s="11"/>
      <c r="Y680" s="11"/>
      <c r="Z680" s="11"/>
      <c r="AA680" s="11"/>
      <c r="AB680" s="11"/>
      <c r="AC680" s="11"/>
    </row>
    <row r="681" spans="1:29" ht="14">
      <c r="A681" s="11"/>
      <c r="B681" s="11"/>
      <c r="C681" s="11"/>
      <c r="D681" s="11"/>
      <c r="E681" s="11"/>
      <c r="F681" s="11"/>
      <c r="G681" s="11"/>
      <c r="H681" s="11"/>
      <c r="I681" s="11"/>
      <c r="J681" s="11"/>
      <c r="K681" s="11"/>
      <c r="L681" s="11"/>
      <c r="M681" s="11"/>
      <c r="N681" s="11"/>
      <c r="O681" s="11"/>
      <c r="P681" s="11"/>
      <c r="Q681" s="11"/>
      <c r="R681" s="11"/>
      <c r="S681" s="11"/>
      <c r="T681" s="11"/>
      <c r="U681" s="11"/>
      <c r="V681" s="11"/>
      <c r="W681" s="11"/>
      <c r="X681" s="11"/>
      <c r="Y681" s="11"/>
      <c r="Z681" s="11"/>
      <c r="AA681" s="11"/>
      <c r="AB681" s="11"/>
      <c r="AC681" s="11"/>
    </row>
    <row r="682" spans="1:29" ht="14">
      <c r="A682" s="11"/>
      <c r="B682" s="11"/>
      <c r="C682" s="11"/>
      <c r="D682" s="11"/>
      <c r="E682" s="11"/>
      <c r="F682" s="11"/>
      <c r="G682" s="11"/>
      <c r="H682" s="11"/>
      <c r="I682" s="11"/>
      <c r="J682" s="11"/>
      <c r="K682" s="11"/>
      <c r="L682" s="11"/>
      <c r="M682" s="11"/>
      <c r="N682" s="11"/>
      <c r="O682" s="11"/>
      <c r="P682" s="11"/>
      <c r="Q682" s="11"/>
      <c r="R682" s="11"/>
      <c r="S682" s="11"/>
      <c r="T682" s="11"/>
      <c r="U682" s="11"/>
      <c r="V682" s="11"/>
      <c r="W682" s="11"/>
      <c r="X682" s="11"/>
      <c r="Y682" s="11"/>
      <c r="Z682" s="11"/>
      <c r="AA682" s="11"/>
      <c r="AB682" s="11"/>
      <c r="AC682" s="11"/>
    </row>
    <row r="683" spans="1:29" ht="14">
      <c r="A683" s="11"/>
      <c r="B683" s="11"/>
      <c r="C683" s="11"/>
      <c r="D683" s="11"/>
      <c r="E683" s="11"/>
      <c r="F683" s="11"/>
      <c r="G683" s="11"/>
      <c r="H683" s="11"/>
      <c r="I683" s="11"/>
      <c r="J683" s="11"/>
      <c r="K683" s="11"/>
      <c r="L683" s="11"/>
      <c r="M683" s="11"/>
      <c r="N683" s="11"/>
      <c r="O683" s="11"/>
      <c r="P683" s="11"/>
      <c r="Q683" s="11"/>
      <c r="R683" s="11"/>
      <c r="S683" s="11"/>
      <c r="T683" s="11"/>
      <c r="U683" s="11"/>
      <c r="V683" s="11"/>
      <c r="W683" s="11"/>
      <c r="X683" s="11"/>
      <c r="Y683" s="11"/>
      <c r="Z683" s="11"/>
      <c r="AA683" s="11"/>
      <c r="AB683" s="11"/>
      <c r="AC683" s="11"/>
    </row>
    <row r="684" spans="1:29" ht="14">
      <c r="A684" s="11"/>
      <c r="B684" s="11"/>
      <c r="C684" s="11"/>
      <c r="D684" s="11"/>
      <c r="E684" s="11"/>
      <c r="F684" s="11"/>
      <c r="G684" s="11"/>
      <c r="H684" s="11"/>
      <c r="I684" s="11"/>
      <c r="J684" s="11"/>
      <c r="K684" s="11"/>
      <c r="L684" s="11"/>
      <c r="M684" s="11"/>
      <c r="N684" s="11"/>
      <c r="O684" s="11"/>
      <c r="P684" s="11"/>
      <c r="Q684" s="11"/>
      <c r="R684" s="11"/>
      <c r="S684" s="11"/>
      <c r="T684" s="11"/>
      <c r="U684" s="11"/>
      <c r="V684" s="11"/>
      <c r="W684" s="11"/>
      <c r="X684" s="11"/>
      <c r="Y684" s="11"/>
      <c r="Z684" s="11"/>
      <c r="AA684" s="11"/>
      <c r="AB684" s="11"/>
      <c r="AC684" s="11"/>
    </row>
    <row r="685" spans="1:29" ht="14">
      <c r="A685" s="11"/>
      <c r="B685" s="11"/>
      <c r="C685" s="11"/>
      <c r="D685" s="11"/>
      <c r="E685" s="11"/>
      <c r="F685" s="11"/>
      <c r="G685" s="11"/>
      <c r="H685" s="11"/>
      <c r="I685" s="11"/>
      <c r="J685" s="11"/>
      <c r="K685" s="11"/>
      <c r="L685" s="11"/>
      <c r="M685" s="11"/>
      <c r="N685" s="11"/>
      <c r="O685" s="11"/>
      <c r="P685" s="11"/>
      <c r="Q685" s="11"/>
      <c r="R685" s="11"/>
      <c r="S685" s="11"/>
      <c r="T685" s="11"/>
      <c r="U685" s="11"/>
      <c r="V685" s="11"/>
      <c r="W685" s="11"/>
      <c r="X685" s="11"/>
      <c r="Y685" s="11"/>
      <c r="Z685" s="11"/>
      <c r="AA685" s="11"/>
      <c r="AB685" s="11"/>
      <c r="AC685" s="11"/>
    </row>
    <row r="686" spans="1:29" ht="14">
      <c r="A686" s="11"/>
      <c r="B686" s="11"/>
      <c r="C686" s="11"/>
      <c r="D686" s="11"/>
      <c r="E686" s="11"/>
      <c r="F686" s="11"/>
      <c r="G686" s="11"/>
      <c r="H686" s="11"/>
      <c r="I686" s="11"/>
      <c r="J686" s="11"/>
      <c r="K686" s="11"/>
      <c r="L686" s="11"/>
      <c r="M686" s="11"/>
      <c r="N686" s="11"/>
      <c r="O686" s="11"/>
      <c r="P686" s="11"/>
      <c r="Q686" s="11"/>
      <c r="R686" s="11"/>
      <c r="S686" s="11"/>
      <c r="T686" s="11"/>
      <c r="U686" s="11"/>
      <c r="V686" s="11"/>
      <c r="W686" s="11"/>
      <c r="X686" s="11"/>
      <c r="Y686" s="11"/>
      <c r="Z686" s="11"/>
      <c r="AA686" s="11"/>
      <c r="AB686" s="11"/>
      <c r="AC686" s="11"/>
    </row>
    <row r="687" spans="1:29" ht="14">
      <c r="A687" s="11"/>
      <c r="B687" s="11"/>
      <c r="C687" s="11"/>
      <c r="D687" s="11"/>
      <c r="E687" s="11"/>
      <c r="F687" s="11"/>
      <c r="G687" s="11"/>
      <c r="H687" s="11"/>
      <c r="I687" s="11"/>
      <c r="J687" s="11"/>
      <c r="K687" s="11"/>
      <c r="L687" s="11"/>
      <c r="M687" s="11"/>
      <c r="N687" s="11"/>
      <c r="O687" s="11"/>
      <c r="P687" s="11"/>
      <c r="Q687" s="11"/>
      <c r="R687" s="11"/>
      <c r="S687" s="11"/>
      <c r="T687" s="11"/>
      <c r="U687" s="11"/>
      <c r="V687" s="11"/>
      <c r="W687" s="11"/>
      <c r="X687" s="11"/>
      <c r="Y687" s="11"/>
      <c r="Z687" s="11"/>
      <c r="AA687" s="11"/>
      <c r="AB687" s="11"/>
      <c r="AC687" s="11"/>
    </row>
    <row r="688" spans="1:29" ht="14">
      <c r="A688" s="11"/>
      <c r="B688" s="11"/>
      <c r="C688" s="11"/>
      <c r="D688" s="11"/>
      <c r="E688" s="11"/>
      <c r="F688" s="11"/>
      <c r="G688" s="11"/>
      <c r="H688" s="11"/>
      <c r="I688" s="11"/>
      <c r="J688" s="11"/>
      <c r="K688" s="11"/>
      <c r="L688" s="11"/>
      <c r="M688" s="11"/>
      <c r="N688" s="11"/>
      <c r="O688" s="11"/>
      <c r="P688" s="11"/>
      <c r="Q688" s="11"/>
      <c r="R688" s="11"/>
      <c r="S688" s="11"/>
      <c r="T688" s="11"/>
      <c r="U688" s="11"/>
      <c r="V688" s="11"/>
      <c r="W688" s="11"/>
      <c r="X688" s="11"/>
      <c r="Y688" s="11"/>
      <c r="Z688" s="11"/>
      <c r="AA688" s="11"/>
      <c r="AB688" s="11"/>
      <c r="AC688" s="11"/>
    </row>
    <row r="689" spans="1:29" ht="14">
      <c r="A689" s="11"/>
      <c r="B689" s="11"/>
      <c r="C689" s="11"/>
      <c r="D689" s="11"/>
      <c r="E689" s="11"/>
      <c r="F689" s="11"/>
      <c r="G689" s="11"/>
      <c r="H689" s="11"/>
      <c r="I689" s="11"/>
      <c r="J689" s="11"/>
      <c r="K689" s="11"/>
      <c r="L689" s="11"/>
      <c r="M689" s="11"/>
      <c r="N689" s="11"/>
      <c r="O689" s="11"/>
      <c r="P689" s="11"/>
      <c r="Q689" s="11"/>
      <c r="R689" s="11"/>
      <c r="S689" s="11"/>
      <c r="T689" s="11"/>
      <c r="U689" s="11"/>
      <c r="V689" s="11"/>
      <c r="W689" s="11"/>
      <c r="X689" s="11"/>
      <c r="Y689" s="11"/>
      <c r="Z689" s="11"/>
      <c r="AA689" s="11"/>
      <c r="AB689" s="11"/>
      <c r="AC689" s="11"/>
    </row>
    <row r="690" spans="1:29" ht="14">
      <c r="A690" s="11"/>
      <c r="B690" s="11"/>
      <c r="C690" s="11"/>
      <c r="D690" s="11"/>
      <c r="E690" s="11"/>
      <c r="F690" s="11"/>
      <c r="G690" s="11"/>
      <c r="H690" s="11"/>
      <c r="I690" s="11"/>
      <c r="J690" s="11"/>
      <c r="K690" s="11"/>
      <c r="L690" s="11"/>
      <c r="M690" s="11"/>
      <c r="N690" s="11"/>
      <c r="O690" s="11"/>
      <c r="P690" s="11"/>
      <c r="Q690" s="11"/>
      <c r="R690" s="11"/>
      <c r="S690" s="11"/>
      <c r="T690" s="11"/>
      <c r="U690" s="11"/>
      <c r="V690" s="11"/>
      <c r="W690" s="11"/>
      <c r="X690" s="11"/>
      <c r="Y690" s="11"/>
      <c r="Z690" s="11"/>
      <c r="AA690" s="11"/>
      <c r="AB690" s="11"/>
      <c r="AC690" s="11"/>
    </row>
    <row r="691" spans="1:29" ht="14">
      <c r="A691" s="11"/>
      <c r="B691" s="11"/>
      <c r="C691" s="11"/>
      <c r="D691" s="11"/>
      <c r="E691" s="11"/>
      <c r="F691" s="11"/>
      <c r="G691" s="11"/>
      <c r="H691" s="11"/>
      <c r="I691" s="11"/>
      <c r="J691" s="11"/>
      <c r="K691" s="11"/>
      <c r="L691" s="11"/>
      <c r="M691" s="11"/>
      <c r="N691" s="11"/>
      <c r="O691" s="11"/>
      <c r="P691" s="11"/>
      <c r="Q691" s="11"/>
      <c r="R691" s="11"/>
      <c r="S691" s="11"/>
      <c r="T691" s="11"/>
      <c r="U691" s="11"/>
      <c r="V691" s="11"/>
      <c r="W691" s="11"/>
      <c r="X691" s="11"/>
      <c r="Y691" s="11"/>
      <c r="Z691" s="11"/>
      <c r="AA691" s="11"/>
      <c r="AB691" s="11"/>
      <c r="AC691" s="11"/>
    </row>
    <row r="692" spans="1:29" ht="14">
      <c r="A692" s="11"/>
      <c r="B692" s="11"/>
      <c r="C692" s="11"/>
      <c r="D692" s="11"/>
      <c r="E692" s="11"/>
      <c r="F692" s="11"/>
      <c r="G692" s="11"/>
      <c r="H692" s="11"/>
      <c r="I692" s="11"/>
      <c r="J692" s="11"/>
      <c r="K692" s="11"/>
      <c r="L692" s="11"/>
      <c r="M692" s="11"/>
      <c r="N692" s="11"/>
      <c r="O692" s="11"/>
      <c r="P692" s="11"/>
      <c r="Q692" s="11"/>
      <c r="R692" s="11"/>
      <c r="S692" s="11"/>
      <c r="T692" s="11"/>
      <c r="U692" s="11"/>
      <c r="V692" s="11"/>
      <c r="W692" s="11"/>
      <c r="X692" s="11"/>
      <c r="Y692" s="11"/>
      <c r="Z692" s="11"/>
      <c r="AA692" s="11"/>
      <c r="AB692" s="11"/>
      <c r="AC692" s="11"/>
    </row>
    <row r="693" spans="1:29" ht="14">
      <c r="A693" s="11"/>
      <c r="B693" s="11"/>
      <c r="C693" s="11"/>
      <c r="D693" s="11"/>
      <c r="E693" s="11"/>
      <c r="F693" s="11"/>
      <c r="G693" s="11"/>
      <c r="H693" s="11"/>
      <c r="I693" s="11"/>
      <c r="J693" s="11"/>
      <c r="K693" s="11"/>
      <c r="L693" s="11"/>
      <c r="M693" s="11"/>
      <c r="N693" s="11"/>
      <c r="O693" s="11"/>
      <c r="P693" s="11"/>
      <c r="Q693" s="11"/>
      <c r="R693" s="11"/>
      <c r="S693" s="11"/>
      <c r="T693" s="11"/>
      <c r="U693" s="11"/>
      <c r="V693" s="11"/>
      <c r="W693" s="11"/>
      <c r="X693" s="11"/>
      <c r="Y693" s="11"/>
      <c r="Z693" s="11"/>
      <c r="AA693" s="11"/>
      <c r="AB693" s="11"/>
      <c r="AC693" s="11"/>
    </row>
    <row r="694" spans="1:29" ht="14">
      <c r="A694" s="11"/>
      <c r="B694" s="11"/>
      <c r="C694" s="11"/>
      <c r="D694" s="11"/>
      <c r="E694" s="11"/>
      <c r="F694" s="11"/>
      <c r="G694" s="11"/>
      <c r="H694" s="11"/>
      <c r="I694" s="11"/>
      <c r="J694" s="11"/>
      <c r="K694" s="11"/>
      <c r="L694" s="11"/>
      <c r="M694" s="11"/>
      <c r="N694" s="11"/>
      <c r="O694" s="11"/>
      <c r="P694" s="11"/>
      <c r="Q694" s="11"/>
      <c r="R694" s="11"/>
      <c r="S694" s="11"/>
      <c r="T694" s="11"/>
      <c r="U694" s="11"/>
      <c r="V694" s="11"/>
      <c r="W694" s="11"/>
      <c r="X694" s="11"/>
      <c r="Y694" s="11"/>
      <c r="Z694" s="11"/>
      <c r="AA694" s="11"/>
      <c r="AB694" s="11"/>
      <c r="AC694" s="11"/>
    </row>
    <row r="695" spans="1:29" ht="14">
      <c r="A695" s="11"/>
      <c r="B695" s="11"/>
      <c r="C695" s="11"/>
      <c r="D695" s="11"/>
      <c r="E695" s="11"/>
      <c r="F695" s="11"/>
      <c r="G695" s="11"/>
      <c r="H695" s="11"/>
      <c r="I695" s="11"/>
      <c r="J695" s="11"/>
      <c r="K695" s="11"/>
      <c r="L695" s="11"/>
      <c r="M695" s="11"/>
      <c r="N695" s="11"/>
      <c r="O695" s="11"/>
      <c r="P695" s="11"/>
      <c r="Q695" s="11"/>
      <c r="R695" s="11"/>
      <c r="S695" s="11"/>
      <c r="T695" s="11"/>
      <c r="U695" s="11"/>
      <c r="V695" s="11"/>
      <c r="W695" s="11"/>
      <c r="X695" s="11"/>
      <c r="Y695" s="11"/>
      <c r="Z695" s="11"/>
      <c r="AA695" s="11"/>
      <c r="AB695" s="11"/>
      <c r="AC695" s="11"/>
    </row>
    <row r="696" spans="1:29" ht="14">
      <c r="A696" s="11"/>
      <c r="B696" s="11"/>
      <c r="C696" s="11"/>
      <c r="D696" s="11"/>
      <c r="E696" s="11"/>
      <c r="F696" s="11"/>
      <c r="G696" s="11"/>
      <c r="H696" s="11"/>
      <c r="I696" s="11"/>
      <c r="J696" s="11"/>
      <c r="K696" s="11"/>
      <c r="L696" s="11"/>
      <c r="M696" s="11"/>
      <c r="N696" s="11"/>
      <c r="O696" s="11"/>
      <c r="P696" s="11"/>
      <c r="Q696" s="11"/>
      <c r="R696" s="11"/>
      <c r="S696" s="11"/>
      <c r="T696" s="11"/>
      <c r="U696" s="11"/>
      <c r="V696" s="11"/>
      <c r="W696" s="11"/>
      <c r="X696" s="11"/>
      <c r="Y696" s="11"/>
      <c r="Z696" s="11"/>
      <c r="AA696" s="11"/>
      <c r="AB696" s="11"/>
      <c r="AC696" s="11"/>
    </row>
    <row r="697" spans="1:29" ht="14">
      <c r="A697" s="11"/>
      <c r="B697" s="11"/>
      <c r="C697" s="11"/>
      <c r="D697" s="11"/>
      <c r="E697" s="11"/>
      <c r="F697" s="11"/>
      <c r="G697" s="11"/>
      <c r="H697" s="11"/>
      <c r="I697" s="11"/>
      <c r="J697" s="11"/>
      <c r="K697" s="11"/>
      <c r="L697" s="11"/>
      <c r="M697" s="11"/>
      <c r="N697" s="11"/>
      <c r="O697" s="11"/>
      <c r="P697" s="11"/>
      <c r="Q697" s="11"/>
      <c r="R697" s="11"/>
      <c r="S697" s="11"/>
      <c r="T697" s="11"/>
      <c r="U697" s="11"/>
      <c r="V697" s="11"/>
      <c r="W697" s="11"/>
      <c r="X697" s="11"/>
      <c r="Y697" s="11"/>
      <c r="Z697" s="11"/>
      <c r="AA697" s="11"/>
      <c r="AB697" s="11"/>
      <c r="AC697" s="11"/>
    </row>
    <row r="698" spans="1:29" ht="14">
      <c r="A698" s="11"/>
      <c r="B698" s="11"/>
      <c r="C698" s="11"/>
      <c r="D698" s="11"/>
      <c r="E698" s="11"/>
      <c r="F698" s="11"/>
      <c r="G698" s="11"/>
      <c r="H698" s="11"/>
      <c r="I698" s="11"/>
      <c r="J698" s="11"/>
      <c r="K698" s="11"/>
      <c r="L698" s="11"/>
      <c r="M698" s="11"/>
      <c r="N698" s="11"/>
      <c r="O698" s="11"/>
      <c r="P698" s="11"/>
      <c r="Q698" s="11"/>
      <c r="R698" s="11"/>
      <c r="S698" s="11"/>
      <c r="T698" s="11"/>
      <c r="U698" s="11"/>
      <c r="V698" s="11"/>
      <c r="W698" s="11"/>
      <c r="X698" s="11"/>
      <c r="Y698" s="11"/>
      <c r="Z698" s="11"/>
      <c r="AA698" s="11"/>
      <c r="AB698" s="11"/>
      <c r="AC698" s="11"/>
    </row>
    <row r="699" spans="1:29" ht="14">
      <c r="A699" s="11"/>
      <c r="B699" s="11"/>
      <c r="C699" s="11"/>
      <c r="D699" s="11"/>
      <c r="E699" s="11"/>
      <c r="F699" s="11"/>
      <c r="G699" s="11"/>
      <c r="H699" s="11"/>
      <c r="I699" s="11"/>
      <c r="J699" s="11"/>
      <c r="K699" s="11"/>
      <c r="L699" s="11"/>
      <c r="M699" s="11"/>
      <c r="N699" s="11"/>
      <c r="O699" s="11"/>
      <c r="P699" s="11"/>
      <c r="Q699" s="11"/>
      <c r="R699" s="11"/>
      <c r="S699" s="11"/>
      <c r="T699" s="11"/>
      <c r="U699" s="11"/>
      <c r="V699" s="11"/>
      <c r="W699" s="11"/>
      <c r="X699" s="11"/>
      <c r="Y699" s="11"/>
      <c r="Z699" s="11"/>
      <c r="AA699" s="11"/>
      <c r="AB699" s="11"/>
      <c r="AC699" s="11"/>
    </row>
    <row r="700" spans="1:29" ht="14">
      <c r="A700" s="11"/>
      <c r="B700" s="11"/>
      <c r="C700" s="11"/>
      <c r="D700" s="11"/>
      <c r="E700" s="11"/>
      <c r="F700" s="11"/>
      <c r="G700" s="11"/>
      <c r="H700" s="11"/>
      <c r="I700" s="11"/>
      <c r="J700" s="11"/>
      <c r="K700" s="11"/>
      <c r="L700" s="11"/>
      <c r="M700" s="11"/>
      <c r="N700" s="11"/>
      <c r="O700" s="11"/>
      <c r="P700" s="11"/>
      <c r="Q700" s="11"/>
      <c r="R700" s="11"/>
      <c r="S700" s="11"/>
      <c r="T700" s="11"/>
      <c r="U700" s="11"/>
      <c r="V700" s="11"/>
      <c r="W700" s="11"/>
      <c r="X700" s="11"/>
      <c r="Y700" s="11"/>
      <c r="Z700" s="11"/>
      <c r="AA700" s="11"/>
      <c r="AB700" s="11"/>
      <c r="AC700" s="11"/>
    </row>
    <row r="701" spans="1:29" ht="14">
      <c r="A701" s="11"/>
      <c r="B701" s="11"/>
      <c r="C701" s="11"/>
      <c r="D701" s="11"/>
      <c r="E701" s="11"/>
      <c r="F701" s="11"/>
      <c r="G701" s="11"/>
      <c r="H701" s="11"/>
      <c r="I701" s="11"/>
      <c r="J701" s="11"/>
      <c r="K701" s="11"/>
      <c r="L701" s="11"/>
      <c r="M701" s="11"/>
      <c r="N701" s="11"/>
      <c r="O701" s="11"/>
      <c r="P701" s="11"/>
      <c r="Q701" s="11"/>
      <c r="R701" s="11"/>
      <c r="S701" s="11"/>
      <c r="T701" s="11"/>
      <c r="U701" s="11"/>
      <c r="V701" s="11"/>
      <c r="W701" s="11"/>
      <c r="X701" s="11"/>
      <c r="Y701" s="11"/>
      <c r="Z701" s="11"/>
      <c r="AA701" s="11"/>
      <c r="AB701" s="11"/>
      <c r="AC701" s="11"/>
    </row>
    <row r="702" spans="1:29" ht="14">
      <c r="A702" s="11"/>
      <c r="B702" s="11"/>
      <c r="C702" s="11"/>
      <c r="D702" s="11"/>
      <c r="E702" s="11"/>
      <c r="F702" s="11"/>
      <c r="G702" s="11"/>
      <c r="H702" s="11"/>
      <c r="I702" s="11"/>
      <c r="J702" s="11"/>
      <c r="K702" s="11"/>
      <c r="L702" s="11"/>
      <c r="M702" s="11"/>
      <c r="N702" s="11"/>
      <c r="O702" s="11"/>
      <c r="P702" s="11"/>
      <c r="Q702" s="11"/>
      <c r="R702" s="11"/>
      <c r="S702" s="11"/>
      <c r="T702" s="11"/>
      <c r="U702" s="11"/>
      <c r="V702" s="11"/>
      <c r="W702" s="11"/>
      <c r="X702" s="11"/>
      <c r="Y702" s="11"/>
      <c r="Z702" s="11"/>
      <c r="AA702" s="11"/>
      <c r="AB702" s="11"/>
      <c r="AC702" s="11"/>
    </row>
    <row r="703" spans="1:29" ht="14">
      <c r="A703" s="11"/>
      <c r="B703" s="11"/>
      <c r="C703" s="11"/>
      <c r="D703" s="11"/>
      <c r="E703" s="11"/>
      <c r="F703" s="11"/>
      <c r="G703" s="11"/>
      <c r="H703" s="11"/>
      <c r="I703" s="11"/>
      <c r="J703" s="11"/>
      <c r="K703" s="11"/>
      <c r="L703" s="11"/>
      <c r="M703" s="11"/>
      <c r="N703" s="11"/>
      <c r="O703" s="11"/>
      <c r="P703" s="11"/>
      <c r="Q703" s="11"/>
      <c r="R703" s="11"/>
      <c r="S703" s="11"/>
      <c r="T703" s="11"/>
      <c r="U703" s="11"/>
      <c r="V703" s="11"/>
      <c r="W703" s="11"/>
      <c r="X703" s="11"/>
      <c r="Y703" s="11"/>
      <c r="Z703" s="11"/>
      <c r="AA703" s="11"/>
      <c r="AB703" s="11"/>
      <c r="AC703" s="11"/>
    </row>
    <row r="704" spans="1:29" ht="14">
      <c r="A704" s="11"/>
      <c r="B704" s="11"/>
      <c r="C704" s="11"/>
      <c r="D704" s="11"/>
      <c r="E704" s="11"/>
      <c r="F704" s="11"/>
      <c r="G704" s="11"/>
      <c r="H704" s="11"/>
      <c r="I704" s="11"/>
      <c r="J704" s="11"/>
      <c r="K704" s="11"/>
      <c r="L704" s="11"/>
      <c r="M704" s="11"/>
      <c r="N704" s="11"/>
      <c r="O704" s="11"/>
      <c r="P704" s="11"/>
      <c r="Q704" s="11"/>
      <c r="R704" s="11"/>
      <c r="S704" s="11"/>
      <c r="T704" s="11"/>
      <c r="U704" s="11"/>
      <c r="V704" s="11"/>
      <c r="W704" s="11"/>
      <c r="X704" s="11"/>
      <c r="Y704" s="11"/>
      <c r="Z704" s="11"/>
      <c r="AA704" s="11"/>
      <c r="AB704" s="11"/>
      <c r="AC704" s="11"/>
    </row>
    <row r="705" spans="1:29" ht="14">
      <c r="A705" s="11"/>
      <c r="B705" s="11"/>
      <c r="C705" s="11"/>
      <c r="D705" s="11"/>
      <c r="E705" s="11"/>
      <c r="F705" s="11"/>
      <c r="G705" s="11"/>
      <c r="H705" s="11"/>
      <c r="I705" s="11"/>
      <c r="J705" s="11"/>
      <c r="K705" s="11"/>
      <c r="L705" s="11"/>
      <c r="M705" s="11"/>
      <c r="N705" s="11"/>
      <c r="O705" s="11"/>
      <c r="P705" s="11"/>
      <c r="Q705" s="11"/>
      <c r="R705" s="11"/>
      <c r="S705" s="11"/>
      <c r="T705" s="11"/>
      <c r="U705" s="11"/>
      <c r="V705" s="11"/>
      <c r="W705" s="11"/>
      <c r="X705" s="11"/>
      <c r="Y705" s="11"/>
      <c r="Z705" s="11"/>
      <c r="AA705" s="11"/>
      <c r="AB705" s="11"/>
      <c r="AC705" s="11"/>
    </row>
    <row r="706" spans="1:29" ht="14">
      <c r="A706" s="11"/>
      <c r="B706" s="11"/>
      <c r="C706" s="11"/>
      <c r="D706" s="11"/>
      <c r="E706" s="11"/>
      <c r="F706" s="11"/>
      <c r="G706" s="11"/>
      <c r="H706" s="11"/>
      <c r="I706" s="11"/>
      <c r="J706" s="11"/>
      <c r="K706" s="11"/>
      <c r="L706" s="11"/>
      <c r="M706" s="11"/>
      <c r="N706" s="11"/>
      <c r="O706" s="11"/>
      <c r="P706" s="11"/>
      <c r="Q706" s="11"/>
      <c r="R706" s="11"/>
      <c r="S706" s="11"/>
      <c r="T706" s="11"/>
      <c r="U706" s="11"/>
      <c r="V706" s="11"/>
      <c r="W706" s="11"/>
      <c r="X706" s="11"/>
      <c r="Y706" s="11"/>
      <c r="Z706" s="11"/>
      <c r="AA706" s="11"/>
      <c r="AB706" s="11"/>
      <c r="AC706" s="11"/>
    </row>
    <row r="707" spans="1:29" ht="14">
      <c r="A707" s="11"/>
      <c r="B707" s="11"/>
      <c r="C707" s="11"/>
      <c r="D707" s="11"/>
      <c r="E707" s="11"/>
      <c r="F707" s="11"/>
      <c r="G707" s="11"/>
      <c r="H707" s="11"/>
      <c r="I707" s="11"/>
      <c r="J707" s="11"/>
      <c r="K707" s="11"/>
      <c r="L707" s="11"/>
      <c r="M707" s="11"/>
      <c r="N707" s="11"/>
      <c r="O707" s="11"/>
      <c r="P707" s="11"/>
      <c r="Q707" s="11"/>
      <c r="R707" s="11"/>
      <c r="S707" s="11"/>
      <c r="T707" s="11"/>
      <c r="U707" s="11"/>
      <c r="V707" s="11"/>
      <c r="W707" s="11"/>
      <c r="X707" s="11"/>
      <c r="Y707" s="11"/>
      <c r="Z707" s="11"/>
      <c r="AA707" s="11"/>
      <c r="AB707" s="11"/>
      <c r="AC707" s="11"/>
    </row>
    <row r="708" spans="1:29" ht="14">
      <c r="A708" s="11"/>
      <c r="B708" s="11"/>
      <c r="C708" s="11"/>
      <c r="D708" s="11"/>
      <c r="E708" s="11"/>
      <c r="F708" s="11"/>
      <c r="G708" s="11"/>
      <c r="H708" s="11"/>
      <c r="I708" s="11"/>
      <c r="J708" s="11"/>
      <c r="K708" s="11"/>
      <c r="L708" s="11"/>
      <c r="M708" s="11"/>
      <c r="N708" s="11"/>
      <c r="O708" s="11"/>
      <c r="P708" s="11"/>
      <c r="Q708" s="11"/>
      <c r="R708" s="11"/>
      <c r="S708" s="11"/>
      <c r="T708" s="11"/>
      <c r="U708" s="11"/>
      <c r="V708" s="11"/>
      <c r="W708" s="11"/>
      <c r="X708" s="11"/>
      <c r="Y708" s="11"/>
      <c r="Z708" s="11"/>
      <c r="AA708" s="11"/>
      <c r="AB708" s="11"/>
      <c r="AC708" s="11"/>
    </row>
    <row r="709" spans="1:29" ht="14">
      <c r="A709" s="11"/>
      <c r="B709" s="11"/>
      <c r="C709" s="11"/>
      <c r="D709" s="11"/>
      <c r="E709" s="11"/>
      <c r="F709" s="11"/>
      <c r="G709" s="11"/>
      <c r="H709" s="11"/>
      <c r="I709" s="11"/>
      <c r="J709" s="11"/>
      <c r="K709" s="11"/>
      <c r="L709" s="11"/>
      <c r="M709" s="11"/>
      <c r="N709" s="11"/>
      <c r="O709" s="11"/>
      <c r="P709" s="11"/>
      <c r="Q709" s="11"/>
      <c r="R709" s="11"/>
      <c r="S709" s="11"/>
      <c r="T709" s="11"/>
      <c r="U709" s="11"/>
      <c r="V709" s="11"/>
      <c r="W709" s="11"/>
      <c r="X709" s="11"/>
      <c r="Y709" s="11"/>
      <c r="Z709" s="11"/>
      <c r="AA709" s="11"/>
      <c r="AB709" s="11"/>
      <c r="AC709" s="11"/>
    </row>
    <row r="710" spans="1:29" ht="14">
      <c r="A710" s="11"/>
      <c r="B710" s="11"/>
      <c r="C710" s="11"/>
      <c r="D710" s="11"/>
      <c r="E710" s="11"/>
      <c r="F710" s="11"/>
      <c r="G710" s="11"/>
      <c r="H710" s="11"/>
      <c r="I710" s="11"/>
      <c r="J710" s="11"/>
      <c r="K710" s="11"/>
      <c r="L710" s="11"/>
      <c r="M710" s="11"/>
      <c r="N710" s="11"/>
      <c r="O710" s="11"/>
      <c r="P710" s="11"/>
      <c r="Q710" s="11"/>
      <c r="R710" s="11"/>
      <c r="S710" s="11"/>
      <c r="T710" s="11"/>
      <c r="U710" s="11"/>
      <c r="V710" s="11"/>
      <c r="W710" s="11"/>
      <c r="X710" s="11"/>
      <c r="Y710" s="11"/>
      <c r="Z710" s="11"/>
      <c r="AA710" s="11"/>
      <c r="AB710" s="11"/>
      <c r="AC710" s="11"/>
    </row>
    <row r="711" spans="1:29" ht="14">
      <c r="A711" s="11"/>
      <c r="B711" s="11"/>
      <c r="C711" s="11"/>
      <c r="D711" s="11"/>
      <c r="E711" s="11"/>
      <c r="F711" s="11"/>
      <c r="G711" s="11"/>
      <c r="H711" s="11"/>
      <c r="I711" s="11"/>
      <c r="J711" s="11"/>
      <c r="K711" s="11"/>
      <c r="L711" s="11"/>
      <c r="M711" s="11"/>
      <c r="N711" s="11"/>
      <c r="O711" s="11"/>
      <c r="P711" s="11"/>
      <c r="Q711" s="11"/>
      <c r="R711" s="11"/>
      <c r="S711" s="11"/>
      <c r="T711" s="11"/>
      <c r="U711" s="11"/>
      <c r="V711" s="11"/>
      <c r="W711" s="11"/>
      <c r="X711" s="11"/>
      <c r="Y711" s="11"/>
      <c r="Z711" s="11"/>
      <c r="AA711" s="11"/>
      <c r="AB711" s="11"/>
      <c r="AC711" s="11"/>
    </row>
    <row r="712" spans="1:29" ht="14">
      <c r="A712" s="11"/>
      <c r="B712" s="11"/>
      <c r="C712" s="11"/>
      <c r="D712" s="11"/>
      <c r="E712" s="11"/>
      <c r="F712" s="11"/>
      <c r="G712" s="11"/>
      <c r="H712" s="11"/>
      <c r="I712" s="11"/>
      <c r="J712" s="11"/>
      <c r="K712" s="11"/>
      <c r="L712" s="11"/>
      <c r="M712" s="11"/>
      <c r="N712" s="11"/>
      <c r="O712" s="11"/>
      <c r="P712" s="11"/>
      <c r="Q712" s="11"/>
      <c r="R712" s="11"/>
      <c r="S712" s="11"/>
      <c r="T712" s="11"/>
      <c r="U712" s="11"/>
      <c r="V712" s="11"/>
      <c r="W712" s="11"/>
      <c r="X712" s="11"/>
      <c r="Y712" s="11"/>
      <c r="Z712" s="11"/>
      <c r="AA712" s="11"/>
      <c r="AB712" s="11"/>
      <c r="AC712" s="11"/>
    </row>
    <row r="713" spans="1:29" ht="14">
      <c r="A713" s="11"/>
      <c r="B713" s="11"/>
      <c r="C713" s="11"/>
      <c r="D713" s="11"/>
      <c r="E713" s="11"/>
      <c r="F713" s="11"/>
      <c r="G713" s="11"/>
      <c r="H713" s="11"/>
      <c r="I713" s="11"/>
      <c r="J713" s="11"/>
      <c r="K713" s="11"/>
      <c r="L713" s="11"/>
      <c r="M713" s="11"/>
      <c r="N713" s="11"/>
      <c r="O713" s="11"/>
      <c r="P713" s="11"/>
      <c r="Q713" s="11"/>
      <c r="R713" s="11"/>
      <c r="S713" s="11"/>
      <c r="T713" s="11"/>
      <c r="U713" s="11"/>
      <c r="V713" s="11"/>
      <c r="W713" s="11"/>
      <c r="X713" s="11"/>
      <c r="Y713" s="11"/>
      <c r="Z713" s="11"/>
      <c r="AA713" s="11"/>
      <c r="AB713" s="11"/>
      <c r="AC713" s="11"/>
    </row>
    <row r="714" spans="1:29" ht="14">
      <c r="A714" s="11"/>
      <c r="B714" s="11"/>
      <c r="C714" s="11"/>
      <c r="D714" s="11"/>
      <c r="E714" s="11"/>
      <c r="F714" s="11"/>
      <c r="G714" s="11"/>
      <c r="H714" s="11"/>
      <c r="I714" s="11"/>
      <c r="J714" s="11"/>
      <c r="K714" s="11"/>
      <c r="L714" s="11"/>
      <c r="M714" s="11"/>
      <c r="N714" s="11"/>
      <c r="O714" s="11"/>
      <c r="P714" s="11"/>
      <c r="Q714" s="11"/>
      <c r="R714" s="11"/>
      <c r="S714" s="11"/>
      <c r="T714" s="11"/>
      <c r="U714" s="11"/>
      <c r="V714" s="11"/>
      <c r="W714" s="11"/>
      <c r="X714" s="11"/>
      <c r="Y714" s="11"/>
      <c r="Z714" s="11"/>
      <c r="AA714" s="11"/>
      <c r="AB714" s="11"/>
      <c r="AC714" s="11"/>
    </row>
    <row r="715" spans="1:29" ht="14">
      <c r="A715" s="11"/>
      <c r="B715" s="11"/>
      <c r="C715" s="11"/>
      <c r="D715" s="11"/>
      <c r="E715" s="11"/>
      <c r="F715" s="11"/>
      <c r="G715" s="11"/>
      <c r="H715" s="11"/>
      <c r="I715" s="11"/>
      <c r="J715" s="11"/>
      <c r="K715" s="11"/>
      <c r="L715" s="11"/>
      <c r="M715" s="11"/>
      <c r="N715" s="11"/>
      <c r="O715" s="11"/>
      <c r="P715" s="11"/>
      <c r="Q715" s="11"/>
      <c r="R715" s="11"/>
      <c r="S715" s="11"/>
      <c r="T715" s="11"/>
      <c r="U715" s="11"/>
      <c r="V715" s="11"/>
      <c r="W715" s="11"/>
      <c r="X715" s="11"/>
      <c r="Y715" s="11"/>
      <c r="Z715" s="11"/>
      <c r="AA715" s="11"/>
      <c r="AB715" s="11"/>
      <c r="AC715" s="11"/>
    </row>
    <row r="716" spans="1:29" ht="14">
      <c r="A716" s="11"/>
      <c r="B716" s="11"/>
      <c r="C716" s="11"/>
      <c r="D716" s="11"/>
      <c r="E716" s="11"/>
      <c r="F716" s="11"/>
      <c r="G716" s="11"/>
      <c r="H716" s="11"/>
      <c r="I716" s="11"/>
      <c r="J716" s="11"/>
      <c r="K716" s="11"/>
      <c r="L716" s="11"/>
      <c r="M716" s="11"/>
      <c r="N716" s="11"/>
      <c r="O716" s="11"/>
      <c r="P716" s="11"/>
      <c r="Q716" s="11"/>
      <c r="R716" s="11"/>
      <c r="S716" s="11"/>
      <c r="T716" s="11"/>
      <c r="U716" s="11"/>
      <c r="V716" s="11"/>
      <c r="W716" s="11"/>
      <c r="X716" s="11"/>
      <c r="Y716" s="11"/>
      <c r="Z716" s="11"/>
      <c r="AA716" s="11"/>
      <c r="AB716" s="11"/>
      <c r="AC716" s="11"/>
    </row>
    <row r="717" spans="1:29" ht="14">
      <c r="A717" s="11"/>
      <c r="B717" s="11"/>
      <c r="C717" s="11"/>
      <c r="D717" s="11"/>
      <c r="E717" s="11"/>
      <c r="F717" s="11"/>
      <c r="G717" s="11"/>
      <c r="H717" s="11"/>
      <c r="I717" s="11"/>
      <c r="J717" s="11"/>
      <c r="K717" s="11"/>
      <c r="L717" s="11"/>
      <c r="M717" s="11"/>
      <c r="N717" s="11"/>
      <c r="O717" s="11"/>
      <c r="P717" s="11"/>
      <c r="Q717" s="11"/>
      <c r="R717" s="11"/>
      <c r="S717" s="11"/>
      <c r="T717" s="11"/>
      <c r="U717" s="11"/>
      <c r="V717" s="11"/>
      <c r="W717" s="11"/>
      <c r="X717" s="11"/>
      <c r="Y717" s="11"/>
      <c r="Z717" s="11"/>
      <c r="AA717" s="11"/>
      <c r="AB717" s="11"/>
      <c r="AC717" s="11"/>
    </row>
    <row r="718" spans="1:29" ht="14">
      <c r="A718" s="11"/>
      <c r="B718" s="11"/>
      <c r="C718" s="11"/>
      <c r="D718" s="11"/>
      <c r="E718" s="11"/>
      <c r="F718" s="11"/>
      <c r="G718" s="11"/>
      <c r="H718" s="11"/>
      <c r="I718" s="11"/>
      <c r="J718" s="11"/>
      <c r="K718" s="11"/>
      <c r="L718" s="11"/>
      <c r="M718" s="11"/>
      <c r="N718" s="11"/>
      <c r="O718" s="11"/>
      <c r="P718" s="11"/>
      <c r="Q718" s="11"/>
      <c r="R718" s="11"/>
      <c r="S718" s="11"/>
      <c r="T718" s="11"/>
      <c r="U718" s="11"/>
      <c r="V718" s="11"/>
      <c r="W718" s="11"/>
      <c r="X718" s="11"/>
      <c r="Y718" s="11"/>
      <c r="Z718" s="11"/>
      <c r="AA718" s="11"/>
      <c r="AB718" s="11"/>
      <c r="AC718" s="11"/>
    </row>
    <row r="719" spans="1:29" ht="14">
      <c r="A719" s="11"/>
      <c r="B719" s="11"/>
      <c r="C719" s="11"/>
      <c r="D719" s="11"/>
      <c r="E719" s="11"/>
      <c r="F719" s="11"/>
      <c r="G719" s="11"/>
      <c r="H719" s="11"/>
      <c r="I719" s="11"/>
      <c r="J719" s="11"/>
      <c r="K719" s="11"/>
      <c r="L719" s="11"/>
      <c r="M719" s="11"/>
      <c r="N719" s="11"/>
      <c r="O719" s="11"/>
      <c r="P719" s="11"/>
      <c r="Q719" s="11"/>
      <c r="R719" s="11"/>
      <c r="S719" s="11"/>
      <c r="T719" s="11"/>
      <c r="U719" s="11"/>
      <c r="V719" s="11"/>
      <c r="W719" s="11"/>
      <c r="X719" s="11"/>
      <c r="Y719" s="11"/>
      <c r="Z719" s="11"/>
      <c r="AA719" s="11"/>
      <c r="AB719" s="11"/>
      <c r="AC719" s="11"/>
    </row>
    <row r="720" spans="1:29" ht="14">
      <c r="A720" s="11"/>
      <c r="B720" s="11"/>
      <c r="C720" s="11"/>
      <c r="D720" s="11"/>
      <c r="E720" s="11"/>
      <c r="F720" s="11"/>
      <c r="G720" s="11"/>
      <c r="H720" s="11"/>
      <c r="I720" s="11"/>
      <c r="J720" s="11"/>
      <c r="K720" s="11"/>
      <c r="L720" s="11"/>
      <c r="M720" s="11"/>
      <c r="N720" s="11"/>
      <c r="O720" s="11"/>
      <c r="P720" s="11"/>
      <c r="Q720" s="11"/>
      <c r="R720" s="11"/>
      <c r="S720" s="11"/>
      <c r="T720" s="11"/>
      <c r="U720" s="11"/>
      <c r="V720" s="11"/>
      <c r="W720" s="11"/>
      <c r="X720" s="11"/>
      <c r="Y720" s="11"/>
      <c r="Z720" s="11"/>
      <c r="AA720" s="11"/>
      <c r="AB720" s="11"/>
      <c r="AC720" s="11"/>
    </row>
    <row r="721" spans="1:29" ht="14">
      <c r="A721" s="11"/>
      <c r="B721" s="11"/>
      <c r="C721" s="11"/>
      <c r="D721" s="11"/>
      <c r="E721" s="11"/>
      <c r="F721" s="11"/>
      <c r="G721" s="11"/>
      <c r="H721" s="11"/>
      <c r="I721" s="11"/>
      <c r="J721" s="11"/>
      <c r="K721" s="11"/>
      <c r="L721" s="11"/>
      <c r="M721" s="11"/>
      <c r="N721" s="11"/>
      <c r="O721" s="11"/>
      <c r="P721" s="11"/>
      <c r="Q721" s="11"/>
      <c r="R721" s="11"/>
      <c r="S721" s="11"/>
      <c r="T721" s="11"/>
      <c r="U721" s="11"/>
      <c r="V721" s="11"/>
      <c r="W721" s="11"/>
      <c r="X721" s="11"/>
      <c r="Y721" s="11"/>
      <c r="Z721" s="11"/>
      <c r="AA721" s="11"/>
      <c r="AB721" s="11"/>
      <c r="AC721" s="11"/>
    </row>
    <row r="722" spans="1:29" ht="14">
      <c r="A722" s="11"/>
      <c r="B722" s="11"/>
      <c r="C722" s="11"/>
      <c r="D722" s="11"/>
      <c r="E722" s="11"/>
      <c r="F722" s="11"/>
      <c r="G722" s="11"/>
      <c r="H722" s="11"/>
      <c r="I722" s="11"/>
      <c r="J722" s="11"/>
      <c r="K722" s="11"/>
      <c r="L722" s="11"/>
      <c r="M722" s="11"/>
      <c r="N722" s="11"/>
      <c r="O722" s="11"/>
      <c r="P722" s="11"/>
      <c r="Q722" s="11"/>
      <c r="R722" s="11"/>
      <c r="S722" s="11"/>
      <c r="T722" s="11"/>
      <c r="U722" s="11"/>
      <c r="V722" s="11"/>
      <c r="W722" s="11"/>
      <c r="X722" s="11"/>
      <c r="Y722" s="11"/>
      <c r="Z722" s="11"/>
      <c r="AA722" s="11"/>
      <c r="AB722" s="11"/>
      <c r="AC722" s="11"/>
    </row>
    <row r="723" spans="1:29" ht="14">
      <c r="A723" s="11"/>
      <c r="B723" s="11"/>
      <c r="C723" s="11"/>
      <c r="D723" s="11"/>
      <c r="E723" s="11"/>
      <c r="F723" s="11"/>
      <c r="G723" s="11"/>
      <c r="H723" s="11"/>
      <c r="I723" s="11"/>
      <c r="J723" s="11"/>
      <c r="K723" s="11"/>
      <c r="L723" s="11"/>
      <c r="M723" s="11"/>
      <c r="N723" s="11"/>
      <c r="O723" s="11"/>
      <c r="P723" s="11"/>
      <c r="Q723" s="11"/>
      <c r="R723" s="11"/>
      <c r="S723" s="11"/>
      <c r="T723" s="11"/>
      <c r="U723" s="11"/>
      <c r="V723" s="11"/>
      <c r="W723" s="11"/>
      <c r="X723" s="11"/>
      <c r="Y723" s="11"/>
      <c r="Z723" s="11"/>
      <c r="AA723" s="11"/>
      <c r="AB723" s="11"/>
      <c r="AC723" s="11"/>
    </row>
    <row r="724" spans="1:29" ht="14">
      <c r="A724" s="11"/>
      <c r="B724" s="11"/>
      <c r="C724" s="11"/>
      <c r="D724" s="11"/>
      <c r="E724" s="11"/>
      <c r="F724" s="11"/>
      <c r="G724" s="11"/>
      <c r="H724" s="11"/>
      <c r="I724" s="11"/>
      <c r="J724" s="11"/>
      <c r="K724" s="11"/>
      <c r="L724" s="11"/>
      <c r="M724" s="11"/>
      <c r="N724" s="11"/>
      <c r="O724" s="11"/>
      <c r="P724" s="11"/>
      <c r="Q724" s="11"/>
      <c r="R724" s="11"/>
      <c r="S724" s="11"/>
      <c r="T724" s="11"/>
      <c r="U724" s="11"/>
      <c r="V724" s="11"/>
      <c r="W724" s="11"/>
      <c r="X724" s="11"/>
      <c r="Y724" s="11"/>
      <c r="Z724" s="11"/>
      <c r="AA724" s="11"/>
      <c r="AB724" s="11"/>
      <c r="AC724" s="11"/>
    </row>
    <row r="725" spans="1:29" ht="14">
      <c r="A725" s="11"/>
      <c r="B725" s="11"/>
      <c r="C725" s="11"/>
      <c r="D725" s="11"/>
      <c r="E725" s="11"/>
      <c r="F725" s="11"/>
      <c r="G725" s="11"/>
      <c r="H725" s="11"/>
      <c r="I725" s="11"/>
      <c r="J725" s="11"/>
      <c r="K725" s="11"/>
      <c r="L725" s="11"/>
      <c r="M725" s="11"/>
      <c r="N725" s="11"/>
      <c r="O725" s="11"/>
      <c r="P725" s="11"/>
      <c r="Q725" s="11"/>
      <c r="R725" s="11"/>
      <c r="S725" s="11"/>
      <c r="T725" s="11"/>
      <c r="U725" s="11"/>
      <c r="V725" s="11"/>
      <c r="W725" s="11"/>
      <c r="X725" s="11"/>
      <c r="Y725" s="11"/>
      <c r="Z725" s="11"/>
      <c r="AA725" s="11"/>
      <c r="AB725" s="11"/>
      <c r="AC725" s="11"/>
    </row>
    <row r="726" spans="1:29" ht="14">
      <c r="A726" s="11"/>
      <c r="B726" s="11"/>
      <c r="C726" s="11"/>
      <c r="D726" s="11"/>
      <c r="E726" s="11"/>
      <c r="F726" s="11"/>
      <c r="G726" s="11"/>
      <c r="H726" s="11"/>
      <c r="I726" s="11"/>
      <c r="J726" s="11"/>
      <c r="K726" s="11"/>
      <c r="L726" s="11"/>
      <c r="M726" s="11"/>
      <c r="N726" s="11"/>
      <c r="O726" s="11"/>
      <c r="P726" s="11"/>
      <c r="Q726" s="11"/>
      <c r="R726" s="11"/>
      <c r="S726" s="11"/>
      <c r="T726" s="11"/>
      <c r="U726" s="11"/>
      <c r="V726" s="11"/>
      <c r="W726" s="11"/>
      <c r="X726" s="11"/>
      <c r="Y726" s="11"/>
      <c r="Z726" s="11"/>
      <c r="AA726" s="11"/>
      <c r="AB726" s="11"/>
      <c r="AC726" s="11"/>
    </row>
    <row r="727" spans="1:29" ht="14">
      <c r="A727" s="11"/>
      <c r="B727" s="11"/>
      <c r="C727" s="11"/>
      <c r="D727" s="11"/>
      <c r="E727" s="11"/>
      <c r="F727" s="11"/>
      <c r="G727" s="11"/>
      <c r="H727" s="11"/>
      <c r="I727" s="11"/>
      <c r="J727" s="11"/>
      <c r="K727" s="11"/>
      <c r="L727" s="11"/>
      <c r="M727" s="11"/>
      <c r="N727" s="11"/>
      <c r="O727" s="11"/>
      <c r="P727" s="11"/>
      <c r="Q727" s="11"/>
      <c r="R727" s="11"/>
      <c r="S727" s="11"/>
      <c r="T727" s="11"/>
      <c r="U727" s="11"/>
      <c r="V727" s="11"/>
      <c r="W727" s="11"/>
      <c r="X727" s="11"/>
      <c r="Y727" s="11"/>
      <c r="Z727" s="11"/>
      <c r="AA727" s="11"/>
      <c r="AB727" s="11"/>
      <c r="AC727" s="11"/>
    </row>
    <row r="728" spans="1:29" ht="14">
      <c r="A728" s="11"/>
      <c r="B728" s="11"/>
      <c r="C728" s="11"/>
      <c r="D728" s="11"/>
      <c r="E728" s="11"/>
      <c r="F728" s="11"/>
      <c r="G728" s="11"/>
      <c r="H728" s="11"/>
      <c r="I728" s="11"/>
      <c r="J728" s="11"/>
      <c r="K728" s="11"/>
      <c r="L728" s="11"/>
      <c r="M728" s="11"/>
      <c r="N728" s="11"/>
      <c r="O728" s="11"/>
      <c r="P728" s="11"/>
      <c r="Q728" s="11"/>
      <c r="R728" s="11"/>
      <c r="S728" s="11"/>
      <c r="T728" s="11"/>
      <c r="U728" s="11"/>
      <c r="V728" s="11"/>
      <c r="W728" s="11"/>
      <c r="X728" s="11"/>
      <c r="Y728" s="11"/>
      <c r="Z728" s="11"/>
      <c r="AA728" s="11"/>
      <c r="AB728" s="11"/>
      <c r="AC728" s="11"/>
    </row>
    <row r="729" spans="1:29" ht="14">
      <c r="A729" s="11"/>
      <c r="B729" s="11"/>
      <c r="C729" s="11"/>
      <c r="D729" s="11"/>
      <c r="E729" s="11"/>
      <c r="F729" s="11"/>
      <c r="G729" s="11"/>
      <c r="H729" s="11"/>
      <c r="I729" s="11"/>
      <c r="J729" s="11"/>
      <c r="K729" s="11"/>
      <c r="L729" s="11"/>
      <c r="M729" s="11"/>
      <c r="N729" s="11"/>
      <c r="O729" s="11"/>
      <c r="P729" s="11"/>
      <c r="Q729" s="11"/>
      <c r="R729" s="11"/>
      <c r="S729" s="11"/>
      <c r="T729" s="11"/>
      <c r="U729" s="11"/>
      <c r="V729" s="11"/>
      <c r="W729" s="11"/>
      <c r="X729" s="11"/>
      <c r="Y729" s="11"/>
      <c r="Z729" s="11"/>
      <c r="AA729" s="11"/>
      <c r="AB729" s="11"/>
      <c r="AC729" s="11"/>
    </row>
    <row r="730" spans="1:29" ht="14">
      <c r="A730" s="11"/>
      <c r="B730" s="11"/>
      <c r="C730" s="11"/>
      <c r="D730" s="11"/>
      <c r="E730" s="11"/>
      <c r="F730" s="11"/>
      <c r="G730" s="11"/>
      <c r="H730" s="11"/>
      <c r="I730" s="11"/>
      <c r="J730" s="11"/>
      <c r="K730" s="11"/>
      <c r="L730" s="11"/>
      <c r="M730" s="11"/>
      <c r="N730" s="11"/>
      <c r="O730" s="11"/>
      <c r="P730" s="11"/>
      <c r="Q730" s="11"/>
      <c r="R730" s="11"/>
      <c r="S730" s="11"/>
      <c r="T730" s="11"/>
      <c r="U730" s="11"/>
      <c r="V730" s="11"/>
      <c r="W730" s="11"/>
      <c r="X730" s="11"/>
      <c r="Y730" s="11"/>
      <c r="Z730" s="11"/>
      <c r="AA730" s="11"/>
      <c r="AB730" s="11"/>
      <c r="AC730" s="11"/>
    </row>
    <row r="731" spans="1:29" ht="14">
      <c r="A731" s="11"/>
      <c r="B731" s="11"/>
      <c r="C731" s="11"/>
      <c r="D731" s="11"/>
      <c r="E731" s="11"/>
      <c r="F731" s="11"/>
      <c r="G731" s="11"/>
      <c r="H731" s="11"/>
      <c r="I731" s="11"/>
      <c r="J731" s="11"/>
      <c r="K731" s="11"/>
      <c r="L731" s="11"/>
      <c r="M731" s="11"/>
      <c r="N731" s="11"/>
      <c r="O731" s="11"/>
      <c r="P731" s="11"/>
      <c r="Q731" s="11"/>
      <c r="R731" s="11"/>
      <c r="S731" s="11"/>
      <c r="T731" s="11"/>
      <c r="U731" s="11"/>
      <c r="V731" s="11"/>
      <c r="W731" s="11"/>
      <c r="X731" s="11"/>
      <c r="Y731" s="11"/>
      <c r="Z731" s="11"/>
      <c r="AA731" s="11"/>
      <c r="AB731" s="11"/>
      <c r="AC731" s="11"/>
    </row>
    <row r="732" spans="1:29" ht="14">
      <c r="A732" s="11"/>
      <c r="B732" s="11"/>
      <c r="C732" s="11"/>
      <c r="D732" s="11"/>
      <c r="E732" s="11"/>
      <c r="F732" s="11"/>
      <c r="G732" s="11"/>
      <c r="H732" s="11"/>
      <c r="I732" s="11"/>
      <c r="J732" s="11"/>
      <c r="K732" s="11"/>
      <c r="L732" s="11"/>
      <c r="M732" s="11"/>
      <c r="N732" s="11"/>
      <c r="O732" s="11"/>
      <c r="P732" s="11"/>
      <c r="Q732" s="11"/>
      <c r="R732" s="11"/>
      <c r="S732" s="11"/>
      <c r="T732" s="11"/>
      <c r="U732" s="11"/>
      <c r="V732" s="11"/>
      <c r="W732" s="11"/>
      <c r="X732" s="11"/>
      <c r="Y732" s="11"/>
      <c r="Z732" s="11"/>
      <c r="AA732" s="11"/>
      <c r="AB732" s="11"/>
      <c r="AC732" s="11"/>
    </row>
    <row r="733" spans="1:29" ht="14">
      <c r="A733" s="11"/>
      <c r="B733" s="11"/>
      <c r="C733" s="11"/>
      <c r="D733" s="11"/>
      <c r="E733" s="11"/>
      <c r="F733" s="11"/>
      <c r="G733" s="11"/>
      <c r="H733" s="11"/>
      <c r="I733" s="11"/>
      <c r="J733" s="11"/>
      <c r="K733" s="11"/>
      <c r="L733" s="11"/>
      <c r="M733" s="11"/>
      <c r="N733" s="11"/>
      <c r="O733" s="11"/>
      <c r="P733" s="11"/>
      <c r="Q733" s="11"/>
      <c r="R733" s="11"/>
      <c r="S733" s="11"/>
      <c r="T733" s="11"/>
      <c r="U733" s="11"/>
      <c r="V733" s="11"/>
      <c r="W733" s="11"/>
      <c r="X733" s="11"/>
      <c r="Y733" s="11"/>
      <c r="Z733" s="11"/>
      <c r="AA733" s="11"/>
      <c r="AB733" s="11"/>
      <c r="AC733" s="11"/>
    </row>
    <row r="734" spans="1:29" ht="14">
      <c r="A734" s="11"/>
      <c r="B734" s="11"/>
      <c r="C734" s="11"/>
      <c r="D734" s="11"/>
      <c r="E734" s="11"/>
      <c r="F734" s="11"/>
      <c r="G734" s="11"/>
      <c r="H734" s="11"/>
      <c r="I734" s="11"/>
      <c r="J734" s="11"/>
      <c r="K734" s="11"/>
      <c r="L734" s="11"/>
      <c r="M734" s="11"/>
      <c r="N734" s="11"/>
      <c r="O734" s="11"/>
      <c r="P734" s="11"/>
      <c r="Q734" s="11"/>
      <c r="R734" s="11"/>
      <c r="S734" s="11"/>
      <c r="T734" s="11"/>
      <c r="U734" s="11"/>
      <c r="V734" s="11"/>
      <c r="W734" s="11"/>
      <c r="X734" s="11"/>
      <c r="Y734" s="11"/>
      <c r="Z734" s="11"/>
      <c r="AA734" s="11"/>
      <c r="AB734" s="11"/>
      <c r="AC734" s="11"/>
    </row>
    <row r="735" spans="1:29" ht="14">
      <c r="A735" s="11"/>
      <c r="B735" s="11"/>
      <c r="C735" s="11"/>
      <c r="D735" s="11"/>
      <c r="E735" s="11"/>
      <c r="F735" s="11"/>
      <c r="G735" s="11"/>
      <c r="H735" s="11"/>
      <c r="I735" s="11"/>
      <c r="J735" s="11"/>
      <c r="K735" s="11"/>
      <c r="L735" s="11"/>
      <c r="M735" s="11"/>
      <c r="N735" s="11"/>
      <c r="O735" s="11"/>
      <c r="P735" s="11"/>
      <c r="Q735" s="11"/>
      <c r="R735" s="11"/>
      <c r="S735" s="11"/>
      <c r="T735" s="11"/>
      <c r="U735" s="11"/>
      <c r="V735" s="11"/>
      <c r="W735" s="11"/>
      <c r="X735" s="11"/>
      <c r="Y735" s="11"/>
      <c r="Z735" s="11"/>
      <c r="AA735" s="11"/>
      <c r="AB735" s="11"/>
      <c r="AC735" s="11"/>
    </row>
    <row r="736" spans="1:29" ht="14">
      <c r="A736" s="11"/>
      <c r="B736" s="11"/>
      <c r="C736" s="11"/>
      <c r="D736" s="11"/>
      <c r="E736" s="11"/>
      <c r="F736" s="11"/>
      <c r="G736" s="11"/>
      <c r="H736" s="11"/>
      <c r="I736" s="11"/>
      <c r="J736" s="11"/>
      <c r="K736" s="11"/>
      <c r="L736" s="11"/>
      <c r="M736" s="11"/>
      <c r="N736" s="11"/>
      <c r="O736" s="11"/>
      <c r="P736" s="11"/>
      <c r="Q736" s="11"/>
      <c r="R736" s="11"/>
      <c r="S736" s="11"/>
      <c r="T736" s="11"/>
      <c r="U736" s="11"/>
      <c r="V736" s="11"/>
      <c r="W736" s="11"/>
      <c r="X736" s="11"/>
      <c r="Y736" s="11"/>
      <c r="Z736" s="11"/>
      <c r="AA736" s="11"/>
      <c r="AB736" s="11"/>
      <c r="AC736" s="11"/>
    </row>
    <row r="737" spans="1:29" ht="14">
      <c r="A737" s="11"/>
      <c r="B737" s="11"/>
      <c r="C737" s="11"/>
      <c r="D737" s="11"/>
      <c r="E737" s="11"/>
      <c r="F737" s="11"/>
      <c r="G737" s="11"/>
      <c r="H737" s="11"/>
      <c r="I737" s="11"/>
      <c r="J737" s="11"/>
      <c r="K737" s="11"/>
      <c r="L737" s="11"/>
      <c r="M737" s="11"/>
      <c r="N737" s="11"/>
      <c r="O737" s="11"/>
      <c r="P737" s="11"/>
      <c r="Q737" s="11"/>
      <c r="R737" s="11"/>
      <c r="S737" s="11"/>
      <c r="T737" s="11"/>
      <c r="U737" s="11"/>
      <c r="V737" s="11"/>
      <c r="W737" s="11"/>
      <c r="X737" s="11"/>
      <c r="Y737" s="11"/>
      <c r="Z737" s="11"/>
      <c r="AA737" s="11"/>
      <c r="AB737" s="11"/>
      <c r="AC737" s="11"/>
    </row>
    <row r="738" spans="1:29" ht="14">
      <c r="A738" s="11"/>
      <c r="B738" s="11"/>
      <c r="C738" s="11"/>
      <c r="D738" s="11"/>
      <c r="E738" s="11"/>
      <c r="F738" s="11"/>
      <c r="G738" s="11"/>
      <c r="H738" s="11"/>
      <c r="I738" s="11"/>
      <c r="J738" s="11"/>
      <c r="K738" s="11"/>
      <c r="L738" s="11"/>
      <c r="M738" s="11"/>
      <c r="N738" s="11"/>
      <c r="O738" s="11"/>
      <c r="P738" s="11"/>
      <c r="Q738" s="11"/>
      <c r="R738" s="11"/>
      <c r="S738" s="11"/>
      <c r="T738" s="11"/>
      <c r="U738" s="11"/>
      <c r="V738" s="11"/>
      <c r="W738" s="11"/>
      <c r="X738" s="11"/>
      <c r="Y738" s="11"/>
      <c r="Z738" s="11"/>
      <c r="AA738" s="11"/>
      <c r="AB738" s="11"/>
      <c r="AC738" s="11"/>
    </row>
    <row r="739" spans="1:29" ht="14">
      <c r="A739" s="11"/>
      <c r="B739" s="11"/>
      <c r="C739" s="11"/>
      <c r="D739" s="11"/>
      <c r="E739" s="11"/>
      <c r="F739" s="11"/>
      <c r="G739" s="11"/>
      <c r="H739" s="11"/>
      <c r="I739" s="11"/>
      <c r="J739" s="11"/>
      <c r="K739" s="11"/>
      <c r="L739" s="11"/>
      <c r="M739" s="11"/>
      <c r="N739" s="11"/>
      <c r="O739" s="11"/>
      <c r="P739" s="11"/>
      <c r="Q739" s="11"/>
      <c r="R739" s="11"/>
      <c r="S739" s="11"/>
      <c r="T739" s="11"/>
      <c r="U739" s="11"/>
      <c r="V739" s="11"/>
      <c r="W739" s="11"/>
      <c r="X739" s="11"/>
      <c r="Y739" s="11"/>
      <c r="Z739" s="11"/>
      <c r="AA739" s="11"/>
      <c r="AB739" s="11"/>
      <c r="AC739" s="11"/>
    </row>
    <row r="740" spans="1:29" ht="14">
      <c r="A740" s="11"/>
      <c r="B740" s="11"/>
      <c r="C740" s="11"/>
      <c r="D740" s="11"/>
      <c r="E740" s="11"/>
      <c r="F740" s="11"/>
      <c r="G740" s="11"/>
      <c r="H740" s="11"/>
      <c r="I740" s="11"/>
      <c r="J740" s="11"/>
      <c r="K740" s="11"/>
      <c r="L740" s="11"/>
      <c r="M740" s="11"/>
      <c r="N740" s="11"/>
      <c r="O740" s="11"/>
      <c r="P740" s="11"/>
      <c r="Q740" s="11"/>
      <c r="R740" s="11"/>
      <c r="S740" s="11"/>
      <c r="T740" s="11"/>
      <c r="U740" s="11"/>
      <c r="V740" s="11"/>
      <c r="W740" s="11"/>
      <c r="X740" s="11"/>
      <c r="Y740" s="11"/>
      <c r="Z740" s="11"/>
      <c r="AA740" s="11"/>
      <c r="AB740" s="11"/>
      <c r="AC740" s="11"/>
    </row>
    <row r="741" spans="1:29" ht="14">
      <c r="A741" s="11"/>
      <c r="B741" s="11"/>
      <c r="C741" s="11"/>
      <c r="D741" s="11"/>
      <c r="E741" s="11"/>
      <c r="F741" s="11"/>
      <c r="G741" s="11"/>
      <c r="H741" s="11"/>
      <c r="I741" s="11"/>
      <c r="J741" s="11"/>
      <c r="K741" s="11"/>
      <c r="L741" s="11"/>
      <c r="M741" s="11"/>
      <c r="N741" s="11"/>
      <c r="O741" s="11"/>
      <c r="P741" s="11"/>
      <c r="Q741" s="11"/>
      <c r="R741" s="11"/>
      <c r="S741" s="11"/>
      <c r="T741" s="11"/>
      <c r="U741" s="11"/>
      <c r="V741" s="11"/>
      <c r="W741" s="11"/>
      <c r="X741" s="11"/>
      <c r="Y741" s="11"/>
      <c r="Z741" s="11"/>
      <c r="AA741" s="11"/>
      <c r="AB741" s="11"/>
      <c r="AC741" s="11"/>
    </row>
    <row r="742" spans="1:29" ht="14">
      <c r="A742" s="11"/>
      <c r="B742" s="11"/>
      <c r="C742" s="11"/>
      <c r="D742" s="11"/>
      <c r="E742" s="11"/>
      <c r="F742" s="11"/>
      <c r="G742" s="11"/>
      <c r="H742" s="11"/>
      <c r="I742" s="11"/>
      <c r="J742" s="11"/>
      <c r="K742" s="11"/>
      <c r="L742" s="11"/>
      <c r="M742" s="11"/>
      <c r="N742" s="11"/>
      <c r="O742" s="11"/>
      <c r="P742" s="11"/>
      <c r="Q742" s="11"/>
      <c r="R742" s="11"/>
      <c r="S742" s="11"/>
      <c r="T742" s="11"/>
      <c r="U742" s="11"/>
      <c r="V742" s="11"/>
      <c r="W742" s="11"/>
      <c r="X742" s="11"/>
      <c r="Y742" s="11"/>
      <c r="Z742" s="11"/>
      <c r="AA742" s="11"/>
      <c r="AB742" s="11"/>
      <c r="AC742" s="11"/>
    </row>
    <row r="743" spans="1:29" ht="14">
      <c r="A743" s="11"/>
      <c r="B743" s="11"/>
      <c r="C743" s="11"/>
      <c r="D743" s="11"/>
      <c r="E743" s="11"/>
      <c r="F743" s="11"/>
      <c r="G743" s="11"/>
      <c r="H743" s="11"/>
      <c r="I743" s="11"/>
      <c r="J743" s="11"/>
      <c r="K743" s="11"/>
      <c r="L743" s="11"/>
      <c r="M743" s="11"/>
      <c r="N743" s="11"/>
      <c r="O743" s="11"/>
      <c r="P743" s="11"/>
      <c r="Q743" s="11"/>
      <c r="R743" s="11"/>
      <c r="S743" s="11"/>
      <c r="T743" s="11"/>
      <c r="U743" s="11"/>
      <c r="V743" s="11"/>
      <c r="W743" s="11"/>
      <c r="X743" s="11"/>
      <c r="Y743" s="11"/>
      <c r="Z743" s="11"/>
      <c r="AA743" s="11"/>
      <c r="AB743" s="11"/>
      <c r="AC743" s="11"/>
    </row>
    <row r="744" spans="1:29" ht="14">
      <c r="A744" s="11"/>
      <c r="B744" s="11"/>
      <c r="C744" s="11"/>
      <c r="D744" s="11"/>
      <c r="E744" s="11"/>
      <c r="F744" s="11"/>
      <c r="G744" s="11"/>
      <c r="H744" s="11"/>
      <c r="I744" s="11"/>
      <c r="J744" s="11"/>
      <c r="K744" s="11"/>
      <c r="L744" s="11"/>
      <c r="M744" s="11"/>
      <c r="N744" s="11"/>
      <c r="O744" s="11"/>
      <c r="P744" s="11"/>
      <c r="Q744" s="11"/>
      <c r="R744" s="11"/>
      <c r="S744" s="11"/>
      <c r="T744" s="11"/>
      <c r="U744" s="11"/>
      <c r="V744" s="11"/>
      <c r="W744" s="11"/>
      <c r="X744" s="11"/>
      <c r="Y744" s="11"/>
      <c r="Z744" s="11"/>
      <c r="AA744" s="11"/>
      <c r="AB744" s="11"/>
      <c r="AC744" s="11"/>
    </row>
    <row r="745" spans="1:29" ht="14">
      <c r="A745" s="11"/>
      <c r="B745" s="11"/>
      <c r="C745" s="11"/>
      <c r="D745" s="11"/>
      <c r="E745" s="11"/>
      <c r="F745" s="11"/>
      <c r="G745" s="11"/>
      <c r="H745" s="11"/>
      <c r="I745" s="11"/>
      <c r="J745" s="11"/>
      <c r="K745" s="11"/>
      <c r="L745" s="11"/>
      <c r="M745" s="11"/>
      <c r="N745" s="11"/>
      <c r="O745" s="11"/>
      <c r="P745" s="11"/>
      <c r="Q745" s="11"/>
      <c r="R745" s="11"/>
      <c r="S745" s="11"/>
      <c r="T745" s="11"/>
      <c r="U745" s="11"/>
      <c r="V745" s="11"/>
      <c r="W745" s="11"/>
      <c r="X745" s="11"/>
      <c r="Y745" s="11"/>
      <c r="Z745" s="11"/>
      <c r="AA745" s="11"/>
      <c r="AB745" s="11"/>
      <c r="AC745" s="11"/>
    </row>
    <row r="746" spans="1:29" ht="14">
      <c r="A746" s="11"/>
      <c r="B746" s="11"/>
      <c r="C746" s="11"/>
      <c r="D746" s="11"/>
      <c r="E746" s="11"/>
      <c r="F746" s="11"/>
      <c r="G746" s="11"/>
      <c r="H746" s="11"/>
      <c r="I746" s="11"/>
      <c r="J746" s="11"/>
      <c r="K746" s="11"/>
      <c r="L746" s="11"/>
      <c r="M746" s="11"/>
      <c r="N746" s="11"/>
      <c r="O746" s="11"/>
      <c r="P746" s="11"/>
      <c r="Q746" s="11"/>
      <c r="R746" s="11"/>
      <c r="S746" s="11"/>
      <c r="T746" s="11"/>
      <c r="U746" s="11"/>
      <c r="V746" s="11"/>
      <c r="W746" s="11"/>
      <c r="X746" s="11"/>
      <c r="Y746" s="11"/>
      <c r="Z746" s="11"/>
      <c r="AA746" s="11"/>
      <c r="AB746" s="11"/>
      <c r="AC746" s="11"/>
    </row>
    <row r="747" spans="1:29" ht="14">
      <c r="A747" s="11"/>
      <c r="B747" s="11"/>
      <c r="C747" s="11"/>
      <c r="D747" s="11"/>
      <c r="E747" s="11"/>
      <c r="F747" s="11"/>
      <c r="G747" s="11"/>
      <c r="H747" s="11"/>
      <c r="I747" s="11"/>
      <c r="J747" s="11"/>
      <c r="K747" s="11"/>
      <c r="L747" s="11"/>
      <c r="M747" s="11"/>
      <c r="N747" s="11"/>
      <c r="O747" s="11"/>
      <c r="P747" s="11"/>
      <c r="Q747" s="11"/>
      <c r="R747" s="11"/>
      <c r="S747" s="11"/>
      <c r="T747" s="11"/>
      <c r="U747" s="11"/>
      <c r="V747" s="11"/>
      <c r="W747" s="11"/>
      <c r="X747" s="11"/>
      <c r="Y747" s="11"/>
      <c r="Z747" s="11"/>
      <c r="AA747" s="11"/>
      <c r="AB747" s="11"/>
      <c r="AC747" s="11"/>
    </row>
    <row r="748" spans="1:29" ht="14">
      <c r="A748" s="11"/>
      <c r="B748" s="11"/>
      <c r="C748" s="11"/>
      <c r="D748" s="11"/>
      <c r="E748" s="11"/>
      <c r="F748" s="11"/>
      <c r="G748" s="11"/>
      <c r="H748" s="11"/>
      <c r="I748" s="11"/>
      <c r="J748" s="11"/>
      <c r="K748" s="11"/>
      <c r="L748" s="11"/>
      <c r="M748" s="11"/>
      <c r="N748" s="11"/>
      <c r="O748" s="11"/>
      <c r="P748" s="11"/>
      <c r="Q748" s="11"/>
      <c r="R748" s="11"/>
      <c r="S748" s="11"/>
      <c r="T748" s="11"/>
      <c r="U748" s="11"/>
      <c r="V748" s="11"/>
      <c r="W748" s="11"/>
      <c r="X748" s="11"/>
      <c r="Y748" s="11"/>
      <c r="Z748" s="11"/>
      <c r="AA748" s="11"/>
      <c r="AB748" s="11"/>
      <c r="AC748" s="11"/>
    </row>
    <row r="749" spans="1:29" ht="14">
      <c r="A749" s="11"/>
      <c r="B749" s="11"/>
      <c r="C749" s="11"/>
      <c r="D749" s="11"/>
      <c r="E749" s="11"/>
      <c r="F749" s="11"/>
      <c r="G749" s="11"/>
      <c r="H749" s="11"/>
      <c r="I749" s="11"/>
      <c r="J749" s="11"/>
      <c r="K749" s="11"/>
      <c r="L749" s="11"/>
      <c r="M749" s="11"/>
      <c r="N749" s="11"/>
      <c r="O749" s="11"/>
      <c r="P749" s="11"/>
      <c r="Q749" s="11"/>
      <c r="R749" s="11"/>
      <c r="S749" s="11"/>
      <c r="T749" s="11"/>
      <c r="U749" s="11"/>
      <c r="V749" s="11"/>
      <c r="W749" s="11"/>
      <c r="X749" s="11"/>
      <c r="Y749" s="11"/>
      <c r="Z749" s="11"/>
      <c r="AA749" s="11"/>
      <c r="AB749" s="11"/>
      <c r="AC749" s="11"/>
    </row>
    <row r="750" spans="1:29" ht="14">
      <c r="A750" s="11"/>
      <c r="B750" s="11"/>
      <c r="C750" s="11"/>
      <c r="D750" s="11"/>
      <c r="E750" s="11"/>
      <c r="F750" s="11"/>
      <c r="G750" s="11"/>
      <c r="H750" s="11"/>
      <c r="I750" s="11"/>
      <c r="J750" s="11"/>
      <c r="K750" s="11"/>
      <c r="L750" s="11"/>
      <c r="M750" s="11"/>
      <c r="N750" s="11"/>
      <c r="O750" s="11"/>
      <c r="P750" s="11"/>
      <c r="Q750" s="11"/>
      <c r="R750" s="11"/>
      <c r="S750" s="11"/>
      <c r="T750" s="11"/>
      <c r="U750" s="11"/>
      <c r="V750" s="11"/>
      <c r="W750" s="11"/>
      <c r="X750" s="11"/>
      <c r="Y750" s="11"/>
      <c r="Z750" s="11"/>
      <c r="AA750" s="11"/>
      <c r="AB750" s="11"/>
      <c r="AC750" s="11"/>
    </row>
    <row r="751" spans="1:29" ht="14">
      <c r="A751" s="11"/>
      <c r="B751" s="11"/>
      <c r="C751" s="11"/>
      <c r="D751" s="11"/>
      <c r="E751" s="11"/>
      <c r="F751" s="11"/>
      <c r="G751" s="11"/>
      <c r="H751" s="11"/>
      <c r="I751" s="11"/>
      <c r="J751" s="11"/>
      <c r="K751" s="11"/>
      <c r="L751" s="11"/>
      <c r="M751" s="11"/>
      <c r="N751" s="11"/>
      <c r="O751" s="11"/>
      <c r="P751" s="11"/>
      <c r="Q751" s="11"/>
      <c r="R751" s="11"/>
      <c r="S751" s="11"/>
      <c r="T751" s="11"/>
      <c r="U751" s="11"/>
      <c r="V751" s="11"/>
      <c r="W751" s="11"/>
      <c r="X751" s="11"/>
      <c r="Y751" s="11"/>
      <c r="Z751" s="11"/>
      <c r="AA751" s="11"/>
      <c r="AB751" s="11"/>
      <c r="AC751" s="11"/>
    </row>
    <row r="752" spans="1:29" ht="14">
      <c r="A752" s="11"/>
      <c r="B752" s="11"/>
      <c r="C752" s="11"/>
      <c r="D752" s="11"/>
      <c r="E752" s="11"/>
      <c r="F752" s="11"/>
      <c r="G752" s="11"/>
      <c r="H752" s="11"/>
      <c r="I752" s="11"/>
      <c r="J752" s="11"/>
      <c r="K752" s="11"/>
      <c r="L752" s="11"/>
      <c r="M752" s="11"/>
      <c r="N752" s="11"/>
      <c r="O752" s="11"/>
      <c r="P752" s="11"/>
      <c r="Q752" s="11"/>
      <c r="R752" s="11"/>
      <c r="S752" s="11"/>
      <c r="T752" s="11"/>
      <c r="U752" s="11"/>
      <c r="V752" s="11"/>
      <c r="W752" s="11"/>
      <c r="X752" s="11"/>
      <c r="Y752" s="11"/>
      <c r="Z752" s="11"/>
      <c r="AA752" s="11"/>
      <c r="AB752" s="11"/>
      <c r="AC752" s="11"/>
    </row>
    <row r="753" spans="1:29" ht="14">
      <c r="A753" s="11"/>
      <c r="B753" s="11"/>
      <c r="C753" s="11"/>
      <c r="D753" s="11"/>
      <c r="E753" s="11"/>
      <c r="F753" s="11"/>
      <c r="G753" s="11"/>
      <c r="H753" s="11"/>
      <c r="I753" s="11"/>
      <c r="J753" s="11"/>
      <c r="K753" s="11"/>
      <c r="L753" s="11"/>
      <c r="M753" s="11"/>
      <c r="N753" s="11"/>
      <c r="O753" s="11"/>
      <c r="P753" s="11"/>
      <c r="Q753" s="11"/>
      <c r="R753" s="11"/>
      <c r="S753" s="11"/>
      <c r="T753" s="11"/>
      <c r="U753" s="11"/>
      <c r="V753" s="11"/>
      <c r="W753" s="11"/>
      <c r="X753" s="11"/>
      <c r="Y753" s="11"/>
      <c r="Z753" s="11"/>
      <c r="AA753" s="11"/>
      <c r="AB753" s="11"/>
      <c r="AC753" s="11"/>
    </row>
    <row r="754" spans="1:29" ht="14">
      <c r="A754" s="11"/>
      <c r="B754" s="11"/>
      <c r="C754" s="11"/>
      <c r="D754" s="11"/>
      <c r="E754" s="11"/>
      <c r="F754" s="11"/>
      <c r="G754" s="11"/>
      <c r="H754" s="11"/>
      <c r="I754" s="11"/>
      <c r="J754" s="11"/>
      <c r="K754" s="11"/>
      <c r="L754" s="11"/>
      <c r="M754" s="11"/>
      <c r="N754" s="11"/>
      <c r="O754" s="11"/>
      <c r="P754" s="11"/>
      <c r="Q754" s="11"/>
      <c r="R754" s="11"/>
      <c r="S754" s="11"/>
      <c r="T754" s="11"/>
      <c r="U754" s="11"/>
      <c r="V754" s="11"/>
      <c r="W754" s="11"/>
      <c r="X754" s="11"/>
      <c r="Y754" s="11"/>
      <c r="Z754" s="11"/>
      <c r="AA754" s="11"/>
      <c r="AB754" s="11"/>
      <c r="AC754" s="11"/>
    </row>
    <row r="755" spans="1:29" ht="14">
      <c r="A755" s="11"/>
      <c r="B755" s="11"/>
      <c r="C755" s="11"/>
      <c r="D755" s="11"/>
      <c r="E755" s="11"/>
      <c r="F755" s="11"/>
      <c r="G755" s="11"/>
      <c r="H755" s="11"/>
      <c r="I755" s="11"/>
      <c r="J755" s="11"/>
      <c r="K755" s="11"/>
      <c r="L755" s="11"/>
      <c r="M755" s="11"/>
      <c r="N755" s="11"/>
      <c r="O755" s="11"/>
      <c r="P755" s="11"/>
      <c r="Q755" s="11"/>
      <c r="R755" s="11"/>
      <c r="S755" s="11"/>
      <c r="T755" s="11"/>
      <c r="U755" s="11"/>
      <c r="V755" s="11"/>
      <c r="W755" s="11"/>
      <c r="X755" s="11"/>
      <c r="Y755" s="11"/>
      <c r="Z755" s="11"/>
      <c r="AA755" s="11"/>
      <c r="AB755" s="11"/>
      <c r="AC755" s="11"/>
    </row>
    <row r="756" spans="1:29" ht="14">
      <c r="A756" s="11"/>
      <c r="B756" s="11"/>
      <c r="C756" s="11"/>
      <c r="D756" s="11"/>
      <c r="E756" s="11"/>
      <c r="F756" s="11"/>
      <c r="G756" s="11"/>
      <c r="H756" s="11"/>
      <c r="I756" s="11"/>
      <c r="J756" s="11"/>
      <c r="K756" s="11"/>
      <c r="L756" s="11"/>
      <c r="M756" s="11"/>
      <c r="N756" s="11"/>
      <c r="O756" s="11"/>
      <c r="P756" s="11"/>
      <c r="Q756" s="11"/>
      <c r="R756" s="11"/>
      <c r="S756" s="11"/>
      <c r="T756" s="11"/>
      <c r="U756" s="11"/>
      <c r="V756" s="11"/>
      <c r="W756" s="11"/>
      <c r="X756" s="11"/>
      <c r="Y756" s="11"/>
      <c r="Z756" s="11"/>
      <c r="AA756" s="11"/>
      <c r="AB756" s="11"/>
      <c r="AC756" s="11"/>
    </row>
    <row r="757" spans="1:29" ht="14">
      <c r="A757" s="11"/>
      <c r="B757" s="11"/>
      <c r="C757" s="11"/>
      <c r="D757" s="11"/>
      <c r="E757" s="11"/>
      <c r="F757" s="11"/>
      <c r="G757" s="11"/>
      <c r="H757" s="11"/>
      <c r="I757" s="11"/>
      <c r="J757" s="11"/>
      <c r="K757" s="11"/>
      <c r="L757" s="11"/>
      <c r="M757" s="11"/>
      <c r="N757" s="11"/>
      <c r="O757" s="11"/>
      <c r="P757" s="11"/>
      <c r="Q757" s="11"/>
      <c r="R757" s="11"/>
      <c r="S757" s="11"/>
      <c r="T757" s="11"/>
      <c r="U757" s="11"/>
      <c r="V757" s="11"/>
      <c r="W757" s="11"/>
      <c r="X757" s="11"/>
      <c r="Y757" s="11"/>
      <c r="Z757" s="11"/>
      <c r="AA757" s="11"/>
      <c r="AB757" s="11"/>
      <c r="AC757" s="11"/>
    </row>
    <row r="758" spans="1:29" ht="14">
      <c r="A758" s="11"/>
      <c r="B758" s="11"/>
      <c r="C758" s="11"/>
      <c r="D758" s="11"/>
      <c r="E758" s="11"/>
      <c r="F758" s="11"/>
      <c r="G758" s="11"/>
      <c r="H758" s="11"/>
      <c r="I758" s="11"/>
      <c r="J758" s="11"/>
      <c r="K758" s="11"/>
      <c r="L758" s="11"/>
      <c r="M758" s="11"/>
      <c r="N758" s="11"/>
      <c r="O758" s="11"/>
      <c r="P758" s="11"/>
      <c r="Q758" s="11"/>
      <c r="R758" s="11"/>
      <c r="S758" s="11"/>
      <c r="T758" s="11"/>
      <c r="U758" s="11"/>
      <c r="V758" s="11"/>
      <c r="W758" s="11"/>
      <c r="X758" s="11"/>
      <c r="Y758" s="11"/>
      <c r="Z758" s="11"/>
      <c r="AA758" s="11"/>
      <c r="AB758" s="11"/>
      <c r="AC758" s="11"/>
    </row>
    <row r="759" spans="1:29" ht="14">
      <c r="A759" s="11"/>
      <c r="B759" s="11"/>
      <c r="C759" s="11"/>
      <c r="D759" s="11"/>
      <c r="E759" s="11"/>
      <c r="F759" s="11"/>
      <c r="G759" s="11"/>
      <c r="H759" s="11"/>
      <c r="I759" s="11"/>
      <c r="J759" s="11"/>
      <c r="K759" s="11"/>
      <c r="L759" s="11"/>
      <c r="M759" s="11"/>
      <c r="N759" s="11"/>
      <c r="O759" s="11"/>
      <c r="P759" s="11"/>
      <c r="Q759" s="11"/>
      <c r="R759" s="11"/>
      <c r="S759" s="11"/>
      <c r="T759" s="11"/>
      <c r="U759" s="11"/>
      <c r="V759" s="11"/>
      <c r="W759" s="11"/>
      <c r="X759" s="11"/>
      <c r="Y759" s="11"/>
      <c r="Z759" s="11"/>
      <c r="AA759" s="11"/>
      <c r="AB759" s="11"/>
      <c r="AC759" s="11"/>
    </row>
    <row r="760" spans="1:29" ht="14">
      <c r="A760" s="11"/>
      <c r="B760" s="11"/>
      <c r="C760" s="11"/>
      <c r="D760" s="11"/>
      <c r="E760" s="11"/>
      <c r="F760" s="11"/>
      <c r="G760" s="11"/>
      <c r="H760" s="11"/>
      <c r="I760" s="11"/>
      <c r="J760" s="11"/>
      <c r="K760" s="11"/>
      <c r="L760" s="11"/>
      <c r="M760" s="11"/>
      <c r="N760" s="11"/>
      <c r="O760" s="11"/>
      <c r="P760" s="11"/>
      <c r="Q760" s="11"/>
      <c r="R760" s="11"/>
      <c r="S760" s="11"/>
      <c r="T760" s="11"/>
      <c r="U760" s="11"/>
      <c r="V760" s="11"/>
      <c r="W760" s="11"/>
      <c r="X760" s="11"/>
      <c r="Y760" s="11"/>
      <c r="Z760" s="11"/>
      <c r="AA760" s="11"/>
      <c r="AB760" s="11"/>
      <c r="AC760" s="11"/>
    </row>
    <row r="761" spans="1:29" ht="14">
      <c r="A761" s="11"/>
      <c r="B761" s="11"/>
      <c r="C761" s="11"/>
      <c r="D761" s="11"/>
      <c r="E761" s="11"/>
      <c r="F761" s="11"/>
      <c r="G761" s="11"/>
      <c r="H761" s="11"/>
      <c r="I761" s="11"/>
      <c r="J761" s="11"/>
      <c r="K761" s="11"/>
      <c r="L761" s="11"/>
      <c r="M761" s="11"/>
      <c r="N761" s="11"/>
      <c r="O761" s="11"/>
      <c r="P761" s="11"/>
      <c r="Q761" s="11"/>
      <c r="R761" s="11"/>
      <c r="S761" s="11"/>
      <c r="T761" s="11"/>
      <c r="U761" s="11"/>
      <c r="V761" s="11"/>
      <c r="W761" s="11"/>
      <c r="X761" s="11"/>
      <c r="Y761" s="11"/>
      <c r="Z761" s="11"/>
      <c r="AA761" s="11"/>
      <c r="AB761" s="11"/>
      <c r="AC761" s="11"/>
    </row>
    <row r="762" spans="1:29" ht="14">
      <c r="A762" s="11"/>
      <c r="B762" s="11"/>
      <c r="C762" s="11"/>
      <c r="D762" s="11"/>
      <c r="E762" s="11"/>
      <c r="F762" s="11"/>
      <c r="G762" s="11"/>
      <c r="H762" s="11"/>
      <c r="I762" s="11"/>
      <c r="J762" s="11"/>
      <c r="K762" s="11"/>
      <c r="L762" s="11"/>
      <c r="M762" s="11"/>
      <c r="N762" s="11"/>
      <c r="O762" s="11"/>
      <c r="P762" s="11"/>
      <c r="Q762" s="11"/>
      <c r="R762" s="11"/>
      <c r="S762" s="11"/>
      <c r="T762" s="11"/>
      <c r="U762" s="11"/>
      <c r="V762" s="11"/>
      <c r="W762" s="11"/>
      <c r="X762" s="11"/>
      <c r="Y762" s="11"/>
      <c r="Z762" s="11"/>
      <c r="AA762" s="11"/>
      <c r="AB762" s="11"/>
      <c r="AC762" s="11"/>
    </row>
    <row r="763" spans="1:29" ht="14">
      <c r="A763" s="11"/>
      <c r="B763" s="11"/>
      <c r="C763" s="11"/>
      <c r="D763" s="11"/>
      <c r="E763" s="11"/>
      <c r="F763" s="11"/>
      <c r="G763" s="11"/>
      <c r="H763" s="11"/>
      <c r="I763" s="11"/>
      <c r="J763" s="11"/>
      <c r="K763" s="11"/>
      <c r="L763" s="11"/>
      <c r="M763" s="11"/>
      <c r="N763" s="11"/>
      <c r="O763" s="11"/>
      <c r="P763" s="11"/>
      <c r="Q763" s="11"/>
      <c r="R763" s="11"/>
      <c r="S763" s="11"/>
      <c r="T763" s="11"/>
      <c r="U763" s="11"/>
      <c r="V763" s="11"/>
      <c r="W763" s="11"/>
      <c r="X763" s="11"/>
      <c r="Y763" s="11"/>
      <c r="Z763" s="11"/>
      <c r="AA763" s="11"/>
      <c r="AB763" s="11"/>
      <c r="AC763" s="11"/>
    </row>
    <row r="764" spans="1:29" ht="14">
      <c r="A764" s="11"/>
      <c r="B764" s="11"/>
      <c r="C764" s="11"/>
      <c r="D764" s="11"/>
      <c r="E764" s="11"/>
      <c r="F764" s="11"/>
      <c r="G764" s="11"/>
      <c r="H764" s="11"/>
      <c r="I764" s="11"/>
      <c r="J764" s="11"/>
      <c r="K764" s="11"/>
      <c r="L764" s="11"/>
      <c r="M764" s="11"/>
      <c r="N764" s="11"/>
      <c r="O764" s="11"/>
      <c r="P764" s="11"/>
      <c r="Q764" s="11"/>
      <c r="R764" s="11"/>
      <c r="S764" s="11"/>
      <c r="T764" s="11"/>
      <c r="U764" s="11"/>
      <c r="V764" s="11"/>
      <c r="W764" s="11"/>
      <c r="X764" s="11"/>
      <c r="Y764" s="11"/>
      <c r="Z764" s="11"/>
      <c r="AA764" s="11"/>
      <c r="AB764" s="11"/>
      <c r="AC764" s="11"/>
    </row>
    <row r="765" spans="1:29" ht="14">
      <c r="A765" s="11"/>
      <c r="B765" s="11"/>
      <c r="C765" s="11"/>
      <c r="D765" s="11"/>
      <c r="E765" s="11"/>
      <c r="F765" s="11"/>
      <c r="G765" s="11"/>
      <c r="H765" s="11"/>
      <c r="I765" s="11"/>
      <c r="J765" s="11"/>
      <c r="K765" s="11"/>
      <c r="L765" s="11"/>
      <c r="M765" s="11"/>
      <c r="N765" s="11"/>
      <c r="O765" s="11"/>
      <c r="P765" s="11"/>
      <c r="Q765" s="11"/>
      <c r="R765" s="11"/>
      <c r="S765" s="11"/>
      <c r="T765" s="11"/>
      <c r="U765" s="11"/>
      <c r="V765" s="11"/>
      <c r="W765" s="11"/>
      <c r="X765" s="11"/>
      <c r="Y765" s="11"/>
      <c r="Z765" s="11"/>
      <c r="AA765" s="11"/>
      <c r="AB765" s="11"/>
      <c r="AC765" s="11"/>
    </row>
    <row r="766" spans="1:29" ht="14">
      <c r="A766" s="11"/>
      <c r="B766" s="11"/>
      <c r="C766" s="11"/>
      <c r="D766" s="11"/>
      <c r="E766" s="11"/>
      <c r="F766" s="11"/>
      <c r="G766" s="11"/>
      <c r="H766" s="11"/>
      <c r="I766" s="11"/>
      <c r="J766" s="11"/>
      <c r="K766" s="11"/>
      <c r="L766" s="11"/>
      <c r="M766" s="11"/>
      <c r="N766" s="11"/>
      <c r="O766" s="11"/>
      <c r="P766" s="11"/>
      <c r="Q766" s="11"/>
      <c r="R766" s="11"/>
      <c r="S766" s="11"/>
      <c r="T766" s="11"/>
      <c r="U766" s="11"/>
      <c r="V766" s="11"/>
      <c r="W766" s="11"/>
      <c r="X766" s="11"/>
      <c r="Y766" s="11"/>
      <c r="Z766" s="11"/>
      <c r="AA766" s="11"/>
      <c r="AB766" s="11"/>
      <c r="AC766" s="11"/>
    </row>
    <row r="767" spans="1:29" ht="14">
      <c r="A767" s="11"/>
      <c r="B767" s="11"/>
      <c r="C767" s="11"/>
      <c r="D767" s="11"/>
      <c r="E767" s="11"/>
      <c r="F767" s="11"/>
      <c r="G767" s="11"/>
      <c r="H767" s="11"/>
      <c r="I767" s="11"/>
      <c r="J767" s="11"/>
      <c r="K767" s="11"/>
      <c r="L767" s="11"/>
      <c r="M767" s="11"/>
      <c r="N767" s="11"/>
      <c r="O767" s="11"/>
      <c r="P767" s="11"/>
      <c r="Q767" s="11"/>
      <c r="R767" s="11"/>
      <c r="S767" s="11"/>
      <c r="T767" s="11"/>
      <c r="U767" s="11"/>
      <c r="V767" s="11"/>
      <c r="W767" s="11"/>
      <c r="X767" s="11"/>
      <c r="Y767" s="11"/>
      <c r="Z767" s="11"/>
      <c r="AA767" s="11"/>
      <c r="AB767" s="11"/>
      <c r="AC767" s="11"/>
    </row>
    <row r="768" spans="1:29" ht="14">
      <c r="A768" s="11"/>
      <c r="B768" s="11"/>
      <c r="C768" s="11"/>
      <c r="D768" s="11"/>
      <c r="E768" s="11"/>
      <c r="F768" s="11"/>
      <c r="G768" s="11"/>
      <c r="H768" s="11"/>
      <c r="I768" s="11"/>
      <c r="J768" s="11"/>
      <c r="K768" s="11"/>
      <c r="L768" s="11"/>
      <c r="M768" s="11"/>
      <c r="N768" s="11"/>
      <c r="O768" s="11"/>
      <c r="P768" s="11"/>
      <c r="Q768" s="11"/>
      <c r="R768" s="11"/>
      <c r="S768" s="11"/>
      <c r="T768" s="11"/>
      <c r="U768" s="11"/>
      <c r="V768" s="11"/>
      <c r="W768" s="11"/>
      <c r="X768" s="11"/>
      <c r="Y768" s="11"/>
      <c r="Z768" s="11"/>
      <c r="AA768" s="11"/>
      <c r="AB768" s="11"/>
      <c r="AC768" s="11"/>
    </row>
    <row r="769" spans="1:29" ht="14">
      <c r="A769" s="11"/>
      <c r="B769" s="11"/>
      <c r="C769" s="11"/>
      <c r="D769" s="11"/>
      <c r="E769" s="11"/>
      <c r="F769" s="11"/>
      <c r="G769" s="11"/>
      <c r="H769" s="11"/>
      <c r="I769" s="11"/>
      <c r="J769" s="11"/>
      <c r="K769" s="11"/>
      <c r="L769" s="11"/>
      <c r="M769" s="11"/>
      <c r="N769" s="11"/>
      <c r="O769" s="11"/>
      <c r="P769" s="11"/>
      <c r="Q769" s="11"/>
      <c r="R769" s="11"/>
      <c r="S769" s="11"/>
      <c r="T769" s="11"/>
      <c r="U769" s="11"/>
      <c r="V769" s="11"/>
      <c r="W769" s="11"/>
      <c r="X769" s="11"/>
      <c r="Y769" s="11"/>
      <c r="Z769" s="11"/>
      <c r="AA769" s="11"/>
      <c r="AB769" s="11"/>
      <c r="AC769" s="11"/>
    </row>
    <row r="770" spans="1:29" ht="14">
      <c r="A770" s="11"/>
      <c r="B770" s="11"/>
      <c r="C770" s="11"/>
      <c r="D770" s="11"/>
      <c r="E770" s="11"/>
      <c r="F770" s="11"/>
      <c r="G770" s="11"/>
      <c r="H770" s="11"/>
      <c r="I770" s="11"/>
      <c r="J770" s="11"/>
      <c r="K770" s="11"/>
      <c r="L770" s="11"/>
      <c r="M770" s="11"/>
      <c r="N770" s="11"/>
      <c r="O770" s="11"/>
      <c r="P770" s="11"/>
      <c r="Q770" s="11"/>
      <c r="R770" s="11"/>
      <c r="S770" s="11"/>
      <c r="T770" s="11"/>
      <c r="U770" s="11"/>
      <c r="V770" s="11"/>
      <c r="W770" s="11"/>
      <c r="X770" s="11"/>
      <c r="Y770" s="11"/>
      <c r="Z770" s="11"/>
      <c r="AA770" s="11"/>
      <c r="AB770" s="11"/>
      <c r="AC770" s="11"/>
    </row>
    <row r="771" spans="1:29" ht="14">
      <c r="A771" s="11"/>
      <c r="B771" s="11"/>
      <c r="C771" s="11"/>
      <c r="D771" s="11"/>
      <c r="E771" s="11"/>
      <c r="F771" s="11"/>
      <c r="G771" s="11"/>
      <c r="H771" s="11"/>
      <c r="I771" s="11"/>
      <c r="J771" s="11"/>
      <c r="K771" s="11"/>
      <c r="L771" s="11"/>
      <c r="M771" s="11"/>
      <c r="N771" s="11"/>
      <c r="O771" s="11"/>
      <c r="P771" s="11"/>
      <c r="Q771" s="11"/>
      <c r="R771" s="11"/>
      <c r="S771" s="11"/>
      <c r="T771" s="11"/>
      <c r="U771" s="11"/>
      <c r="V771" s="11"/>
      <c r="W771" s="11"/>
      <c r="X771" s="11"/>
      <c r="Y771" s="11"/>
      <c r="Z771" s="11"/>
      <c r="AA771" s="11"/>
      <c r="AB771" s="11"/>
      <c r="AC771" s="11"/>
    </row>
    <row r="772" spans="1:29" ht="14">
      <c r="A772" s="11"/>
      <c r="B772" s="11"/>
      <c r="C772" s="11"/>
      <c r="D772" s="11"/>
      <c r="E772" s="11"/>
      <c r="F772" s="11"/>
      <c r="G772" s="11"/>
      <c r="H772" s="11"/>
      <c r="I772" s="11"/>
      <c r="J772" s="11"/>
      <c r="K772" s="11"/>
      <c r="L772" s="11"/>
      <c r="M772" s="11"/>
      <c r="N772" s="11"/>
      <c r="O772" s="11"/>
      <c r="P772" s="11"/>
      <c r="Q772" s="11"/>
      <c r="R772" s="11"/>
      <c r="S772" s="11"/>
      <c r="T772" s="11"/>
      <c r="U772" s="11"/>
      <c r="V772" s="11"/>
      <c r="W772" s="11"/>
      <c r="X772" s="11"/>
      <c r="Y772" s="11"/>
      <c r="Z772" s="11"/>
      <c r="AA772" s="11"/>
      <c r="AB772" s="11"/>
      <c r="AC772" s="11"/>
    </row>
    <row r="773" spans="1:29" ht="14">
      <c r="A773" s="11"/>
      <c r="B773" s="11"/>
      <c r="C773" s="11"/>
      <c r="D773" s="11"/>
      <c r="E773" s="11"/>
      <c r="F773" s="11"/>
      <c r="G773" s="11"/>
      <c r="H773" s="11"/>
      <c r="I773" s="11"/>
      <c r="J773" s="11"/>
      <c r="K773" s="11"/>
      <c r="L773" s="11"/>
      <c r="M773" s="11"/>
      <c r="N773" s="11"/>
      <c r="O773" s="11"/>
      <c r="P773" s="11"/>
      <c r="Q773" s="11"/>
      <c r="R773" s="11"/>
      <c r="S773" s="11"/>
      <c r="T773" s="11"/>
      <c r="U773" s="11"/>
      <c r="V773" s="11"/>
      <c r="W773" s="11"/>
      <c r="X773" s="11"/>
      <c r="Y773" s="11"/>
      <c r="Z773" s="11"/>
      <c r="AA773" s="11"/>
      <c r="AB773" s="11"/>
      <c r="AC773" s="11"/>
    </row>
    <row r="774" spans="1:29" ht="14">
      <c r="A774" s="11"/>
      <c r="B774" s="11"/>
      <c r="C774" s="11"/>
      <c r="D774" s="11"/>
      <c r="E774" s="11"/>
      <c r="F774" s="11"/>
      <c r="G774" s="11"/>
      <c r="H774" s="11"/>
      <c r="I774" s="11"/>
      <c r="J774" s="11"/>
      <c r="K774" s="11"/>
      <c r="L774" s="11"/>
      <c r="M774" s="11"/>
      <c r="N774" s="11"/>
      <c r="O774" s="11"/>
      <c r="P774" s="11"/>
      <c r="Q774" s="11"/>
      <c r="R774" s="11"/>
      <c r="S774" s="11"/>
      <c r="T774" s="11"/>
      <c r="U774" s="11"/>
      <c r="V774" s="11"/>
      <c r="W774" s="11"/>
      <c r="X774" s="11"/>
      <c r="Y774" s="11"/>
      <c r="Z774" s="11"/>
      <c r="AA774" s="11"/>
      <c r="AB774" s="11"/>
      <c r="AC774" s="11"/>
    </row>
    <row r="775" spans="1:29" ht="14">
      <c r="A775" s="11"/>
      <c r="B775" s="11"/>
      <c r="C775" s="11"/>
      <c r="D775" s="11"/>
      <c r="E775" s="11"/>
      <c r="F775" s="11"/>
      <c r="G775" s="11"/>
      <c r="H775" s="11"/>
      <c r="I775" s="11"/>
      <c r="J775" s="11"/>
      <c r="K775" s="11"/>
      <c r="L775" s="11"/>
      <c r="M775" s="11"/>
      <c r="N775" s="11"/>
      <c r="O775" s="11"/>
      <c r="P775" s="11"/>
      <c r="Q775" s="11"/>
      <c r="R775" s="11"/>
      <c r="S775" s="11"/>
      <c r="T775" s="11"/>
      <c r="U775" s="11"/>
      <c r="V775" s="11"/>
      <c r="W775" s="11"/>
      <c r="X775" s="11"/>
      <c r="Y775" s="11"/>
      <c r="Z775" s="11"/>
      <c r="AA775" s="11"/>
      <c r="AB775" s="11"/>
      <c r="AC775" s="11"/>
    </row>
    <row r="776" spans="1:29" ht="14">
      <c r="A776" s="11"/>
      <c r="B776" s="11"/>
      <c r="C776" s="11"/>
      <c r="D776" s="11"/>
      <c r="E776" s="11"/>
      <c r="F776" s="11"/>
      <c r="G776" s="11"/>
      <c r="H776" s="11"/>
      <c r="I776" s="11"/>
      <c r="J776" s="11"/>
      <c r="K776" s="11"/>
      <c r="L776" s="11"/>
      <c r="M776" s="11"/>
      <c r="N776" s="11"/>
      <c r="O776" s="11"/>
      <c r="P776" s="11"/>
      <c r="Q776" s="11"/>
      <c r="R776" s="11"/>
      <c r="S776" s="11"/>
      <c r="T776" s="11"/>
      <c r="U776" s="11"/>
      <c r="V776" s="11"/>
      <c r="W776" s="11"/>
      <c r="X776" s="11"/>
      <c r="Y776" s="11"/>
      <c r="Z776" s="11"/>
      <c r="AA776" s="11"/>
      <c r="AB776" s="11"/>
      <c r="AC776" s="11"/>
    </row>
    <row r="777" spans="1:29" ht="14">
      <c r="A777" s="11"/>
      <c r="B777" s="11"/>
      <c r="C777" s="11"/>
      <c r="D777" s="11"/>
      <c r="E777" s="11"/>
      <c r="F777" s="11"/>
      <c r="G777" s="11"/>
      <c r="H777" s="11"/>
      <c r="I777" s="11"/>
      <c r="J777" s="11"/>
      <c r="K777" s="11"/>
      <c r="L777" s="11"/>
      <c r="M777" s="11"/>
      <c r="N777" s="11"/>
      <c r="O777" s="11"/>
      <c r="P777" s="11"/>
      <c r="Q777" s="11"/>
      <c r="R777" s="11"/>
      <c r="S777" s="11"/>
      <c r="T777" s="11"/>
      <c r="U777" s="11"/>
      <c r="V777" s="11"/>
      <c r="W777" s="11"/>
      <c r="X777" s="11"/>
      <c r="Y777" s="11"/>
      <c r="Z777" s="11"/>
      <c r="AA777" s="11"/>
      <c r="AB777" s="11"/>
      <c r="AC777" s="11"/>
    </row>
    <row r="778" spans="1:29" ht="14">
      <c r="A778" s="11"/>
      <c r="B778" s="11"/>
      <c r="C778" s="11"/>
      <c r="D778" s="11"/>
      <c r="E778" s="11"/>
      <c r="F778" s="11"/>
      <c r="G778" s="11"/>
      <c r="H778" s="11"/>
      <c r="I778" s="11"/>
      <c r="J778" s="11"/>
      <c r="K778" s="11"/>
      <c r="L778" s="11"/>
      <c r="M778" s="11"/>
      <c r="N778" s="11"/>
      <c r="O778" s="11"/>
      <c r="P778" s="11"/>
      <c r="Q778" s="11"/>
      <c r="R778" s="11"/>
      <c r="S778" s="11"/>
      <c r="T778" s="11"/>
      <c r="U778" s="11"/>
      <c r="V778" s="11"/>
      <c r="W778" s="11"/>
      <c r="X778" s="11"/>
      <c r="Y778" s="11"/>
      <c r="Z778" s="11"/>
      <c r="AA778" s="11"/>
      <c r="AB778" s="11"/>
      <c r="AC778" s="11"/>
    </row>
    <row r="779" spans="1:29" ht="14">
      <c r="A779" s="11"/>
      <c r="B779" s="11"/>
      <c r="C779" s="11"/>
      <c r="D779" s="11"/>
      <c r="E779" s="11"/>
      <c r="F779" s="11"/>
      <c r="G779" s="11"/>
      <c r="H779" s="11"/>
      <c r="I779" s="11"/>
      <c r="J779" s="11"/>
      <c r="K779" s="11"/>
      <c r="L779" s="11"/>
      <c r="M779" s="11"/>
      <c r="N779" s="11"/>
      <c r="O779" s="11"/>
      <c r="P779" s="11"/>
      <c r="Q779" s="11"/>
      <c r="R779" s="11"/>
      <c r="S779" s="11"/>
      <c r="T779" s="11"/>
      <c r="U779" s="11"/>
      <c r="V779" s="11"/>
      <c r="W779" s="11"/>
      <c r="X779" s="11"/>
      <c r="Y779" s="11"/>
      <c r="Z779" s="11"/>
      <c r="AA779" s="11"/>
      <c r="AB779" s="11"/>
      <c r="AC779" s="11"/>
    </row>
    <row r="780" spans="1:29" ht="14">
      <c r="A780" s="11"/>
      <c r="B780" s="11"/>
      <c r="C780" s="11"/>
      <c r="D780" s="11"/>
      <c r="E780" s="11"/>
      <c r="F780" s="11"/>
      <c r="G780" s="11"/>
      <c r="H780" s="11"/>
      <c r="I780" s="11"/>
      <c r="J780" s="11"/>
      <c r="K780" s="11"/>
      <c r="L780" s="11"/>
      <c r="M780" s="11"/>
      <c r="N780" s="11"/>
      <c r="O780" s="11"/>
      <c r="P780" s="11"/>
      <c r="Q780" s="11"/>
      <c r="R780" s="11"/>
      <c r="S780" s="11"/>
      <c r="T780" s="11"/>
      <c r="U780" s="11"/>
      <c r="V780" s="11"/>
      <c r="W780" s="11"/>
      <c r="X780" s="11"/>
      <c r="Y780" s="11"/>
      <c r="Z780" s="11"/>
      <c r="AA780" s="11"/>
      <c r="AB780" s="11"/>
      <c r="AC780" s="11"/>
    </row>
    <row r="781" spans="1:29" ht="14">
      <c r="A781" s="11"/>
      <c r="B781" s="11"/>
      <c r="C781" s="11"/>
      <c r="D781" s="11"/>
      <c r="E781" s="11"/>
      <c r="F781" s="11"/>
      <c r="G781" s="11"/>
      <c r="H781" s="11"/>
      <c r="I781" s="11"/>
      <c r="J781" s="11"/>
      <c r="K781" s="11"/>
      <c r="L781" s="11"/>
      <c r="M781" s="11"/>
      <c r="N781" s="11"/>
      <c r="O781" s="11"/>
      <c r="P781" s="11"/>
      <c r="Q781" s="11"/>
      <c r="R781" s="11"/>
      <c r="S781" s="11"/>
      <c r="T781" s="11"/>
      <c r="U781" s="11"/>
      <c r="V781" s="11"/>
      <c r="W781" s="11"/>
      <c r="X781" s="11"/>
      <c r="Y781" s="11"/>
      <c r="Z781" s="11"/>
      <c r="AA781" s="11"/>
      <c r="AB781" s="11"/>
      <c r="AC781" s="11"/>
    </row>
    <row r="782" spans="1:29" ht="14">
      <c r="A782" s="11"/>
      <c r="B782" s="11"/>
      <c r="C782" s="11"/>
      <c r="D782" s="11"/>
      <c r="E782" s="11"/>
      <c r="F782" s="11"/>
      <c r="G782" s="11"/>
      <c r="H782" s="11"/>
      <c r="I782" s="11"/>
      <c r="J782" s="11"/>
      <c r="K782" s="11"/>
      <c r="L782" s="11"/>
      <c r="M782" s="11"/>
      <c r="N782" s="11"/>
      <c r="O782" s="11"/>
      <c r="P782" s="11"/>
      <c r="Q782" s="11"/>
      <c r="R782" s="11"/>
      <c r="S782" s="11"/>
      <c r="T782" s="11"/>
      <c r="U782" s="11"/>
      <c r="V782" s="11"/>
      <c r="W782" s="11"/>
      <c r="X782" s="11"/>
      <c r="Y782" s="11"/>
      <c r="Z782" s="11"/>
      <c r="AA782" s="11"/>
      <c r="AB782" s="11"/>
      <c r="AC782" s="11"/>
    </row>
    <row r="783" spans="1:29" ht="14">
      <c r="A783" s="11"/>
      <c r="B783" s="11"/>
      <c r="C783" s="11"/>
      <c r="D783" s="11"/>
      <c r="E783" s="11"/>
      <c r="F783" s="11"/>
      <c r="G783" s="11"/>
      <c r="H783" s="11"/>
      <c r="I783" s="11"/>
      <c r="J783" s="11"/>
      <c r="K783" s="11"/>
      <c r="L783" s="11"/>
      <c r="M783" s="11"/>
      <c r="N783" s="11"/>
      <c r="O783" s="11"/>
      <c r="P783" s="11"/>
      <c r="Q783" s="11"/>
      <c r="R783" s="11"/>
      <c r="S783" s="11"/>
      <c r="T783" s="11"/>
      <c r="U783" s="11"/>
      <c r="V783" s="11"/>
      <c r="W783" s="11"/>
      <c r="X783" s="11"/>
      <c r="Y783" s="11"/>
      <c r="Z783" s="11"/>
      <c r="AA783" s="11"/>
      <c r="AB783" s="11"/>
      <c r="AC783" s="11"/>
    </row>
    <row r="784" spans="1:29" ht="14">
      <c r="A784" s="11"/>
      <c r="B784" s="11"/>
      <c r="C784" s="11"/>
      <c r="D784" s="11"/>
      <c r="E784" s="11"/>
      <c r="F784" s="11"/>
      <c r="G784" s="11"/>
      <c r="H784" s="11"/>
      <c r="I784" s="11"/>
      <c r="J784" s="11"/>
      <c r="K784" s="11"/>
      <c r="L784" s="11"/>
      <c r="M784" s="11"/>
      <c r="N784" s="11"/>
      <c r="O784" s="11"/>
      <c r="P784" s="11"/>
      <c r="Q784" s="11"/>
      <c r="R784" s="11"/>
      <c r="S784" s="11"/>
      <c r="T784" s="11"/>
      <c r="U784" s="11"/>
      <c r="V784" s="11"/>
      <c r="W784" s="11"/>
      <c r="X784" s="11"/>
      <c r="Y784" s="11"/>
      <c r="Z784" s="11"/>
      <c r="AA784" s="11"/>
      <c r="AB784" s="11"/>
      <c r="AC784" s="11"/>
    </row>
    <row r="785" spans="1:29" ht="14">
      <c r="A785" s="11"/>
      <c r="B785" s="11"/>
      <c r="C785" s="11"/>
      <c r="D785" s="11"/>
      <c r="E785" s="11"/>
      <c r="F785" s="11"/>
      <c r="G785" s="11"/>
      <c r="H785" s="11"/>
      <c r="I785" s="11"/>
      <c r="J785" s="11"/>
      <c r="K785" s="11"/>
      <c r="L785" s="11"/>
      <c r="M785" s="11"/>
      <c r="N785" s="11"/>
      <c r="O785" s="11"/>
      <c r="P785" s="11"/>
      <c r="Q785" s="11"/>
      <c r="R785" s="11"/>
      <c r="S785" s="11"/>
      <c r="T785" s="11"/>
      <c r="U785" s="11"/>
      <c r="V785" s="11"/>
      <c r="W785" s="11"/>
      <c r="X785" s="11"/>
      <c r="Y785" s="11"/>
      <c r="Z785" s="11"/>
      <c r="AA785" s="11"/>
      <c r="AB785" s="11"/>
      <c r="AC785" s="11"/>
    </row>
    <row r="786" spans="1:29" ht="14">
      <c r="A786" s="11"/>
      <c r="B786" s="11"/>
      <c r="C786" s="11"/>
      <c r="D786" s="11"/>
      <c r="E786" s="11"/>
      <c r="F786" s="11"/>
      <c r="G786" s="11"/>
      <c r="H786" s="11"/>
      <c r="I786" s="11"/>
      <c r="J786" s="11"/>
      <c r="K786" s="11"/>
      <c r="L786" s="11"/>
      <c r="M786" s="11"/>
      <c r="N786" s="11"/>
      <c r="O786" s="11"/>
      <c r="P786" s="11"/>
      <c r="Q786" s="11"/>
      <c r="R786" s="11"/>
      <c r="S786" s="11"/>
      <c r="T786" s="11"/>
      <c r="U786" s="11"/>
      <c r="V786" s="11"/>
      <c r="W786" s="11"/>
      <c r="X786" s="11"/>
      <c r="Y786" s="11"/>
      <c r="Z786" s="11"/>
      <c r="AA786" s="11"/>
      <c r="AB786" s="11"/>
      <c r="AC786" s="11"/>
    </row>
    <row r="787" spans="1:29" ht="14">
      <c r="A787" s="11"/>
      <c r="B787" s="11"/>
      <c r="C787" s="11"/>
      <c r="D787" s="11"/>
      <c r="E787" s="11"/>
      <c r="F787" s="11"/>
      <c r="G787" s="11"/>
      <c r="H787" s="11"/>
      <c r="I787" s="11"/>
      <c r="J787" s="11"/>
      <c r="K787" s="11"/>
      <c r="L787" s="11"/>
      <c r="M787" s="11"/>
      <c r="N787" s="11"/>
      <c r="O787" s="11"/>
      <c r="P787" s="11"/>
      <c r="Q787" s="11"/>
      <c r="R787" s="11"/>
      <c r="S787" s="11"/>
      <c r="T787" s="11"/>
      <c r="U787" s="11"/>
      <c r="V787" s="11"/>
      <c r="W787" s="11"/>
      <c r="X787" s="11"/>
      <c r="Y787" s="11"/>
      <c r="Z787" s="11"/>
      <c r="AA787" s="11"/>
      <c r="AB787" s="11"/>
      <c r="AC787" s="11"/>
    </row>
    <row r="788" spans="1:29" ht="14">
      <c r="A788" s="11"/>
      <c r="B788" s="11"/>
      <c r="C788" s="11"/>
      <c r="D788" s="11"/>
      <c r="E788" s="11"/>
      <c r="F788" s="11"/>
      <c r="G788" s="11"/>
      <c r="H788" s="11"/>
      <c r="I788" s="11"/>
      <c r="J788" s="11"/>
      <c r="K788" s="11"/>
      <c r="L788" s="11"/>
      <c r="M788" s="11"/>
      <c r="N788" s="11"/>
      <c r="O788" s="11"/>
      <c r="P788" s="11"/>
      <c r="Q788" s="11"/>
      <c r="R788" s="11"/>
      <c r="S788" s="11"/>
      <c r="T788" s="11"/>
      <c r="U788" s="11"/>
      <c r="V788" s="11"/>
      <c r="W788" s="11"/>
      <c r="X788" s="11"/>
      <c r="Y788" s="11"/>
      <c r="Z788" s="11"/>
      <c r="AA788" s="11"/>
      <c r="AB788" s="11"/>
      <c r="AC788" s="11"/>
    </row>
    <row r="789" spans="1:29" ht="14">
      <c r="A789" s="11"/>
      <c r="B789" s="11"/>
      <c r="C789" s="11"/>
      <c r="D789" s="11"/>
      <c r="E789" s="11"/>
      <c r="F789" s="11"/>
      <c r="G789" s="11"/>
      <c r="H789" s="11"/>
      <c r="I789" s="11"/>
      <c r="J789" s="11"/>
      <c r="K789" s="11"/>
      <c r="L789" s="11"/>
      <c r="M789" s="11"/>
      <c r="N789" s="11"/>
      <c r="O789" s="11"/>
      <c r="P789" s="11"/>
      <c r="Q789" s="11"/>
      <c r="R789" s="11"/>
      <c r="S789" s="11"/>
      <c r="T789" s="11"/>
      <c r="U789" s="11"/>
      <c r="V789" s="11"/>
      <c r="W789" s="11"/>
      <c r="X789" s="11"/>
      <c r="Y789" s="11"/>
      <c r="Z789" s="11"/>
      <c r="AA789" s="11"/>
      <c r="AB789" s="11"/>
      <c r="AC789" s="11"/>
    </row>
    <row r="790" spans="1:29" ht="14">
      <c r="A790" s="11"/>
      <c r="B790" s="11"/>
      <c r="C790" s="11"/>
      <c r="D790" s="11"/>
      <c r="E790" s="11"/>
      <c r="F790" s="11"/>
      <c r="G790" s="11"/>
      <c r="H790" s="11"/>
      <c r="I790" s="11"/>
      <c r="J790" s="11"/>
      <c r="K790" s="11"/>
      <c r="L790" s="11"/>
      <c r="M790" s="11"/>
      <c r="N790" s="11"/>
      <c r="O790" s="11"/>
      <c r="P790" s="11"/>
      <c r="Q790" s="11"/>
      <c r="R790" s="11"/>
      <c r="S790" s="11"/>
      <c r="T790" s="11"/>
      <c r="U790" s="11"/>
      <c r="V790" s="11"/>
      <c r="W790" s="11"/>
      <c r="X790" s="11"/>
      <c r="Y790" s="11"/>
      <c r="Z790" s="11"/>
      <c r="AA790" s="11"/>
      <c r="AB790" s="11"/>
      <c r="AC790" s="11"/>
    </row>
    <row r="791" spans="1:29" ht="14">
      <c r="A791" s="11"/>
      <c r="B791" s="11"/>
      <c r="C791" s="11"/>
      <c r="D791" s="11"/>
      <c r="E791" s="11"/>
      <c r="F791" s="11"/>
      <c r="G791" s="11"/>
      <c r="H791" s="11"/>
      <c r="I791" s="11"/>
      <c r="J791" s="11"/>
      <c r="K791" s="11"/>
      <c r="L791" s="11"/>
      <c r="M791" s="11"/>
      <c r="N791" s="11"/>
      <c r="O791" s="11"/>
      <c r="P791" s="11"/>
      <c r="Q791" s="11"/>
      <c r="R791" s="11"/>
      <c r="S791" s="11"/>
      <c r="T791" s="11"/>
      <c r="U791" s="11"/>
      <c r="V791" s="11"/>
      <c r="W791" s="11"/>
      <c r="X791" s="11"/>
      <c r="Y791" s="11"/>
      <c r="Z791" s="11"/>
      <c r="AA791" s="11"/>
      <c r="AB791" s="11"/>
      <c r="AC791" s="11"/>
    </row>
    <row r="792" spans="1:29" ht="14">
      <c r="A792" s="11"/>
      <c r="B792" s="11"/>
      <c r="C792" s="11"/>
      <c r="D792" s="11"/>
      <c r="E792" s="11"/>
      <c r="F792" s="11"/>
      <c r="G792" s="11"/>
      <c r="H792" s="11"/>
      <c r="I792" s="11"/>
      <c r="J792" s="11"/>
      <c r="K792" s="11"/>
      <c r="L792" s="11"/>
      <c r="M792" s="11"/>
      <c r="N792" s="11"/>
      <c r="O792" s="11"/>
      <c r="P792" s="11"/>
      <c r="Q792" s="11"/>
      <c r="R792" s="11"/>
      <c r="S792" s="11"/>
      <c r="T792" s="11"/>
      <c r="U792" s="11"/>
      <c r="V792" s="11"/>
      <c r="W792" s="11"/>
      <c r="X792" s="11"/>
      <c r="Y792" s="11"/>
      <c r="Z792" s="11"/>
      <c r="AA792" s="11"/>
      <c r="AB792" s="11"/>
      <c r="AC792" s="11"/>
    </row>
    <row r="793" spans="1:29" ht="14">
      <c r="A793" s="11"/>
      <c r="B793" s="11"/>
      <c r="C793" s="11"/>
      <c r="D793" s="11"/>
      <c r="E793" s="11"/>
      <c r="F793" s="11"/>
      <c r="G793" s="11"/>
      <c r="H793" s="11"/>
      <c r="I793" s="11"/>
      <c r="J793" s="11"/>
      <c r="K793" s="11"/>
      <c r="L793" s="11"/>
      <c r="M793" s="11"/>
      <c r="N793" s="11"/>
      <c r="O793" s="11"/>
      <c r="P793" s="11"/>
      <c r="Q793" s="11"/>
      <c r="R793" s="11"/>
      <c r="S793" s="11"/>
      <c r="T793" s="11"/>
      <c r="U793" s="11"/>
      <c r="V793" s="11"/>
      <c r="W793" s="11"/>
      <c r="X793" s="11"/>
      <c r="Y793" s="11"/>
      <c r="Z793" s="11"/>
      <c r="AA793" s="11"/>
      <c r="AB793" s="11"/>
      <c r="AC793" s="11"/>
    </row>
    <row r="794" spans="1:29" ht="14">
      <c r="A794" s="11"/>
      <c r="B794" s="11"/>
      <c r="C794" s="11"/>
      <c r="D794" s="11"/>
      <c r="E794" s="11"/>
      <c r="F794" s="11"/>
      <c r="G794" s="11"/>
      <c r="H794" s="11"/>
      <c r="I794" s="11"/>
      <c r="J794" s="11"/>
      <c r="K794" s="11"/>
      <c r="L794" s="11"/>
      <c r="M794" s="11"/>
      <c r="N794" s="11"/>
      <c r="O794" s="11"/>
      <c r="P794" s="11"/>
      <c r="Q794" s="11"/>
      <c r="R794" s="11"/>
      <c r="S794" s="11"/>
      <c r="T794" s="11"/>
      <c r="U794" s="11"/>
      <c r="V794" s="11"/>
      <c r="W794" s="11"/>
      <c r="X794" s="11"/>
      <c r="Y794" s="11"/>
      <c r="Z794" s="11"/>
      <c r="AA794" s="11"/>
      <c r="AB794" s="11"/>
      <c r="AC794" s="11"/>
    </row>
    <row r="795" spans="1:29" ht="14">
      <c r="A795" s="11"/>
      <c r="B795" s="11"/>
      <c r="C795" s="11"/>
      <c r="D795" s="11"/>
      <c r="E795" s="11"/>
      <c r="F795" s="11"/>
      <c r="G795" s="11"/>
      <c r="H795" s="11"/>
      <c r="I795" s="11"/>
      <c r="J795" s="11"/>
      <c r="K795" s="11"/>
      <c r="L795" s="11"/>
      <c r="M795" s="11"/>
      <c r="N795" s="11"/>
      <c r="O795" s="11"/>
      <c r="P795" s="11"/>
      <c r="Q795" s="11"/>
      <c r="R795" s="11"/>
      <c r="S795" s="11"/>
      <c r="T795" s="11"/>
      <c r="U795" s="11"/>
      <c r="V795" s="11"/>
      <c r="W795" s="11"/>
      <c r="X795" s="11"/>
      <c r="Y795" s="11"/>
      <c r="Z795" s="11"/>
      <c r="AA795" s="11"/>
      <c r="AB795" s="11"/>
      <c r="AC795" s="11"/>
    </row>
    <row r="796" spans="1:29" ht="14">
      <c r="A796" s="11"/>
      <c r="B796" s="11"/>
      <c r="C796" s="11"/>
      <c r="D796" s="11"/>
      <c r="E796" s="11"/>
      <c r="F796" s="11"/>
      <c r="G796" s="11"/>
      <c r="H796" s="11"/>
      <c r="I796" s="11"/>
      <c r="J796" s="11"/>
      <c r="K796" s="11"/>
      <c r="L796" s="11"/>
      <c r="M796" s="11"/>
      <c r="N796" s="11"/>
      <c r="O796" s="11"/>
      <c r="P796" s="11"/>
      <c r="Q796" s="11"/>
      <c r="R796" s="11"/>
      <c r="S796" s="11"/>
      <c r="T796" s="11"/>
      <c r="U796" s="11"/>
      <c r="V796" s="11"/>
      <c r="W796" s="11"/>
      <c r="X796" s="11"/>
      <c r="Y796" s="11"/>
      <c r="Z796" s="11"/>
      <c r="AA796" s="11"/>
      <c r="AB796" s="11"/>
      <c r="AC796" s="11"/>
    </row>
    <row r="797" spans="1:29" ht="14">
      <c r="A797" s="11"/>
      <c r="B797" s="11"/>
      <c r="C797" s="11"/>
      <c r="D797" s="11"/>
      <c r="E797" s="11"/>
      <c r="F797" s="11"/>
      <c r="G797" s="11"/>
      <c r="H797" s="11"/>
      <c r="I797" s="11"/>
      <c r="J797" s="11"/>
      <c r="K797" s="11"/>
      <c r="L797" s="11"/>
      <c r="M797" s="11"/>
      <c r="N797" s="11"/>
      <c r="O797" s="11"/>
      <c r="P797" s="11"/>
      <c r="Q797" s="11"/>
      <c r="R797" s="11"/>
      <c r="S797" s="11"/>
      <c r="T797" s="11"/>
      <c r="U797" s="11"/>
      <c r="V797" s="11"/>
      <c r="W797" s="11"/>
      <c r="X797" s="11"/>
      <c r="Y797" s="11"/>
      <c r="Z797" s="11"/>
      <c r="AA797" s="11"/>
      <c r="AB797" s="11"/>
      <c r="AC797" s="11"/>
    </row>
    <row r="798" spans="1:29" ht="14">
      <c r="A798" s="11"/>
      <c r="B798" s="11"/>
      <c r="C798" s="11"/>
      <c r="D798" s="11"/>
      <c r="E798" s="11"/>
      <c r="F798" s="11"/>
      <c r="G798" s="11"/>
      <c r="H798" s="11"/>
      <c r="I798" s="11"/>
      <c r="J798" s="11"/>
      <c r="K798" s="11"/>
      <c r="L798" s="11"/>
      <c r="M798" s="11"/>
      <c r="N798" s="11"/>
      <c r="O798" s="11"/>
      <c r="P798" s="11"/>
      <c r="Q798" s="11"/>
      <c r="R798" s="11"/>
      <c r="S798" s="11"/>
      <c r="T798" s="11"/>
      <c r="U798" s="11"/>
      <c r="V798" s="11"/>
      <c r="W798" s="11"/>
      <c r="X798" s="11"/>
      <c r="Y798" s="11"/>
      <c r="Z798" s="11"/>
      <c r="AA798" s="11"/>
      <c r="AB798" s="11"/>
      <c r="AC798" s="11"/>
    </row>
    <row r="799" spans="1:29" ht="14">
      <c r="A799" s="11"/>
      <c r="B799" s="11"/>
      <c r="C799" s="11"/>
      <c r="D799" s="11"/>
      <c r="E799" s="11"/>
      <c r="F799" s="11"/>
      <c r="G799" s="11"/>
      <c r="H799" s="11"/>
      <c r="I799" s="11"/>
      <c r="J799" s="11"/>
      <c r="K799" s="11"/>
      <c r="L799" s="11"/>
      <c r="M799" s="11"/>
      <c r="N799" s="11"/>
      <c r="O799" s="11"/>
      <c r="P799" s="11"/>
      <c r="Q799" s="11"/>
      <c r="R799" s="11"/>
      <c r="S799" s="11"/>
      <c r="T799" s="11"/>
      <c r="U799" s="11"/>
      <c r="V799" s="11"/>
      <c r="W799" s="11"/>
      <c r="X799" s="11"/>
      <c r="Y799" s="11"/>
      <c r="Z799" s="11"/>
      <c r="AA799" s="11"/>
      <c r="AB799" s="11"/>
      <c r="AC799" s="11"/>
    </row>
    <row r="800" spans="1:29" ht="14">
      <c r="A800" s="11"/>
      <c r="B800" s="11"/>
      <c r="C800" s="11"/>
      <c r="D800" s="11"/>
      <c r="E800" s="11"/>
      <c r="F800" s="11"/>
      <c r="G800" s="11"/>
      <c r="H800" s="11"/>
      <c r="I800" s="11"/>
      <c r="J800" s="11"/>
      <c r="K800" s="11"/>
      <c r="L800" s="11"/>
      <c r="M800" s="11"/>
      <c r="N800" s="11"/>
      <c r="O800" s="11"/>
      <c r="P800" s="11"/>
      <c r="Q800" s="11"/>
      <c r="R800" s="11"/>
      <c r="S800" s="11"/>
      <c r="T800" s="11"/>
      <c r="U800" s="11"/>
      <c r="V800" s="11"/>
      <c r="W800" s="11"/>
      <c r="X800" s="11"/>
      <c r="Y800" s="11"/>
      <c r="Z800" s="11"/>
      <c r="AA800" s="11"/>
      <c r="AB800" s="11"/>
      <c r="AC800" s="11"/>
    </row>
    <row r="801" spans="1:29" ht="14">
      <c r="A801" s="11"/>
      <c r="B801" s="11"/>
      <c r="C801" s="11"/>
      <c r="D801" s="11"/>
      <c r="E801" s="11"/>
      <c r="F801" s="11"/>
      <c r="G801" s="11"/>
      <c r="H801" s="11"/>
      <c r="I801" s="11"/>
      <c r="J801" s="11"/>
      <c r="K801" s="11"/>
      <c r="L801" s="11"/>
      <c r="M801" s="11"/>
      <c r="N801" s="11"/>
      <c r="O801" s="11"/>
      <c r="P801" s="11"/>
      <c r="Q801" s="11"/>
      <c r="R801" s="11"/>
      <c r="S801" s="11"/>
      <c r="T801" s="11"/>
      <c r="U801" s="11"/>
      <c r="V801" s="11"/>
      <c r="W801" s="11"/>
      <c r="X801" s="11"/>
      <c r="Y801" s="11"/>
      <c r="Z801" s="11"/>
      <c r="AA801" s="11"/>
      <c r="AB801" s="11"/>
      <c r="AC801" s="11"/>
    </row>
    <row r="802" spans="1:29" ht="14">
      <c r="A802" s="11"/>
      <c r="B802" s="11"/>
      <c r="C802" s="11"/>
      <c r="D802" s="11"/>
      <c r="E802" s="11"/>
      <c r="F802" s="11"/>
      <c r="G802" s="11"/>
      <c r="H802" s="11"/>
      <c r="I802" s="11"/>
      <c r="J802" s="11"/>
      <c r="K802" s="11"/>
      <c r="L802" s="11"/>
      <c r="M802" s="11"/>
      <c r="N802" s="11"/>
      <c r="O802" s="11"/>
      <c r="P802" s="11"/>
      <c r="Q802" s="11"/>
      <c r="R802" s="11"/>
      <c r="S802" s="11"/>
      <c r="T802" s="11"/>
      <c r="U802" s="11"/>
      <c r="V802" s="11"/>
      <c r="W802" s="11"/>
      <c r="X802" s="11"/>
      <c r="Y802" s="11"/>
      <c r="Z802" s="11"/>
      <c r="AA802" s="11"/>
      <c r="AB802" s="11"/>
      <c r="AC802" s="11"/>
    </row>
    <row r="803" spans="1:29" ht="14">
      <c r="A803" s="11"/>
      <c r="B803" s="11"/>
      <c r="C803" s="11"/>
      <c r="D803" s="11"/>
      <c r="E803" s="11"/>
      <c r="F803" s="11"/>
      <c r="G803" s="11"/>
      <c r="H803" s="11"/>
      <c r="I803" s="11"/>
      <c r="J803" s="11"/>
      <c r="K803" s="11"/>
      <c r="L803" s="11"/>
      <c r="M803" s="11"/>
      <c r="N803" s="11"/>
      <c r="O803" s="11"/>
      <c r="P803" s="11"/>
      <c r="Q803" s="11"/>
      <c r="R803" s="11"/>
      <c r="S803" s="11"/>
      <c r="T803" s="11"/>
      <c r="U803" s="11"/>
      <c r="V803" s="11"/>
      <c r="W803" s="11"/>
      <c r="X803" s="11"/>
      <c r="Y803" s="11"/>
      <c r="Z803" s="11"/>
      <c r="AA803" s="11"/>
      <c r="AB803" s="11"/>
      <c r="AC803" s="11"/>
    </row>
    <row r="804" spans="1:29" ht="14">
      <c r="A804" s="11"/>
      <c r="B804" s="11"/>
      <c r="C804" s="11"/>
      <c r="D804" s="11"/>
      <c r="E804" s="11"/>
      <c r="F804" s="11"/>
      <c r="G804" s="11"/>
      <c r="H804" s="11"/>
      <c r="I804" s="11"/>
      <c r="J804" s="11"/>
      <c r="K804" s="11"/>
      <c r="L804" s="11"/>
      <c r="M804" s="11"/>
      <c r="N804" s="11"/>
      <c r="O804" s="11"/>
      <c r="P804" s="11"/>
      <c r="Q804" s="11"/>
      <c r="R804" s="11"/>
      <c r="S804" s="11"/>
      <c r="T804" s="11"/>
      <c r="U804" s="11"/>
      <c r="V804" s="11"/>
      <c r="W804" s="11"/>
      <c r="X804" s="11"/>
      <c r="Y804" s="11"/>
      <c r="Z804" s="11"/>
      <c r="AA804" s="11"/>
      <c r="AB804" s="11"/>
      <c r="AC804" s="11"/>
    </row>
    <row r="805" spans="1:29" ht="14">
      <c r="A805" s="11"/>
      <c r="B805" s="11"/>
      <c r="C805" s="11"/>
      <c r="D805" s="11"/>
      <c r="E805" s="11"/>
      <c r="F805" s="11"/>
      <c r="G805" s="11"/>
      <c r="H805" s="11"/>
      <c r="I805" s="11"/>
      <c r="J805" s="11"/>
      <c r="K805" s="11"/>
      <c r="L805" s="11"/>
      <c r="M805" s="11"/>
      <c r="N805" s="11"/>
      <c r="O805" s="11"/>
      <c r="P805" s="11"/>
      <c r="Q805" s="11"/>
      <c r="R805" s="11"/>
      <c r="S805" s="11"/>
      <c r="T805" s="11"/>
      <c r="U805" s="11"/>
      <c r="V805" s="11"/>
      <c r="W805" s="11"/>
      <c r="X805" s="11"/>
      <c r="Y805" s="11"/>
      <c r="Z805" s="11"/>
      <c r="AA805" s="11"/>
      <c r="AB805" s="11"/>
      <c r="AC805" s="11"/>
    </row>
    <row r="806" spans="1:29" ht="14">
      <c r="A806" s="11"/>
      <c r="B806" s="11"/>
      <c r="C806" s="11"/>
      <c r="D806" s="11"/>
      <c r="E806" s="11"/>
      <c r="F806" s="11"/>
      <c r="G806" s="11"/>
      <c r="H806" s="11"/>
      <c r="I806" s="11"/>
      <c r="J806" s="11"/>
      <c r="K806" s="11"/>
      <c r="L806" s="11"/>
      <c r="M806" s="11"/>
      <c r="N806" s="11"/>
      <c r="O806" s="11"/>
      <c r="P806" s="11"/>
      <c r="Q806" s="11"/>
      <c r="R806" s="11"/>
      <c r="S806" s="11"/>
      <c r="T806" s="11"/>
      <c r="U806" s="11"/>
      <c r="V806" s="11"/>
      <c r="W806" s="11"/>
      <c r="X806" s="11"/>
      <c r="Y806" s="11"/>
      <c r="Z806" s="11"/>
      <c r="AA806" s="11"/>
      <c r="AB806" s="11"/>
      <c r="AC806" s="11"/>
    </row>
    <row r="807" spans="1:29" ht="14">
      <c r="A807" s="11"/>
      <c r="B807" s="11"/>
      <c r="C807" s="11"/>
      <c r="D807" s="11"/>
      <c r="E807" s="11"/>
      <c r="F807" s="11"/>
      <c r="G807" s="11"/>
      <c r="H807" s="11"/>
      <c r="I807" s="11"/>
      <c r="J807" s="11"/>
      <c r="K807" s="11"/>
      <c r="L807" s="11"/>
      <c r="M807" s="11"/>
      <c r="N807" s="11"/>
      <c r="O807" s="11"/>
      <c r="P807" s="11"/>
      <c r="Q807" s="11"/>
      <c r="R807" s="11"/>
      <c r="S807" s="11"/>
      <c r="T807" s="11"/>
      <c r="U807" s="11"/>
      <c r="V807" s="11"/>
      <c r="W807" s="11"/>
      <c r="X807" s="11"/>
      <c r="Y807" s="11"/>
      <c r="Z807" s="11"/>
      <c r="AA807" s="11"/>
      <c r="AB807" s="11"/>
      <c r="AC807" s="11"/>
    </row>
    <row r="808" spans="1:29" ht="14">
      <c r="A808" s="11"/>
      <c r="B808" s="11"/>
      <c r="C808" s="11"/>
      <c r="D808" s="11"/>
      <c r="E808" s="11"/>
      <c r="F808" s="11"/>
      <c r="G808" s="11"/>
      <c r="H808" s="11"/>
      <c r="I808" s="11"/>
      <c r="J808" s="11"/>
      <c r="K808" s="11"/>
      <c r="L808" s="11"/>
      <c r="M808" s="11"/>
      <c r="N808" s="11"/>
      <c r="O808" s="11"/>
      <c r="P808" s="11"/>
      <c r="Q808" s="11"/>
      <c r="R808" s="11"/>
      <c r="S808" s="11"/>
      <c r="T808" s="11"/>
      <c r="U808" s="11"/>
      <c r="V808" s="11"/>
      <c r="W808" s="11"/>
      <c r="X808" s="11"/>
      <c r="Y808" s="11"/>
      <c r="Z808" s="11"/>
      <c r="AA808" s="11"/>
      <c r="AB808" s="11"/>
      <c r="AC808" s="11"/>
    </row>
    <row r="809" spans="1:29" ht="14">
      <c r="A809" s="11"/>
      <c r="B809" s="11"/>
      <c r="C809" s="11"/>
      <c r="D809" s="11"/>
      <c r="E809" s="11"/>
      <c r="F809" s="11"/>
      <c r="G809" s="11"/>
      <c r="H809" s="11"/>
      <c r="I809" s="11"/>
      <c r="J809" s="11"/>
      <c r="K809" s="11"/>
      <c r="L809" s="11"/>
      <c r="M809" s="11"/>
      <c r="N809" s="11"/>
      <c r="O809" s="11"/>
      <c r="P809" s="11"/>
      <c r="Q809" s="11"/>
      <c r="R809" s="11"/>
      <c r="S809" s="11"/>
      <c r="T809" s="11"/>
      <c r="U809" s="11"/>
      <c r="V809" s="11"/>
      <c r="W809" s="11"/>
      <c r="X809" s="11"/>
      <c r="Y809" s="11"/>
      <c r="Z809" s="11"/>
      <c r="AA809" s="11"/>
      <c r="AB809" s="11"/>
      <c r="AC809" s="11"/>
    </row>
    <row r="810" spans="1:29" ht="14">
      <c r="A810" s="11"/>
      <c r="B810" s="11"/>
      <c r="C810" s="11"/>
      <c r="D810" s="11"/>
      <c r="E810" s="11"/>
      <c r="F810" s="11"/>
      <c r="G810" s="11"/>
      <c r="H810" s="11"/>
      <c r="I810" s="11"/>
      <c r="J810" s="11"/>
      <c r="K810" s="11"/>
      <c r="L810" s="11"/>
      <c r="M810" s="11"/>
      <c r="N810" s="11"/>
      <c r="O810" s="11"/>
      <c r="P810" s="11"/>
      <c r="Q810" s="11"/>
      <c r="R810" s="11"/>
      <c r="S810" s="11"/>
      <c r="T810" s="11"/>
      <c r="U810" s="11"/>
      <c r="V810" s="11"/>
      <c r="W810" s="11"/>
      <c r="X810" s="11"/>
      <c r="Y810" s="11"/>
      <c r="Z810" s="11"/>
      <c r="AA810" s="11"/>
      <c r="AB810" s="11"/>
      <c r="AC810" s="11"/>
    </row>
    <row r="811" spans="1:29" ht="14">
      <c r="A811" s="11"/>
      <c r="B811" s="11"/>
      <c r="C811" s="11"/>
      <c r="D811" s="11"/>
      <c r="E811" s="11"/>
      <c r="F811" s="11"/>
      <c r="G811" s="11"/>
      <c r="H811" s="11"/>
      <c r="I811" s="11"/>
      <c r="J811" s="11"/>
      <c r="K811" s="11"/>
      <c r="L811" s="11"/>
      <c r="M811" s="11"/>
      <c r="N811" s="11"/>
      <c r="O811" s="11"/>
      <c r="P811" s="11"/>
      <c r="Q811" s="11"/>
      <c r="R811" s="11"/>
      <c r="S811" s="11"/>
      <c r="T811" s="11"/>
      <c r="U811" s="11"/>
      <c r="V811" s="11"/>
      <c r="W811" s="11"/>
      <c r="X811" s="11"/>
      <c r="Y811" s="11"/>
      <c r="Z811" s="11"/>
      <c r="AA811" s="11"/>
      <c r="AB811" s="11"/>
      <c r="AC811" s="11"/>
    </row>
    <row r="812" spans="1:29" ht="14">
      <c r="A812" s="11"/>
      <c r="B812" s="11"/>
      <c r="C812" s="11"/>
      <c r="D812" s="11"/>
      <c r="E812" s="11"/>
      <c r="F812" s="11"/>
      <c r="G812" s="11"/>
      <c r="H812" s="11"/>
      <c r="I812" s="11"/>
      <c r="J812" s="11"/>
      <c r="K812" s="11"/>
      <c r="L812" s="11"/>
      <c r="M812" s="11"/>
      <c r="N812" s="11"/>
      <c r="O812" s="11"/>
      <c r="P812" s="11"/>
      <c r="Q812" s="11"/>
      <c r="R812" s="11"/>
      <c r="S812" s="11"/>
      <c r="T812" s="11"/>
      <c r="U812" s="11"/>
      <c r="V812" s="11"/>
      <c r="W812" s="11"/>
      <c r="X812" s="11"/>
      <c r="Y812" s="11"/>
      <c r="Z812" s="11"/>
      <c r="AA812" s="11"/>
      <c r="AB812" s="11"/>
      <c r="AC812" s="11"/>
    </row>
    <row r="813" spans="1:29" ht="14">
      <c r="A813" s="11"/>
      <c r="B813" s="11"/>
      <c r="C813" s="11"/>
      <c r="D813" s="11"/>
      <c r="E813" s="11"/>
      <c r="F813" s="11"/>
      <c r="G813" s="11"/>
      <c r="H813" s="11"/>
      <c r="I813" s="11"/>
      <c r="J813" s="11"/>
      <c r="K813" s="11"/>
      <c r="L813" s="11"/>
      <c r="M813" s="11"/>
      <c r="N813" s="11"/>
      <c r="O813" s="11"/>
      <c r="P813" s="11"/>
      <c r="Q813" s="11"/>
      <c r="R813" s="11"/>
      <c r="S813" s="11"/>
      <c r="T813" s="11"/>
      <c r="U813" s="11"/>
      <c r="V813" s="11"/>
      <c r="W813" s="11"/>
      <c r="X813" s="11"/>
      <c r="Y813" s="11"/>
      <c r="Z813" s="11"/>
      <c r="AA813" s="11"/>
      <c r="AB813" s="11"/>
      <c r="AC813" s="11"/>
    </row>
    <row r="814" spans="1:29" ht="14">
      <c r="A814" s="11"/>
      <c r="B814" s="11"/>
      <c r="C814" s="11"/>
      <c r="D814" s="11"/>
      <c r="E814" s="11"/>
      <c r="F814" s="11"/>
      <c r="G814" s="11"/>
      <c r="H814" s="11"/>
      <c r="I814" s="11"/>
      <c r="J814" s="11"/>
      <c r="K814" s="11"/>
      <c r="L814" s="11"/>
      <c r="M814" s="11"/>
      <c r="N814" s="11"/>
      <c r="O814" s="11"/>
      <c r="P814" s="11"/>
      <c r="Q814" s="11"/>
      <c r="R814" s="11"/>
      <c r="S814" s="11"/>
      <c r="T814" s="11"/>
      <c r="U814" s="11"/>
      <c r="V814" s="11"/>
      <c r="W814" s="11"/>
      <c r="X814" s="11"/>
      <c r="Y814" s="11"/>
      <c r="Z814" s="11"/>
      <c r="AA814" s="11"/>
      <c r="AB814" s="11"/>
      <c r="AC814" s="11"/>
    </row>
    <row r="815" spans="1:29" ht="14">
      <c r="A815" s="11"/>
      <c r="B815" s="11"/>
      <c r="C815" s="11"/>
      <c r="D815" s="11"/>
      <c r="E815" s="11"/>
      <c r="F815" s="11"/>
      <c r="G815" s="11"/>
      <c r="H815" s="11"/>
      <c r="I815" s="11"/>
      <c r="J815" s="11"/>
      <c r="K815" s="11"/>
      <c r="L815" s="11"/>
      <c r="M815" s="11"/>
      <c r="N815" s="11"/>
      <c r="O815" s="11"/>
      <c r="P815" s="11"/>
      <c r="Q815" s="11"/>
      <c r="R815" s="11"/>
      <c r="S815" s="11"/>
      <c r="T815" s="11"/>
      <c r="U815" s="11"/>
      <c r="V815" s="11"/>
      <c r="W815" s="11"/>
      <c r="X815" s="11"/>
      <c r="Y815" s="11"/>
      <c r="Z815" s="11"/>
      <c r="AA815" s="11"/>
      <c r="AB815" s="11"/>
      <c r="AC815" s="11"/>
    </row>
    <row r="816" spans="1:29" ht="14">
      <c r="A816" s="11"/>
      <c r="B816" s="11"/>
      <c r="C816" s="11"/>
      <c r="D816" s="11"/>
      <c r="E816" s="11"/>
      <c r="F816" s="11"/>
      <c r="G816" s="11"/>
      <c r="H816" s="11"/>
      <c r="I816" s="11"/>
      <c r="J816" s="11"/>
      <c r="K816" s="11"/>
      <c r="L816" s="11"/>
      <c r="M816" s="11"/>
      <c r="N816" s="11"/>
      <c r="O816" s="11"/>
      <c r="P816" s="11"/>
      <c r="Q816" s="11"/>
      <c r="R816" s="11"/>
      <c r="S816" s="11"/>
      <c r="T816" s="11"/>
      <c r="U816" s="11"/>
      <c r="V816" s="11"/>
      <c r="W816" s="11"/>
      <c r="X816" s="11"/>
      <c r="Y816" s="11"/>
      <c r="Z816" s="11"/>
      <c r="AA816" s="11"/>
      <c r="AB816" s="11"/>
      <c r="AC816" s="11"/>
    </row>
    <row r="817" spans="1:29" ht="14">
      <c r="A817" s="11"/>
      <c r="B817" s="11"/>
      <c r="C817" s="11"/>
      <c r="D817" s="11"/>
      <c r="E817" s="11"/>
      <c r="F817" s="11"/>
      <c r="G817" s="11"/>
      <c r="H817" s="11"/>
      <c r="I817" s="11"/>
      <c r="J817" s="11"/>
      <c r="K817" s="11"/>
      <c r="L817" s="11"/>
      <c r="M817" s="11"/>
      <c r="N817" s="11"/>
      <c r="O817" s="11"/>
      <c r="P817" s="11"/>
      <c r="Q817" s="11"/>
      <c r="R817" s="11"/>
      <c r="S817" s="11"/>
      <c r="T817" s="11"/>
      <c r="U817" s="11"/>
      <c r="V817" s="11"/>
      <c r="W817" s="11"/>
      <c r="X817" s="11"/>
      <c r="Y817" s="11"/>
      <c r="Z817" s="11"/>
      <c r="AA817" s="11"/>
      <c r="AB817" s="11"/>
      <c r="AC817" s="11"/>
    </row>
    <row r="818" spans="1:29" ht="14">
      <c r="A818" s="11"/>
      <c r="B818" s="11"/>
      <c r="C818" s="11"/>
      <c r="D818" s="11"/>
      <c r="E818" s="11"/>
      <c r="F818" s="11"/>
      <c r="G818" s="11"/>
      <c r="H818" s="11"/>
      <c r="I818" s="11"/>
      <c r="J818" s="11"/>
      <c r="K818" s="11"/>
      <c r="L818" s="11"/>
      <c r="M818" s="11"/>
      <c r="N818" s="11"/>
      <c r="O818" s="11"/>
      <c r="P818" s="11"/>
      <c r="Q818" s="11"/>
      <c r="R818" s="11"/>
      <c r="S818" s="11"/>
      <c r="T818" s="11"/>
      <c r="U818" s="11"/>
      <c r="V818" s="11"/>
      <c r="W818" s="11"/>
      <c r="X818" s="11"/>
      <c r="Y818" s="11"/>
      <c r="Z818" s="11"/>
      <c r="AA818" s="11"/>
      <c r="AB818" s="11"/>
      <c r="AC818" s="11"/>
    </row>
    <row r="819" spans="1:29" ht="14">
      <c r="A819" s="11"/>
      <c r="B819" s="11"/>
      <c r="C819" s="11"/>
      <c r="D819" s="11"/>
      <c r="E819" s="11"/>
      <c r="F819" s="11"/>
      <c r="G819" s="11"/>
      <c r="H819" s="11"/>
      <c r="I819" s="11"/>
      <c r="J819" s="11"/>
      <c r="K819" s="11"/>
      <c r="L819" s="11"/>
      <c r="M819" s="11"/>
      <c r="N819" s="11"/>
      <c r="O819" s="11"/>
      <c r="P819" s="11"/>
      <c r="Q819" s="11"/>
      <c r="R819" s="11"/>
      <c r="S819" s="11"/>
      <c r="T819" s="11"/>
      <c r="U819" s="11"/>
      <c r="V819" s="11"/>
      <c r="W819" s="11"/>
      <c r="X819" s="11"/>
      <c r="Y819" s="11"/>
      <c r="Z819" s="11"/>
      <c r="AA819" s="11"/>
      <c r="AB819" s="11"/>
      <c r="AC819" s="11"/>
    </row>
    <row r="820" spans="1:29" ht="14">
      <c r="A820" s="11"/>
      <c r="B820" s="11"/>
      <c r="C820" s="11"/>
      <c r="D820" s="11"/>
      <c r="E820" s="11"/>
      <c r="F820" s="11"/>
      <c r="G820" s="11"/>
      <c r="H820" s="11"/>
      <c r="I820" s="11"/>
      <c r="J820" s="11"/>
      <c r="K820" s="11"/>
      <c r="L820" s="11"/>
      <c r="M820" s="11"/>
      <c r="N820" s="11"/>
      <c r="O820" s="11"/>
      <c r="P820" s="11"/>
      <c r="Q820" s="11"/>
      <c r="R820" s="11"/>
      <c r="S820" s="11"/>
      <c r="T820" s="11"/>
      <c r="U820" s="11"/>
      <c r="V820" s="11"/>
      <c r="W820" s="11"/>
      <c r="X820" s="11"/>
      <c r="Y820" s="11"/>
      <c r="Z820" s="11"/>
      <c r="AA820" s="11"/>
      <c r="AB820" s="11"/>
      <c r="AC820" s="11"/>
    </row>
    <row r="821" spans="1:29" ht="14">
      <c r="A821" s="11"/>
      <c r="B821" s="11"/>
      <c r="C821" s="11"/>
      <c r="D821" s="11"/>
      <c r="E821" s="11"/>
      <c r="F821" s="11"/>
      <c r="G821" s="11"/>
      <c r="H821" s="11"/>
      <c r="I821" s="11"/>
      <c r="J821" s="11"/>
      <c r="K821" s="11"/>
      <c r="L821" s="11"/>
      <c r="M821" s="11"/>
      <c r="N821" s="11"/>
      <c r="O821" s="11"/>
      <c r="P821" s="11"/>
      <c r="Q821" s="11"/>
      <c r="R821" s="11"/>
      <c r="S821" s="11"/>
      <c r="T821" s="11"/>
      <c r="U821" s="11"/>
      <c r="V821" s="11"/>
      <c r="W821" s="11"/>
      <c r="X821" s="11"/>
      <c r="Y821" s="11"/>
      <c r="Z821" s="11"/>
      <c r="AA821" s="11"/>
      <c r="AB821" s="11"/>
      <c r="AC821" s="11"/>
    </row>
    <row r="822" spans="1:29" ht="14">
      <c r="A822" s="11"/>
      <c r="B822" s="11"/>
      <c r="C822" s="11"/>
      <c r="D822" s="11"/>
      <c r="E822" s="11"/>
      <c r="F822" s="11"/>
      <c r="G822" s="11"/>
      <c r="H822" s="11"/>
      <c r="I822" s="11"/>
      <c r="J822" s="11"/>
      <c r="K822" s="11"/>
      <c r="L822" s="11"/>
      <c r="M822" s="11"/>
      <c r="N822" s="11"/>
      <c r="O822" s="11"/>
      <c r="P822" s="11"/>
      <c r="Q822" s="11"/>
      <c r="R822" s="11"/>
      <c r="S822" s="11"/>
      <c r="T822" s="11"/>
      <c r="U822" s="11"/>
      <c r="V822" s="11"/>
      <c r="W822" s="11"/>
      <c r="X822" s="11"/>
      <c r="Y822" s="11"/>
      <c r="Z822" s="11"/>
      <c r="AA822" s="11"/>
      <c r="AB822" s="11"/>
      <c r="AC822" s="11"/>
    </row>
    <row r="823" spans="1:29" ht="14">
      <c r="A823" s="11"/>
      <c r="B823" s="11"/>
      <c r="C823" s="11"/>
      <c r="D823" s="11"/>
      <c r="E823" s="11"/>
      <c r="F823" s="11"/>
      <c r="G823" s="11"/>
      <c r="H823" s="11"/>
      <c r="I823" s="11"/>
      <c r="J823" s="11"/>
      <c r="K823" s="11"/>
      <c r="L823" s="11"/>
      <c r="M823" s="11"/>
      <c r="N823" s="11"/>
      <c r="O823" s="11"/>
      <c r="P823" s="11"/>
      <c r="Q823" s="11"/>
      <c r="R823" s="11"/>
      <c r="S823" s="11"/>
      <c r="T823" s="11"/>
      <c r="U823" s="11"/>
      <c r="V823" s="11"/>
      <c r="W823" s="11"/>
      <c r="X823" s="11"/>
      <c r="Y823" s="11"/>
      <c r="Z823" s="11"/>
      <c r="AA823" s="11"/>
      <c r="AB823" s="11"/>
      <c r="AC823" s="11"/>
    </row>
    <row r="824" spans="1:29" ht="14">
      <c r="A824" s="11"/>
      <c r="B824" s="11"/>
      <c r="C824" s="11"/>
      <c r="D824" s="11"/>
      <c r="E824" s="11"/>
      <c r="F824" s="11"/>
      <c r="G824" s="11"/>
      <c r="H824" s="11"/>
      <c r="I824" s="11"/>
      <c r="J824" s="11"/>
      <c r="K824" s="11"/>
      <c r="L824" s="11"/>
      <c r="M824" s="11"/>
      <c r="N824" s="11"/>
      <c r="O824" s="11"/>
      <c r="P824" s="11"/>
      <c r="Q824" s="11"/>
      <c r="R824" s="11"/>
      <c r="S824" s="11"/>
      <c r="T824" s="11"/>
      <c r="U824" s="11"/>
      <c r="V824" s="11"/>
      <c r="W824" s="11"/>
      <c r="X824" s="11"/>
      <c r="Y824" s="11"/>
      <c r="Z824" s="11"/>
      <c r="AA824" s="11"/>
      <c r="AB824" s="11"/>
      <c r="AC824" s="11"/>
    </row>
    <row r="825" spans="1:29" ht="14">
      <c r="A825" s="11"/>
      <c r="B825" s="11"/>
      <c r="C825" s="11"/>
      <c r="D825" s="11"/>
      <c r="E825" s="11"/>
      <c r="F825" s="11"/>
      <c r="G825" s="11"/>
      <c r="H825" s="11"/>
      <c r="I825" s="11"/>
      <c r="J825" s="11"/>
      <c r="K825" s="11"/>
      <c r="L825" s="11"/>
      <c r="M825" s="11"/>
      <c r="N825" s="11"/>
      <c r="O825" s="11"/>
      <c r="P825" s="11"/>
      <c r="Q825" s="11"/>
      <c r="R825" s="11"/>
      <c r="S825" s="11"/>
      <c r="T825" s="11"/>
      <c r="U825" s="11"/>
      <c r="V825" s="11"/>
      <c r="W825" s="11"/>
      <c r="X825" s="11"/>
      <c r="Y825" s="11"/>
      <c r="Z825" s="11"/>
      <c r="AA825" s="11"/>
      <c r="AB825" s="11"/>
      <c r="AC825" s="11"/>
    </row>
    <row r="826" spans="1:29" ht="14">
      <c r="A826" s="11"/>
      <c r="B826" s="11"/>
      <c r="C826" s="11"/>
      <c r="D826" s="11"/>
      <c r="E826" s="11"/>
      <c r="F826" s="11"/>
      <c r="G826" s="11"/>
      <c r="H826" s="11"/>
      <c r="I826" s="11"/>
      <c r="J826" s="11"/>
      <c r="K826" s="11"/>
      <c r="L826" s="11"/>
      <c r="M826" s="11"/>
      <c r="N826" s="11"/>
      <c r="O826" s="11"/>
      <c r="P826" s="11"/>
      <c r="Q826" s="11"/>
      <c r="R826" s="11"/>
      <c r="S826" s="11"/>
      <c r="T826" s="11"/>
      <c r="U826" s="11"/>
      <c r="V826" s="11"/>
      <c r="W826" s="11"/>
      <c r="X826" s="11"/>
      <c r="Y826" s="11"/>
      <c r="Z826" s="11"/>
      <c r="AA826" s="11"/>
      <c r="AB826" s="11"/>
      <c r="AC826" s="11"/>
    </row>
    <row r="827" spans="1:29" ht="14">
      <c r="A827" s="11"/>
      <c r="B827" s="11"/>
      <c r="C827" s="11"/>
      <c r="D827" s="11"/>
      <c r="E827" s="11"/>
      <c r="F827" s="11"/>
      <c r="G827" s="11"/>
      <c r="H827" s="11"/>
      <c r="I827" s="11"/>
      <c r="J827" s="11"/>
      <c r="K827" s="11"/>
      <c r="L827" s="11"/>
      <c r="M827" s="11"/>
      <c r="N827" s="11"/>
      <c r="O827" s="11"/>
      <c r="P827" s="11"/>
      <c r="Q827" s="11"/>
      <c r="R827" s="11"/>
      <c r="S827" s="11"/>
      <c r="T827" s="11"/>
      <c r="U827" s="11"/>
      <c r="V827" s="11"/>
      <c r="W827" s="11"/>
      <c r="X827" s="11"/>
      <c r="Y827" s="11"/>
      <c r="Z827" s="11"/>
      <c r="AA827" s="11"/>
      <c r="AB827" s="11"/>
      <c r="AC827" s="11"/>
    </row>
    <row r="828" spans="1:29" ht="14">
      <c r="A828" s="11"/>
      <c r="B828" s="11"/>
      <c r="C828" s="11"/>
      <c r="D828" s="11"/>
      <c r="E828" s="11"/>
      <c r="F828" s="11"/>
      <c r="G828" s="11"/>
      <c r="H828" s="11"/>
      <c r="I828" s="11"/>
      <c r="J828" s="11"/>
      <c r="K828" s="11"/>
      <c r="L828" s="11"/>
      <c r="M828" s="11"/>
      <c r="N828" s="11"/>
      <c r="O828" s="11"/>
      <c r="P828" s="11"/>
      <c r="Q828" s="11"/>
      <c r="R828" s="11"/>
      <c r="S828" s="11"/>
      <c r="T828" s="11"/>
      <c r="U828" s="11"/>
      <c r="V828" s="11"/>
      <c r="W828" s="11"/>
      <c r="X828" s="11"/>
      <c r="Y828" s="11"/>
      <c r="Z828" s="11"/>
      <c r="AA828" s="11"/>
      <c r="AB828" s="11"/>
      <c r="AC828" s="11"/>
    </row>
    <row r="829" spans="1:29" ht="14">
      <c r="A829" s="11"/>
      <c r="B829" s="11"/>
      <c r="C829" s="11"/>
      <c r="D829" s="11"/>
      <c r="E829" s="11"/>
      <c r="F829" s="11"/>
      <c r="G829" s="11"/>
      <c r="H829" s="11"/>
      <c r="I829" s="11"/>
      <c r="J829" s="11"/>
      <c r="K829" s="11"/>
      <c r="L829" s="11"/>
      <c r="M829" s="11"/>
      <c r="N829" s="11"/>
      <c r="O829" s="11"/>
      <c r="P829" s="11"/>
      <c r="Q829" s="11"/>
      <c r="R829" s="11"/>
      <c r="S829" s="11"/>
      <c r="T829" s="11"/>
      <c r="U829" s="11"/>
      <c r="V829" s="11"/>
      <c r="W829" s="11"/>
      <c r="X829" s="11"/>
      <c r="Y829" s="11"/>
      <c r="Z829" s="11"/>
      <c r="AA829" s="11"/>
      <c r="AB829" s="11"/>
      <c r="AC829" s="11"/>
    </row>
    <row r="830" spans="1:29" ht="14">
      <c r="A830" s="11"/>
      <c r="B830" s="11"/>
      <c r="C830" s="11"/>
      <c r="D830" s="11"/>
      <c r="E830" s="11"/>
      <c r="F830" s="11"/>
      <c r="G830" s="11"/>
      <c r="H830" s="11"/>
      <c r="I830" s="11"/>
      <c r="J830" s="11"/>
      <c r="K830" s="11"/>
      <c r="L830" s="11"/>
      <c r="M830" s="11"/>
      <c r="N830" s="11"/>
      <c r="O830" s="11"/>
      <c r="P830" s="11"/>
      <c r="Q830" s="11"/>
      <c r="R830" s="11"/>
      <c r="S830" s="11"/>
      <c r="T830" s="11"/>
      <c r="U830" s="11"/>
      <c r="V830" s="11"/>
      <c r="W830" s="11"/>
      <c r="X830" s="11"/>
      <c r="Y830" s="11"/>
      <c r="Z830" s="11"/>
      <c r="AA830" s="11"/>
      <c r="AB830" s="11"/>
      <c r="AC830" s="11"/>
    </row>
    <row r="831" spans="1:29" ht="14">
      <c r="A831" s="11"/>
      <c r="B831" s="11"/>
      <c r="C831" s="11"/>
      <c r="D831" s="11"/>
      <c r="E831" s="11"/>
      <c r="F831" s="11"/>
      <c r="G831" s="11"/>
      <c r="H831" s="11"/>
      <c r="I831" s="11"/>
      <c r="J831" s="11"/>
      <c r="K831" s="11"/>
      <c r="L831" s="11"/>
      <c r="M831" s="11"/>
      <c r="N831" s="11"/>
      <c r="O831" s="11"/>
      <c r="P831" s="11"/>
      <c r="Q831" s="11"/>
      <c r="R831" s="11"/>
      <c r="S831" s="11"/>
      <c r="T831" s="11"/>
      <c r="U831" s="11"/>
      <c r="V831" s="11"/>
      <c r="W831" s="11"/>
      <c r="X831" s="11"/>
      <c r="Y831" s="11"/>
      <c r="Z831" s="11"/>
      <c r="AA831" s="11"/>
      <c r="AB831" s="11"/>
      <c r="AC831" s="11"/>
    </row>
    <row r="832" spans="1:29" ht="14">
      <c r="A832" s="11"/>
      <c r="B832" s="11"/>
      <c r="C832" s="11"/>
      <c r="D832" s="11"/>
      <c r="E832" s="11"/>
      <c r="F832" s="11"/>
      <c r="G832" s="11"/>
      <c r="H832" s="11"/>
      <c r="I832" s="11"/>
      <c r="J832" s="11"/>
      <c r="K832" s="11"/>
      <c r="L832" s="11"/>
      <c r="M832" s="11"/>
      <c r="N832" s="11"/>
      <c r="O832" s="11"/>
      <c r="P832" s="11"/>
      <c r="Q832" s="11"/>
      <c r="R832" s="11"/>
      <c r="S832" s="11"/>
      <c r="T832" s="11"/>
      <c r="U832" s="11"/>
      <c r="V832" s="11"/>
      <c r="W832" s="11"/>
      <c r="X832" s="11"/>
      <c r="Y832" s="11"/>
      <c r="Z832" s="11"/>
      <c r="AA832" s="11"/>
      <c r="AB832" s="11"/>
      <c r="AC832" s="11"/>
    </row>
    <row r="833" spans="1:29" ht="14">
      <c r="A833" s="11"/>
      <c r="B833" s="11"/>
      <c r="C833" s="11"/>
      <c r="D833" s="11"/>
      <c r="E833" s="11"/>
      <c r="F833" s="11"/>
      <c r="G833" s="11"/>
      <c r="H833" s="11"/>
      <c r="I833" s="11"/>
      <c r="J833" s="11"/>
      <c r="K833" s="11"/>
      <c r="L833" s="11"/>
      <c r="M833" s="11"/>
      <c r="N833" s="11"/>
      <c r="O833" s="11"/>
      <c r="P833" s="11"/>
      <c r="Q833" s="11"/>
      <c r="R833" s="11"/>
      <c r="S833" s="11"/>
      <c r="T833" s="11"/>
      <c r="U833" s="11"/>
      <c r="V833" s="11"/>
      <c r="W833" s="11"/>
      <c r="X833" s="11"/>
      <c r="Y833" s="11"/>
      <c r="Z833" s="11"/>
      <c r="AA833" s="11"/>
      <c r="AB833" s="11"/>
      <c r="AC833" s="11"/>
    </row>
    <row r="834" spans="1:29" ht="14">
      <c r="A834" s="11"/>
      <c r="B834" s="11"/>
      <c r="C834" s="11"/>
      <c r="D834" s="11"/>
      <c r="E834" s="11"/>
      <c r="F834" s="11"/>
      <c r="G834" s="11"/>
      <c r="H834" s="11"/>
      <c r="I834" s="11"/>
      <c r="J834" s="11"/>
      <c r="K834" s="11"/>
      <c r="L834" s="11"/>
      <c r="M834" s="11"/>
      <c r="N834" s="11"/>
      <c r="O834" s="11"/>
      <c r="P834" s="11"/>
      <c r="Q834" s="11"/>
      <c r="R834" s="11"/>
      <c r="S834" s="11"/>
      <c r="T834" s="11"/>
      <c r="U834" s="11"/>
      <c r="V834" s="11"/>
      <c r="W834" s="11"/>
      <c r="X834" s="11"/>
      <c r="Y834" s="11"/>
      <c r="Z834" s="11"/>
      <c r="AA834" s="11"/>
      <c r="AB834" s="11"/>
      <c r="AC834" s="11"/>
    </row>
    <row r="835" spans="1:29" ht="14">
      <c r="A835" s="11"/>
      <c r="B835" s="11"/>
      <c r="C835" s="11"/>
      <c r="D835" s="11"/>
      <c r="E835" s="11"/>
      <c r="F835" s="11"/>
      <c r="G835" s="11"/>
      <c r="H835" s="11"/>
      <c r="I835" s="11"/>
      <c r="J835" s="11"/>
      <c r="K835" s="11"/>
      <c r="L835" s="11"/>
      <c r="M835" s="11"/>
      <c r="N835" s="11"/>
      <c r="O835" s="11"/>
      <c r="P835" s="11"/>
      <c r="Q835" s="11"/>
      <c r="R835" s="11"/>
      <c r="S835" s="11"/>
      <c r="T835" s="11"/>
      <c r="U835" s="11"/>
      <c r="V835" s="11"/>
      <c r="W835" s="11"/>
      <c r="X835" s="11"/>
      <c r="Y835" s="11"/>
      <c r="Z835" s="11"/>
      <c r="AA835" s="11"/>
      <c r="AB835" s="11"/>
      <c r="AC835" s="11"/>
    </row>
    <row r="836" spans="1:29" ht="14">
      <c r="A836" s="11"/>
      <c r="B836" s="11"/>
      <c r="C836" s="11"/>
      <c r="D836" s="11"/>
      <c r="E836" s="11"/>
      <c r="F836" s="11"/>
      <c r="G836" s="11"/>
      <c r="H836" s="11"/>
      <c r="I836" s="11"/>
      <c r="J836" s="11"/>
      <c r="K836" s="11"/>
      <c r="L836" s="11"/>
      <c r="M836" s="11"/>
      <c r="N836" s="11"/>
      <c r="O836" s="11"/>
      <c r="P836" s="11"/>
      <c r="Q836" s="11"/>
      <c r="R836" s="11"/>
      <c r="S836" s="11"/>
      <c r="T836" s="11"/>
      <c r="U836" s="11"/>
      <c r="V836" s="11"/>
      <c r="W836" s="11"/>
      <c r="X836" s="11"/>
      <c r="Y836" s="11"/>
      <c r="Z836" s="11"/>
      <c r="AA836" s="11"/>
      <c r="AB836" s="11"/>
      <c r="AC836" s="11"/>
    </row>
    <row r="837" spans="1:29" ht="14">
      <c r="A837" s="11"/>
      <c r="B837" s="11"/>
      <c r="C837" s="11"/>
      <c r="D837" s="11"/>
      <c r="E837" s="11"/>
      <c r="F837" s="11"/>
      <c r="G837" s="11"/>
      <c r="H837" s="11"/>
      <c r="I837" s="11"/>
      <c r="J837" s="11"/>
      <c r="K837" s="11"/>
      <c r="L837" s="11"/>
      <c r="M837" s="11"/>
      <c r="N837" s="11"/>
      <c r="O837" s="11"/>
      <c r="P837" s="11"/>
      <c r="Q837" s="11"/>
      <c r="R837" s="11"/>
      <c r="S837" s="11"/>
      <c r="T837" s="11"/>
      <c r="U837" s="11"/>
      <c r="V837" s="11"/>
      <c r="W837" s="11"/>
      <c r="X837" s="11"/>
      <c r="Y837" s="11"/>
      <c r="Z837" s="11"/>
      <c r="AA837" s="11"/>
      <c r="AB837" s="11"/>
      <c r="AC837" s="11"/>
    </row>
    <row r="838" spans="1:29" ht="14">
      <c r="A838" s="11"/>
      <c r="B838" s="11"/>
      <c r="C838" s="11"/>
      <c r="D838" s="11"/>
      <c r="E838" s="11"/>
      <c r="F838" s="11"/>
      <c r="G838" s="11"/>
      <c r="H838" s="11"/>
      <c r="I838" s="11"/>
      <c r="J838" s="11"/>
      <c r="K838" s="11"/>
      <c r="L838" s="11"/>
      <c r="M838" s="11"/>
      <c r="N838" s="11"/>
      <c r="O838" s="11"/>
      <c r="P838" s="11"/>
      <c r="Q838" s="11"/>
      <c r="R838" s="11"/>
      <c r="S838" s="11"/>
      <c r="T838" s="11"/>
      <c r="U838" s="11"/>
      <c r="V838" s="11"/>
      <c r="W838" s="11"/>
      <c r="X838" s="11"/>
      <c r="Y838" s="11"/>
      <c r="Z838" s="11"/>
      <c r="AA838" s="11"/>
      <c r="AB838" s="11"/>
      <c r="AC838" s="11"/>
    </row>
    <row r="839" spans="1:29" ht="14">
      <c r="A839" s="11"/>
      <c r="B839" s="11"/>
      <c r="C839" s="11"/>
      <c r="D839" s="11"/>
      <c r="E839" s="11"/>
      <c r="F839" s="11"/>
      <c r="G839" s="11"/>
      <c r="H839" s="11"/>
      <c r="I839" s="11"/>
      <c r="J839" s="11"/>
      <c r="K839" s="11"/>
      <c r="L839" s="11"/>
      <c r="M839" s="11"/>
      <c r="N839" s="11"/>
      <c r="O839" s="11"/>
      <c r="P839" s="11"/>
      <c r="Q839" s="11"/>
      <c r="R839" s="11"/>
      <c r="S839" s="11"/>
      <c r="T839" s="11"/>
      <c r="U839" s="11"/>
      <c r="V839" s="11"/>
      <c r="W839" s="11"/>
      <c r="X839" s="11"/>
      <c r="Y839" s="11"/>
      <c r="Z839" s="11"/>
      <c r="AA839" s="11"/>
      <c r="AB839" s="11"/>
      <c r="AC839" s="11"/>
    </row>
    <row r="840" spans="1:29" ht="14">
      <c r="A840" s="11"/>
      <c r="B840" s="11"/>
      <c r="C840" s="11"/>
      <c r="D840" s="11"/>
      <c r="E840" s="11"/>
      <c r="F840" s="11"/>
      <c r="G840" s="11"/>
      <c r="H840" s="11"/>
      <c r="I840" s="11"/>
      <c r="J840" s="11"/>
      <c r="K840" s="11"/>
      <c r="L840" s="11"/>
      <c r="M840" s="11"/>
      <c r="N840" s="11"/>
      <c r="O840" s="11"/>
      <c r="P840" s="11"/>
      <c r="Q840" s="11"/>
      <c r="R840" s="11"/>
      <c r="S840" s="11"/>
      <c r="T840" s="11"/>
      <c r="U840" s="11"/>
      <c r="V840" s="11"/>
      <c r="W840" s="11"/>
      <c r="X840" s="11"/>
      <c r="Y840" s="11"/>
      <c r="Z840" s="11"/>
      <c r="AA840" s="11"/>
      <c r="AB840" s="11"/>
      <c r="AC840" s="11"/>
    </row>
    <row r="841" spans="1:29" ht="14">
      <c r="A841" s="11"/>
      <c r="B841" s="11"/>
      <c r="C841" s="11"/>
      <c r="D841" s="11"/>
      <c r="E841" s="11"/>
      <c r="F841" s="11"/>
      <c r="G841" s="11"/>
      <c r="H841" s="11"/>
      <c r="I841" s="11"/>
      <c r="J841" s="11"/>
      <c r="K841" s="11"/>
      <c r="L841" s="11"/>
      <c r="M841" s="11"/>
      <c r="N841" s="11"/>
      <c r="O841" s="11"/>
      <c r="P841" s="11"/>
      <c r="Q841" s="11"/>
      <c r="R841" s="11"/>
      <c r="S841" s="11"/>
      <c r="T841" s="11"/>
      <c r="U841" s="11"/>
      <c r="V841" s="11"/>
      <c r="W841" s="11"/>
      <c r="X841" s="11"/>
      <c r="Y841" s="11"/>
      <c r="Z841" s="11"/>
      <c r="AA841" s="11"/>
      <c r="AB841" s="11"/>
      <c r="AC841" s="11"/>
    </row>
    <row r="842" spans="1:29" ht="14">
      <c r="A842" s="11"/>
      <c r="B842" s="11"/>
      <c r="C842" s="11"/>
      <c r="D842" s="11"/>
      <c r="E842" s="11"/>
      <c r="F842" s="11"/>
      <c r="G842" s="11"/>
      <c r="H842" s="11"/>
      <c r="I842" s="11"/>
      <c r="J842" s="11"/>
      <c r="K842" s="11"/>
      <c r="L842" s="11"/>
      <c r="M842" s="11"/>
      <c r="N842" s="11"/>
      <c r="O842" s="11"/>
      <c r="P842" s="11"/>
      <c r="Q842" s="11"/>
      <c r="R842" s="11"/>
      <c r="S842" s="11"/>
      <c r="T842" s="11"/>
      <c r="U842" s="11"/>
      <c r="V842" s="11"/>
      <c r="W842" s="11"/>
      <c r="X842" s="11"/>
      <c r="Y842" s="11"/>
      <c r="Z842" s="11"/>
      <c r="AA842" s="11"/>
      <c r="AB842" s="11"/>
      <c r="AC842" s="11"/>
    </row>
    <row r="843" spans="1:29" ht="14">
      <c r="A843" s="11"/>
      <c r="B843" s="11"/>
      <c r="C843" s="11"/>
      <c r="D843" s="11"/>
      <c r="E843" s="11"/>
      <c r="F843" s="11"/>
      <c r="G843" s="11"/>
      <c r="H843" s="11"/>
      <c r="I843" s="11"/>
      <c r="J843" s="11"/>
      <c r="K843" s="11"/>
      <c r="L843" s="11"/>
      <c r="M843" s="11"/>
      <c r="N843" s="11"/>
      <c r="O843" s="11"/>
      <c r="P843" s="11"/>
      <c r="Q843" s="11"/>
      <c r="R843" s="11"/>
      <c r="S843" s="11"/>
      <c r="T843" s="11"/>
      <c r="U843" s="11"/>
      <c r="V843" s="11"/>
      <c r="W843" s="11"/>
      <c r="X843" s="11"/>
      <c r="Y843" s="11"/>
      <c r="Z843" s="11"/>
      <c r="AA843" s="11"/>
      <c r="AB843" s="11"/>
      <c r="AC843" s="11"/>
    </row>
    <row r="844" spans="1:29" ht="14">
      <c r="A844" s="11"/>
      <c r="B844" s="11"/>
      <c r="C844" s="11"/>
      <c r="D844" s="11"/>
      <c r="E844" s="11"/>
      <c r="F844" s="11"/>
      <c r="G844" s="11"/>
      <c r="H844" s="11"/>
      <c r="I844" s="11"/>
      <c r="J844" s="11"/>
      <c r="K844" s="11"/>
      <c r="L844" s="11"/>
      <c r="M844" s="11"/>
      <c r="N844" s="11"/>
      <c r="O844" s="11"/>
      <c r="P844" s="11"/>
      <c r="Q844" s="11"/>
      <c r="R844" s="11"/>
      <c r="S844" s="11"/>
      <c r="T844" s="11"/>
      <c r="U844" s="11"/>
      <c r="V844" s="11"/>
      <c r="W844" s="11"/>
      <c r="X844" s="11"/>
      <c r="Y844" s="11"/>
      <c r="Z844" s="11"/>
      <c r="AA844" s="11"/>
      <c r="AB844" s="11"/>
      <c r="AC844" s="11"/>
    </row>
    <row r="845" spans="1:29" ht="14">
      <c r="A845" s="11"/>
      <c r="B845" s="11"/>
      <c r="C845" s="11"/>
      <c r="D845" s="11"/>
      <c r="E845" s="11"/>
      <c r="F845" s="11"/>
      <c r="G845" s="11"/>
      <c r="H845" s="11"/>
      <c r="I845" s="11"/>
      <c r="J845" s="11"/>
      <c r="K845" s="11"/>
      <c r="L845" s="11"/>
      <c r="M845" s="11"/>
      <c r="N845" s="11"/>
      <c r="O845" s="11"/>
      <c r="P845" s="11"/>
      <c r="Q845" s="11"/>
      <c r="R845" s="11"/>
      <c r="S845" s="11"/>
      <c r="T845" s="11"/>
      <c r="U845" s="11"/>
      <c r="V845" s="11"/>
      <c r="W845" s="11"/>
      <c r="X845" s="11"/>
      <c r="Y845" s="11"/>
      <c r="Z845" s="11"/>
      <c r="AA845" s="11"/>
      <c r="AB845" s="11"/>
      <c r="AC845" s="11"/>
    </row>
    <row r="846" spans="1:29" ht="14">
      <c r="A846" s="11"/>
      <c r="B846" s="11"/>
      <c r="C846" s="11"/>
      <c r="D846" s="11"/>
      <c r="E846" s="11"/>
      <c r="F846" s="11"/>
      <c r="G846" s="11"/>
      <c r="H846" s="11"/>
      <c r="I846" s="11"/>
      <c r="J846" s="11"/>
      <c r="K846" s="11"/>
      <c r="L846" s="11"/>
      <c r="M846" s="11"/>
      <c r="N846" s="11"/>
      <c r="O846" s="11"/>
      <c r="P846" s="11"/>
      <c r="Q846" s="11"/>
      <c r="R846" s="11"/>
      <c r="S846" s="11"/>
      <c r="T846" s="11"/>
      <c r="U846" s="11"/>
      <c r="V846" s="11"/>
      <c r="W846" s="11"/>
      <c r="X846" s="11"/>
      <c r="Y846" s="11"/>
      <c r="Z846" s="11"/>
      <c r="AA846" s="11"/>
      <c r="AB846" s="11"/>
      <c r="AC846" s="11"/>
    </row>
    <row r="847" spans="1:29" ht="14">
      <c r="A847" s="11"/>
      <c r="B847" s="11"/>
      <c r="C847" s="11"/>
      <c r="D847" s="11"/>
      <c r="E847" s="11"/>
      <c r="F847" s="11"/>
      <c r="G847" s="11"/>
      <c r="H847" s="11"/>
      <c r="I847" s="11"/>
      <c r="J847" s="11"/>
      <c r="K847" s="11"/>
      <c r="L847" s="11"/>
      <c r="M847" s="11"/>
      <c r="N847" s="11"/>
      <c r="O847" s="11"/>
      <c r="P847" s="11"/>
      <c r="Q847" s="11"/>
      <c r="R847" s="11"/>
      <c r="S847" s="11"/>
      <c r="T847" s="11"/>
      <c r="U847" s="11"/>
      <c r="V847" s="11"/>
      <c r="W847" s="11"/>
      <c r="X847" s="11"/>
      <c r="Y847" s="11"/>
      <c r="Z847" s="11"/>
      <c r="AA847" s="11"/>
      <c r="AB847" s="11"/>
      <c r="AC847" s="11"/>
    </row>
    <row r="848" spans="1:29" ht="14">
      <c r="A848" s="11"/>
      <c r="B848" s="11"/>
      <c r="C848" s="11"/>
      <c r="D848" s="11"/>
      <c r="E848" s="11"/>
      <c r="F848" s="11"/>
      <c r="G848" s="11"/>
      <c r="H848" s="11"/>
      <c r="I848" s="11"/>
      <c r="J848" s="11"/>
      <c r="K848" s="11"/>
      <c r="L848" s="11"/>
      <c r="M848" s="11"/>
      <c r="N848" s="11"/>
      <c r="O848" s="11"/>
      <c r="P848" s="11"/>
      <c r="Q848" s="11"/>
      <c r="R848" s="11"/>
      <c r="S848" s="11"/>
      <c r="T848" s="11"/>
      <c r="U848" s="11"/>
      <c r="V848" s="11"/>
      <c r="W848" s="11"/>
      <c r="X848" s="11"/>
      <c r="Y848" s="11"/>
      <c r="Z848" s="11"/>
      <c r="AA848" s="11"/>
      <c r="AB848" s="11"/>
      <c r="AC848" s="11"/>
    </row>
    <row r="849" spans="1:29" ht="14">
      <c r="A849" s="11"/>
      <c r="B849" s="11"/>
      <c r="C849" s="11"/>
      <c r="D849" s="11"/>
      <c r="E849" s="11"/>
      <c r="F849" s="11"/>
      <c r="G849" s="11"/>
      <c r="H849" s="11"/>
      <c r="I849" s="11"/>
      <c r="J849" s="11"/>
      <c r="K849" s="11"/>
      <c r="L849" s="11"/>
      <c r="M849" s="11"/>
      <c r="N849" s="11"/>
      <c r="O849" s="11"/>
      <c r="P849" s="11"/>
      <c r="Q849" s="11"/>
      <c r="R849" s="11"/>
      <c r="S849" s="11"/>
      <c r="T849" s="11"/>
      <c r="U849" s="11"/>
      <c r="V849" s="11"/>
      <c r="W849" s="11"/>
      <c r="X849" s="11"/>
      <c r="Y849" s="11"/>
      <c r="Z849" s="11"/>
      <c r="AA849" s="11"/>
      <c r="AB849" s="11"/>
      <c r="AC849" s="11"/>
    </row>
    <row r="850" spans="1:29" ht="14">
      <c r="A850" s="11"/>
      <c r="B850" s="11"/>
      <c r="C850" s="11"/>
      <c r="D850" s="11"/>
      <c r="E850" s="11"/>
      <c r="F850" s="11"/>
      <c r="G850" s="11"/>
      <c r="H850" s="11"/>
      <c r="I850" s="11"/>
      <c r="J850" s="11"/>
      <c r="K850" s="11"/>
      <c r="L850" s="11"/>
      <c r="M850" s="11"/>
      <c r="N850" s="11"/>
      <c r="O850" s="11"/>
      <c r="P850" s="11"/>
      <c r="Q850" s="11"/>
      <c r="R850" s="11"/>
      <c r="S850" s="11"/>
      <c r="T850" s="11"/>
      <c r="U850" s="11"/>
      <c r="V850" s="11"/>
      <c r="W850" s="11"/>
      <c r="X850" s="11"/>
      <c r="Y850" s="11"/>
      <c r="Z850" s="11"/>
      <c r="AA850" s="11"/>
      <c r="AB850" s="11"/>
      <c r="AC850" s="11"/>
    </row>
    <row r="851" spans="1:29" ht="14">
      <c r="A851" s="11"/>
      <c r="B851" s="11"/>
      <c r="C851" s="11"/>
      <c r="D851" s="11"/>
      <c r="E851" s="11"/>
      <c r="F851" s="11"/>
      <c r="G851" s="11"/>
      <c r="H851" s="11"/>
      <c r="I851" s="11"/>
      <c r="J851" s="11"/>
      <c r="K851" s="11"/>
      <c r="L851" s="11"/>
      <c r="M851" s="11"/>
      <c r="N851" s="11"/>
      <c r="O851" s="11"/>
      <c r="P851" s="11"/>
      <c r="Q851" s="11"/>
      <c r="R851" s="11"/>
      <c r="S851" s="11"/>
      <c r="T851" s="11"/>
      <c r="U851" s="11"/>
      <c r="V851" s="11"/>
      <c r="W851" s="11"/>
      <c r="X851" s="11"/>
      <c r="Y851" s="11"/>
      <c r="Z851" s="11"/>
      <c r="AA851" s="11"/>
      <c r="AB851" s="11"/>
      <c r="AC851" s="11"/>
    </row>
    <row r="852" spans="1:29" ht="14">
      <c r="A852" s="11"/>
      <c r="B852" s="11"/>
      <c r="C852" s="11"/>
      <c r="D852" s="11"/>
      <c r="E852" s="11"/>
      <c r="F852" s="11"/>
      <c r="G852" s="11"/>
      <c r="H852" s="11"/>
      <c r="I852" s="11"/>
      <c r="J852" s="11"/>
      <c r="K852" s="11"/>
      <c r="L852" s="11"/>
      <c r="M852" s="11"/>
      <c r="N852" s="11"/>
      <c r="O852" s="11"/>
      <c r="P852" s="11"/>
      <c r="Q852" s="11"/>
      <c r="R852" s="11"/>
      <c r="S852" s="11"/>
      <c r="T852" s="11"/>
      <c r="U852" s="11"/>
      <c r="V852" s="11"/>
      <c r="W852" s="11"/>
      <c r="X852" s="11"/>
      <c r="Y852" s="11"/>
      <c r="Z852" s="11"/>
      <c r="AA852" s="11"/>
      <c r="AB852" s="11"/>
      <c r="AC852" s="11"/>
    </row>
    <row r="853" spans="1:29" ht="14">
      <c r="A853" s="11"/>
      <c r="B853" s="11"/>
      <c r="C853" s="11"/>
      <c r="D853" s="11"/>
      <c r="E853" s="11"/>
      <c r="F853" s="11"/>
      <c r="G853" s="11"/>
      <c r="H853" s="11"/>
      <c r="I853" s="11"/>
      <c r="J853" s="11"/>
      <c r="K853" s="11"/>
      <c r="L853" s="11"/>
      <c r="M853" s="11"/>
      <c r="N853" s="11"/>
      <c r="O853" s="11"/>
      <c r="P853" s="11"/>
      <c r="Q853" s="11"/>
      <c r="R853" s="11"/>
      <c r="S853" s="11"/>
      <c r="T853" s="11"/>
      <c r="U853" s="11"/>
      <c r="V853" s="11"/>
      <c r="W853" s="11"/>
      <c r="X853" s="11"/>
      <c r="Y853" s="11"/>
      <c r="Z853" s="11"/>
      <c r="AA853" s="11"/>
      <c r="AB853" s="11"/>
      <c r="AC853" s="11"/>
    </row>
    <row r="854" spans="1:29" ht="14">
      <c r="A854" s="11"/>
      <c r="B854" s="11"/>
      <c r="C854" s="11"/>
      <c r="D854" s="11"/>
      <c r="E854" s="11"/>
      <c r="F854" s="11"/>
      <c r="G854" s="11"/>
      <c r="H854" s="11"/>
      <c r="I854" s="11"/>
      <c r="J854" s="11"/>
      <c r="K854" s="11"/>
      <c r="L854" s="11"/>
      <c r="M854" s="11"/>
      <c r="N854" s="11"/>
      <c r="O854" s="11"/>
      <c r="P854" s="11"/>
      <c r="Q854" s="11"/>
      <c r="R854" s="11"/>
      <c r="S854" s="11"/>
      <c r="T854" s="11"/>
      <c r="U854" s="11"/>
      <c r="V854" s="11"/>
      <c r="W854" s="11"/>
      <c r="X854" s="11"/>
      <c r="Y854" s="11"/>
      <c r="Z854" s="11"/>
      <c r="AA854" s="11"/>
      <c r="AB854" s="11"/>
      <c r="AC854" s="11"/>
    </row>
    <row r="855" spans="1:29" ht="14">
      <c r="A855" s="11"/>
      <c r="B855" s="11"/>
      <c r="C855" s="11"/>
      <c r="D855" s="11"/>
      <c r="E855" s="11"/>
      <c r="F855" s="11"/>
      <c r="G855" s="11"/>
      <c r="H855" s="11"/>
      <c r="I855" s="11"/>
      <c r="J855" s="11"/>
      <c r="K855" s="11"/>
      <c r="L855" s="11"/>
      <c r="M855" s="11"/>
      <c r="N855" s="11"/>
      <c r="O855" s="11"/>
      <c r="P855" s="11"/>
      <c r="Q855" s="11"/>
      <c r="R855" s="11"/>
      <c r="S855" s="11"/>
      <c r="T855" s="11"/>
      <c r="U855" s="11"/>
      <c r="V855" s="11"/>
      <c r="W855" s="11"/>
      <c r="X855" s="11"/>
      <c r="Y855" s="11"/>
      <c r="Z855" s="11"/>
      <c r="AA855" s="11"/>
      <c r="AB855" s="11"/>
      <c r="AC855" s="11"/>
    </row>
    <row r="856" spans="1:29" ht="14">
      <c r="A856" s="11"/>
      <c r="B856" s="11"/>
      <c r="C856" s="11"/>
      <c r="D856" s="11"/>
      <c r="E856" s="11"/>
      <c r="F856" s="11"/>
      <c r="G856" s="11"/>
      <c r="H856" s="11"/>
      <c r="I856" s="11"/>
      <c r="J856" s="11"/>
      <c r="K856" s="11"/>
      <c r="L856" s="11"/>
      <c r="M856" s="11"/>
      <c r="N856" s="11"/>
      <c r="O856" s="11"/>
      <c r="P856" s="11"/>
      <c r="Q856" s="11"/>
      <c r="R856" s="11"/>
      <c r="S856" s="11"/>
      <c r="T856" s="11"/>
      <c r="U856" s="11"/>
      <c r="V856" s="11"/>
      <c r="W856" s="11"/>
      <c r="X856" s="11"/>
      <c r="Y856" s="11"/>
      <c r="Z856" s="11"/>
      <c r="AA856" s="11"/>
      <c r="AB856" s="11"/>
      <c r="AC856" s="11"/>
    </row>
    <row r="857" spans="1:29" ht="14">
      <c r="A857" s="11"/>
      <c r="B857" s="11"/>
      <c r="C857" s="11"/>
      <c r="D857" s="11"/>
      <c r="E857" s="11"/>
      <c r="F857" s="11"/>
      <c r="G857" s="11"/>
      <c r="H857" s="11"/>
      <c r="I857" s="11"/>
      <c r="J857" s="11"/>
      <c r="K857" s="11"/>
      <c r="L857" s="11"/>
      <c r="M857" s="11"/>
      <c r="N857" s="11"/>
      <c r="O857" s="11"/>
      <c r="P857" s="11"/>
      <c r="Q857" s="11"/>
      <c r="R857" s="11"/>
      <c r="S857" s="11"/>
      <c r="T857" s="11"/>
      <c r="U857" s="11"/>
      <c r="V857" s="11"/>
      <c r="W857" s="11"/>
      <c r="X857" s="11"/>
      <c r="Y857" s="11"/>
      <c r="Z857" s="11"/>
      <c r="AA857" s="11"/>
      <c r="AB857" s="11"/>
      <c r="AC857" s="11"/>
    </row>
    <row r="858" spans="1:29" ht="14">
      <c r="A858" s="11"/>
      <c r="B858" s="11"/>
      <c r="C858" s="11"/>
      <c r="D858" s="11"/>
      <c r="E858" s="11"/>
      <c r="F858" s="11"/>
      <c r="G858" s="11"/>
      <c r="H858" s="11"/>
      <c r="I858" s="11"/>
      <c r="J858" s="11"/>
      <c r="K858" s="11"/>
      <c r="L858" s="11"/>
      <c r="M858" s="11"/>
      <c r="N858" s="11"/>
      <c r="O858" s="11"/>
      <c r="P858" s="11"/>
      <c r="Q858" s="11"/>
      <c r="R858" s="11"/>
      <c r="S858" s="11"/>
      <c r="T858" s="11"/>
      <c r="U858" s="11"/>
      <c r="V858" s="11"/>
      <c r="W858" s="11"/>
      <c r="X858" s="11"/>
      <c r="Y858" s="11"/>
      <c r="Z858" s="11"/>
      <c r="AA858" s="11"/>
      <c r="AB858" s="11"/>
      <c r="AC858" s="11"/>
    </row>
    <row r="859" spans="1:29" ht="14">
      <c r="A859" s="11"/>
      <c r="B859" s="11"/>
      <c r="C859" s="11"/>
      <c r="D859" s="11"/>
      <c r="E859" s="11"/>
      <c r="F859" s="11"/>
      <c r="G859" s="11"/>
      <c r="H859" s="11"/>
      <c r="I859" s="11"/>
      <c r="J859" s="11"/>
      <c r="K859" s="11"/>
      <c r="L859" s="11"/>
      <c r="M859" s="11"/>
      <c r="N859" s="11"/>
      <c r="O859" s="11"/>
      <c r="P859" s="11"/>
      <c r="Q859" s="11"/>
      <c r="R859" s="11"/>
      <c r="S859" s="11"/>
      <c r="T859" s="11"/>
      <c r="U859" s="11"/>
      <c r="V859" s="11"/>
      <c r="W859" s="11"/>
      <c r="X859" s="11"/>
      <c r="Y859" s="11"/>
      <c r="Z859" s="11"/>
      <c r="AA859" s="11"/>
      <c r="AB859" s="11"/>
      <c r="AC859" s="11"/>
    </row>
    <row r="860" spans="1:29" ht="14">
      <c r="A860" s="11"/>
      <c r="B860" s="11"/>
      <c r="C860" s="11"/>
      <c r="D860" s="11"/>
      <c r="E860" s="11"/>
      <c r="F860" s="11"/>
      <c r="G860" s="11"/>
      <c r="H860" s="11"/>
      <c r="I860" s="11"/>
      <c r="J860" s="11"/>
      <c r="K860" s="11"/>
      <c r="L860" s="11"/>
      <c r="M860" s="11"/>
      <c r="N860" s="11"/>
      <c r="O860" s="11"/>
      <c r="P860" s="11"/>
      <c r="Q860" s="11"/>
      <c r="R860" s="11"/>
      <c r="S860" s="11"/>
      <c r="T860" s="11"/>
      <c r="U860" s="11"/>
      <c r="V860" s="11"/>
      <c r="W860" s="11"/>
      <c r="X860" s="11"/>
      <c r="Y860" s="11"/>
      <c r="Z860" s="11"/>
      <c r="AA860" s="11"/>
      <c r="AB860" s="11"/>
      <c r="AC860" s="11"/>
    </row>
    <row r="861" spans="1:29" ht="14">
      <c r="A861" s="11"/>
      <c r="B861" s="11"/>
      <c r="C861" s="11"/>
      <c r="D861" s="11"/>
      <c r="E861" s="11"/>
      <c r="F861" s="11"/>
      <c r="G861" s="11"/>
      <c r="H861" s="11"/>
      <c r="I861" s="11"/>
      <c r="J861" s="11"/>
      <c r="K861" s="11"/>
      <c r="L861" s="11"/>
      <c r="M861" s="11"/>
      <c r="N861" s="11"/>
      <c r="O861" s="11"/>
      <c r="P861" s="11"/>
      <c r="Q861" s="11"/>
      <c r="R861" s="11"/>
      <c r="S861" s="11"/>
      <c r="T861" s="11"/>
      <c r="U861" s="11"/>
      <c r="V861" s="11"/>
      <c r="W861" s="11"/>
      <c r="X861" s="11"/>
      <c r="Y861" s="11"/>
      <c r="Z861" s="11"/>
      <c r="AA861" s="11"/>
      <c r="AB861" s="11"/>
      <c r="AC861" s="11"/>
    </row>
    <row r="862" spans="1:29" ht="14">
      <c r="A862" s="11"/>
      <c r="B862" s="11"/>
      <c r="C862" s="11"/>
      <c r="D862" s="11"/>
      <c r="E862" s="11"/>
      <c r="F862" s="11"/>
      <c r="G862" s="11"/>
      <c r="H862" s="11"/>
      <c r="I862" s="11"/>
      <c r="J862" s="11"/>
      <c r="K862" s="11"/>
      <c r="L862" s="11"/>
      <c r="M862" s="11"/>
      <c r="N862" s="11"/>
      <c r="O862" s="11"/>
      <c r="P862" s="11"/>
      <c r="Q862" s="11"/>
      <c r="R862" s="11"/>
      <c r="S862" s="11"/>
      <c r="T862" s="11"/>
      <c r="U862" s="11"/>
      <c r="V862" s="11"/>
      <c r="W862" s="11"/>
      <c r="X862" s="11"/>
      <c r="Y862" s="11"/>
      <c r="Z862" s="11"/>
      <c r="AA862" s="11"/>
      <c r="AB862" s="11"/>
      <c r="AC862" s="11"/>
    </row>
    <row r="863" spans="1:29" ht="14">
      <c r="A863" s="11"/>
      <c r="B863" s="11"/>
      <c r="C863" s="11"/>
      <c r="D863" s="11"/>
      <c r="E863" s="11"/>
      <c r="F863" s="11"/>
      <c r="G863" s="11"/>
      <c r="H863" s="11"/>
      <c r="I863" s="11"/>
      <c r="J863" s="11"/>
      <c r="K863" s="11"/>
      <c r="L863" s="11"/>
      <c r="M863" s="11"/>
      <c r="N863" s="11"/>
      <c r="O863" s="11"/>
      <c r="P863" s="11"/>
      <c r="Q863" s="11"/>
      <c r="R863" s="11"/>
      <c r="S863" s="11"/>
      <c r="T863" s="11"/>
      <c r="U863" s="11"/>
      <c r="V863" s="11"/>
      <c r="W863" s="11"/>
      <c r="X863" s="11"/>
      <c r="Y863" s="11"/>
      <c r="Z863" s="11"/>
      <c r="AA863" s="11"/>
      <c r="AB863" s="11"/>
      <c r="AC863" s="11"/>
    </row>
    <row r="864" spans="1:29" ht="14">
      <c r="A864" s="11"/>
      <c r="B864" s="11"/>
      <c r="C864" s="11"/>
      <c r="D864" s="11"/>
      <c r="E864" s="11"/>
      <c r="F864" s="11"/>
      <c r="G864" s="11"/>
      <c r="H864" s="11"/>
      <c r="I864" s="11"/>
      <c r="J864" s="11"/>
      <c r="K864" s="11"/>
      <c r="L864" s="11"/>
      <c r="M864" s="11"/>
      <c r="N864" s="11"/>
      <c r="O864" s="11"/>
      <c r="P864" s="11"/>
      <c r="Q864" s="11"/>
      <c r="R864" s="11"/>
      <c r="S864" s="11"/>
      <c r="T864" s="11"/>
      <c r="U864" s="11"/>
      <c r="V864" s="11"/>
      <c r="W864" s="11"/>
      <c r="X864" s="11"/>
      <c r="Y864" s="11"/>
      <c r="Z864" s="11"/>
      <c r="AA864" s="11"/>
      <c r="AB864" s="11"/>
      <c r="AC864" s="11"/>
    </row>
    <row r="865" spans="1:29" ht="14">
      <c r="A865" s="11"/>
      <c r="B865" s="11"/>
      <c r="C865" s="11"/>
      <c r="D865" s="11"/>
      <c r="E865" s="11"/>
      <c r="F865" s="11"/>
      <c r="G865" s="11"/>
      <c r="H865" s="11"/>
      <c r="I865" s="11"/>
      <c r="J865" s="11"/>
      <c r="K865" s="11"/>
      <c r="L865" s="11"/>
      <c r="M865" s="11"/>
      <c r="N865" s="11"/>
      <c r="O865" s="11"/>
      <c r="P865" s="11"/>
      <c r="Q865" s="11"/>
      <c r="R865" s="11"/>
      <c r="S865" s="11"/>
      <c r="T865" s="11"/>
      <c r="U865" s="11"/>
      <c r="V865" s="11"/>
      <c r="W865" s="11"/>
      <c r="X865" s="11"/>
      <c r="Y865" s="11"/>
      <c r="Z865" s="11"/>
      <c r="AA865" s="11"/>
      <c r="AB865" s="11"/>
      <c r="AC865" s="11"/>
    </row>
    <row r="866" spans="1:29" ht="14">
      <c r="A866" s="11"/>
      <c r="B866" s="11"/>
      <c r="C866" s="11"/>
      <c r="D866" s="11"/>
      <c r="E866" s="11"/>
      <c r="F866" s="11"/>
      <c r="G866" s="11"/>
      <c r="H866" s="11"/>
      <c r="I866" s="11"/>
      <c r="J866" s="11"/>
      <c r="K866" s="11"/>
      <c r="L866" s="11"/>
      <c r="M866" s="11"/>
      <c r="N866" s="11"/>
      <c r="O866" s="11"/>
      <c r="P866" s="11"/>
      <c r="Q866" s="11"/>
      <c r="R866" s="11"/>
      <c r="S866" s="11"/>
      <c r="T866" s="11"/>
      <c r="U866" s="11"/>
      <c r="V866" s="11"/>
      <c r="W866" s="11"/>
      <c r="X866" s="11"/>
      <c r="Y866" s="11"/>
      <c r="Z866" s="11"/>
      <c r="AA866" s="11"/>
      <c r="AB866" s="11"/>
      <c r="AC866" s="11"/>
    </row>
    <row r="867" spans="1:29" ht="14">
      <c r="A867" s="11"/>
      <c r="B867" s="11"/>
      <c r="C867" s="11"/>
      <c r="D867" s="11"/>
      <c r="E867" s="11"/>
      <c r="F867" s="11"/>
      <c r="G867" s="11"/>
      <c r="H867" s="11"/>
      <c r="I867" s="11"/>
      <c r="J867" s="11"/>
      <c r="K867" s="11"/>
      <c r="L867" s="11"/>
      <c r="M867" s="11"/>
      <c r="N867" s="11"/>
      <c r="O867" s="11"/>
      <c r="P867" s="11"/>
      <c r="Q867" s="11"/>
      <c r="R867" s="11"/>
      <c r="S867" s="11"/>
      <c r="T867" s="11"/>
      <c r="U867" s="11"/>
      <c r="V867" s="11"/>
      <c r="W867" s="11"/>
      <c r="X867" s="11"/>
      <c r="Y867" s="11"/>
      <c r="Z867" s="11"/>
      <c r="AA867" s="11"/>
      <c r="AB867" s="11"/>
      <c r="AC867" s="11"/>
    </row>
    <row r="868" spans="1:29" ht="14">
      <c r="A868" s="11"/>
      <c r="B868" s="11"/>
      <c r="C868" s="11"/>
      <c r="D868" s="11"/>
      <c r="E868" s="11"/>
      <c r="F868" s="11"/>
      <c r="G868" s="11"/>
      <c r="H868" s="11"/>
      <c r="I868" s="11"/>
      <c r="J868" s="11"/>
      <c r="K868" s="11"/>
      <c r="L868" s="11"/>
      <c r="M868" s="11"/>
      <c r="N868" s="11"/>
      <c r="O868" s="11"/>
      <c r="P868" s="11"/>
      <c r="Q868" s="11"/>
      <c r="R868" s="11"/>
      <c r="S868" s="11"/>
      <c r="T868" s="11"/>
      <c r="U868" s="11"/>
      <c r="V868" s="11"/>
      <c r="W868" s="11"/>
      <c r="X868" s="11"/>
      <c r="Y868" s="11"/>
      <c r="Z868" s="11"/>
      <c r="AA868" s="11"/>
      <c r="AB868" s="11"/>
      <c r="AC868" s="11"/>
    </row>
    <row r="869" spans="1:29" ht="14">
      <c r="A869" s="11"/>
      <c r="B869" s="11"/>
      <c r="C869" s="11"/>
      <c r="D869" s="11"/>
      <c r="E869" s="11"/>
      <c r="F869" s="11"/>
      <c r="G869" s="11"/>
      <c r="H869" s="11"/>
      <c r="I869" s="11"/>
      <c r="J869" s="11"/>
      <c r="K869" s="11"/>
      <c r="L869" s="11"/>
      <c r="M869" s="11"/>
      <c r="N869" s="11"/>
      <c r="O869" s="11"/>
      <c r="P869" s="11"/>
      <c r="Q869" s="11"/>
      <c r="R869" s="11"/>
      <c r="S869" s="11"/>
      <c r="T869" s="11"/>
      <c r="U869" s="11"/>
      <c r="V869" s="11"/>
      <c r="W869" s="11"/>
      <c r="X869" s="11"/>
      <c r="Y869" s="11"/>
      <c r="Z869" s="11"/>
      <c r="AA869" s="11"/>
      <c r="AB869" s="11"/>
      <c r="AC869" s="11"/>
    </row>
    <row r="870" spans="1:29" ht="14">
      <c r="A870" s="11"/>
      <c r="B870" s="11"/>
      <c r="C870" s="11"/>
      <c r="D870" s="11"/>
      <c r="E870" s="11"/>
      <c r="F870" s="11"/>
      <c r="G870" s="11"/>
      <c r="H870" s="11"/>
      <c r="I870" s="11"/>
      <c r="J870" s="11"/>
      <c r="K870" s="11"/>
      <c r="L870" s="11"/>
      <c r="M870" s="11"/>
      <c r="N870" s="11"/>
      <c r="O870" s="11"/>
      <c r="P870" s="11"/>
      <c r="Q870" s="11"/>
      <c r="R870" s="11"/>
      <c r="S870" s="11"/>
      <c r="T870" s="11"/>
      <c r="U870" s="11"/>
      <c r="V870" s="11"/>
      <c r="W870" s="11"/>
      <c r="X870" s="11"/>
      <c r="Y870" s="11"/>
      <c r="Z870" s="11"/>
      <c r="AA870" s="11"/>
      <c r="AB870" s="11"/>
      <c r="AC870" s="11"/>
    </row>
    <row r="871" spans="1:29" ht="14">
      <c r="A871" s="11"/>
      <c r="B871" s="11"/>
      <c r="C871" s="11"/>
      <c r="D871" s="11"/>
      <c r="E871" s="11"/>
      <c r="F871" s="11"/>
      <c r="G871" s="11"/>
      <c r="H871" s="11"/>
      <c r="I871" s="11"/>
      <c r="J871" s="11"/>
      <c r="K871" s="11"/>
      <c r="L871" s="11"/>
      <c r="M871" s="11"/>
      <c r="N871" s="11"/>
      <c r="O871" s="11"/>
      <c r="P871" s="11"/>
      <c r="Q871" s="11"/>
      <c r="R871" s="11"/>
      <c r="S871" s="11"/>
      <c r="T871" s="11"/>
      <c r="U871" s="11"/>
      <c r="V871" s="11"/>
      <c r="W871" s="11"/>
      <c r="X871" s="11"/>
      <c r="Y871" s="11"/>
      <c r="Z871" s="11"/>
      <c r="AA871" s="11"/>
      <c r="AB871" s="11"/>
      <c r="AC871" s="11"/>
    </row>
    <row r="872" spans="1:29" ht="14">
      <c r="A872" s="11"/>
      <c r="B872" s="11"/>
      <c r="C872" s="11"/>
      <c r="D872" s="11"/>
      <c r="E872" s="11"/>
      <c r="F872" s="11"/>
      <c r="G872" s="11"/>
      <c r="H872" s="11"/>
      <c r="I872" s="11"/>
      <c r="J872" s="11"/>
      <c r="K872" s="11"/>
      <c r="L872" s="11"/>
      <c r="M872" s="11"/>
      <c r="N872" s="11"/>
      <c r="O872" s="11"/>
      <c r="P872" s="11"/>
      <c r="Q872" s="11"/>
      <c r="R872" s="11"/>
      <c r="S872" s="11"/>
      <c r="T872" s="11"/>
      <c r="U872" s="11"/>
      <c r="V872" s="11"/>
      <c r="W872" s="11"/>
      <c r="X872" s="11"/>
      <c r="Y872" s="11"/>
      <c r="Z872" s="11"/>
      <c r="AA872" s="11"/>
      <c r="AB872" s="11"/>
      <c r="AC872" s="11"/>
    </row>
    <row r="873" spans="1:29" ht="14">
      <c r="A873" s="11"/>
      <c r="B873" s="11"/>
      <c r="C873" s="11"/>
      <c r="D873" s="11"/>
      <c r="E873" s="11"/>
      <c r="F873" s="11"/>
      <c r="G873" s="11"/>
      <c r="H873" s="11"/>
      <c r="I873" s="11"/>
      <c r="J873" s="11"/>
      <c r="K873" s="11"/>
      <c r="L873" s="11"/>
      <c r="M873" s="11"/>
      <c r="N873" s="11"/>
      <c r="O873" s="11"/>
      <c r="P873" s="11"/>
      <c r="Q873" s="11"/>
      <c r="R873" s="11"/>
      <c r="S873" s="11"/>
      <c r="T873" s="11"/>
      <c r="U873" s="11"/>
      <c r="V873" s="11"/>
      <c r="W873" s="11"/>
      <c r="X873" s="11"/>
      <c r="Y873" s="11"/>
      <c r="Z873" s="11"/>
      <c r="AA873" s="11"/>
      <c r="AB873" s="11"/>
      <c r="AC873" s="11"/>
    </row>
    <row r="874" spans="1:29" ht="14">
      <c r="A874" s="11"/>
      <c r="B874" s="11"/>
      <c r="C874" s="11"/>
      <c r="D874" s="11"/>
      <c r="E874" s="11"/>
      <c r="F874" s="11"/>
      <c r="G874" s="11"/>
      <c r="H874" s="11"/>
      <c r="I874" s="11"/>
      <c r="J874" s="11"/>
      <c r="K874" s="11"/>
      <c r="L874" s="11"/>
      <c r="M874" s="11"/>
      <c r="N874" s="11"/>
      <c r="O874" s="11"/>
      <c r="P874" s="11"/>
      <c r="Q874" s="11"/>
      <c r="R874" s="11"/>
      <c r="S874" s="11"/>
      <c r="T874" s="11"/>
      <c r="U874" s="11"/>
      <c r="V874" s="11"/>
      <c r="W874" s="11"/>
      <c r="X874" s="11"/>
      <c r="Y874" s="11"/>
      <c r="Z874" s="11"/>
      <c r="AA874" s="11"/>
      <c r="AB874" s="11"/>
      <c r="AC874" s="11"/>
    </row>
    <row r="875" spans="1:29" ht="14">
      <c r="A875" s="11"/>
      <c r="B875" s="11"/>
      <c r="C875" s="11"/>
      <c r="D875" s="11"/>
      <c r="E875" s="11"/>
      <c r="F875" s="11"/>
      <c r="G875" s="11"/>
      <c r="H875" s="11"/>
      <c r="I875" s="11"/>
      <c r="J875" s="11"/>
      <c r="K875" s="11"/>
      <c r="L875" s="11"/>
      <c r="M875" s="11"/>
      <c r="N875" s="11"/>
      <c r="O875" s="11"/>
      <c r="P875" s="11"/>
      <c r="Q875" s="11"/>
      <c r="R875" s="11"/>
      <c r="S875" s="11"/>
      <c r="T875" s="11"/>
      <c r="U875" s="11"/>
      <c r="V875" s="11"/>
      <c r="W875" s="11"/>
      <c r="X875" s="11"/>
      <c r="Y875" s="11"/>
      <c r="Z875" s="11"/>
      <c r="AA875" s="11"/>
      <c r="AB875" s="11"/>
      <c r="AC875" s="11"/>
    </row>
    <row r="876" spans="1:29" ht="14">
      <c r="A876" s="11"/>
      <c r="B876" s="11"/>
      <c r="C876" s="11"/>
      <c r="D876" s="11"/>
      <c r="E876" s="11"/>
      <c r="F876" s="11"/>
      <c r="G876" s="11"/>
      <c r="H876" s="11"/>
      <c r="I876" s="11"/>
      <c r="J876" s="11"/>
      <c r="K876" s="11"/>
      <c r="L876" s="11"/>
      <c r="M876" s="11"/>
      <c r="N876" s="11"/>
      <c r="O876" s="11"/>
      <c r="P876" s="11"/>
      <c r="Q876" s="11"/>
      <c r="R876" s="11"/>
      <c r="S876" s="11"/>
      <c r="T876" s="11"/>
      <c r="U876" s="11"/>
      <c r="V876" s="11"/>
      <c r="W876" s="11"/>
      <c r="X876" s="11"/>
      <c r="Y876" s="11"/>
      <c r="Z876" s="11"/>
      <c r="AA876" s="11"/>
      <c r="AB876" s="11"/>
      <c r="AC876" s="11"/>
    </row>
    <row r="877" spans="1:29" ht="14">
      <c r="A877" s="11"/>
      <c r="B877" s="11"/>
      <c r="C877" s="11"/>
      <c r="D877" s="11"/>
      <c r="E877" s="11"/>
      <c r="F877" s="11"/>
      <c r="G877" s="11"/>
      <c r="H877" s="11"/>
      <c r="I877" s="11"/>
      <c r="J877" s="11"/>
      <c r="K877" s="11"/>
      <c r="L877" s="11"/>
      <c r="M877" s="11"/>
      <c r="N877" s="11"/>
      <c r="O877" s="11"/>
      <c r="P877" s="11"/>
      <c r="Q877" s="11"/>
      <c r="R877" s="11"/>
      <c r="S877" s="11"/>
      <c r="T877" s="11"/>
      <c r="U877" s="11"/>
      <c r="V877" s="11"/>
      <c r="W877" s="11"/>
      <c r="X877" s="11"/>
      <c r="Y877" s="11"/>
      <c r="Z877" s="11"/>
      <c r="AA877" s="11"/>
      <c r="AB877" s="11"/>
      <c r="AC877" s="11"/>
    </row>
    <row r="878" spans="1:29" ht="14">
      <c r="A878" s="11"/>
      <c r="B878" s="11"/>
      <c r="C878" s="11"/>
      <c r="D878" s="11"/>
      <c r="E878" s="11"/>
      <c r="F878" s="11"/>
      <c r="G878" s="11"/>
      <c r="H878" s="11"/>
      <c r="I878" s="11"/>
      <c r="J878" s="11"/>
      <c r="K878" s="11"/>
      <c r="L878" s="11"/>
      <c r="M878" s="11"/>
      <c r="N878" s="11"/>
      <c r="O878" s="11"/>
      <c r="P878" s="11"/>
      <c r="Q878" s="11"/>
      <c r="R878" s="11"/>
      <c r="S878" s="11"/>
      <c r="T878" s="11"/>
      <c r="U878" s="11"/>
      <c r="V878" s="11"/>
      <c r="W878" s="11"/>
      <c r="X878" s="11"/>
      <c r="Y878" s="11"/>
      <c r="Z878" s="11"/>
      <c r="AA878" s="11"/>
      <c r="AB878" s="11"/>
      <c r="AC878" s="11"/>
    </row>
    <row r="879" spans="1:29" ht="14">
      <c r="A879" s="11"/>
      <c r="B879" s="11"/>
      <c r="C879" s="11"/>
      <c r="D879" s="11"/>
      <c r="E879" s="11"/>
      <c r="F879" s="11"/>
      <c r="G879" s="11"/>
      <c r="H879" s="11"/>
      <c r="I879" s="11"/>
      <c r="J879" s="11"/>
      <c r="K879" s="11"/>
      <c r="L879" s="11"/>
      <c r="M879" s="11"/>
      <c r="N879" s="11"/>
      <c r="O879" s="11"/>
      <c r="P879" s="11"/>
      <c r="Q879" s="11"/>
      <c r="R879" s="11"/>
      <c r="S879" s="11"/>
      <c r="T879" s="11"/>
      <c r="U879" s="11"/>
      <c r="V879" s="11"/>
      <c r="W879" s="11"/>
      <c r="X879" s="11"/>
      <c r="Y879" s="11"/>
      <c r="Z879" s="11"/>
      <c r="AA879" s="11"/>
      <c r="AB879" s="11"/>
      <c r="AC879" s="11"/>
    </row>
    <row r="880" spans="1:29" ht="14">
      <c r="A880" s="11"/>
      <c r="B880" s="11"/>
      <c r="C880" s="11"/>
      <c r="D880" s="11"/>
      <c r="E880" s="11"/>
      <c r="F880" s="11"/>
      <c r="G880" s="11"/>
      <c r="H880" s="11"/>
      <c r="I880" s="11"/>
      <c r="J880" s="11"/>
      <c r="K880" s="11"/>
      <c r="L880" s="11"/>
      <c r="M880" s="11"/>
      <c r="N880" s="11"/>
      <c r="O880" s="11"/>
      <c r="P880" s="11"/>
      <c r="Q880" s="11"/>
      <c r="R880" s="11"/>
      <c r="S880" s="11"/>
      <c r="T880" s="11"/>
      <c r="U880" s="11"/>
      <c r="V880" s="11"/>
      <c r="W880" s="11"/>
      <c r="X880" s="11"/>
      <c r="Y880" s="11"/>
      <c r="Z880" s="11"/>
      <c r="AA880" s="11"/>
      <c r="AB880" s="11"/>
      <c r="AC880" s="11"/>
    </row>
    <row r="881" spans="1:29" ht="14">
      <c r="A881" s="11"/>
      <c r="B881" s="11"/>
      <c r="C881" s="11"/>
      <c r="D881" s="11"/>
      <c r="E881" s="11"/>
      <c r="F881" s="11"/>
      <c r="G881" s="11"/>
      <c r="H881" s="11"/>
      <c r="I881" s="11"/>
      <c r="J881" s="11"/>
      <c r="K881" s="11"/>
      <c r="L881" s="11"/>
      <c r="M881" s="11"/>
      <c r="N881" s="11"/>
      <c r="O881" s="11"/>
      <c r="P881" s="11"/>
      <c r="Q881" s="11"/>
      <c r="R881" s="11"/>
      <c r="S881" s="11"/>
      <c r="T881" s="11"/>
      <c r="U881" s="11"/>
      <c r="V881" s="11"/>
      <c r="W881" s="11"/>
      <c r="X881" s="11"/>
      <c r="Y881" s="11"/>
      <c r="Z881" s="11"/>
      <c r="AA881" s="11"/>
      <c r="AB881" s="11"/>
      <c r="AC881" s="11"/>
    </row>
    <row r="882" spans="1:29" ht="14">
      <c r="A882" s="11"/>
      <c r="B882" s="11"/>
      <c r="C882" s="11"/>
      <c r="D882" s="11"/>
      <c r="E882" s="11"/>
      <c r="F882" s="11"/>
      <c r="G882" s="11"/>
      <c r="H882" s="11"/>
      <c r="I882" s="11"/>
      <c r="J882" s="11"/>
      <c r="K882" s="11"/>
      <c r="L882" s="11"/>
      <c r="M882" s="11"/>
      <c r="N882" s="11"/>
      <c r="O882" s="11"/>
      <c r="P882" s="11"/>
      <c r="Q882" s="11"/>
      <c r="R882" s="11"/>
      <c r="S882" s="11"/>
      <c r="T882" s="11"/>
      <c r="U882" s="11"/>
      <c r="V882" s="11"/>
      <c r="W882" s="11"/>
      <c r="X882" s="11"/>
      <c r="Y882" s="11"/>
      <c r="Z882" s="11"/>
      <c r="AA882" s="11"/>
      <c r="AB882" s="11"/>
      <c r="AC882" s="11"/>
    </row>
    <row r="883" spans="1:29" ht="14">
      <c r="A883" s="11"/>
      <c r="B883" s="11"/>
      <c r="C883" s="11"/>
      <c r="D883" s="11"/>
      <c r="E883" s="11"/>
      <c r="F883" s="11"/>
      <c r="G883" s="11"/>
      <c r="H883" s="11"/>
      <c r="I883" s="11"/>
      <c r="J883" s="11"/>
      <c r="K883" s="11"/>
      <c r="L883" s="11"/>
      <c r="M883" s="11"/>
      <c r="N883" s="11"/>
      <c r="O883" s="11"/>
      <c r="P883" s="11"/>
      <c r="Q883" s="11"/>
      <c r="R883" s="11"/>
      <c r="S883" s="11"/>
      <c r="T883" s="11"/>
      <c r="U883" s="11"/>
      <c r="V883" s="11"/>
      <c r="W883" s="11"/>
      <c r="X883" s="11"/>
      <c r="Y883" s="11"/>
      <c r="Z883" s="11"/>
      <c r="AA883" s="11"/>
      <c r="AB883" s="11"/>
      <c r="AC883" s="11"/>
    </row>
    <row r="884" spans="1:29" ht="14">
      <c r="A884" s="11"/>
      <c r="B884" s="11"/>
      <c r="C884" s="11"/>
      <c r="D884" s="11"/>
      <c r="E884" s="11"/>
      <c r="F884" s="11"/>
      <c r="G884" s="11"/>
      <c r="H884" s="11"/>
      <c r="I884" s="11"/>
      <c r="J884" s="11"/>
      <c r="K884" s="11"/>
      <c r="L884" s="11"/>
      <c r="M884" s="11"/>
      <c r="N884" s="11"/>
      <c r="O884" s="11"/>
      <c r="P884" s="11"/>
      <c r="Q884" s="11"/>
      <c r="R884" s="11"/>
      <c r="S884" s="11"/>
      <c r="T884" s="11"/>
      <c r="U884" s="11"/>
      <c r="V884" s="11"/>
      <c r="W884" s="11"/>
      <c r="X884" s="11"/>
      <c r="Y884" s="11"/>
      <c r="Z884" s="11"/>
      <c r="AA884" s="11"/>
      <c r="AB884" s="11"/>
      <c r="AC884" s="11"/>
    </row>
    <row r="885" spans="1:29" ht="14">
      <c r="A885" s="11"/>
      <c r="B885" s="11"/>
      <c r="C885" s="11"/>
      <c r="D885" s="11"/>
      <c r="E885" s="11"/>
      <c r="F885" s="11"/>
      <c r="G885" s="11"/>
      <c r="H885" s="11"/>
      <c r="I885" s="11"/>
      <c r="J885" s="11"/>
      <c r="K885" s="11"/>
      <c r="L885" s="11"/>
      <c r="M885" s="11"/>
      <c r="N885" s="11"/>
      <c r="O885" s="11"/>
      <c r="P885" s="11"/>
      <c r="Q885" s="11"/>
      <c r="R885" s="11"/>
      <c r="S885" s="11"/>
      <c r="T885" s="11"/>
      <c r="U885" s="11"/>
      <c r="V885" s="11"/>
      <c r="W885" s="11"/>
      <c r="X885" s="11"/>
      <c r="Y885" s="11"/>
      <c r="Z885" s="11"/>
      <c r="AA885" s="11"/>
      <c r="AB885" s="11"/>
      <c r="AC885" s="11"/>
    </row>
    <row r="886" spans="1:29" ht="14">
      <c r="A886" s="11"/>
      <c r="B886" s="11"/>
      <c r="C886" s="11"/>
      <c r="D886" s="11"/>
      <c r="E886" s="11"/>
      <c r="F886" s="11"/>
      <c r="G886" s="11"/>
      <c r="H886" s="11"/>
      <c r="I886" s="11"/>
      <c r="J886" s="11"/>
      <c r="K886" s="11"/>
      <c r="L886" s="11"/>
      <c r="M886" s="11"/>
      <c r="N886" s="11"/>
      <c r="O886" s="11"/>
      <c r="P886" s="11"/>
      <c r="Q886" s="11"/>
      <c r="R886" s="11"/>
      <c r="S886" s="11"/>
      <c r="T886" s="11"/>
      <c r="U886" s="11"/>
      <c r="V886" s="11"/>
      <c r="W886" s="11"/>
      <c r="X886" s="11"/>
      <c r="Y886" s="11"/>
      <c r="Z886" s="11"/>
      <c r="AA886" s="11"/>
      <c r="AB886" s="11"/>
      <c r="AC886" s="11"/>
    </row>
    <row r="887" spans="1:29" ht="14">
      <c r="A887" s="11"/>
      <c r="B887" s="11"/>
      <c r="C887" s="11"/>
      <c r="D887" s="11"/>
      <c r="E887" s="11"/>
      <c r="F887" s="11"/>
      <c r="G887" s="11"/>
      <c r="H887" s="11"/>
      <c r="I887" s="11"/>
      <c r="J887" s="11"/>
      <c r="K887" s="11"/>
      <c r="L887" s="11"/>
      <c r="M887" s="11"/>
      <c r="N887" s="11"/>
      <c r="O887" s="11"/>
      <c r="P887" s="11"/>
      <c r="Q887" s="11"/>
      <c r="R887" s="11"/>
      <c r="S887" s="11"/>
      <c r="T887" s="11"/>
      <c r="U887" s="11"/>
      <c r="V887" s="11"/>
      <c r="W887" s="11"/>
      <c r="X887" s="11"/>
      <c r="Y887" s="11"/>
      <c r="Z887" s="11"/>
      <c r="AA887" s="11"/>
      <c r="AB887" s="11"/>
      <c r="AC887" s="11"/>
    </row>
    <row r="888" spans="1:29" ht="14">
      <c r="A888" s="11"/>
      <c r="B888" s="11"/>
      <c r="C888" s="11"/>
      <c r="D888" s="11"/>
      <c r="E888" s="11"/>
      <c r="F888" s="11"/>
      <c r="G888" s="11"/>
      <c r="H888" s="11"/>
      <c r="I888" s="11"/>
      <c r="J888" s="11"/>
      <c r="K888" s="11"/>
      <c r="L888" s="11"/>
      <c r="M888" s="11"/>
      <c r="N888" s="11"/>
      <c r="O888" s="11"/>
      <c r="P888" s="11"/>
      <c r="Q888" s="11"/>
      <c r="R888" s="11"/>
      <c r="S888" s="11"/>
      <c r="T888" s="11"/>
      <c r="U888" s="11"/>
      <c r="V888" s="11"/>
      <c r="W888" s="11"/>
      <c r="X888" s="11"/>
      <c r="Y888" s="11"/>
      <c r="Z888" s="11"/>
      <c r="AA888" s="11"/>
      <c r="AB888" s="11"/>
      <c r="AC888" s="11"/>
    </row>
    <row r="889" spans="1:29" ht="14">
      <c r="A889" s="11"/>
      <c r="B889" s="11"/>
      <c r="C889" s="11"/>
      <c r="D889" s="11"/>
      <c r="E889" s="11"/>
      <c r="F889" s="11"/>
      <c r="G889" s="11"/>
      <c r="H889" s="11"/>
      <c r="I889" s="11"/>
      <c r="J889" s="11"/>
      <c r="K889" s="11"/>
      <c r="L889" s="11"/>
      <c r="M889" s="11"/>
      <c r="N889" s="11"/>
      <c r="O889" s="11"/>
      <c r="P889" s="11"/>
      <c r="Q889" s="11"/>
      <c r="R889" s="11"/>
      <c r="S889" s="11"/>
      <c r="T889" s="11"/>
      <c r="U889" s="11"/>
      <c r="V889" s="11"/>
      <c r="W889" s="11"/>
      <c r="X889" s="11"/>
      <c r="Y889" s="11"/>
      <c r="Z889" s="11"/>
      <c r="AA889" s="11"/>
      <c r="AB889" s="11"/>
      <c r="AC889" s="11"/>
    </row>
    <row r="890" spans="1:29" ht="14">
      <c r="A890" s="11"/>
      <c r="B890" s="11"/>
      <c r="C890" s="11"/>
      <c r="D890" s="11"/>
      <c r="E890" s="11"/>
      <c r="F890" s="11"/>
      <c r="G890" s="11"/>
      <c r="H890" s="11"/>
      <c r="I890" s="11"/>
      <c r="J890" s="11"/>
      <c r="K890" s="11"/>
      <c r="L890" s="11"/>
      <c r="M890" s="11"/>
      <c r="N890" s="11"/>
      <c r="O890" s="11"/>
      <c r="P890" s="11"/>
      <c r="Q890" s="11"/>
      <c r="R890" s="11"/>
      <c r="S890" s="11"/>
      <c r="T890" s="11"/>
      <c r="U890" s="11"/>
      <c r="V890" s="11"/>
      <c r="W890" s="11"/>
      <c r="X890" s="11"/>
      <c r="Y890" s="11"/>
      <c r="Z890" s="11"/>
      <c r="AA890" s="11"/>
      <c r="AB890" s="11"/>
      <c r="AC890" s="11"/>
    </row>
    <row r="891" spans="1:29" ht="14">
      <c r="A891" s="11"/>
      <c r="B891" s="11"/>
      <c r="C891" s="11"/>
      <c r="D891" s="11"/>
      <c r="E891" s="11"/>
      <c r="F891" s="11"/>
      <c r="G891" s="11"/>
      <c r="H891" s="11"/>
      <c r="I891" s="11"/>
      <c r="J891" s="11"/>
      <c r="K891" s="11"/>
      <c r="L891" s="11"/>
      <c r="M891" s="11"/>
      <c r="N891" s="11"/>
      <c r="O891" s="11"/>
      <c r="P891" s="11"/>
      <c r="Q891" s="11"/>
      <c r="R891" s="11"/>
      <c r="S891" s="11"/>
      <c r="T891" s="11"/>
      <c r="U891" s="11"/>
      <c r="V891" s="11"/>
      <c r="W891" s="11"/>
      <c r="X891" s="11"/>
      <c r="Y891" s="11"/>
      <c r="Z891" s="11"/>
      <c r="AA891" s="11"/>
      <c r="AB891" s="11"/>
      <c r="AC891" s="11"/>
    </row>
    <row r="892" spans="1:29" ht="14">
      <c r="A892" s="11"/>
      <c r="B892" s="11"/>
      <c r="C892" s="11"/>
      <c r="D892" s="11"/>
      <c r="E892" s="11"/>
      <c r="F892" s="11"/>
      <c r="G892" s="11"/>
      <c r="H892" s="11"/>
      <c r="I892" s="11"/>
      <c r="J892" s="11"/>
      <c r="K892" s="11"/>
      <c r="L892" s="11"/>
      <c r="M892" s="11"/>
      <c r="N892" s="11"/>
      <c r="O892" s="11"/>
      <c r="P892" s="11"/>
      <c r="Q892" s="11"/>
      <c r="R892" s="11"/>
      <c r="S892" s="11"/>
      <c r="T892" s="11"/>
      <c r="U892" s="11"/>
      <c r="V892" s="11"/>
      <c r="W892" s="11"/>
      <c r="X892" s="11"/>
      <c r="Y892" s="11"/>
      <c r="Z892" s="11"/>
      <c r="AA892" s="11"/>
      <c r="AB892" s="11"/>
      <c r="AC892" s="11"/>
    </row>
    <row r="893" spans="1:29" ht="14">
      <c r="A893" s="11"/>
      <c r="B893" s="11"/>
      <c r="C893" s="11"/>
      <c r="D893" s="11"/>
      <c r="E893" s="11"/>
      <c r="F893" s="11"/>
      <c r="G893" s="11"/>
      <c r="H893" s="11"/>
      <c r="I893" s="11"/>
      <c r="J893" s="11"/>
      <c r="K893" s="11"/>
      <c r="L893" s="11"/>
      <c r="M893" s="11"/>
      <c r="N893" s="11"/>
      <c r="O893" s="11"/>
      <c r="P893" s="11"/>
      <c r="Q893" s="11"/>
      <c r="R893" s="11"/>
      <c r="S893" s="11"/>
      <c r="T893" s="11"/>
      <c r="U893" s="11"/>
      <c r="V893" s="11"/>
      <c r="W893" s="11"/>
      <c r="X893" s="11"/>
      <c r="Y893" s="11"/>
      <c r="Z893" s="11"/>
      <c r="AA893" s="11"/>
      <c r="AB893" s="11"/>
      <c r="AC893" s="11"/>
    </row>
    <row r="894" spans="1:29" ht="14">
      <c r="A894" s="11"/>
      <c r="B894" s="11"/>
      <c r="C894" s="11"/>
      <c r="D894" s="11"/>
      <c r="E894" s="11"/>
      <c r="F894" s="11"/>
      <c r="G894" s="11"/>
      <c r="H894" s="11"/>
      <c r="I894" s="11"/>
      <c r="J894" s="11"/>
      <c r="K894" s="11"/>
      <c r="L894" s="11"/>
      <c r="M894" s="11"/>
      <c r="N894" s="11"/>
      <c r="O894" s="11"/>
      <c r="P894" s="11"/>
      <c r="Q894" s="11"/>
      <c r="R894" s="11"/>
      <c r="S894" s="11"/>
      <c r="T894" s="11"/>
      <c r="U894" s="11"/>
      <c r="V894" s="11"/>
      <c r="W894" s="11"/>
      <c r="X894" s="11"/>
      <c r="Y894" s="11"/>
      <c r="Z894" s="11"/>
      <c r="AA894" s="11"/>
      <c r="AB894" s="11"/>
      <c r="AC894" s="11"/>
    </row>
    <row r="895" spans="1:29" ht="14">
      <c r="A895" s="11"/>
      <c r="B895" s="11"/>
      <c r="C895" s="11"/>
      <c r="D895" s="11"/>
      <c r="E895" s="11"/>
      <c r="F895" s="11"/>
      <c r="G895" s="11"/>
      <c r="H895" s="11"/>
      <c r="I895" s="11"/>
      <c r="J895" s="11"/>
      <c r="K895" s="11"/>
      <c r="L895" s="11"/>
      <c r="M895" s="11"/>
      <c r="N895" s="11"/>
      <c r="O895" s="11"/>
      <c r="P895" s="11"/>
      <c r="Q895" s="11"/>
      <c r="R895" s="11"/>
      <c r="S895" s="11"/>
      <c r="T895" s="11"/>
      <c r="U895" s="11"/>
      <c r="V895" s="11"/>
      <c r="W895" s="11"/>
      <c r="X895" s="11"/>
      <c r="Y895" s="11"/>
      <c r="Z895" s="11"/>
      <c r="AA895" s="11"/>
      <c r="AB895" s="11"/>
      <c r="AC895" s="11"/>
    </row>
    <row r="896" spans="1:29" ht="14">
      <c r="A896" s="11"/>
      <c r="B896" s="11"/>
      <c r="C896" s="11"/>
      <c r="D896" s="11"/>
      <c r="E896" s="11"/>
      <c r="F896" s="11"/>
      <c r="G896" s="11"/>
      <c r="H896" s="11"/>
      <c r="I896" s="11"/>
      <c r="J896" s="11"/>
      <c r="K896" s="11"/>
      <c r="L896" s="11"/>
      <c r="M896" s="11"/>
      <c r="N896" s="11"/>
      <c r="O896" s="11"/>
      <c r="P896" s="11"/>
      <c r="Q896" s="11"/>
      <c r="R896" s="11"/>
      <c r="S896" s="11"/>
      <c r="T896" s="11"/>
      <c r="U896" s="11"/>
      <c r="V896" s="11"/>
      <c r="W896" s="11"/>
      <c r="X896" s="11"/>
      <c r="Y896" s="11"/>
      <c r="Z896" s="11"/>
      <c r="AA896" s="11"/>
      <c r="AB896" s="11"/>
      <c r="AC896" s="11"/>
    </row>
    <row r="897" spans="1:29" ht="14">
      <c r="A897" s="11"/>
      <c r="B897" s="11"/>
      <c r="C897" s="11"/>
      <c r="D897" s="11"/>
      <c r="E897" s="11"/>
      <c r="F897" s="11"/>
      <c r="G897" s="11"/>
      <c r="H897" s="11"/>
      <c r="I897" s="11"/>
      <c r="J897" s="11"/>
      <c r="K897" s="11"/>
      <c r="L897" s="11"/>
      <c r="M897" s="11"/>
      <c r="N897" s="11"/>
      <c r="O897" s="11"/>
      <c r="P897" s="11"/>
      <c r="Q897" s="11"/>
      <c r="R897" s="11"/>
      <c r="S897" s="11"/>
      <c r="T897" s="11"/>
      <c r="U897" s="11"/>
      <c r="V897" s="11"/>
      <c r="W897" s="11"/>
      <c r="X897" s="11"/>
      <c r="Y897" s="11"/>
      <c r="Z897" s="11"/>
      <c r="AA897" s="11"/>
      <c r="AB897" s="11"/>
      <c r="AC897" s="11"/>
    </row>
    <row r="898" spans="1:29" ht="14">
      <c r="A898" s="11"/>
      <c r="B898" s="11"/>
      <c r="C898" s="11"/>
      <c r="D898" s="11"/>
      <c r="E898" s="11"/>
      <c r="F898" s="11"/>
      <c r="G898" s="11"/>
      <c r="H898" s="11"/>
      <c r="I898" s="11"/>
      <c r="J898" s="11"/>
      <c r="K898" s="11"/>
      <c r="L898" s="11"/>
      <c r="M898" s="11"/>
      <c r="N898" s="11"/>
      <c r="O898" s="11"/>
      <c r="P898" s="11"/>
      <c r="Q898" s="11"/>
      <c r="R898" s="11"/>
      <c r="S898" s="11"/>
      <c r="T898" s="11"/>
      <c r="U898" s="11"/>
      <c r="V898" s="11"/>
      <c r="W898" s="11"/>
      <c r="X898" s="11"/>
      <c r="Y898" s="11"/>
      <c r="Z898" s="11"/>
      <c r="AA898" s="11"/>
      <c r="AB898" s="11"/>
      <c r="AC898" s="11"/>
    </row>
    <row r="899" spans="1:29" ht="14">
      <c r="A899" s="11"/>
      <c r="B899" s="11"/>
      <c r="C899" s="11"/>
      <c r="D899" s="11"/>
      <c r="E899" s="11"/>
      <c r="F899" s="11"/>
      <c r="G899" s="11"/>
      <c r="H899" s="11"/>
      <c r="I899" s="11"/>
      <c r="J899" s="11"/>
      <c r="K899" s="11"/>
      <c r="L899" s="11"/>
      <c r="M899" s="11"/>
      <c r="N899" s="11"/>
      <c r="O899" s="11"/>
      <c r="P899" s="11"/>
      <c r="Q899" s="11"/>
      <c r="R899" s="11"/>
      <c r="S899" s="11"/>
      <c r="T899" s="11"/>
      <c r="U899" s="11"/>
      <c r="V899" s="11"/>
      <c r="W899" s="11"/>
      <c r="X899" s="11"/>
      <c r="Y899" s="11"/>
      <c r="Z899" s="11"/>
      <c r="AA899" s="11"/>
      <c r="AB899" s="11"/>
      <c r="AC899" s="11"/>
    </row>
    <row r="900" spans="1:29" ht="14">
      <c r="A900" s="11"/>
      <c r="B900" s="11"/>
      <c r="C900" s="11"/>
      <c r="D900" s="11"/>
      <c r="E900" s="11"/>
      <c r="F900" s="11"/>
      <c r="G900" s="11"/>
      <c r="H900" s="11"/>
      <c r="I900" s="11"/>
      <c r="J900" s="11"/>
      <c r="K900" s="11"/>
      <c r="L900" s="11"/>
      <c r="M900" s="11"/>
      <c r="N900" s="11"/>
      <c r="O900" s="11"/>
      <c r="P900" s="11"/>
      <c r="Q900" s="11"/>
      <c r="R900" s="11"/>
      <c r="S900" s="11"/>
      <c r="T900" s="11"/>
      <c r="U900" s="11"/>
      <c r="V900" s="11"/>
      <c r="W900" s="11"/>
      <c r="X900" s="11"/>
      <c r="Y900" s="11"/>
      <c r="Z900" s="11"/>
      <c r="AA900" s="11"/>
      <c r="AB900" s="11"/>
      <c r="AC900" s="11"/>
    </row>
    <row r="901" spans="1:29" ht="14">
      <c r="A901" s="11"/>
      <c r="B901" s="11"/>
      <c r="C901" s="11"/>
      <c r="D901" s="11"/>
      <c r="E901" s="11"/>
      <c r="F901" s="11"/>
      <c r="G901" s="11"/>
      <c r="H901" s="11"/>
      <c r="I901" s="11"/>
      <c r="J901" s="11"/>
      <c r="K901" s="11"/>
      <c r="L901" s="11"/>
      <c r="M901" s="11"/>
      <c r="N901" s="11"/>
      <c r="O901" s="11"/>
      <c r="P901" s="11"/>
      <c r="Q901" s="11"/>
      <c r="R901" s="11"/>
      <c r="S901" s="11"/>
      <c r="T901" s="11"/>
      <c r="U901" s="11"/>
      <c r="V901" s="11"/>
      <c r="W901" s="11"/>
      <c r="X901" s="11"/>
      <c r="Y901" s="11"/>
      <c r="Z901" s="11"/>
      <c r="AA901" s="11"/>
      <c r="AB901" s="11"/>
      <c r="AC901" s="11"/>
    </row>
    <row r="902" spans="1:29" ht="14">
      <c r="A902" s="11"/>
      <c r="B902" s="11"/>
      <c r="C902" s="11"/>
      <c r="D902" s="11"/>
      <c r="E902" s="11"/>
      <c r="F902" s="11"/>
      <c r="G902" s="11"/>
      <c r="H902" s="11"/>
      <c r="I902" s="11"/>
      <c r="J902" s="11"/>
      <c r="K902" s="11"/>
      <c r="L902" s="11"/>
      <c r="M902" s="11"/>
      <c r="N902" s="11"/>
      <c r="O902" s="11"/>
      <c r="P902" s="11"/>
      <c r="Q902" s="11"/>
      <c r="R902" s="11"/>
      <c r="S902" s="11"/>
      <c r="T902" s="11"/>
      <c r="U902" s="11"/>
      <c r="V902" s="11"/>
      <c r="W902" s="11"/>
      <c r="X902" s="11"/>
      <c r="Y902" s="11"/>
      <c r="Z902" s="11"/>
      <c r="AA902" s="11"/>
      <c r="AB902" s="11"/>
      <c r="AC902" s="11"/>
    </row>
    <row r="903" spans="1:29" ht="14">
      <c r="A903" s="11"/>
      <c r="B903" s="11"/>
      <c r="C903" s="11"/>
      <c r="D903" s="11"/>
      <c r="E903" s="11"/>
      <c r="F903" s="11"/>
      <c r="G903" s="11"/>
      <c r="H903" s="11"/>
      <c r="I903" s="11"/>
      <c r="J903" s="11"/>
      <c r="K903" s="11"/>
      <c r="L903" s="11"/>
      <c r="M903" s="11"/>
      <c r="N903" s="11"/>
      <c r="O903" s="11"/>
      <c r="P903" s="11"/>
      <c r="Q903" s="11"/>
      <c r="R903" s="11"/>
      <c r="S903" s="11"/>
      <c r="T903" s="11"/>
      <c r="U903" s="11"/>
      <c r="V903" s="11"/>
      <c r="W903" s="11"/>
      <c r="X903" s="11"/>
      <c r="Y903" s="11"/>
      <c r="Z903" s="11"/>
      <c r="AA903" s="11"/>
      <c r="AB903" s="11"/>
      <c r="AC903" s="11"/>
    </row>
    <row r="904" spans="1:29" ht="14">
      <c r="A904" s="11"/>
      <c r="B904" s="11"/>
      <c r="C904" s="11"/>
      <c r="D904" s="11"/>
      <c r="E904" s="11"/>
      <c r="F904" s="11"/>
      <c r="G904" s="11"/>
      <c r="H904" s="11"/>
      <c r="I904" s="11"/>
      <c r="J904" s="11"/>
      <c r="K904" s="11"/>
      <c r="L904" s="11"/>
      <c r="M904" s="11"/>
      <c r="N904" s="11"/>
      <c r="O904" s="11"/>
      <c r="P904" s="11"/>
      <c r="Q904" s="11"/>
      <c r="R904" s="11"/>
      <c r="S904" s="11"/>
      <c r="T904" s="11"/>
      <c r="U904" s="11"/>
      <c r="V904" s="11"/>
      <c r="W904" s="11"/>
      <c r="X904" s="11"/>
      <c r="Y904" s="11"/>
      <c r="Z904" s="11"/>
      <c r="AA904" s="11"/>
      <c r="AB904" s="11"/>
      <c r="AC904" s="11"/>
    </row>
    <row r="905" spans="1:29" ht="14">
      <c r="A905" s="11"/>
      <c r="B905" s="11"/>
      <c r="C905" s="11"/>
      <c r="D905" s="11"/>
      <c r="E905" s="11"/>
      <c r="F905" s="11"/>
      <c r="G905" s="11"/>
      <c r="H905" s="11"/>
      <c r="I905" s="11"/>
      <c r="J905" s="11"/>
      <c r="K905" s="11"/>
      <c r="L905" s="11"/>
      <c r="M905" s="11"/>
      <c r="N905" s="11"/>
      <c r="O905" s="11"/>
      <c r="P905" s="11"/>
      <c r="Q905" s="11"/>
      <c r="R905" s="11"/>
      <c r="S905" s="11"/>
      <c r="T905" s="11"/>
      <c r="U905" s="11"/>
      <c r="V905" s="11"/>
      <c r="W905" s="11"/>
      <c r="X905" s="11"/>
      <c r="Y905" s="11"/>
      <c r="Z905" s="11"/>
      <c r="AA905" s="11"/>
      <c r="AB905" s="11"/>
      <c r="AC905" s="11"/>
    </row>
    <row r="906" spans="1:29" ht="14">
      <c r="A906" s="11"/>
      <c r="B906" s="11"/>
      <c r="C906" s="11"/>
      <c r="D906" s="11"/>
      <c r="E906" s="11"/>
      <c r="F906" s="11"/>
      <c r="G906" s="11"/>
      <c r="H906" s="11"/>
      <c r="I906" s="11"/>
      <c r="J906" s="11"/>
      <c r="K906" s="11"/>
      <c r="L906" s="11"/>
      <c r="M906" s="11"/>
      <c r="N906" s="11"/>
      <c r="O906" s="11"/>
      <c r="P906" s="11"/>
      <c r="Q906" s="11"/>
      <c r="R906" s="11"/>
      <c r="S906" s="11"/>
      <c r="T906" s="11"/>
      <c r="U906" s="11"/>
      <c r="V906" s="11"/>
      <c r="W906" s="11"/>
      <c r="X906" s="11"/>
      <c r="Y906" s="11"/>
      <c r="Z906" s="11"/>
      <c r="AA906" s="11"/>
      <c r="AB906" s="11"/>
      <c r="AC906" s="11"/>
    </row>
    <row r="907" spans="1:29" ht="14">
      <c r="A907" s="11"/>
      <c r="B907" s="11"/>
      <c r="C907" s="11"/>
      <c r="D907" s="11"/>
      <c r="E907" s="11"/>
      <c r="F907" s="11"/>
      <c r="G907" s="11"/>
      <c r="H907" s="11"/>
      <c r="I907" s="11"/>
      <c r="J907" s="11"/>
      <c r="K907" s="11"/>
      <c r="L907" s="11"/>
      <c r="M907" s="11"/>
      <c r="N907" s="11"/>
      <c r="O907" s="11"/>
      <c r="P907" s="11"/>
      <c r="Q907" s="11"/>
      <c r="R907" s="11"/>
      <c r="S907" s="11"/>
      <c r="T907" s="11"/>
      <c r="U907" s="11"/>
      <c r="V907" s="11"/>
      <c r="W907" s="11"/>
      <c r="X907" s="11"/>
      <c r="Y907" s="11"/>
      <c r="Z907" s="11"/>
      <c r="AA907" s="11"/>
      <c r="AB907" s="11"/>
      <c r="AC907" s="11"/>
    </row>
    <row r="908" spans="1:29" ht="14">
      <c r="A908" s="11"/>
      <c r="B908" s="11"/>
      <c r="C908" s="11"/>
      <c r="D908" s="11"/>
      <c r="E908" s="11"/>
      <c r="F908" s="11"/>
      <c r="G908" s="11"/>
      <c r="H908" s="11"/>
      <c r="I908" s="11"/>
      <c r="J908" s="11"/>
      <c r="K908" s="11"/>
      <c r="L908" s="11"/>
      <c r="M908" s="11"/>
      <c r="N908" s="11"/>
      <c r="O908" s="11"/>
      <c r="P908" s="11"/>
      <c r="Q908" s="11"/>
      <c r="R908" s="11"/>
      <c r="S908" s="11"/>
      <c r="T908" s="11"/>
      <c r="U908" s="11"/>
      <c r="V908" s="11"/>
      <c r="W908" s="11"/>
      <c r="X908" s="11"/>
      <c r="Y908" s="11"/>
      <c r="Z908" s="11"/>
      <c r="AA908" s="11"/>
      <c r="AB908" s="11"/>
      <c r="AC908" s="11"/>
    </row>
    <row r="909" spans="1:29" ht="14">
      <c r="A909" s="11"/>
      <c r="B909" s="11"/>
      <c r="C909" s="11"/>
      <c r="D909" s="11"/>
      <c r="E909" s="11"/>
      <c r="F909" s="11"/>
      <c r="G909" s="11"/>
      <c r="H909" s="11"/>
      <c r="I909" s="11"/>
      <c r="J909" s="11"/>
      <c r="K909" s="11"/>
      <c r="L909" s="11"/>
      <c r="M909" s="11"/>
      <c r="N909" s="11"/>
      <c r="O909" s="11"/>
      <c r="P909" s="11"/>
      <c r="Q909" s="11"/>
      <c r="R909" s="11"/>
      <c r="S909" s="11"/>
      <c r="T909" s="11"/>
      <c r="U909" s="11"/>
      <c r="V909" s="11"/>
      <c r="W909" s="11"/>
      <c r="X909" s="11"/>
      <c r="Y909" s="11"/>
      <c r="Z909" s="11"/>
      <c r="AA909" s="11"/>
      <c r="AB909" s="11"/>
      <c r="AC909" s="11"/>
    </row>
    <row r="910" spans="1:29" ht="14">
      <c r="A910" s="11"/>
      <c r="B910" s="11"/>
      <c r="C910" s="11"/>
      <c r="D910" s="11"/>
      <c r="E910" s="11"/>
      <c r="F910" s="11"/>
      <c r="G910" s="11"/>
      <c r="H910" s="11"/>
      <c r="I910" s="11"/>
      <c r="J910" s="11"/>
      <c r="K910" s="11"/>
      <c r="L910" s="11"/>
      <c r="M910" s="11"/>
      <c r="N910" s="11"/>
      <c r="O910" s="11"/>
      <c r="P910" s="11"/>
      <c r="Q910" s="11"/>
      <c r="R910" s="11"/>
      <c r="S910" s="11"/>
      <c r="T910" s="11"/>
      <c r="U910" s="11"/>
      <c r="V910" s="11"/>
      <c r="W910" s="11"/>
      <c r="X910" s="11"/>
      <c r="Y910" s="11"/>
      <c r="Z910" s="11"/>
      <c r="AA910" s="11"/>
      <c r="AB910" s="11"/>
      <c r="AC910" s="11"/>
    </row>
    <row r="911" spans="1:29" ht="14">
      <c r="A911" s="11"/>
      <c r="B911" s="11"/>
      <c r="C911" s="11"/>
      <c r="D911" s="11"/>
      <c r="E911" s="11"/>
      <c r="F911" s="11"/>
      <c r="G911" s="11"/>
      <c r="H911" s="11"/>
      <c r="I911" s="11"/>
      <c r="J911" s="11"/>
      <c r="K911" s="11"/>
      <c r="L911" s="11"/>
      <c r="M911" s="11"/>
      <c r="N911" s="11"/>
      <c r="O911" s="11"/>
      <c r="P911" s="11"/>
      <c r="Q911" s="11"/>
      <c r="R911" s="11"/>
      <c r="S911" s="11"/>
      <c r="T911" s="11"/>
      <c r="U911" s="11"/>
      <c r="V911" s="11"/>
      <c r="W911" s="11"/>
      <c r="X911" s="11"/>
      <c r="Y911" s="11"/>
      <c r="Z911" s="11"/>
      <c r="AA911" s="11"/>
      <c r="AB911" s="11"/>
      <c r="AC911" s="11"/>
    </row>
    <row r="912" spans="1:29" ht="14">
      <c r="A912" s="11"/>
      <c r="B912" s="11"/>
      <c r="C912" s="11"/>
      <c r="D912" s="11"/>
      <c r="E912" s="11"/>
      <c r="F912" s="11"/>
      <c r="G912" s="11"/>
      <c r="H912" s="11"/>
      <c r="I912" s="11"/>
      <c r="J912" s="11"/>
      <c r="K912" s="11"/>
      <c r="L912" s="11"/>
      <c r="M912" s="11"/>
      <c r="N912" s="11"/>
      <c r="O912" s="11"/>
      <c r="P912" s="11"/>
      <c r="Q912" s="11"/>
      <c r="R912" s="11"/>
      <c r="S912" s="11"/>
      <c r="T912" s="11"/>
      <c r="U912" s="11"/>
      <c r="V912" s="11"/>
      <c r="W912" s="11"/>
      <c r="X912" s="11"/>
      <c r="Y912" s="11"/>
      <c r="Z912" s="11"/>
      <c r="AA912" s="11"/>
      <c r="AB912" s="11"/>
      <c r="AC912" s="11"/>
    </row>
    <row r="913" spans="1:29" ht="14">
      <c r="A913" s="11"/>
      <c r="B913" s="11"/>
      <c r="C913" s="11"/>
      <c r="D913" s="11"/>
      <c r="E913" s="11"/>
      <c r="F913" s="11"/>
      <c r="G913" s="11"/>
      <c r="H913" s="11"/>
      <c r="I913" s="11"/>
      <c r="J913" s="11"/>
      <c r="K913" s="11"/>
      <c r="L913" s="11"/>
      <c r="M913" s="11"/>
      <c r="N913" s="11"/>
      <c r="O913" s="11"/>
      <c r="P913" s="11"/>
      <c r="Q913" s="11"/>
      <c r="R913" s="11"/>
      <c r="S913" s="11"/>
      <c r="T913" s="11"/>
      <c r="U913" s="11"/>
      <c r="V913" s="11"/>
      <c r="W913" s="11"/>
      <c r="X913" s="11"/>
      <c r="Y913" s="11"/>
      <c r="Z913" s="11"/>
      <c r="AA913" s="11"/>
      <c r="AB913" s="11"/>
      <c r="AC913" s="11"/>
    </row>
    <row r="914" spans="1:29" ht="14">
      <c r="A914" s="11"/>
      <c r="B914" s="11"/>
      <c r="C914" s="11"/>
      <c r="D914" s="11"/>
      <c r="E914" s="11"/>
      <c r="F914" s="11"/>
      <c r="G914" s="11"/>
      <c r="H914" s="11"/>
      <c r="I914" s="11"/>
      <c r="J914" s="11"/>
      <c r="K914" s="11"/>
      <c r="L914" s="11"/>
      <c r="M914" s="11"/>
      <c r="N914" s="11"/>
      <c r="O914" s="11"/>
      <c r="P914" s="11"/>
      <c r="Q914" s="11"/>
      <c r="R914" s="11"/>
      <c r="S914" s="11"/>
      <c r="T914" s="11"/>
      <c r="U914" s="11"/>
      <c r="V914" s="11"/>
      <c r="W914" s="11"/>
      <c r="X914" s="11"/>
      <c r="Y914" s="11"/>
      <c r="Z914" s="11"/>
      <c r="AA914" s="11"/>
      <c r="AB914" s="11"/>
      <c r="AC914" s="11"/>
    </row>
    <row r="915" spans="1:29" ht="14">
      <c r="A915" s="11"/>
      <c r="B915" s="11"/>
      <c r="C915" s="11"/>
      <c r="D915" s="11"/>
      <c r="E915" s="11"/>
      <c r="F915" s="11"/>
      <c r="G915" s="11"/>
      <c r="H915" s="11"/>
      <c r="I915" s="11"/>
      <c r="J915" s="11"/>
      <c r="K915" s="11"/>
      <c r="L915" s="11"/>
      <c r="M915" s="11"/>
      <c r="N915" s="11"/>
      <c r="O915" s="11"/>
      <c r="P915" s="11"/>
      <c r="Q915" s="11"/>
      <c r="R915" s="11"/>
      <c r="S915" s="11"/>
      <c r="T915" s="11"/>
      <c r="U915" s="11"/>
      <c r="V915" s="11"/>
      <c r="W915" s="11"/>
      <c r="X915" s="11"/>
      <c r="Y915" s="11"/>
      <c r="Z915" s="11"/>
      <c r="AA915" s="11"/>
      <c r="AB915" s="11"/>
      <c r="AC915" s="11"/>
    </row>
    <row r="916" spans="1:29" ht="14">
      <c r="A916" s="11"/>
      <c r="B916" s="11"/>
      <c r="C916" s="11"/>
      <c r="D916" s="11"/>
      <c r="E916" s="11"/>
      <c r="F916" s="11"/>
      <c r="G916" s="11"/>
      <c r="H916" s="11"/>
      <c r="I916" s="11"/>
      <c r="J916" s="11"/>
      <c r="K916" s="11"/>
      <c r="L916" s="11"/>
      <c r="M916" s="11"/>
      <c r="N916" s="11"/>
      <c r="O916" s="11"/>
      <c r="P916" s="11"/>
      <c r="Q916" s="11"/>
      <c r="R916" s="11"/>
      <c r="S916" s="11"/>
      <c r="T916" s="11"/>
      <c r="U916" s="11"/>
      <c r="V916" s="11"/>
      <c r="W916" s="11"/>
      <c r="X916" s="11"/>
      <c r="Y916" s="11"/>
      <c r="Z916" s="11"/>
      <c r="AA916" s="11"/>
      <c r="AB916" s="11"/>
      <c r="AC916" s="11"/>
    </row>
    <row r="917" spans="1:29" ht="14">
      <c r="A917" s="11"/>
      <c r="B917" s="11"/>
      <c r="C917" s="11"/>
      <c r="D917" s="11"/>
      <c r="E917" s="11"/>
      <c r="F917" s="11"/>
      <c r="G917" s="11"/>
      <c r="H917" s="11"/>
      <c r="I917" s="11"/>
      <c r="J917" s="11"/>
      <c r="K917" s="11"/>
      <c r="L917" s="11"/>
      <c r="M917" s="11"/>
      <c r="N917" s="11"/>
      <c r="O917" s="11"/>
      <c r="P917" s="11"/>
      <c r="Q917" s="11"/>
      <c r="R917" s="11"/>
      <c r="S917" s="11"/>
      <c r="T917" s="11"/>
      <c r="U917" s="11"/>
      <c r="V917" s="11"/>
      <c r="W917" s="11"/>
      <c r="X917" s="11"/>
      <c r="Y917" s="11"/>
      <c r="Z917" s="11"/>
      <c r="AA917" s="11"/>
      <c r="AB917" s="11"/>
      <c r="AC917" s="11"/>
    </row>
    <row r="918" spans="1:29" ht="14">
      <c r="A918" s="11"/>
      <c r="B918" s="11"/>
      <c r="C918" s="11"/>
      <c r="D918" s="11"/>
      <c r="E918" s="11"/>
      <c r="F918" s="11"/>
      <c r="G918" s="11"/>
      <c r="H918" s="11"/>
      <c r="I918" s="11"/>
      <c r="J918" s="11"/>
      <c r="K918" s="11"/>
      <c r="L918" s="11"/>
      <c r="M918" s="11"/>
      <c r="N918" s="11"/>
      <c r="O918" s="11"/>
      <c r="P918" s="11"/>
      <c r="Q918" s="11"/>
      <c r="R918" s="11"/>
      <c r="S918" s="11"/>
      <c r="T918" s="11"/>
      <c r="U918" s="11"/>
      <c r="V918" s="11"/>
      <c r="W918" s="11"/>
      <c r="X918" s="11"/>
      <c r="Y918" s="11"/>
      <c r="Z918" s="11"/>
      <c r="AA918" s="11"/>
      <c r="AB918" s="11"/>
      <c r="AC918" s="11"/>
    </row>
    <row r="919" spans="1:29" ht="14">
      <c r="A919" s="11"/>
      <c r="B919" s="11"/>
      <c r="C919" s="11"/>
      <c r="D919" s="11"/>
      <c r="E919" s="11"/>
      <c r="F919" s="11"/>
      <c r="G919" s="11"/>
      <c r="H919" s="11"/>
      <c r="I919" s="11"/>
      <c r="J919" s="11"/>
      <c r="K919" s="11"/>
      <c r="L919" s="11"/>
      <c r="M919" s="11"/>
      <c r="N919" s="11"/>
      <c r="O919" s="11"/>
      <c r="P919" s="11"/>
      <c r="Q919" s="11"/>
      <c r="R919" s="11"/>
      <c r="S919" s="11"/>
      <c r="T919" s="11"/>
      <c r="U919" s="11"/>
      <c r="V919" s="11"/>
      <c r="W919" s="11"/>
      <c r="X919" s="11"/>
      <c r="Y919" s="11"/>
      <c r="Z919" s="11"/>
      <c r="AA919" s="11"/>
      <c r="AB919" s="11"/>
      <c r="AC919" s="11"/>
    </row>
    <row r="920" spans="1:29" ht="14">
      <c r="A920" s="11"/>
      <c r="B920" s="11"/>
      <c r="C920" s="11"/>
      <c r="D920" s="11"/>
      <c r="E920" s="11"/>
      <c r="F920" s="11"/>
      <c r="G920" s="11"/>
      <c r="H920" s="11"/>
      <c r="I920" s="11"/>
      <c r="J920" s="11"/>
      <c r="K920" s="11"/>
      <c r="L920" s="11"/>
      <c r="M920" s="11"/>
      <c r="N920" s="11"/>
      <c r="O920" s="11"/>
      <c r="P920" s="11"/>
      <c r="Q920" s="11"/>
      <c r="R920" s="11"/>
      <c r="S920" s="11"/>
      <c r="T920" s="11"/>
      <c r="U920" s="11"/>
      <c r="V920" s="11"/>
      <c r="W920" s="11"/>
      <c r="X920" s="11"/>
      <c r="Y920" s="11"/>
      <c r="Z920" s="11"/>
      <c r="AA920" s="11"/>
      <c r="AB920" s="11"/>
      <c r="AC920" s="11"/>
    </row>
    <row r="921" spans="1:29" ht="14">
      <c r="A921" s="11"/>
      <c r="B921" s="11"/>
      <c r="C921" s="11"/>
      <c r="D921" s="11"/>
      <c r="E921" s="11"/>
      <c r="F921" s="11"/>
      <c r="G921" s="11"/>
      <c r="H921" s="11"/>
      <c r="I921" s="11"/>
      <c r="J921" s="11"/>
      <c r="K921" s="11"/>
      <c r="L921" s="11"/>
      <c r="M921" s="11"/>
      <c r="N921" s="11"/>
      <c r="O921" s="11"/>
      <c r="P921" s="11"/>
      <c r="Q921" s="11"/>
      <c r="R921" s="11"/>
      <c r="S921" s="11"/>
      <c r="T921" s="11"/>
      <c r="U921" s="11"/>
      <c r="V921" s="11"/>
      <c r="W921" s="11"/>
      <c r="X921" s="11"/>
      <c r="Y921" s="11"/>
      <c r="Z921" s="11"/>
      <c r="AA921" s="11"/>
      <c r="AB921" s="11"/>
      <c r="AC921" s="11"/>
    </row>
    <row r="922" spans="1:29" ht="14">
      <c r="A922" s="11"/>
      <c r="B922" s="11"/>
      <c r="C922" s="11"/>
      <c r="D922" s="11"/>
      <c r="E922" s="11"/>
      <c r="F922" s="11"/>
      <c r="G922" s="11"/>
      <c r="H922" s="11"/>
      <c r="I922" s="11"/>
      <c r="J922" s="11"/>
      <c r="K922" s="11"/>
      <c r="L922" s="11"/>
      <c r="M922" s="11"/>
      <c r="N922" s="11"/>
      <c r="O922" s="11"/>
      <c r="P922" s="11"/>
      <c r="Q922" s="11"/>
      <c r="R922" s="11"/>
      <c r="S922" s="11"/>
      <c r="T922" s="11"/>
      <c r="U922" s="11"/>
      <c r="V922" s="11"/>
      <c r="W922" s="11"/>
      <c r="X922" s="11"/>
      <c r="Y922" s="11"/>
      <c r="Z922" s="11"/>
      <c r="AA922" s="11"/>
      <c r="AB922" s="11"/>
      <c r="AC922" s="11"/>
    </row>
    <row r="923" spans="1:29" ht="14">
      <c r="A923" s="11"/>
      <c r="B923" s="11"/>
      <c r="C923" s="11"/>
      <c r="D923" s="11"/>
      <c r="E923" s="11"/>
      <c r="F923" s="11"/>
      <c r="G923" s="11"/>
      <c r="H923" s="11"/>
      <c r="I923" s="11"/>
      <c r="J923" s="11"/>
      <c r="K923" s="11"/>
      <c r="L923" s="11"/>
      <c r="M923" s="11"/>
      <c r="N923" s="11"/>
      <c r="O923" s="11"/>
      <c r="P923" s="11"/>
      <c r="Q923" s="11"/>
      <c r="R923" s="11"/>
      <c r="S923" s="11"/>
      <c r="T923" s="11"/>
      <c r="U923" s="11"/>
      <c r="V923" s="11"/>
      <c r="W923" s="11"/>
      <c r="X923" s="11"/>
      <c r="Y923" s="11"/>
      <c r="Z923" s="11"/>
      <c r="AA923" s="11"/>
      <c r="AB923" s="11"/>
      <c r="AC923" s="11"/>
    </row>
    <row r="924" spans="1:29" ht="14">
      <c r="A924" s="11"/>
      <c r="B924" s="11"/>
      <c r="C924" s="11"/>
      <c r="D924" s="11"/>
      <c r="E924" s="11"/>
      <c r="F924" s="11"/>
      <c r="G924" s="11"/>
      <c r="H924" s="11"/>
      <c r="I924" s="11"/>
      <c r="J924" s="11"/>
      <c r="K924" s="11"/>
      <c r="L924" s="11"/>
      <c r="M924" s="11"/>
      <c r="N924" s="11"/>
      <c r="O924" s="11"/>
      <c r="P924" s="11"/>
      <c r="Q924" s="11"/>
      <c r="R924" s="11"/>
      <c r="S924" s="11"/>
      <c r="T924" s="11"/>
      <c r="U924" s="11"/>
      <c r="V924" s="11"/>
      <c r="W924" s="11"/>
      <c r="X924" s="11"/>
      <c r="Y924" s="11"/>
      <c r="Z924" s="11"/>
      <c r="AA924" s="11"/>
      <c r="AB924" s="11"/>
      <c r="AC924" s="11"/>
    </row>
    <row r="925" spans="1:29" ht="14">
      <c r="A925" s="11"/>
      <c r="B925" s="11"/>
      <c r="C925" s="11"/>
      <c r="D925" s="11"/>
      <c r="E925" s="11"/>
      <c r="F925" s="11"/>
      <c r="G925" s="11"/>
      <c r="H925" s="11"/>
      <c r="I925" s="11"/>
      <c r="J925" s="11"/>
      <c r="K925" s="11"/>
      <c r="L925" s="11"/>
      <c r="M925" s="11"/>
      <c r="N925" s="11"/>
      <c r="O925" s="11"/>
      <c r="P925" s="11"/>
      <c r="Q925" s="11"/>
      <c r="R925" s="11"/>
      <c r="S925" s="11"/>
      <c r="T925" s="11"/>
      <c r="U925" s="11"/>
      <c r="V925" s="11"/>
      <c r="W925" s="11"/>
      <c r="X925" s="11"/>
      <c r="Y925" s="11"/>
      <c r="Z925" s="11"/>
      <c r="AA925" s="11"/>
      <c r="AB925" s="11"/>
      <c r="AC925" s="11"/>
    </row>
    <row r="926" spans="1:29" ht="14">
      <c r="A926" s="11"/>
      <c r="B926" s="11"/>
      <c r="C926" s="11"/>
      <c r="D926" s="11"/>
      <c r="E926" s="11"/>
      <c r="F926" s="11"/>
      <c r="G926" s="11"/>
      <c r="H926" s="11"/>
      <c r="I926" s="11"/>
      <c r="J926" s="11"/>
      <c r="K926" s="11"/>
      <c r="L926" s="11"/>
      <c r="M926" s="11"/>
      <c r="N926" s="11"/>
      <c r="O926" s="11"/>
      <c r="P926" s="11"/>
      <c r="Q926" s="11"/>
      <c r="R926" s="11"/>
      <c r="S926" s="11"/>
      <c r="T926" s="11"/>
      <c r="U926" s="11"/>
      <c r="V926" s="11"/>
      <c r="W926" s="11"/>
      <c r="X926" s="11"/>
      <c r="Y926" s="11"/>
      <c r="Z926" s="11"/>
      <c r="AA926" s="11"/>
      <c r="AB926" s="11"/>
      <c r="AC926" s="11"/>
    </row>
    <row r="927" spans="1:29" ht="14">
      <c r="A927" s="11"/>
      <c r="B927" s="11"/>
      <c r="C927" s="11"/>
      <c r="D927" s="11"/>
      <c r="E927" s="11"/>
      <c r="F927" s="11"/>
      <c r="G927" s="11"/>
      <c r="H927" s="11"/>
      <c r="I927" s="11"/>
      <c r="J927" s="11"/>
      <c r="K927" s="11"/>
      <c r="L927" s="11"/>
      <c r="M927" s="11"/>
      <c r="N927" s="11"/>
      <c r="O927" s="11"/>
      <c r="P927" s="11"/>
      <c r="Q927" s="11"/>
      <c r="R927" s="11"/>
      <c r="S927" s="11"/>
      <c r="T927" s="11"/>
      <c r="U927" s="11"/>
      <c r="V927" s="11"/>
      <c r="W927" s="11"/>
      <c r="X927" s="11"/>
      <c r="Y927" s="11"/>
      <c r="Z927" s="11"/>
      <c r="AA927" s="11"/>
      <c r="AB927" s="11"/>
      <c r="AC927" s="11"/>
    </row>
    <row r="928" spans="1:29" ht="14">
      <c r="A928" s="11"/>
      <c r="B928" s="11"/>
      <c r="C928" s="11"/>
      <c r="D928" s="11"/>
      <c r="E928" s="11"/>
      <c r="F928" s="11"/>
      <c r="G928" s="11"/>
      <c r="H928" s="11"/>
      <c r="I928" s="11"/>
      <c r="J928" s="11"/>
      <c r="K928" s="11"/>
      <c r="L928" s="11"/>
      <c r="M928" s="11"/>
      <c r="N928" s="11"/>
      <c r="O928" s="11"/>
      <c r="P928" s="11"/>
      <c r="Q928" s="11"/>
      <c r="R928" s="11"/>
      <c r="S928" s="11"/>
      <c r="T928" s="11"/>
      <c r="U928" s="11"/>
      <c r="V928" s="11"/>
      <c r="W928" s="11"/>
      <c r="X928" s="11"/>
      <c r="Y928" s="11"/>
      <c r="Z928" s="11"/>
      <c r="AA928" s="11"/>
      <c r="AB928" s="11"/>
      <c r="AC928" s="11"/>
    </row>
    <row r="929" spans="1:29" ht="14">
      <c r="A929" s="11"/>
      <c r="B929" s="11"/>
      <c r="C929" s="11"/>
      <c r="D929" s="11"/>
      <c r="E929" s="11"/>
      <c r="F929" s="11"/>
      <c r="G929" s="11"/>
      <c r="H929" s="11"/>
      <c r="I929" s="11"/>
      <c r="J929" s="11"/>
      <c r="K929" s="11"/>
      <c r="L929" s="11"/>
      <c r="M929" s="11"/>
      <c r="N929" s="11"/>
      <c r="O929" s="11"/>
      <c r="P929" s="11"/>
      <c r="Q929" s="11"/>
      <c r="R929" s="11"/>
      <c r="S929" s="11"/>
      <c r="T929" s="11"/>
      <c r="U929" s="11"/>
      <c r="V929" s="11"/>
      <c r="W929" s="11"/>
      <c r="X929" s="11"/>
      <c r="Y929" s="11"/>
      <c r="Z929" s="11"/>
      <c r="AA929" s="11"/>
      <c r="AB929" s="11"/>
      <c r="AC929" s="11"/>
    </row>
    <row r="930" spans="1:29" ht="14">
      <c r="A930" s="11"/>
      <c r="B930" s="11"/>
      <c r="C930" s="11"/>
      <c r="D930" s="11"/>
      <c r="E930" s="11"/>
      <c r="F930" s="11"/>
      <c r="G930" s="11"/>
      <c r="H930" s="11"/>
      <c r="I930" s="11"/>
      <c r="J930" s="11"/>
      <c r="K930" s="11"/>
      <c r="L930" s="11"/>
      <c r="M930" s="11"/>
      <c r="N930" s="11"/>
      <c r="O930" s="11"/>
      <c r="P930" s="11"/>
      <c r="Q930" s="11"/>
      <c r="R930" s="11"/>
      <c r="S930" s="11"/>
      <c r="T930" s="11"/>
      <c r="U930" s="11"/>
      <c r="V930" s="11"/>
      <c r="W930" s="11"/>
      <c r="X930" s="11"/>
      <c r="Y930" s="11"/>
      <c r="Z930" s="11"/>
      <c r="AA930" s="11"/>
      <c r="AB930" s="11"/>
      <c r="AC930" s="11"/>
    </row>
    <row r="931" spans="1:29" ht="14">
      <c r="A931" s="11"/>
      <c r="B931" s="11"/>
      <c r="C931" s="11"/>
      <c r="D931" s="11"/>
      <c r="E931" s="11"/>
      <c r="F931" s="11"/>
      <c r="G931" s="11"/>
      <c r="H931" s="11"/>
      <c r="I931" s="11"/>
      <c r="J931" s="11"/>
      <c r="K931" s="11"/>
      <c r="L931" s="11"/>
      <c r="M931" s="11"/>
      <c r="N931" s="11"/>
      <c r="O931" s="11"/>
      <c r="P931" s="11"/>
      <c r="Q931" s="11"/>
      <c r="R931" s="11"/>
      <c r="S931" s="11"/>
      <c r="T931" s="11"/>
      <c r="U931" s="11"/>
      <c r="V931" s="11"/>
      <c r="W931" s="11"/>
      <c r="X931" s="11"/>
      <c r="Y931" s="11"/>
      <c r="Z931" s="11"/>
      <c r="AA931" s="11"/>
      <c r="AB931" s="11"/>
      <c r="AC931" s="11"/>
    </row>
    <row r="932" spans="1:29" ht="14">
      <c r="A932" s="11"/>
      <c r="B932" s="11"/>
      <c r="C932" s="11"/>
      <c r="D932" s="11"/>
      <c r="E932" s="11"/>
      <c r="F932" s="11"/>
      <c r="G932" s="11"/>
      <c r="H932" s="11"/>
      <c r="I932" s="11"/>
      <c r="J932" s="11"/>
      <c r="K932" s="11"/>
      <c r="L932" s="11"/>
      <c r="M932" s="11"/>
      <c r="N932" s="11"/>
      <c r="O932" s="11"/>
      <c r="P932" s="11"/>
      <c r="Q932" s="11"/>
      <c r="R932" s="11"/>
      <c r="S932" s="11"/>
      <c r="T932" s="11"/>
      <c r="U932" s="11"/>
      <c r="V932" s="11"/>
      <c r="W932" s="11"/>
      <c r="X932" s="11"/>
      <c r="Y932" s="11"/>
      <c r="Z932" s="11"/>
      <c r="AA932" s="11"/>
      <c r="AB932" s="11"/>
      <c r="AC932" s="11"/>
    </row>
    <row r="933" spans="1:29" ht="14">
      <c r="A933" s="11"/>
      <c r="B933" s="11"/>
      <c r="C933" s="11"/>
      <c r="D933" s="11"/>
      <c r="E933" s="11"/>
      <c r="F933" s="11"/>
      <c r="G933" s="11"/>
      <c r="H933" s="11"/>
      <c r="I933" s="11"/>
      <c r="J933" s="11"/>
      <c r="K933" s="11"/>
      <c r="L933" s="11"/>
      <c r="M933" s="11"/>
      <c r="N933" s="11"/>
      <c r="O933" s="11"/>
      <c r="P933" s="11"/>
      <c r="Q933" s="11"/>
      <c r="R933" s="11"/>
      <c r="S933" s="11"/>
      <c r="T933" s="11"/>
      <c r="U933" s="11"/>
      <c r="V933" s="11"/>
      <c r="W933" s="11"/>
      <c r="X933" s="11"/>
      <c r="Y933" s="11"/>
      <c r="Z933" s="11"/>
      <c r="AA933" s="11"/>
      <c r="AB933" s="11"/>
      <c r="AC933" s="11"/>
    </row>
    <row r="934" spans="1:29" ht="14">
      <c r="A934" s="11"/>
      <c r="B934" s="11"/>
      <c r="C934" s="11"/>
      <c r="D934" s="11"/>
      <c r="E934" s="11"/>
      <c r="F934" s="11"/>
      <c r="G934" s="11"/>
      <c r="H934" s="11"/>
      <c r="I934" s="11"/>
      <c r="J934" s="11"/>
      <c r="K934" s="11"/>
      <c r="L934" s="11"/>
      <c r="M934" s="11"/>
      <c r="N934" s="11"/>
      <c r="O934" s="11"/>
      <c r="P934" s="11"/>
      <c r="Q934" s="11"/>
      <c r="R934" s="11"/>
      <c r="S934" s="11"/>
      <c r="T934" s="11"/>
      <c r="U934" s="11"/>
      <c r="V934" s="11"/>
      <c r="W934" s="11"/>
      <c r="X934" s="11"/>
      <c r="Y934" s="11"/>
      <c r="Z934" s="11"/>
      <c r="AA934" s="11"/>
      <c r="AB934" s="11"/>
      <c r="AC934" s="11"/>
    </row>
    <row r="935" spans="1:29" ht="14">
      <c r="A935" s="11"/>
      <c r="B935" s="11"/>
      <c r="C935" s="11"/>
      <c r="D935" s="11"/>
      <c r="E935" s="11"/>
      <c r="F935" s="11"/>
      <c r="G935" s="11"/>
      <c r="H935" s="11"/>
      <c r="I935" s="11"/>
      <c r="J935" s="11"/>
      <c r="K935" s="11"/>
      <c r="L935" s="11"/>
      <c r="M935" s="11"/>
      <c r="N935" s="11"/>
      <c r="O935" s="11"/>
      <c r="P935" s="11"/>
      <c r="Q935" s="11"/>
      <c r="R935" s="11"/>
      <c r="S935" s="11"/>
      <c r="T935" s="11"/>
      <c r="U935" s="11"/>
      <c r="V935" s="11"/>
      <c r="W935" s="11"/>
      <c r="X935" s="11"/>
      <c r="Y935" s="11"/>
      <c r="Z935" s="11"/>
      <c r="AA935" s="11"/>
      <c r="AB935" s="11"/>
      <c r="AC935" s="11"/>
    </row>
    <row r="936" spans="1:29" ht="14">
      <c r="A936" s="11"/>
      <c r="B936" s="11"/>
      <c r="C936" s="11"/>
      <c r="D936" s="11"/>
      <c r="E936" s="11"/>
      <c r="F936" s="11"/>
      <c r="G936" s="11"/>
      <c r="H936" s="11"/>
      <c r="I936" s="11"/>
      <c r="J936" s="11"/>
      <c r="K936" s="11"/>
      <c r="L936" s="11"/>
      <c r="M936" s="11"/>
      <c r="N936" s="11"/>
      <c r="O936" s="11"/>
      <c r="P936" s="11"/>
      <c r="Q936" s="11"/>
      <c r="R936" s="11"/>
      <c r="S936" s="11"/>
      <c r="T936" s="11"/>
      <c r="U936" s="11"/>
      <c r="V936" s="11"/>
      <c r="W936" s="11"/>
      <c r="X936" s="11"/>
      <c r="Y936" s="11"/>
      <c r="Z936" s="11"/>
      <c r="AA936" s="11"/>
      <c r="AB936" s="11"/>
      <c r="AC936" s="11"/>
    </row>
    <row r="937" spans="1:29" ht="14">
      <c r="A937" s="11"/>
      <c r="B937" s="11"/>
      <c r="C937" s="11"/>
      <c r="D937" s="11"/>
      <c r="E937" s="11"/>
      <c r="F937" s="11"/>
      <c r="G937" s="11"/>
      <c r="H937" s="11"/>
      <c r="I937" s="11"/>
      <c r="J937" s="11"/>
      <c r="K937" s="11"/>
      <c r="L937" s="11"/>
      <c r="M937" s="11"/>
      <c r="N937" s="11"/>
      <c r="O937" s="11"/>
      <c r="P937" s="11"/>
      <c r="Q937" s="11"/>
      <c r="R937" s="11"/>
      <c r="S937" s="11"/>
      <c r="T937" s="11"/>
      <c r="U937" s="11"/>
      <c r="V937" s="11"/>
      <c r="W937" s="11"/>
      <c r="X937" s="11"/>
      <c r="Y937" s="11"/>
      <c r="Z937" s="11"/>
      <c r="AA937" s="11"/>
      <c r="AB937" s="11"/>
      <c r="AC937" s="11"/>
    </row>
    <row r="938" spans="1:29" ht="14">
      <c r="A938" s="11"/>
      <c r="B938" s="11"/>
      <c r="C938" s="11"/>
      <c r="D938" s="11"/>
      <c r="E938" s="11"/>
      <c r="F938" s="11"/>
      <c r="G938" s="11"/>
      <c r="H938" s="11"/>
      <c r="I938" s="11"/>
      <c r="J938" s="11"/>
      <c r="K938" s="11"/>
      <c r="L938" s="11"/>
      <c r="M938" s="11"/>
      <c r="N938" s="11"/>
      <c r="O938" s="11"/>
      <c r="P938" s="11"/>
      <c r="Q938" s="11"/>
      <c r="R938" s="11"/>
      <c r="S938" s="11"/>
      <c r="T938" s="11"/>
      <c r="U938" s="11"/>
      <c r="V938" s="11"/>
      <c r="W938" s="11"/>
      <c r="X938" s="11"/>
      <c r="Y938" s="11"/>
      <c r="Z938" s="11"/>
      <c r="AA938" s="11"/>
      <c r="AB938" s="11"/>
      <c r="AC938" s="11"/>
    </row>
    <row r="939" spans="1:29" ht="14">
      <c r="A939" s="11"/>
      <c r="B939" s="11"/>
      <c r="C939" s="11"/>
      <c r="D939" s="11"/>
      <c r="E939" s="11"/>
      <c r="F939" s="11"/>
      <c r="G939" s="11"/>
      <c r="H939" s="11"/>
      <c r="I939" s="11"/>
      <c r="J939" s="11"/>
      <c r="K939" s="11"/>
      <c r="L939" s="11"/>
      <c r="M939" s="11"/>
      <c r="N939" s="11"/>
      <c r="O939" s="11"/>
      <c r="P939" s="11"/>
      <c r="Q939" s="11"/>
      <c r="R939" s="11"/>
      <c r="S939" s="11"/>
      <c r="T939" s="11"/>
      <c r="U939" s="11"/>
      <c r="V939" s="11"/>
      <c r="W939" s="11"/>
      <c r="X939" s="11"/>
      <c r="Y939" s="11"/>
      <c r="Z939" s="11"/>
      <c r="AA939" s="11"/>
      <c r="AB939" s="11"/>
      <c r="AC939" s="11"/>
    </row>
    <row r="940" spans="1:29" ht="14">
      <c r="A940" s="11"/>
      <c r="B940" s="11"/>
      <c r="C940" s="11"/>
      <c r="D940" s="11"/>
      <c r="E940" s="11"/>
      <c r="F940" s="11"/>
      <c r="G940" s="11"/>
      <c r="H940" s="11"/>
      <c r="I940" s="11"/>
      <c r="J940" s="11"/>
      <c r="K940" s="11"/>
      <c r="L940" s="11"/>
      <c r="M940" s="11"/>
      <c r="N940" s="11"/>
      <c r="O940" s="11"/>
      <c r="P940" s="11"/>
      <c r="Q940" s="11"/>
      <c r="R940" s="11"/>
      <c r="S940" s="11"/>
      <c r="T940" s="11"/>
      <c r="U940" s="11"/>
      <c r="V940" s="11"/>
      <c r="W940" s="11"/>
      <c r="X940" s="11"/>
      <c r="Y940" s="11"/>
      <c r="Z940" s="11"/>
      <c r="AA940" s="11"/>
      <c r="AB940" s="11"/>
      <c r="AC940" s="11"/>
    </row>
    <row r="941" spans="1:29" ht="14">
      <c r="A941" s="11"/>
      <c r="B941" s="11"/>
      <c r="C941" s="11"/>
      <c r="D941" s="11"/>
      <c r="E941" s="11"/>
      <c r="F941" s="11"/>
      <c r="G941" s="11"/>
      <c r="H941" s="11"/>
      <c r="I941" s="11"/>
      <c r="J941" s="11"/>
      <c r="K941" s="11"/>
      <c r="L941" s="11"/>
      <c r="M941" s="11"/>
      <c r="N941" s="11"/>
      <c r="O941" s="11"/>
      <c r="P941" s="11"/>
      <c r="Q941" s="11"/>
      <c r="R941" s="11"/>
      <c r="S941" s="11"/>
      <c r="T941" s="11"/>
      <c r="U941" s="11"/>
      <c r="V941" s="11"/>
      <c r="W941" s="11"/>
      <c r="X941" s="11"/>
      <c r="Y941" s="11"/>
      <c r="Z941" s="11"/>
      <c r="AA941" s="11"/>
      <c r="AB941" s="11"/>
      <c r="AC941" s="11"/>
    </row>
    <row r="942" spans="1:29" ht="14">
      <c r="A942" s="11"/>
      <c r="B942" s="11"/>
      <c r="C942" s="11"/>
      <c r="D942" s="11"/>
      <c r="E942" s="11"/>
      <c r="F942" s="11"/>
      <c r="G942" s="11"/>
      <c r="H942" s="11"/>
      <c r="I942" s="11"/>
      <c r="J942" s="11"/>
      <c r="K942" s="11"/>
      <c r="L942" s="11"/>
      <c r="M942" s="11"/>
      <c r="N942" s="11"/>
      <c r="O942" s="11"/>
      <c r="P942" s="11"/>
      <c r="Q942" s="11"/>
      <c r="R942" s="11"/>
      <c r="S942" s="11"/>
      <c r="T942" s="11"/>
      <c r="U942" s="11"/>
      <c r="V942" s="11"/>
      <c r="W942" s="11"/>
      <c r="X942" s="11"/>
      <c r="Y942" s="11"/>
      <c r="Z942" s="11"/>
      <c r="AA942" s="11"/>
      <c r="AB942" s="11"/>
      <c r="AC942" s="11"/>
    </row>
    <row r="943" spans="1:29" ht="14">
      <c r="A943" s="11"/>
      <c r="B943" s="11"/>
      <c r="C943" s="11"/>
      <c r="D943" s="11"/>
      <c r="E943" s="11"/>
      <c r="F943" s="11"/>
      <c r="G943" s="11"/>
      <c r="H943" s="11"/>
      <c r="I943" s="11"/>
      <c r="J943" s="11"/>
      <c r="K943" s="11"/>
      <c r="L943" s="11"/>
      <c r="M943" s="11"/>
      <c r="N943" s="11"/>
      <c r="O943" s="11"/>
      <c r="P943" s="11"/>
      <c r="Q943" s="11"/>
      <c r="R943" s="11"/>
      <c r="S943" s="11"/>
      <c r="T943" s="11"/>
      <c r="U943" s="11"/>
      <c r="V943" s="11"/>
      <c r="W943" s="11"/>
      <c r="X943" s="11"/>
      <c r="Y943" s="11"/>
      <c r="Z943" s="11"/>
      <c r="AA943" s="11"/>
      <c r="AB943" s="11"/>
      <c r="AC943" s="11"/>
    </row>
    <row r="944" spans="1:29" ht="14">
      <c r="A944" s="11"/>
      <c r="B944" s="11"/>
      <c r="C944" s="11"/>
      <c r="D944" s="11"/>
      <c r="E944" s="11"/>
      <c r="F944" s="11"/>
      <c r="G944" s="11"/>
      <c r="H944" s="11"/>
      <c r="I944" s="11"/>
      <c r="J944" s="11"/>
      <c r="K944" s="11"/>
      <c r="L944" s="11"/>
      <c r="M944" s="11"/>
      <c r="N944" s="11"/>
      <c r="O944" s="11"/>
      <c r="P944" s="11"/>
      <c r="Q944" s="11"/>
      <c r="R944" s="11"/>
      <c r="S944" s="11"/>
      <c r="T944" s="11"/>
      <c r="U944" s="11"/>
      <c r="V944" s="11"/>
      <c r="W944" s="11"/>
      <c r="X944" s="11"/>
      <c r="Y944" s="11"/>
      <c r="Z944" s="11"/>
      <c r="AA944" s="11"/>
      <c r="AB944" s="11"/>
      <c r="AC944" s="11"/>
    </row>
    <row r="945" spans="1:29" ht="14">
      <c r="A945" s="11"/>
      <c r="B945" s="11"/>
      <c r="C945" s="11"/>
      <c r="D945" s="11"/>
      <c r="E945" s="11"/>
      <c r="F945" s="11"/>
      <c r="G945" s="11"/>
      <c r="H945" s="11"/>
      <c r="I945" s="11"/>
      <c r="J945" s="11"/>
      <c r="K945" s="11"/>
      <c r="L945" s="11"/>
      <c r="M945" s="11"/>
      <c r="N945" s="11"/>
      <c r="O945" s="11"/>
      <c r="P945" s="11"/>
      <c r="Q945" s="11"/>
      <c r="R945" s="11"/>
      <c r="S945" s="11"/>
      <c r="T945" s="11"/>
      <c r="U945" s="11"/>
      <c r="V945" s="11"/>
      <c r="W945" s="11"/>
      <c r="X945" s="11"/>
      <c r="Y945" s="11"/>
      <c r="Z945" s="11"/>
      <c r="AA945" s="11"/>
      <c r="AB945" s="11"/>
      <c r="AC945" s="11"/>
    </row>
    <row r="946" spans="1:29" ht="14">
      <c r="A946" s="11"/>
      <c r="B946" s="11"/>
      <c r="C946" s="11"/>
      <c r="D946" s="11"/>
      <c r="E946" s="11"/>
      <c r="F946" s="11"/>
      <c r="G946" s="11"/>
      <c r="H946" s="11"/>
      <c r="I946" s="11"/>
      <c r="J946" s="11"/>
      <c r="K946" s="11"/>
      <c r="L946" s="11"/>
      <c r="M946" s="11"/>
      <c r="N946" s="11"/>
      <c r="O946" s="11"/>
      <c r="P946" s="11"/>
      <c r="Q946" s="11"/>
      <c r="R946" s="11"/>
      <c r="S946" s="11"/>
      <c r="T946" s="11"/>
      <c r="U946" s="11"/>
      <c r="V946" s="11"/>
      <c r="W946" s="11"/>
      <c r="X946" s="11"/>
      <c r="Y946" s="11"/>
      <c r="Z946" s="11"/>
      <c r="AA946" s="11"/>
      <c r="AB946" s="11"/>
      <c r="AC946" s="11"/>
    </row>
    <row r="947" spans="1:29" ht="14">
      <c r="A947" s="11"/>
      <c r="B947" s="11"/>
      <c r="C947" s="11"/>
      <c r="D947" s="11"/>
      <c r="E947" s="11"/>
      <c r="F947" s="11"/>
      <c r="G947" s="11"/>
      <c r="H947" s="11"/>
      <c r="I947" s="11"/>
      <c r="J947" s="11"/>
      <c r="K947" s="11"/>
      <c r="L947" s="11"/>
      <c r="M947" s="11"/>
      <c r="N947" s="11"/>
      <c r="O947" s="11"/>
      <c r="P947" s="11"/>
      <c r="Q947" s="11"/>
      <c r="R947" s="11"/>
      <c r="S947" s="11"/>
      <c r="T947" s="11"/>
      <c r="U947" s="11"/>
      <c r="V947" s="11"/>
      <c r="W947" s="11"/>
      <c r="X947" s="11"/>
      <c r="Y947" s="11"/>
      <c r="Z947" s="11"/>
      <c r="AA947" s="11"/>
      <c r="AB947" s="11"/>
      <c r="AC947" s="11"/>
    </row>
    <row r="948" spans="1:29" ht="14">
      <c r="A948" s="11"/>
      <c r="B948" s="11"/>
      <c r="C948" s="11"/>
      <c r="D948" s="11"/>
      <c r="E948" s="11"/>
      <c r="F948" s="11"/>
      <c r="G948" s="11"/>
      <c r="H948" s="11"/>
      <c r="I948" s="11"/>
      <c r="J948" s="11"/>
      <c r="K948" s="11"/>
      <c r="L948" s="11"/>
      <c r="M948" s="11"/>
      <c r="N948" s="11"/>
      <c r="O948" s="11"/>
      <c r="P948" s="11"/>
      <c r="Q948" s="11"/>
      <c r="R948" s="11"/>
      <c r="S948" s="11"/>
      <c r="T948" s="11"/>
      <c r="U948" s="11"/>
      <c r="V948" s="11"/>
      <c r="W948" s="11"/>
      <c r="X948" s="11"/>
      <c r="Y948" s="11"/>
      <c r="Z948" s="11"/>
      <c r="AA948" s="11"/>
      <c r="AB948" s="11"/>
      <c r="AC948" s="11"/>
    </row>
    <row r="949" spans="1:29" ht="14">
      <c r="A949" s="11"/>
      <c r="B949" s="11"/>
      <c r="C949" s="11"/>
      <c r="D949" s="11"/>
      <c r="E949" s="11"/>
      <c r="F949" s="11"/>
      <c r="G949" s="11"/>
      <c r="H949" s="11"/>
      <c r="I949" s="11"/>
      <c r="J949" s="11"/>
      <c r="K949" s="11"/>
      <c r="L949" s="11"/>
      <c r="M949" s="11"/>
      <c r="N949" s="11"/>
      <c r="O949" s="11"/>
      <c r="P949" s="11"/>
      <c r="Q949" s="11"/>
      <c r="R949" s="11"/>
      <c r="S949" s="11"/>
      <c r="T949" s="11"/>
      <c r="U949" s="11"/>
      <c r="V949" s="11"/>
      <c r="W949" s="11"/>
      <c r="X949" s="11"/>
      <c r="Y949" s="11"/>
      <c r="Z949" s="11"/>
      <c r="AA949" s="11"/>
      <c r="AB949" s="11"/>
      <c r="AC949" s="11"/>
    </row>
    <row r="950" spans="1:29" ht="14">
      <c r="A950" s="11"/>
      <c r="B950" s="11"/>
      <c r="C950" s="11"/>
      <c r="D950" s="11"/>
      <c r="E950" s="11"/>
      <c r="F950" s="11"/>
      <c r="G950" s="11"/>
      <c r="H950" s="11"/>
      <c r="I950" s="11"/>
      <c r="J950" s="11"/>
      <c r="K950" s="11"/>
      <c r="L950" s="11"/>
      <c r="M950" s="11"/>
      <c r="N950" s="11"/>
      <c r="O950" s="11"/>
      <c r="P950" s="11"/>
      <c r="Q950" s="11"/>
      <c r="R950" s="11"/>
      <c r="S950" s="11"/>
      <c r="T950" s="11"/>
      <c r="U950" s="11"/>
      <c r="V950" s="11"/>
      <c r="W950" s="11"/>
      <c r="X950" s="11"/>
      <c r="Y950" s="11"/>
      <c r="Z950" s="11"/>
      <c r="AA950" s="11"/>
      <c r="AB950" s="11"/>
      <c r="AC950" s="11"/>
    </row>
    <row r="951" spans="1:29" ht="14">
      <c r="A951" s="11"/>
      <c r="B951" s="11"/>
      <c r="C951" s="11"/>
      <c r="D951" s="11"/>
      <c r="E951" s="11"/>
      <c r="F951" s="11"/>
      <c r="G951" s="11"/>
      <c r="H951" s="11"/>
      <c r="I951" s="11"/>
      <c r="J951" s="11"/>
      <c r="K951" s="11"/>
      <c r="L951" s="11"/>
      <c r="M951" s="11"/>
      <c r="N951" s="11"/>
      <c r="O951" s="11"/>
      <c r="P951" s="11"/>
      <c r="Q951" s="11"/>
      <c r="R951" s="11"/>
      <c r="S951" s="11"/>
      <c r="T951" s="11"/>
      <c r="U951" s="11"/>
      <c r="V951" s="11"/>
      <c r="W951" s="11"/>
      <c r="X951" s="11"/>
      <c r="Y951" s="11"/>
      <c r="Z951" s="11"/>
      <c r="AA951" s="11"/>
      <c r="AB951" s="11"/>
      <c r="AC951" s="11"/>
    </row>
    <row r="952" spans="1:29" ht="14">
      <c r="A952" s="11"/>
      <c r="B952" s="11"/>
      <c r="C952" s="11"/>
      <c r="D952" s="11"/>
      <c r="E952" s="11"/>
      <c r="F952" s="11"/>
      <c r="G952" s="11"/>
      <c r="H952" s="11"/>
      <c r="I952" s="11"/>
      <c r="J952" s="11"/>
      <c r="K952" s="11"/>
      <c r="L952" s="11"/>
      <c r="M952" s="11"/>
      <c r="N952" s="11"/>
      <c r="O952" s="11"/>
      <c r="P952" s="11"/>
      <c r="Q952" s="11"/>
      <c r="R952" s="11"/>
      <c r="S952" s="11"/>
      <c r="T952" s="11"/>
      <c r="U952" s="11"/>
      <c r="V952" s="11"/>
      <c r="W952" s="11"/>
      <c r="X952" s="11"/>
      <c r="Y952" s="11"/>
      <c r="Z952" s="11"/>
      <c r="AA952" s="11"/>
      <c r="AB952" s="11"/>
      <c r="AC952" s="11"/>
    </row>
    <row r="953" spans="1:29" ht="14">
      <c r="A953" s="11"/>
      <c r="B953" s="11"/>
      <c r="C953" s="11"/>
      <c r="D953" s="11"/>
      <c r="E953" s="11"/>
      <c r="F953" s="11"/>
      <c r="G953" s="11"/>
      <c r="H953" s="11"/>
      <c r="I953" s="11"/>
      <c r="J953" s="11"/>
      <c r="K953" s="11"/>
      <c r="L953" s="11"/>
      <c r="M953" s="11"/>
      <c r="N953" s="11"/>
      <c r="O953" s="11"/>
      <c r="P953" s="11"/>
      <c r="Q953" s="11"/>
      <c r="R953" s="11"/>
      <c r="S953" s="11"/>
      <c r="T953" s="11"/>
      <c r="U953" s="11"/>
      <c r="V953" s="11"/>
      <c r="W953" s="11"/>
      <c r="X953" s="11"/>
      <c r="Y953" s="11"/>
      <c r="Z953" s="11"/>
      <c r="AA953" s="11"/>
      <c r="AB953" s="11"/>
      <c r="AC953" s="11"/>
    </row>
    <row r="954" spans="1:29" ht="14">
      <c r="A954" s="11"/>
      <c r="B954" s="11"/>
      <c r="C954" s="11"/>
      <c r="D954" s="11"/>
      <c r="E954" s="11"/>
      <c r="F954" s="11"/>
      <c r="G954" s="11"/>
      <c r="H954" s="11"/>
      <c r="I954" s="11"/>
      <c r="J954" s="11"/>
      <c r="K954" s="11"/>
      <c r="L954" s="11"/>
      <c r="M954" s="11"/>
      <c r="N954" s="11"/>
      <c r="O954" s="11"/>
      <c r="P954" s="11"/>
      <c r="Q954" s="11"/>
      <c r="R954" s="11"/>
      <c r="S954" s="11"/>
      <c r="T954" s="11"/>
      <c r="U954" s="11"/>
      <c r="V954" s="11"/>
      <c r="W954" s="11"/>
      <c r="X954" s="11"/>
      <c r="Y954" s="11"/>
      <c r="Z954" s="11"/>
      <c r="AA954" s="11"/>
      <c r="AB954" s="11"/>
      <c r="AC954" s="11"/>
    </row>
    <row r="955" spans="1:29" ht="14">
      <c r="A955" s="11"/>
      <c r="B955" s="11"/>
      <c r="C955" s="11"/>
      <c r="D955" s="11"/>
      <c r="E955" s="11"/>
      <c r="F955" s="11"/>
      <c r="G955" s="11"/>
      <c r="H955" s="11"/>
      <c r="I955" s="11"/>
      <c r="J955" s="11"/>
      <c r="K955" s="11"/>
      <c r="L955" s="11"/>
      <c r="M955" s="11"/>
      <c r="N955" s="11"/>
      <c r="O955" s="11"/>
      <c r="P955" s="11"/>
      <c r="Q955" s="11"/>
      <c r="R955" s="11"/>
      <c r="S955" s="11"/>
      <c r="T955" s="11"/>
      <c r="U955" s="11"/>
      <c r="V955" s="11"/>
      <c r="W955" s="11"/>
      <c r="X955" s="11"/>
      <c r="Y955" s="11"/>
      <c r="Z955" s="11"/>
      <c r="AA955" s="11"/>
      <c r="AB955" s="11"/>
      <c r="AC955" s="11"/>
    </row>
    <row r="956" spans="1:29" ht="14">
      <c r="A956" s="11"/>
      <c r="B956" s="11"/>
      <c r="C956" s="11"/>
      <c r="D956" s="11"/>
      <c r="E956" s="11"/>
      <c r="F956" s="11"/>
      <c r="G956" s="11"/>
      <c r="H956" s="11"/>
      <c r="I956" s="11"/>
      <c r="J956" s="11"/>
      <c r="K956" s="11"/>
      <c r="L956" s="11"/>
      <c r="M956" s="11"/>
      <c r="N956" s="11"/>
      <c r="O956" s="11"/>
      <c r="P956" s="11"/>
      <c r="Q956" s="11"/>
      <c r="R956" s="11"/>
      <c r="S956" s="11"/>
      <c r="T956" s="11"/>
      <c r="U956" s="11"/>
      <c r="V956" s="11"/>
      <c r="W956" s="11"/>
      <c r="X956" s="11"/>
      <c r="Y956" s="11"/>
      <c r="Z956" s="11"/>
      <c r="AA956" s="11"/>
      <c r="AB956" s="11"/>
      <c r="AC956" s="11"/>
    </row>
    <row r="957" spans="1:29" ht="14">
      <c r="A957" s="11"/>
      <c r="B957" s="11"/>
      <c r="C957" s="11"/>
      <c r="D957" s="11"/>
      <c r="E957" s="11"/>
      <c r="F957" s="11"/>
      <c r="G957" s="11"/>
      <c r="H957" s="11"/>
      <c r="I957" s="11"/>
      <c r="J957" s="11"/>
      <c r="K957" s="11"/>
      <c r="L957" s="11"/>
      <c r="M957" s="11"/>
      <c r="N957" s="11"/>
      <c r="O957" s="11"/>
      <c r="P957" s="11"/>
      <c r="Q957" s="11"/>
      <c r="R957" s="11"/>
      <c r="S957" s="11"/>
      <c r="T957" s="11"/>
      <c r="U957" s="11"/>
      <c r="V957" s="11"/>
      <c r="W957" s="11"/>
      <c r="X957" s="11"/>
      <c r="Y957" s="11"/>
      <c r="Z957" s="11"/>
      <c r="AA957" s="11"/>
      <c r="AB957" s="11"/>
      <c r="AC957" s="11"/>
    </row>
    <row r="958" spans="1:29" ht="14">
      <c r="A958" s="11"/>
      <c r="B958" s="11"/>
      <c r="C958" s="11"/>
      <c r="D958" s="11"/>
      <c r="E958" s="11"/>
      <c r="F958" s="11"/>
      <c r="G958" s="11"/>
      <c r="H958" s="11"/>
      <c r="I958" s="11"/>
      <c r="J958" s="11"/>
      <c r="K958" s="11"/>
      <c r="L958" s="11"/>
      <c r="M958" s="11"/>
      <c r="N958" s="11"/>
      <c r="O958" s="11"/>
      <c r="P958" s="11"/>
      <c r="Q958" s="11"/>
      <c r="R958" s="11"/>
      <c r="S958" s="11"/>
      <c r="T958" s="11"/>
      <c r="U958" s="11"/>
      <c r="V958" s="11"/>
      <c r="W958" s="11"/>
      <c r="X958" s="11"/>
      <c r="Y958" s="11"/>
      <c r="Z958" s="11"/>
      <c r="AA958" s="11"/>
      <c r="AB958" s="11"/>
      <c r="AC958" s="11"/>
    </row>
    <row r="959" spans="1:29" ht="14">
      <c r="A959" s="11"/>
      <c r="B959" s="11"/>
      <c r="C959" s="11"/>
      <c r="D959" s="11"/>
      <c r="E959" s="11"/>
      <c r="F959" s="11"/>
      <c r="G959" s="11"/>
      <c r="H959" s="11"/>
      <c r="I959" s="11"/>
      <c r="J959" s="11"/>
      <c r="K959" s="11"/>
      <c r="L959" s="11"/>
      <c r="M959" s="11"/>
      <c r="N959" s="11"/>
      <c r="O959" s="11"/>
      <c r="P959" s="11"/>
      <c r="Q959" s="11"/>
      <c r="R959" s="11"/>
      <c r="S959" s="11"/>
      <c r="T959" s="11"/>
      <c r="U959" s="11"/>
      <c r="V959" s="11"/>
      <c r="W959" s="11"/>
      <c r="X959" s="11"/>
      <c r="Y959" s="11"/>
      <c r="Z959" s="11"/>
      <c r="AA959" s="11"/>
      <c r="AB959" s="11"/>
      <c r="AC959" s="11"/>
    </row>
    <row r="960" spans="1:29" ht="14">
      <c r="A960" s="11"/>
      <c r="B960" s="11"/>
      <c r="C960" s="11"/>
      <c r="D960" s="11"/>
      <c r="E960" s="11"/>
      <c r="F960" s="11"/>
      <c r="G960" s="11"/>
      <c r="H960" s="11"/>
      <c r="I960" s="11"/>
      <c r="J960" s="11"/>
      <c r="K960" s="11"/>
      <c r="L960" s="11"/>
      <c r="M960" s="11"/>
      <c r="N960" s="11"/>
      <c r="O960" s="11"/>
      <c r="P960" s="11"/>
      <c r="Q960" s="11"/>
      <c r="R960" s="11"/>
      <c r="S960" s="11"/>
      <c r="T960" s="11"/>
      <c r="U960" s="11"/>
      <c r="V960" s="11"/>
      <c r="W960" s="11"/>
      <c r="X960" s="11"/>
      <c r="Y960" s="11"/>
      <c r="Z960" s="11"/>
      <c r="AA960" s="11"/>
      <c r="AB960" s="11"/>
      <c r="AC960" s="11"/>
    </row>
    <row r="961" spans="1:29" ht="14">
      <c r="A961" s="11"/>
      <c r="B961" s="11"/>
      <c r="C961" s="11"/>
      <c r="D961" s="11"/>
      <c r="E961" s="11"/>
      <c r="F961" s="11"/>
      <c r="G961" s="11"/>
      <c r="H961" s="11"/>
      <c r="I961" s="11"/>
      <c r="J961" s="11"/>
      <c r="K961" s="11"/>
      <c r="L961" s="11"/>
      <c r="M961" s="11"/>
      <c r="N961" s="11"/>
      <c r="O961" s="11"/>
      <c r="P961" s="11"/>
      <c r="Q961" s="11"/>
      <c r="R961" s="11"/>
      <c r="S961" s="11"/>
      <c r="T961" s="11"/>
      <c r="U961" s="11"/>
      <c r="V961" s="11"/>
      <c r="W961" s="11"/>
      <c r="X961" s="11"/>
      <c r="Y961" s="11"/>
      <c r="Z961" s="11"/>
      <c r="AA961" s="11"/>
      <c r="AB961" s="11"/>
      <c r="AC961" s="11"/>
    </row>
    <row r="962" spans="1:29" ht="14">
      <c r="A962" s="11"/>
      <c r="B962" s="11"/>
      <c r="C962" s="11"/>
      <c r="D962" s="11"/>
      <c r="E962" s="11"/>
      <c r="F962" s="11"/>
      <c r="G962" s="11"/>
      <c r="H962" s="11"/>
      <c r="I962" s="11"/>
      <c r="J962" s="11"/>
      <c r="K962" s="11"/>
      <c r="L962" s="11"/>
      <c r="M962" s="11"/>
      <c r="N962" s="11"/>
      <c r="O962" s="11"/>
      <c r="P962" s="11"/>
      <c r="Q962" s="11"/>
      <c r="R962" s="11"/>
      <c r="S962" s="11"/>
      <c r="T962" s="11"/>
      <c r="U962" s="11"/>
      <c r="V962" s="11"/>
      <c r="W962" s="11"/>
      <c r="X962" s="11"/>
      <c r="Y962" s="11"/>
      <c r="Z962" s="11"/>
      <c r="AA962" s="11"/>
      <c r="AB962" s="11"/>
      <c r="AC962" s="11"/>
    </row>
    <row r="963" spans="1:29" ht="14">
      <c r="A963" s="11"/>
      <c r="B963" s="11"/>
      <c r="C963" s="11"/>
      <c r="D963" s="11"/>
      <c r="E963" s="11"/>
      <c r="F963" s="11"/>
      <c r="G963" s="11"/>
      <c r="H963" s="11"/>
      <c r="I963" s="11"/>
      <c r="J963" s="11"/>
      <c r="K963" s="11"/>
      <c r="L963" s="11"/>
      <c r="M963" s="11"/>
      <c r="N963" s="11"/>
      <c r="O963" s="11"/>
      <c r="P963" s="11"/>
      <c r="Q963" s="11"/>
      <c r="R963" s="11"/>
      <c r="S963" s="11"/>
      <c r="T963" s="11"/>
      <c r="U963" s="11"/>
      <c r="V963" s="11"/>
      <c r="W963" s="11"/>
      <c r="X963" s="11"/>
      <c r="Y963" s="11"/>
      <c r="Z963" s="11"/>
      <c r="AA963" s="11"/>
      <c r="AB963" s="11"/>
      <c r="AC963" s="11"/>
    </row>
    <row r="964" spans="1:29" ht="14">
      <c r="A964" s="11"/>
      <c r="B964" s="11"/>
      <c r="C964" s="11"/>
      <c r="D964" s="11"/>
      <c r="E964" s="11"/>
      <c r="F964" s="11"/>
      <c r="G964" s="11"/>
      <c r="H964" s="11"/>
      <c r="I964" s="11"/>
      <c r="J964" s="11"/>
      <c r="K964" s="11"/>
      <c r="L964" s="11"/>
      <c r="M964" s="11"/>
      <c r="N964" s="11"/>
      <c r="O964" s="11"/>
      <c r="P964" s="11"/>
      <c r="Q964" s="11"/>
      <c r="R964" s="11"/>
      <c r="S964" s="11"/>
      <c r="T964" s="11"/>
      <c r="U964" s="11"/>
      <c r="V964" s="11"/>
      <c r="W964" s="11"/>
      <c r="X964" s="11"/>
      <c r="Y964" s="11"/>
      <c r="Z964" s="11"/>
      <c r="AA964" s="11"/>
      <c r="AB964" s="11"/>
      <c r="AC964" s="11"/>
    </row>
    <row r="965" spans="1:29" ht="14">
      <c r="A965" s="11"/>
      <c r="B965" s="11"/>
      <c r="C965" s="11"/>
      <c r="D965" s="11"/>
      <c r="E965" s="11"/>
      <c r="F965" s="11"/>
      <c r="G965" s="11"/>
      <c r="H965" s="11"/>
      <c r="I965" s="11"/>
      <c r="J965" s="11"/>
      <c r="K965" s="11"/>
      <c r="L965" s="11"/>
      <c r="M965" s="11"/>
      <c r="N965" s="11"/>
      <c r="O965" s="11"/>
      <c r="P965" s="11"/>
      <c r="Q965" s="11"/>
      <c r="R965" s="11"/>
      <c r="S965" s="11"/>
      <c r="T965" s="11"/>
      <c r="U965" s="11"/>
      <c r="V965" s="11"/>
      <c r="W965" s="11"/>
      <c r="X965" s="11"/>
      <c r="Y965" s="11"/>
      <c r="Z965" s="11"/>
      <c r="AA965" s="11"/>
      <c r="AB965" s="11"/>
      <c r="AC965" s="11"/>
    </row>
    <row r="966" spans="1:29" ht="14">
      <c r="A966" s="11"/>
      <c r="B966" s="11"/>
      <c r="C966" s="11"/>
      <c r="D966" s="11"/>
      <c r="E966" s="11"/>
      <c r="F966" s="11"/>
      <c r="G966" s="11"/>
      <c r="H966" s="11"/>
      <c r="I966" s="11"/>
      <c r="J966" s="11"/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  <c r="AB966" s="11"/>
      <c r="AC966" s="11"/>
    </row>
    <row r="967" spans="1:29" ht="14">
      <c r="A967" s="11"/>
      <c r="B967" s="11"/>
      <c r="C967" s="11"/>
      <c r="D967" s="11"/>
      <c r="E967" s="11"/>
      <c r="F967" s="11"/>
      <c r="G967" s="11"/>
      <c r="H967" s="11"/>
      <c r="I967" s="11"/>
      <c r="J967" s="11"/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  <c r="AB967" s="11"/>
      <c r="AC967" s="11"/>
    </row>
    <row r="968" spans="1:29" ht="14">
      <c r="A968" s="11"/>
      <c r="B968" s="11"/>
      <c r="C968" s="11"/>
      <c r="D968" s="11"/>
      <c r="E968" s="11"/>
      <c r="F968" s="11"/>
      <c r="G968" s="11"/>
      <c r="H968" s="11"/>
      <c r="I968" s="11"/>
      <c r="J968" s="11"/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  <c r="AB968" s="11"/>
      <c r="AC968" s="11"/>
    </row>
    <row r="969" spans="1:29" ht="14">
      <c r="A969" s="11"/>
      <c r="B969" s="11"/>
      <c r="C969" s="11"/>
      <c r="D969" s="11"/>
      <c r="E969" s="11"/>
      <c r="F969" s="11"/>
      <c r="G969" s="11"/>
      <c r="H969" s="11"/>
      <c r="I969" s="11"/>
      <c r="J969" s="11"/>
      <c r="K969" s="11"/>
      <c r="L969" s="11"/>
      <c r="M969" s="11"/>
      <c r="N969" s="11"/>
      <c r="O969" s="11"/>
      <c r="P969" s="11"/>
      <c r="Q969" s="11"/>
      <c r="R969" s="11"/>
      <c r="S969" s="11"/>
      <c r="T969" s="11"/>
      <c r="U969" s="11"/>
      <c r="V969" s="11"/>
      <c r="W969" s="11"/>
      <c r="X969" s="11"/>
      <c r="Y969" s="11"/>
      <c r="Z969" s="11"/>
      <c r="AA969" s="11"/>
      <c r="AB969" s="11"/>
      <c r="AC969" s="11"/>
    </row>
    <row r="970" spans="1:29" ht="14">
      <c r="A970" s="11"/>
      <c r="B970" s="11"/>
      <c r="C970" s="11"/>
      <c r="D970" s="11"/>
      <c r="E970" s="11"/>
      <c r="F970" s="11"/>
      <c r="G970" s="11"/>
      <c r="H970" s="11"/>
      <c r="I970" s="11"/>
      <c r="J970" s="11"/>
      <c r="K970" s="11"/>
      <c r="L970" s="11"/>
      <c r="M970" s="11"/>
      <c r="N970" s="11"/>
      <c r="O970" s="11"/>
      <c r="P970" s="11"/>
      <c r="Q970" s="11"/>
      <c r="R970" s="11"/>
      <c r="S970" s="11"/>
      <c r="T970" s="11"/>
      <c r="U970" s="11"/>
      <c r="V970" s="11"/>
      <c r="W970" s="11"/>
      <c r="X970" s="11"/>
      <c r="Y970" s="11"/>
      <c r="Z970" s="11"/>
      <c r="AA970" s="11"/>
      <c r="AB970" s="11"/>
      <c r="AC970" s="11"/>
    </row>
    <row r="971" spans="1:29" ht="14">
      <c r="A971" s="11"/>
      <c r="B971" s="11"/>
      <c r="C971" s="11"/>
      <c r="D971" s="11"/>
      <c r="E971" s="11"/>
      <c r="F971" s="11"/>
      <c r="G971" s="11"/>
      <c r="H971" s="11"/>
      <c r="I971" s="11"/>
      <c r="J971" s="11"/>
      <c r="K971" s="11"/>
      <c r="L971" s="11"/>
      <c r="M971" s="11"/>
      <c r="N971" s="11"/>
      <c r="O971" s="11"/>
      <c r="P971" s="11"/>
      <c r="Q971" s="11"/>
      <c r="R971" s="11"/>
      <c r="S971" s="11"/>
      <c r="T971" s="11"/>
      <c r="U971" s="11"/>
      <c r="V971" s="11"/>
      <c r="W971" s="11"/>
      <c r="X971" s="11"/>
      <c r="Y971" s="11"/>
      <c r="Z971" s="11"/>
      <c r="AA971" s="11"/>
      <c r="AB971" s="11"/>
      <c r="AC971" s="11"/>
    </row>
    <row r="972" spans="1:29" ht="14">
      <c r="A972" s="11"/>
      <c r="B972" s="11"/>
      <c r="C972" s="11"/>
      <c r="D972" s="11"/>
      <c r="E972" s="11"/>
      <c r="F972" s="11"/>
      <c r="G972" s="11"/>
      <c r="H972" s="11"/>
      <c r="I972" s="11"/>
      <c r="J972" s="11"/>
      <c r="K972" s="11"/>
      <c r="L972" s="11"/>
      <c r="M972" s="11"/>
      <c r="N972" s="11"/>
      <c r="O972" s="11"/>
      <c r="P972" s="11"/>
      <c r="Q972" s="11"/>
      <c r="R972" s="11"/>
      <c r="S972" s="11"/>
      <c r="T972" s="11"/>
      <c r="U972" s="11"/>
      <c r="V972" s="11"/>
      <c r="W972" s="11"/>
      <c r="X972" s="11"/>
      <c r="Y972" s="11"/>
      <c r="Z972" s="11"/>
      <c r="AA972" s="11"/>
      <c r="AB972" s="11"/>
      <c r="AC972" s="11"/>
    </row>
    <row r="973" spans="1:29" ht="14">
      <c r="A973" s="11"/>
      <c r="B973" s="11"/>
      <c r="C973" s="11"/>
      <c r="D973" s="11"/>
      <c r="E973" s="11"/>
      <c r="F973" s="11"/>
      <c r="G973" s="11"/>
      <c r="H973" s="11"/>
      <c r="I973" s="11"/>
      <c r="J973" s="11"/>
      <c r="K973" s="11"/>
      <c r="L973" s="11"/>
      <c r="M973" s="11"/>
      <c r="N973" s="11"/>
      <c r="O973" s="11"/>
      <c r="P973" s="11"/>
      <c r="Q973" s="11"/>
      <c r="R973" s="11"/>
      <c r="S973" s="11"/>
      <c r="T973" s="11"/>
      <c r="U973" s="11"/>
      <c r="V973" s="11"/>
      <c r="W973" s="11"/>
      <c r="X973" s="11"/>
      <c r="Y973" s="11"/>
      <c r="Z973" s="11"/>
      <c r="AA973" s="11"/>
      <c r="AB973" s="11"/>
      <c r="AC973" s="11"/>
    </row>
    <row r="974" spans="1:29" ht="14">
      <c r="A974" s="11"/>
      <c r="B974" s="11"/>
      <c r="C974" s="11"/>
      <c r="D974" s="11"/>
      <c r="E974" s="11"/>
      <c r="F974" s="11"/>
      <c r="G974" s="11"/>
      <c r="H974" s="11"/>
      <c r="I974" s="11"/>
      <c r="J974" s="11"/>
      <c r="K974" s="11"/>
      <c r="L974" s="11"/>
      <c r="M974" s="11"/>
      <c r="N974" s="11"/>
      <c r="O974" s="11"/>
      <c r="P974" s="11"/>
      <c r="Q974" s="11"/>
      <c r="R974" s="11"/>
      <c r="S974" s="11"/>
      <c r="T974" s="11"/>
      <c r="U974" s="11"/>
      <c r="V974" s="11"/>
      <c r="W974" s="11"/>
      <c r="X974" s="11"/>
      <c r="Y974" s="11"/>
      <c r="Z974" s="11"/>
      <c r="AA974" s="11"/>
      <c r="AB974" s="11"/>
      <c r="AC974" s="11"/>
    </row>
    <row r="975" spans="1:29" ht="14">
      <c r="A975" s="11"/>
      <c r="B975" s="11"/>
      <c r="C975" s="11"/>
      <c r="D975" s="11"/>
      <c r="E975" s="11"/>
      <c r="F975" s="11"/>
      <c r="G975" s="11"/>
      <c r="H975" s="11"/>
      <c r="I975" s="11"/>
      <c r="J975" s="11"/>
      <c r="K975" s="11"/>
      <c r="L975" s="11"/>
      <c r="M975" s="11"/>
      <c r="N975" s="11"/>
      <c r="O975" s="11"/>
      <c r="P975" s="11"/>
      <c r="Q975" s="11"/>
      <c r="R975" s="11"/>
      <c r="S975" s="11"/>
      <c r="T975" s="11"/>
      <c r="U975" s="11"/>
      <c r="V975" s="11"/>
      <c r="W975" s="11"/>
      <c r="X975" s="11"/>
      <c r="Y975" s="11"/>
      <c r="Z975" s="11"/>
      <c r="AA975" s="11"/>
      <c r="AB975" s="11"/>
      <c r="AC975" s="11"/>
    </row>
    <row r="976" spans="1:29" ht="14">
      <c r="A976" s="11"/>
      <c r="B976" s="11"/>
      <c r="C976" s="11"/>
      <c r="D976" s="11"/>
      <c r="E976" s="11"/>
      <c r="F976" s="11"/>
      <c r="G976" s="11"/>
      <c r="H976" s="11"/>
      <c r="I976" s="11"/>
      <c r="J976" s="11"/>
      <c r="K976" s="11"/>
      <c r="L976" s="11"/>
      <c r="M976" s="11"/>
      <c r="N976" s="11"/>
      <c r="O976" s="11"/>
      <c r="P976" s="11"/>
      <c r="Q976" s="11"/>
      <c r="R976" s="11"/>
      <c r="S976" s="11"/>
      <c r="T976" s="11"/>
      <c r="U976" s="11"/>
      <c r="V976" s="11"/>
      <c r="W976" s="11"/>
      <c r="X976" s="11"/>
      <c r="Y976" s="11"/>
      <c r="Z976" s="11"/>
      <c r="AA976" s="11"/>
      <c r="AB976" s="11"/>
      <c r="AC976" s="11"/>
    </row>
    <row r="977" spans="1:29" ht="14">
      <c r="A977" s="11"/>
      <c r="B977" s="11"/>
      <c r="C977" s="11"/>
      <c r="D977" s="11"/>
      <c r="E977" s="11"/>
      <c r="F977" s="11"/>
      <c r="G977" s="11"/>
      <c r="H977" s="11"/>
      <c r="I977" s="11"/>
      <c r="J977" s="11"/>
      <c r="K977" s="11"/>
      <c r="L977" s="11"/>
      <c r="M977" s="11"/>
      <c r="N977" s="11"/>
      <c r="O977" s="11"/>
      <c r="P977" s="11"/>
      <c r="Q977" s="11"/>
      <c r="R977" s="11"/>
      <c r="S977" s="11"/>
      <c r="T977" s="11"/>
      <c r="U977" s="11"/>
      <c r="V977" s="11"/>
      <c r="W977" s="11"/>
      <c r="X977" s="11"/>
      <c r="Y977" s="11"/>
      <c r="Z977" s="11"/>
      <c r="AA977" s="11"/>
      <c r="AB977" s="11"/>
      <c r="AC977" s="11"/>
    </row>
    <row r="978" spans="1:29" ht="14">
      <c r="A978" s="11"/>
      <c r="B978" s="11"/>
      <c r="C978" s="11"/>
      <c r="D978" s="11"/>
      <c r="E978" s="11"/>
      <c r="F978" s="11"/>
      <c r="G978" s="11"/>
      <c r="H978" s="11"/>
      <c r="I978" s="11"/>
      <c r="J978" s="11"/>
      <c r="K978" s="11"/>
      <c r="L978" s="11"/>
      <c r="M978" s="11"/>
      <c r="N978" s="11"/>
      <c r="O978" s="11"/>
      <c r="P978" s="11"/>
      <c r="Q978" s="11"/>
      <c r="R978" s="11"/>
      <c r="S978" s="11"/>
      <c r="T978" s="11"/>
      <c r="U978" s="11"/>
      <c r="V978" s="11"/>
      <c r="W978" s="11"/>
      <c r="X978" s="11"/>
      <c r="Y978" s="11"/>
      <c r="Z978" s="11"/>
      <c r="AA978" s="11"/>
      <c r="AB978" s="11"/>
      <c r="AC978" s="11"/>
    </row>
    <row r="979" spans="1:29" ht="14">
      <c r="A979" s="11"/>
      <c r="B979" s="11"/>
      <c r="C979" s="11"/>
      <c r="D979" s="11"/>
      <c r="E979" s="11"/>
      <c r="F979" s="11"/>
      <c r="G979" s="11"/>
      <c r="H979" s="11"/>
      <c r="I979" s="11"/>
      <c r="J979" s="11"/>
      <c r="K979" s="11"/>
      <c r="L979" s="11"/>
      <c r="M979" s="11"/>
      <c r="N979" s="11"/>
      <c r="O979" s="11"/>
      <c r="P979" s="11"/>
      <c r="Q979" s="11"/>
      <c r="R979" s="11"/>
      <c r="S979" s="11"/>
      <c r="T979" s="11"/>
      <c r="U979" s="11"/>
      <c r="V979" s="11"/>
      <c r="W979" s="11"/>
      <c r="X979" s="11"/>
      <c r="Y979" s="11"/>
      <c r="Z979" s="11"/>
      <c r="AA979" s="11"/>
      <c r="AB979" s="11"/>
      <c r="AC979" s="11"/>
    </row>
    <row r="980" spans="1:29" ht="14">
      <c r="A980" s="11"/>
      <c r="B980" s="11"/>
      <c r="C980" s="11"/>
      <c r="D980" s="11"/>
      <c r="E980" s="11"/>
      <c r="F980" s="11"/>
      <c r="G980" s="11"/>
      <c r="H980" s="11"/>
      <c r="I980" s="11"/>
      <c r="J980" s="11"/>
      <c r="K980" s="11"/>
      <c r="L980" s="11"/>
      <c r="M980" s="11"/>
      <c r="N980" s="11"/>
      <c r="O980" s="11"/>
      <c r="P980" s="11"/>
      <c r="Q980" s="11"/>
      <c r="R980" s="11"/>
      <c r="S980" s="11"/>
      <c r="T980" s="11"/>
      <c r="U980" s="11"/>
      <c r="V980" s="11"/>
      <c r="W980" s="11"/>
      <c r="X980" s="11"/>
      <c r="Y980" s="11"/>
      <c r="Z980" s="11"/>
      <c r="AA980" s="11"/>
      <c r="AB980" s="11"/>
      <c r="AC980" s="11"/>
    </row>
    <row r="981" spans="1:29" ht="14">
      <c r="A981" s="11"/>
      <c r="B981" s="11"/>
      <c r="C981" s="11"/>
      <c r="D981" s="11"/>
      <c r="E981" s="11"/>
      <c r="F981" s="11"/>
      <c r="G981" s="11"/>
      <c r="H981" s="11"/>
      <c r="I981" s="11"/>
      <c r="J981" s="11"/>
      <c r="K981" s="11"/>
      <c r="L981" s="11"/>
      <c r="M981" s="11"/>
      <c r="N981" s="11"/>
      <c r="O981" s="11"/>
      <c r="P981" s="11"/>
      <c r="Q981" s="11"/>
      <c r="R981" s="11"/>
      <c r="S981" s="11"/>
      <c r="T981" s="11"/>
      <c r="U981" s="11"/>
      <c r="V981" s="11"/>
      <c r="W981" s="11"/>
      <c r="X981" s="11"/>
      <c r="Y981" s="11"/>
      <c r="Z981" s="11"/>
      <c r="AA981" s="11"/>
      <c r="AB981" s="11"/>
      <c r="AC981" s="11"/>
    </row>
    <row r="982" spans="1:29" ht="14">
      <c r="A982" s="11"/>
      <c r="B982" s="11"/>
      <c r="C982" s="11"/>
      <c r="D982" s="11"/>
      <c r="E982" s="11"/>
      <c r="F982" s="11"/>
      <c r="G982" s="11"/>
      <c r="H982" s="11"/>
      <c r="I982" s="11"/>
      <c r="J982" s="11"/>
      <c r="K982" s="11"/>
      <c r="L982" s="11"/>
      <c r="M982" s="11"/>
      <c r="N982" s="11"/>
      <c r="O982" s="11"/>
      <c r="P982" s="11"/>
      <c r="Q982" s="11"/>
      <c r="R982" s="11"/>
      <c r="S982" s="11"/>
      <c r="T982" s="11"/>
      <c r="U982" s="11"/>
      <c r="V982" s="11"/>
      <c r="W982" s="11"/>
      <c r="X982" s="11"/>
      <c r="Y982" s="11"/>
      <c r="Z982" s="11"/>
      <c r="AA982" s="11"/>
      <c r="AB982" s="11"/>
      <c r="AC982" s="11"/>
    </row>
    <row r="983" spans="1:29" ht="14">
      <c r="A983" s="11"/>
      <c r="B983" s="11"/>
      <c r="C983" s="11"/>
      <c r="D983" s="11"/>
      <c r="E983" s="11"/>
      <c r="F983" s="11"/>
      <c r="G983" s="11"/>
      <c r="H983" s="11"/>
      <c r="I983" s="11"/>
      <c r="J983" s="11"/>
      <c r="K983" s="11"/>
      <c r="L983" s="11"/>
      <c r="M983" s="11"/>
      <c r="N983" s="11"/>
      <c r="O983" s="11"/>
      <c r="P983" s="11"/>
      <c r="Q983" s="11"/>
      <c r="R983" s="11"/>
      <c r="S983" s="11"/>
      <c r="T983" s="11"/>
      <c r="U983" s="11"/>
      <c r="V983" s="11"/>
      <c r="W983" s="11"/>
      <c r="X983" s="11"/>
      <c r="Y983" s="11"/>
      <c r="Z983" s="11"/>
      <c r="AA983" s="11"/>
      <c r="AB983" s="11"/>
      <c r="AC983" s="11"/>
    </row>
    <row r="984" spans="1:29" ht="14">
      <c r="A984" s="11"/>
      <c r="B984" s="11"/>
      <c r="C984" s="11"/>
      <c r="D984" s="11"/>
      <c r="E984" s="11"/>
      <c r="F984" s="11"/>
      <c r="G984" s="11"/>
      <c r="H984" s="11"/>
      <c r="I984" s="11"/>
      <c r="J984" s="11"/>
      <c r="K984" s="11"/>
      <c r="L984" s="11"/>
      <c r="M984" s="11"/>
      <c r="N984" s="11"/>
      <c r="O984" s="11"/>
      <c r="P984" s="11"/>
      <c r="Q984" s="11"/>
      <c r="R984" s="11"/>
      <c r="S984" s="11"/>
      <c r="T984" s="11"/>
      <c r="U984" s="11"/>
      <c r="V984" s="11"/>
      <c r="W984" s="11"/>
      <c r="X984" s="11"/>
      <c r="Y984" s="11"/>
      <c r="Z984" s="11"/>
      <c r="AA984" s="11"/>
      <c r="AB984" s="11"/>
      <c r="AC984" s="11"/>
    </row>
    <row r="985" spans="1:29" ht="14">
      <c r="A985" s="11"/>
      <c r="B985" s="11"/>
      <c r="C985" s="11"/>
      <c r="D985" s="11"/>
      <c r="E985" s="11"/>
      <c r="F985" s="11"/>
      <c r="G985" s="11"/>
      <c r="H985" s="11"/>
      <c r="I985" s="11"/>
      <c r="J985" s="11"/>
      <c r="K985" s="11"/>
      <c r="L985" s="11"/>
      <c r="M985" s="11"/>
      <c r="N985" s="11"/>
      <c r="O985" s="11"/>
      <c r="P985" s="11"/>
      <c r="Q985" s="11"/>
      <c r="R985" s="11"/>
      <c r="S985" s="11"/>
      <c r="T985" s="11"/>
      <c r="U985" s="11"/>
      <c r="V985" s="11"/>
      <c r="W985" s="11"/>
      <c r="X985" s="11"/>
      <c r="Y985" s="11"/>
      <c r="Z985" s="11"/>
      <c r="AA985" s="11"/>
      <c r="AB985" s="11"/>
      <c r="AC985" s="11"/>
    </row>
    <row r="986" spans="1:29" ht="14">
      <c r="A986" s="11"/>
      <c r="B986" s="11"/>
      <c r="C986" s="11"/>
      <c r="D986" s="11"/>
      <c r="E986" s="11"/>
      <c r="F986" s="11"/>
      <c r="G986" s="11"/>
      <c r="H986" s="11"/>
      <c r="I986" s="11"/>
      <c r="J986" s="11"/>
      <c r="K986" s="11"/>
      <c r="L986" s="11"/>
      <c r="M986" s="11"/>
      <c r="N986" s="11"/>
      <c r="O986" s="11"/>
      <c r="P986" s="11"/>
      <c r="Q986" s="11"/>
      <c r="R986" s="11"/>
      <c r="S986" s="11"/>
      <c r="T986" s="11"/>
      <c r="U986" s="11"/>
      <c r="V986" s="11"/>
      <c r="W986" s="11"/>
      <c r="X986" s="11"/>
      <c r="Y986" s="11"/>
      <c r="Z986" s="11"/>
      <c r="AA986" s="11"/>
      <c r="AB986" s="11"/>
      <c r="AC986" s="11"/>
    </row>
    <row r="987" spans="1:29" ht="14">
      <c r="A987" s="11"/>
      <c r="B987" s="11"/>
      <c r="C987" s="11"/>
      <c r="D987" s="11"/>
      <c r="E987" s="11"/>
      <c r="F987" s="11"/>
      <c r="G987" s="11"/>
      <c r="H987" s="11"/>
      <c r="I987" s="11"/>
      <c r="J987" s="11"/>
      <c r="K987" s="11"/>
      <c r="L987" s="11"/>
      <c r="M987" s="11"/>
      <c r="N987" s="11"/>
      <c r="O987" s="11"/>
      <c r="P987" s="11"/>
      <c r="Q987" s="11"/>
      <c r="R987" s="11"/>
      <c r="S987" s="11"/>
      <c r="T987" s="11"/>
      <c r="U987" s="11"/>
      <c r="V987" s="11"/>
      <c r="W987" s="11"/>
      <c r="X987" s="11"/>
      <c r="Y987" s="11"/>
      <c r="Z987" s="11"/>
      <c r="AA987" s="11"/>
      <c r="AB987" s="11"/>
      <c r="AC987" s="11"/>
    </row>
    <row r="988" spans="1:29" ht="14">
      <c r="A988" s="11"/>
      <c r="B988" s="11"/>
      <c r="C988" s="11"/>
      <c r="D988" s="11"/>
      <c r="E988" s="11"/>
      <c r="F988" s="11"/>
      <c r="G988" s="11"/>
      <c r="H988" s="11"/>
      <c r="I988" s="11"/>
      <c r="J988" s="11"/>
      <c r="K988" s="11"/>
      <c r="L988" s="11"/>
      <c r="M988" s="11"/>
      <c r="N988" s="11"/>
      <c r="O988" s="11"/>
      <c r="P988" s="11"/>
      <c r="Q988" s="11"/>
      <c r="R988" s="11"/>
      <c r="S988" s="11"/>
      <c r="T988" s="11"/>
      <c r="U988" s="11"/>
      <c r="V988" s="11"/>
      <c r="W988" s="11"/>
      <c r="X988" s="11"/>
      <c r="Y988" s="11"/>
      <c r="Z988" s="11"/>
      <c r="AA988" s="11"/>
      <c r="AB988" s="11"/>
      <c r="AC988" s="11"/>
    </row>
    <row r="989" spans="1:29" ht="14">
      <c r="A989" s="11"/>
      <c r="B989" s="11"/>
      <c r="C989" s="11"/>
      <c r="D989" s="11"/>
      <c r="E989" s="11"/>
      <c r="F989" s="11"/>
      <c r="G989" s="11"/>
      <c r="H989" s="11"/>
      <c r="I989" s="11"/>
      <c r="J989" s="11"/>
      <c r="K989" s="11"/>
      <c r="L989" s="11"/>
      <c r="M989" s="11"/>
      <c r="N989" s="11"/>
      <c r="O989" s="11"/>
      <c r="P989" s="11"/>
      <c r="Q989" s="11"/>
      <c r="R989" s="11"/>
      <c r="S989" s="11"/>
      <c r="T989" s="11"/>
      <c r="U989" s="11"/>
      <c r="V989" s="11"/>
      <c r="W989" s="11"/>
      <c r="X989" s="11"/>
      <c r="Y989" s="11"/>
      <c r="Z989" s="11"/>
      <c r="AA989" s="11"/>
      <c r="AB989" s="11"/>
      <c r="AC989" s="11"/>
    </row>
    <row r="990" spans="1:29" ht="14">
      <c r="A990" s="11"/>
      <c r="B990" s="11"/>
      <c r="C990" s="11"/>
      <c r="D990" s="11"/>
      <c r="E990" s="11"/>
      <c r="F990" s="11"/>
      <c r="G990" s="11"/>
      <c r="H990" s="11"/>
      <c r="I990" s="11"/>
      <c r="J990" s="11"/>
      <c r="K990" s="11"/>
      <c r="L990" s="11"/>
      <c r="M990" s="11"/>
      <c r="N990" s="11"/>
      <c r="O990" s="11"/>
      <c r="P990" s="11"/>
      <c r="Q990" s="11"/>
      <c r="R990" s="11"/>
      <c r="S990" s="11"/>
      <c r="T990" s="11"/>
      <c r="U990" s="11"/>
      <c r="V990" s="11"/>
      <c r="W990" s="11"/>
      <c r="X990" s="11"/>
      <c r="Y990" s="11"/>
      <c r="Z990" s="11"/>
      <c r="AA990" s="11"/>
      <c r="AB990" s="11"/>
      <c r="AC990" s="11"/>
    </row>
    <row r="991" spans="1:29" ht="14">
      <c r="A991" s="11"/>
      <c r="B991" s="11"/>
      <c r="C991" s="11"/>
      <c r="D991" s="11"/>
      <c r="E991" s="11"/>
      <c r="F991" s="11"/>
      <c r="G991" s="11"/>
      <c r="H991" s="11"/>
      <c r="I991" s="11"/>
      <c r="J991" s="11"/>
      <c r="K991" s="11"/>
      <c r="L991" s="11"/>
      <c r="M991" s="11"/>
      <c r="N991" s="11"/>
      <c r="O991" s="11"/>
      <c r="P991" s="11"/>
      <c r="Q991" s="11"/>
      <c r="R991" s="11"/>
      <c r="S991" s="11"/>
      <c r="T991" s="11"/>
      <c r="U991" s="11"/>
      <c r="V991" s="11"/>
      <c r="W991" s="11"/>
      <c r="X991" s="11"/>
      <c r="Y991" s="11"/>
      <c r="Z991" s="11"/>
      <c r="AA991" s="11"/>
      <c r="AB991" s="11"/>
      <c r="AC991" s="11"/>
    </row>
    <row r="992" spans="1:29" ht="14">
      <c r="A992" s="11"/>
      <c r="B992" s="11"/>
      <c r="C992" s="11"/>
      <c r="D992" s="11"/>
      <c r="E992" s="11"/>
      <c r="F992" s="11"/>
      <c r="G992" s="11"/>
      <c r="H992" s="11"/>
      <c r="I992" s="11"/>
      <c r="J992" s="11"/>
      <c r="K992" s="11"/>
      <c r="L992" s="11"/>
      <c r="M992" s="11"/>
      <c r="N992" s="11"/>
      <c r="O992" s="11"/>
      <c r="P992" s="11"/>
      <c r="Q992" s="11"/>
      <c r="R992" s="11"/>
      <c r="S992" s="11"/>
      <c r="T992" s="11"/>
      <c r="U992" s="11"/>
      <c r="V992" s="11"/>
      <c r="W992" s="11"/>
      <c r="X992" s="11"/>
      <c r="Y992" s="11"/>
      <c r="Z992" s="11"/>
      <c r="AA992" s="11"/>
      <c r="AB992" s="11"/>
      <c r="AC992" s="11"/>
    </row>
    <row r="993" spans="1:29" ht="14">
      <c r="A993" s="11"/>
      <c r="B993" s="11"/>
      <c r="C993" s="11"/>
      <c r="D993" s="11"/>
      <c r="E993" s="11"/>
      <c r="F993" s="11"/>
      <c r="G993" s="11"/>
      <c r="H993" s="11"/>
      <c r="I993" s="11"/>
      <c r="J993" s="11"/>
      <c r="K993" s="11"/>
      <c r="L993" s="11"/>
      <c r="M993" s="11"/>
      <c r="N993" s="11"/>
      <c r="O993" s="11"/>
      <c r="P993" s="11"/>
      <c r="Q993" s="11"/>
      <c r="R993" s="11"/>
      <c r="S993" s="11"/>
      <c r="T993" s="11"/>
      <c r="U993" s="11"/>
      <c r="V993" s="11"/>
      <c r="W993" s="11"/>
      <c r="X993" s="11"/>
      <c r="Y993" s="11"/>
      <c r="Z993" s="11"/>
      <c r="AA993" s="11"/>
      <c r="AB993" s="11"/>
      <c r="AC993" s="11"/>
    </row>
    <row r="994" spans="1:29" ht="14">
      <c r="A994" s="11"/>
      <c r="B994" s="11"/>
      <c r="C994" s="11"/>
      <c r="D994" s="11"/>
      <c r="E994" s="11"/>
      <c r="F994" s="11"/>
      <c r="G994" s="11"/>
      <c r="H994" s="11"/>
      <c r="I994" s="11"/>
      <c r="J994" s="11"/>
      <c r="K994" s="11"/>
      <c r="L994" s="11"/>
      <c r="M994" s="11"/>
      <c r="N994" s="11"/>
      <c r="O994" s="11"/>
      <c r="P994" s="11"/>
      <c r="Q994" s="11"/>
      <c r="R994" s="11"/>
      <c r="S994" s="11"/>
      <c r="T994" s="11"/>
      <c r="U994" s="11"/>
      <c r="V994" s="11"/>
      <c r="W994" s="11"/>
      <c r="X994" s="11"/>
      <c r="Y994" s="11"/>
      <c r="Z994" s="11"/>
      <c r="AA994" s="11"/>
      <c r="AB994" s="11"/>
      <c r="AC994" s="11"/>
    </row>
    <row r="995" spans="1:29" ht="14">
      <c r="A995" s="11"/>
      <c r="B995" s="11"/>
      <c r="C995" s="11"/>
      <c r="D995" s="11"/>
      <c r="E995" s="11"/>
      <c r="F995" s="11"/>
      <c r="G995" s="11"/>
      <c r="H995" s="11"/>
      <c r="I995" s="11"/>
      <c r="J995" s="11"/>
      <c r="K995" s="11"/>
      <c r="L995" s="11"/>
      <c r="M995" s="11"/>
      <c r="N995" s="11"/>
      <c r="O995" s="11"/>
      <c r="P995" s="11"/>
      <c r="Q995" s="11"/>
      <c r="R995" s="11"/>
      <c r="S995" s="11"/>
      <c r="T995" s="11"/>
      <c r="U995" s="11"/>
      <c r="V995" s="11"/>
      <c r="W995" s="11"/>
      <c r="X995" s="11"/>
      <c r="Y995" s="11"/>
      <c r="Z995" s="11"/>
      <c r="AA995" s="11"/>
      <c r="AB995" s="11"/>
      <c r="AC995" s="11"/>
    </row>
    <row r="996" spans="1:29" ht="14">
      <c r="A996" s="11"/>
      <c r="B996" s="11"/>
      <c r="C996" s="11"/>
      <c r="D996" s="11"/>
      <c r="E996" s="11"/>
      <c r="F996" s="11"/>
      <c r="G996" s="11"/>
      <c r="H996" s="11"/>
      <c r="I996" s="11"/>
      <c r="J996" s="11"/>
      <c r="K996" s="11"/>
      <c r="L996" s="11"/>
      <c r="M996" s="11"/>
      <c r="N996" s="11"/>
      <c r="O996" s="11"/>
      <c r="P996" s="11"/>
      <c r="Q996" s="11"/>
      <c r="R996" s="11"/>
      <c r="S996" s="11"/>
      <c r="T996" s="11"/>
      <c r="U996" s="11"/>
      <c r="V996" s="11"/>
      <c r="W996" s="11"/>
      <c r="X996" s="11"/>
      <c r="Y996" s="11"/>
      <c r="Z996" s="11"/>
      <c r="AA996" s="11"/>
      <c r="AB996" s="11"/>
      <c r="AC996" s="11"/>
    </row>
    <row r="997" spans="1:29" ht="14">
      <c r="A997" s="11"/>
      <c r="B997" s="11"/>
      <c r="C997" s="11"/>
      <c r="D997" s="11"/>
      <c r="E997" s="11"/>
      <c r="F997" s="11"/>
      <c r="G997" s="11"/>
      <c r="H997" s="11"/>
      <c r="I997" s="11"/>
      <c r="J997" s="11"/>
      <c r="K997" s="11"/>
      <c r="L997" s="11"/>
      <c r="M997" s="11"/>
      <c r="N997" s="11"/>
      <c r="O997" s="11"/>
      <c r="P997" s="11"/>
      <c r="Q997" s="11"/>
      <c r="R997" s="11"/>
      <c r="S997" s="11"/>
      <c r="T997" s="11"/>
      <c r="U997" s="11"/>
      <c r="V997" s="11"/>
      <c r="W997" s="11"/>
      <c r="X997" s="11"/>
      <c r="Y997" s="11"/>
      <c r="Z997" s="11"/>
      <c r="AA997" s="11"/>
      <c r="AB997" s="11"/>
      <c r="AC997" s="11"/>
    </row>
    <row r="998" spans="1:29" ht="14">
      <c r="A998" s="11"/>
      <c r="B998" s="11"/>
      <c r="C998" s="11"/>
      <c r="D998" s="11"/>
      <c r="E998" s="11"/>
      <c r="F998" s="11"/>
      <c r="G998" s="11"/>
      <c r="H998" s="11"/>
      <c r="I998" s="11"/>
      <c r="J998" s="11"/>
      <c r="K998" s="11"/>
      <c r="L998" s="11"/>
      <c r="M998" s="11"/>
      <c r="N998" s="11"/>
      <c r="O998" s="11"/>
      <c r="P998" s="11"/>
      <c r="Q998" s="11"/>
      <c r="R998" s="11"/>
      <c r="S998" s="11"/>
      <c r="T998" s="11"/>
      <c r="U998" s="11"/>
      <c r="V998" s="11"/>
      <c r="W998" s="11"/>
      <c r="X998" s="11"/>
      <c r="Y998" s="11"/>
      <c r="Z998" s="11"/>
      <c r="AA998" s="11"/>
      <c r="AB998" s="11"/>
      <c r="AC998" s="11"/>
    </row>
    <row r="999" spans="1:29" ht="14">
      <c r="A999" s="11"/>
      <c r="B999" s="11"/>
      <c r="C999" s="11"/>
      <c r="D999" s="11"/>
      <c r="E999" s="11"/>
      <c r="F999" s="11"/>
      <c r="G999" s="11"/>
      <c r="H999" s="11"/>
      <c r="I999" s="11"/>
      <c r="J999" s="11"/>
      <c r="K999" s="11"/>
      <c r="L999" s="11"/>
      <c r="M999" s="11"/>
      <c r="N999" s="11"/>
      <c r="O999" s="11"/>
      <c r="P999" s="11"/>
      <c r="Q999" s="11"/>
      <c r="R999" s="11"/>
      <c r="S999" s="11"/>
      <c r="T999" s="11"/>
      <c r="U999" s="11"/>
      <c r="V999" s="11"/>
      <c r="W999" s="11"/>
      <c r="X999" s="11"/>
      <c r="Y999" s="11"/>
      <c r="Z999" s="11"/>
      <c r="AA999" s="11"/>
      <c r="AB999" s="11"/>
      <c r="AC999" s="11"/>
    </row>
    <row r="1000" spans="1:29" ht="14">
      <c r="A1000" s="11"/>
      <c r="B1000" s="11"/>
      <c r="C1000" s="11"/>
      <c r="D1000" s="11"/>
      <c r="E1000" s="11"/>
      <c r="F1000" s="11"/>
      <c r="G1000" s="11"/>
      <c r="H1000" s="11"/>
      <c r="I1000" s="11"/>
      <c r="J1000" s="11"/>
      <c r="K1000" s="11"/>
      <c r="L1000" s="11"/>
      <c r="M1000" s="11"/>
      <c r="N1000" s="11"/>
      <c r="O1000" s="11"/>
      <c r="P1000" s="11"/>
      <c r="Q1000" s="11"/>
      <c r="R1000" s="11"/>
      <c r="S1000" s="11"/>
      <c r="T1000" s="11"/>
      <c r="U1000" s="11"/>
      <c r="V1000" s="11"/>
      <c r="W1000" s="11"/>
      <c r="X1000" s="11"/>
      <c r="Y1000" s="11"/>
      <c r="Z1000" s="11"/>
      <c r="AA1000" s="11"/>
      <c r="AB1000" s="11"/>
      <c r="AC1000" s="11"/>
    </row>
    <row r="1001" spans="1:29" ht="14">
      <c r="A1001" s="11"/>
      <c r="B1001" s="11"/>
      <c r="C1001" s="11"/>
      <c r="D1001" s="11"/>
      <c r="E1001" s="11"/>
      <c r="F1001" s="11"/>
      <c r="G1001" s="11"/>
      <c r="H1001" s="11"/>
      <c r="I1001" s="11"/>
      <c r="J1001" s="11"/>
      <c r="K1001" s="11"/>
      <c r="L1001" s="11"/>
      <c r="M1001" s="11"/>
      <c r="N1001" s="11"/>
      <c r="O1001" s="11"/>
      <c r="P1001" s="11"/>
      <c r="Q1001" s="11"/>
      <c r="R1001" s="11"/>
      <c r="S1001" s="11"/>
      <c r="T1001" s="11"/>
      <c r="U1001" s="11"/>
      <c r="V1001" s="11"/>
      <c r="W1001" s="11"/>
      <c r="X1001" s="11"/>
      <c r="Y1001" s="11"/>
      <c r="Z1001" s="11"/>
      <c r="AA1001" s="11"/>
      <c r="AB1001" s="11"/>
      <c r="AC1001" s="11"/>
    </row>
    <row r="1002" spans="1:29" ht="14">
      <c r="A1002" s="11"/>
      <c r="B1002" s="11"/>
      <c r="C1002" s="11"/>
      <c r="D1002" s="11"/>
      <c r="E1002" s="11"/>
      <c r="F1002" s="11"/>
      <c r="G1002" s="11"/>
      <c r="H1002" s="11"/>
      <c r="I1002" s="11"/>
      <c r="J1002" s="11"/>
      <c r="K1002" s="11"/>
      <c r="L1002" s="11"/>
      <c r="M1002" s="11"/>
      <c r="N1002" s="11"/>
      <c r="O1002" s="11"/>
      <c r="P1002" s="11"/>
      <c r="Q1002" s="11"/>
      <c r="R1002" s="11"/>
      <c r="S1002" s="11"/>
      <c r="T1002" s="11"/>
      <c r="U1002" s="11"/>
      <c r="V1002" s="11"/>
      <c r="W1002" s="11"/>
      <c r="X1002" s="11"/>
      <c r="Y1002" s="11"/>
      <c r="Z1002" s="11"/>
      <c r="AA1002" s="11"/>
      <c r="AB1002" s="11"/>
      <c r="AC1002" s="11"/>
    </row>
  </sheetData>
  <conditionalFormatting sqref="D3:D29 V3:V7 W3:W30 C4:C29 R5:R9 E6:E29 O7:O32 U7:U20 F15:F29 J15:J30 L15:L29 H18:H31 R18:R29 X19:X29 G20:G29 N20:N29 B21:B29 I21:I29 Y21:Y29 S23:T30 K25:K30 M26:M29 D33:D59 C34:C59 E36:E59 O37:O60 F45:F59 J45:J60 H48:H60 R48:R59 G50:G59 B51:B59 I51:I59 L52:L59 S53:T60 K55:K60">
    <cfRule type="colorScale" priority="2">
      <colorScale>
        <cfvo type="min"/>
        <cfvo type="max"/>
        <color rgb="FFFFFFFF"/>
        <color rgb="FF57BB8A"/>
      </colorScale>
    </cfRule>
  </conditionalFormatting>
  <conditionalFormatting sqref="D63:D89 C64:C89 E66:E89 O67:O90 F75:F89 J75:J91 R77:R89 H78:H90 G80:G89 B81:B106 I81:I89 L82:L89 S83:T90 K85:K90 M89:N89 P89:Q89">
    <cfRule type="colorScale" priority="3">
      <colorScale>
        <cfvo type="min"/>
        <cfvo type="percentile" val="50"/>
        <cfvo type="max"/>
        <color rgb="FFE67C73"/>
        <color rgb="FFFFFFFF"/>
        <color rgb="FF57BB8A"/>
      </colorScale>
    </cfRule>
  </conditionalFormatting>
  <conditionalFormatting sqref="Z20:Z29 AB21:AB29 AA23:AA28 P27:P2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C100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9" sqref="B29"/>
    </sheetView>
  </sheetViews>
  <sheetFormatPr baseColWidth="10" defaultColWidth="12.6640625" defaultRowHeight="15.75" customHeight="1"/>
  <sheetData>
    <row r="1" spans="1:29" ht="72" customHeight="1">
      <c r="A1" s="1"/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1" t="s">
        <v>5</v>
      </c>
      <c r="H1" s="3" t="s">
        <v>6</v>
      </c>
      <c r="I1" s="1" t="s">
        <v>7</v>
      </c>
      <c r="J1" s="3" t="s">
        <v>8</v>
      </c>
      <c r="K1" s="4" t="s">
        <v>9</v>
      </c>
      <c r="L1" s="2" t="s">
        <v>10</v>
      </c>
      <c r="M1" s="10" t="s">
        <v>11</v>
      </c>
      <c r="N1" s="65" t="s">
        <v>12</v>
      </c>
      <c r="O1" s="6" t="s">
        <v>13</v>
      </c>
      <c r="P1" s="10" t="s">
        <v>14</v>
      </c>
      <c r="Q1" s="7" t="s">
        <v>15</v>
      </c>
      <c r="R1" s="6" t="s">
        <v>16</v>
      </c>
      <c r="S1" s="8" t="s">
        <v>17</v>
      </c>
      <c r="T1" s="9" t="s">
        <v>18</v>
      </c>
      <c r="U1" s="6" t="s">
        <v>19</v>
      </c>
      <c r="V1" s="6" t="s">
        <v>20</v>
      </c>
      <c r="W1" s="6" t="s">
        <v>21</v>
      </c>
      <c r="X1" s="10" t="s">
        <v>22</v>
      </c>
      <c r="Y1" s="10" t="s">
        <v>23</v>
      </c>
      <c r="Z1" s="10" t="s">
        <v>24</v>
      </c>
      <c r="AA1" s="10" t="s">
        <v>25</v>
      </c>
      <c r="AB1" s="10" t="s">
        <v>26</v>
      </c>
      <c r="AC1" s="28"/>
    </row>
    <row r="2" spans="1:29" ht="13">
      <c r="A2" s="27" t="s">
        <v>322</v>
      </c>
      <c r="B2" s="28"/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67"/>
      <c r="P2" s="28"/>
      <c r="Q2" s="28"/>
      <c r="R2" s="28"/>
      <c r="S2" s="28"/>
      <c r="T2" s="28"/>
      <c r="U2" s="28"/>
      <c r="V2" s="28"/>
      <c r="W2" s="28"/>
      <c r="X2" s="28"/>
      <c r="Y2" s="28"/>
      <c r="Z2" s="28"/>
      <c r="AA2" s="28"/>
      <c r="AB2" s="28"/>
      <c r="AC2" s="28"/>
    </row>
    <row r="3" spans="1:29" ht="13">
      <c r="A3" s="27">
        <v>1997</v>
      </c>
      <c r="B3" s="28"/>
      <c r="C3" s="28"/>
      <c r="D3" s="67">
        <v>-28434</v>
      </c>
      <c r="E3" s="28"/>
      <c r="F3" s="28"/>
      <c r="G3" s="28"/>
      <c r="H3" s="28"/>
      <c r="I3" s="28"/>
      <c r="J3" s="28"/>
      <c r="K3" s="28"/>
      <c r="L3" s="28"/>
      <c r="M3" s="28"/>
      <c r="N3" s="28"/>
      <c r="O3" s="28"/>
      <c r="P3" s="28"/>
      <c r="Q3" s="28"/>
      <c r="R3" s="28"/>
      <c r="S3" s="28"/>
      <c r="T3" s="28"/>
      <c r="U3" s="28"/>
      <c r="V3" s="67">
        <v>-18720</v>
      </c>
      <c r="W3" s="67">
        <v>17273</v>
      </c>
      <c r="X3" s="28"/>
      <c r="Y3" s="28"/>
      <c r="Z3" s="28"/>
      <c r="AA3" s="28"/>
      <c r="AB3" s="28"/>
      <c r="AC3" s="28"/>
    </row>
    <row r="4" spans="1:29" ht="13">
      <c r="A4" s="27">
        <v>1998</v>
      </c>
      <c r="B4" s="28"/>
      <c r="C4" s="67">
        <v>-52952</v>
      </c>
      <c r="D4" s="67">
        <v>-28728</v>
      </c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8"/>
      <c r="Q4" s="28"/>
      <c r="R4" s="67"/>
      <c r="S4" s="28"/>
      <c r="T4" s="28"/>
      <c r="U4" s="28"/>
      <c r="V4" s="67">
        <v>-21280</v>
      </c>
      <c r="W4" s="67">
        <v>20372</v>
      </c>
      <c r="X4" s="28"/>
      <c r="Y4" s="28"/>
      <c r="Z4" s="28"/>
      <c r="AA4" s="28"/>
      <c r="AB4" s="28"/>
      <c r="AC4" s="28"/>
    </row>
    <row r="5" spans="1:29" ht="13">
      <c r="A5" s="27">
        <v>1999</v>
      </c>
      <c r="B5" s="28"/>
      <c r="C5" s="67">
        <v>-58041</v>
      </c>
      <c r="D5" s="67">
        <v>-18824</v>
      </c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67">
        <v>-6661</v>
      </c>
      <c r="S5" s="28"/>
      <c r="T5" s="28"/>
      <c r="U5" s="28"/>
      <c r="V5" s="67">
        <v>-20631</v>
      </c>
      <c r="W5" s="67">
        <v>20876</v>
      </c>
      <c r="X5" s="28"/>
      <c r="Y5" s="28"/>
      <c r="Z5" s="28"/>
      <c r="AA5" s="28"/>
      <c r="AB5" s="28"/>
      <c r="AC5" s="28"/>
    </row>
    <row r="6" spans="1:29" ht="13">
      <c r="A6" s="27">
        <v>2000</v>
      </c>
      <c r="B6" s="28"/>
      <c r="C6" s="67">
        <v>-31525</v>
      </c>
      <c r="D6" s="67">
        <v>-109351</v>
      </c>
      <c r="E6" s="67">
        <v>-3729</v>
      </c>
      <c r="F6" s="28"/>
      <c r="G6" s="28"/>
      <c r="H6" s="28"/>
      <c r="I6" s="28"/>
      <c r="J6" s="28"/>
      <c r="K6" s="28"/>
      <c r="L6" s="28"/>
      <c r="M6" s="28"/>
      <c r="N6" s="28"/>
      <c r="O6" s="28"/>
      <c r="P6" s="28"/>
      <c r="Q6" s="28"/>
      <c r="R6" s="67">
        <v>-56023</v>
      </c>
      <c r="S6" s="28"/>
      <c r="T6" s="28"/>
      <c r="U6" s="28"/>
      <c r="V6" s="67">
        <v>-108988</v>
      </c>
      <c r="W6" s="67">
        <v>34003</v>
      </c>
      <c r="X6" s="28"/>
      <c r="Y6" s="28"/>
      <c r="Z6" s="28"/>
      <c r="AA6" s="28"/>
      <c r="AB6" s="28"/>
      <c r="AC6" s="28"/>
    </row>
    <row r="7" spans="1:29" ht="13">
      <c r="A7" s="27">
        <v>2001</v>
      </c>
      <c r="B7" s="28"/>
      <c r="C7" s="67">
        <v>6750</v>
      </c>
      <c r="D7" s="67">
        <v>-12977</v>
      </c>
      <c r="E7" s="67">
        <v>-1977</v>
      </c>
      <c r="F7" s="28"/>
      <c r="G7" s="28"/>
      <c r="H7" s="28"/>
      <c r="I7" s="28"/>
      <c r="J7" s="28"/>
      <c r="K7" s="28"/>
      <c r="L7" s="28"/>
      <c r="M7" s="28"/>
      <c r="N7" s="28"/>
      <c r="O7" s="67">
        <v>-897</v>
      </c>
      <c r="P7" s="28"/>
      <c r="Q7" s="28"/>
      <c r="R7" s="67">
        <v>-49346</v>
      </c>
      <c r="S7" s="28"/>
      <c r="T7" s="28"/>
      <c r="U7" s="67">
        <v>-103237</v>
      </c>
      <c r="V7" s="67">
        <v>-91641</v>
      </c>
      <c r="W7" s="67">
        <v>42603</v>
      </c>
      <c r="X7" s="28"/>
      <c r="Y7" s="28"/>
      <c r="Z7" s="28"/>
      <c r="AA7" s="28"/>
      <c r="AB7" s="28"/>
      <c r="AC7" s="28"/>
    </row>
    <row r="8" spans="1:29" ht="13">
      <c r="A8" s="27">
        <v>2002</v>
      </c>
      <c r="B8" s="28"/>
      <c r="C8" s="67">
        <v>22654</v>
      </c>
      <c r="D8" s="67">
        <v>257400</v>
      </c>
      <c r="E8" s="67">
        <v>3319</v>
      </c>
      <c r="F8" s="28"/>
      <c r="G8" s="28"/>
      <c r="H8" s="28"/>
      <c r="I8" s="28"/>
      <c r="J8" s="28"/>
      <c r="K8" s="28"/>
      <c r="L8" s="28"/>
      <c r="M8" s="28"/>
      <c r="N8" s="28"/>
      <c r="O8" s="67">
        <v>-414</v>
      </c>
      <c r="P8" s="28"/>
      <c r="Q8" s="28"/>
      <c r="R8" s="67">
        <v>-11502</v>
      </c>
      <c r="S8" s="28"/>
      <c r="T8" s="28"/>
      <c r="U8" s="67">
        <v>-17875</v>
      </c>
      <c r="V8" s="28"/>
      <c r="W8" s="67">
        <v>42491</v>
      </c>
      <c r="X8" s="28"/>
      <c r="Y8" s="28"/>
      <c r="Z8" s="28"/>
      <c r="AA8" s="28"/>
      <c r="AB8" s="28"/>
      <c r="AC8" s="28"/>
    </row>
    <row r="9" spans="1:29" ht="13">
      <c r="A9" s="27">
        <v>2003</v>
      </c>
      <c r="B9" s="28"/>
      <c r="C9" s="67">
        <v>26003</v>
      </c>
      <c r="D9" s="67">
        <v>366027</v>
      </c>
      <c r="E9" s="67">
        <v>7748</v>
      </c>
      <c r="F9" s="28"/>
      <c r="G9" s="28"/>
      <c r="H9" s="28"/>
      <c r="I9" s="28"/>
      <c r="J9" s="28"/>
      <c r="K9" s="28"/>
      <c r="L9" s="28"/>
      <c r="M9" s="28"/>
      <c r="N9" s="28"/>
      <c r="O9" s="67">
        <v>-427</v>
      </c>
      <c r="P9" s="28"/>
      <c r="Q9" s="28"/>
      <c r="R9" s="67">
        <v>-89831</v>
      </c>
      <c r="S9" s="28"/>
      <c r="T9" s="28"/>
      <c r="U9" s="67">
        <v>-16029</v>
      </c>
      <c r="V9" s="28"/>
      <c r="W9" s="67">
        <v>62694</v>
      </c>
      <c r="X9" s="28"/>
      <c r="Y9" s="28"/>
      <c r="Z9" s="28"/>
      <c r="AA9" s="28"/>
      <c r="AB9" s="28"/>
      <c r="AC9" s="28"/>
    </row>
    <row r="10" spans="1:29" ht="13">
      <c r="A10" s="27">
        <v>2004</v>
      </c>
      <c r="B10" s="28"/>
      <c r="C10" s="67">
        <v>44799</v>
      </c>
      <c r="D10" s="67">
        <v>409630</v>
      </c>
      <c r="E10" s="67">
        <v>16992</v>
      </c>
      <c r="F10" s="28"/>
      <c r="G10" s="28"/>
      <c r="H10" s="28"/>
      <c r="I10" s="28"/>
      <c r="J10" s="28"/>
      <c r="K10" s="28"/>
      <c r="L10" s="28"/>
      <c r="M10" s="28"/>
      <c r="N10" s="28"/>
      <c r="O10" s="67">
        <v>-688</v>
      </c>
      <c r="P10" s="28"/>
      <c r="Q10" s="28"/>
      <c r="R10" s="28"/>
      <c r="S10" s="28"/>
      <c r="T10" s="28"/>
      <c r="U10" s="67">
        <v>-60000</v>
      </c>
      <c r="V10" s="28"/>
      <c r="W10" s="67">
        <v>83429</v>
      </c>
      <c r="X10" s="28"/>
      <c r="Y10" s="28"/>
      <c r="Z10" s="28"/>
      <c r="AA10" s="28"/>
      <c r="AB10" s="28"/>
      <c r="AC10" s="28"/>
    </row>
    <row r="11" spans="1:29" ht="13">
      <c r="A11" s="27">
        <v>2005</v>
      </c>
      <c r="B11" s="28"/>
      <c r="C11" s="67">
        <v>64848</v>
      </c>
      <c r="D11" s="67">
        <v>573564</v>
      </c>
      <c r="E11" s="67">
        <v>31135</v>
      </c>
      <c r="F11" s="28"/>
      <c r="G11" s="28"/>
      <c r="H11" s="28"/>
      <c r="I11" s="28"/>
      <c r="J11" s="28"/>
      <c r="K11" s="28"/>
      <c r="L11" s="28"/>
      <c r="M11" s="28"/>
      <c r="N11" s="28"/>
      <c r="O11" s="67">
        <v>1298</v>
      </c>
      <c r="P11" s="28"/>
      <c r="Q11" s="28"/>
      <c r="R11" s="28"/>
      <c r="S11" s="28"/>
      <c r="T11" s="28"/>
      <c r="U11" s="67">
        <v>-430000</v>
      </c>
      <c r="V11" s="28"/>
      <c r="W11" s="67">
        <v>107661</v>
      </c>
      <c r="X11" s="28"/>
      <c r="Y11" s="28"/>
      <c r="Z11" s="28"/>
      <c r="AA11" s="28"/>
      <c r="AB11" s="28"/>
      <c r="AC11" s="28"/>
    </row>
    <row r="12" spans="1:29" ht="13">
      <c r="A12" s="27">
        <v>2006</v>
      </c>
      <c r="B12" s="28"/>
      <c r="C12" s="67">
        <v>97021</v>
      </c>
      <c r="D12" s="67">
        <v>557874</v>
      </c>
      <c r="E12" s="67">
        <v>35939</v>
      </c>
      <c r="F12" s="28"/>
      <c r="G12" s="28"/>
      <c r="H12" s="28"/>
      <c r="I12" s="28"/>
      <c r="J12" s="28"/>
      <c r="K12" s="28"/>
      <c r="L12" s="28"/>
      <c r="M12" s="28"/>
      <c r="N12" s="28"/>
      <c r="O12" s="67">
        <v>2864</v>
      </c>
      <c r="P12" s="28"/>
      <c r="Q12" s="28"/>
      <c r="R12" s="28"/>
      <c r="S12" s="28"/>
      <c r="T12" s="28"/>
      <c r="U12" s="67">
        <v>-144000</v>
      </c>
      <c r="V12" s="28"/>
      <c r="W12" s="67">
        <v>109687</v>
      </c>
      <c r="X12" s="28"/>
      <c r="Y12" s="28"/>
      <c r="Z12" s="28"/>
      <c r="AA12" s="28"/>
      <c r="AB12" s="28"/>
      <c r="AC12" s="28"/>
    </row>
    <row r="13" spans="1:29" ht="13">
      <c r="A13" s="27">
        <v>2007</v>
      </c>
      <c r="B13" s="28"/>
      <c r="C13" s="67">
        <v>230785</v>
      </c>
      <c r="D13" s="67">
        <v>666164</v>
      </c>
      <c r="E13" s="67">
        <v>63782</v>
      </c>
      <c r="F13" s="28"/>
      <c r="G13" s="28"/>
      <c r="H13" s="28"/>
      <c r="I13" s="28"/>
      <c r="J13" s="28"/>
      <c r="K13" s="28"/>
      <c r="L13" s="28"/>
      <c r="M13" s="28"/>
      <c r="N13" s="28"/>
      <c r="O13" s="67">
        <v>3586</v>
      </c>
      <c r="P13" s="28"/>
      <c r="Q13" s="28"/>
      <c r="R13" s="28"/>
      <c r="S13" s="28"/>
      <c r="T13" s="28"/>
      <c r="U13" s="67">
        <v>-41000</v>
      </c>
      <c r="V13" s="28"/>
      <c r="W13" s="67">
        <v>107682</v>
      </c>
      <c r="X13" s="28"/>
      <c r="Y13" s="28"/>
      <c r="Z13" s="28"/>
      <c r="AA13" s="28"/>
      <c r="AB13" s="28"/>
      <c r="AC13" s="28"/>
    </row>
    <row r="14" spans="1:29" ht="13">
      <c r="A14" s="27">
        <v>2008</v>
      </c>
      <c r="B14" s="28"/>
      <c r="C14" s="67">
        <v>332542</v>
      </c>
      <c r="D14" s="67">
        <v>713283</v>
      </c>
      <c r="E14" s="67">
        <v>81110</v>
      </c>
      <c r="F14" s="28"/>
      <c r="G14" s="28"/>
      <c r="H14" s="28"/>
      <c r="I14" s="28"/>
      <c r="J14" s="28"/>
      <c r="K14" s="28"/>
      <c r="L14" s="28"/>
      <c r="M14" s="28"/>
      <c r="N14" s="28"/>
      <c r="O14" s="67">
        <v>7968</v>
      </c>
      <c r="P14" s="28"/>
      <c r="Q14" s="28"/>
      <c r="R14" s="28"/>
      <c r="S14" s="28"/>
      <c r="T14" s="28"/>
      <c r="U14" s="67">
        <v>-301000</v>
      </c>
      <c r="V14" s="28"/>
      <c r="W14" s="67">
        <v>161068</v>
      </c>
      <c r="X14" s="28"/>
      <c r="Y14" s="28"/>
      <c r="Z14" s="28"/>
      <c r="AA14" s="28"/>
      <c r="AB14" s="28"/>
      <c r="AC14" s="28"/>
    </row>
    <row r="15" spans="1:29" ht="13">
      <c r="A15" s="27">
        <v>2009</v>
      </c>
      <c r="B15" s="28"/>
      <c r="C15" s="67">
        <v>510028</v>
      </c>
      <c r="D15" s="67">
        <v>617237</v>
      </c>
      <c r="E15" s="67">
        <v>117381</v>
      </c>
      <c r="F15" s="67">
        <v>191314</v>
      </c>
      <c r="G15" s="28"/>
      <c r="H15" s="28"/>
      <c r="I15" s="28"/>
      <c r="J15" s="67">
        <v>-8821</v>
      </c>
      <c r="K15" s="28"/>
      <c r="L15" s="67">
        <v>111429</v>
      </c>
      <c r="M15" s="28"/>
      <c r="N15" s="28"/>
      <c r="O15" s="67">
        <v>7850</v>
      </c>
      <c r="P15" s="28"/>
      <c r="Q15" s="28"/>
      <c r="R15" s="28"/>
      <c r="S15" s="28"/>
      <c r="T15" s="28"/>
      <c r="U15" s="67">
        <v>-328000</v>
      </c>
      <c r="V15" s="28"/>
      <c r="W15" s="67">
        <v>223288</v>
      </c>
      <c r="X15" s="28"/>
      <c r="Y15" s="28"/>
      <c r="Z15" s="28"/>
      <c r="AA15" s="28"/>
      <c r="AB15" s="28"/>
      <c r="AC15" s="28"/>
    </row>
    <row r="16" spans="1:29" ht="13">
      <c r="A16" s="27">
        <v>2010</v>
      </c>
      <c r="B16" s="28"/>
      <c r="C16" s="67">
        <v>837261</v>
      </c>
      <c r="D16" s="67">
        <v>651524</v>
      </c>
      <c r="E16" s="67">
        <v>185101</v>
      </c>
      <c r="F16" s="67">
        <v>253780</v>
      </c>
      <c r="G16" s="28"/>
      <c r="H16" s="28"/>
      <c r="I16" s="28"/>
      <c r="J16" s="67">
        <v>-4414</v>
      </c>
      <c r="K16" s="28"/>
      <c r="L16" s="67">
        <v>140495</v>
      </c>
      <c r="M16" s="28"/>
      <c r="N16" s="28"/>
      <c r="O16" s="67">
        <v>11151</v>
      </c>
      <c r="P16" s="28"/>
      <c r="Q16" s="28"/>
      <c r="R16" s="28"/>
      <c r="S16" s="28"/>
      <c r="T16" s="28"/>
      <c r="U16" s="67">
        <v>-55856</v>
      </c>
      <c r="V16" s="28"/>
      <c r="W16" s="67">
        <v>92457</v>
      </c>
      <c r="X16" s="28"/>
      <c r="Y16" s="28"/>
      <c r="Z16" s="28"/>
      <c r="AA16" s="28"/>
      <c r="AB16" s="28"/>
      <c r="AC16" s="28"/>
    </row>
    <row r="17" spans="1:29" ht="13">
      <c r="A17" s="27">
        <v>2011</v>
      </c>
      <c r="B17" s="28"/>
      <c r="C17" s="67">
        <v>1452746</v>
      </c>
      <c r="D17" s="67">
        <v>655398</v>
      </c>
      <c r="E17" s="67">
        <v>202113</v>
      </c>
      <c r="F17" s="67">
        <v>305574</v>
      </c>
      <c r="G17" s="28"/>
      <c r="H17" s="28"/>
      <c r="I17" s="28"/>
      <c r="J17" s="67">
        <v>6057</v>
      </c>
      <c r="K17" s="28"/>
      <c r="L17" s="67">
        <v>172018</v>
      </c>
      <c r="M17" s="28"/>
      <c r="N17" s="28"/>
      <c r="O17" s="67">
        <v>14663</v>
      </c>
      <c r="P17" s="28"/>
      <c r="Q17" s="28"/>
      <c r="R17" s="28"/>
      <c r="S17" s="28"/>
      <c r="T17" s="28"/>
      <c r="U17" s="67">
        <v>-35226</v>
      </c>
      <c r="V17" s="28"/>
      <c r="W17" s="67">
        <v>216739</v>
      </c>
      <c r="X17" s="28"/>
      <c r="Y17" s="28"/>
      <c r="Z17" s="28"/>
      <c r="AA17" s="28"/>
      <c r="AB17" s="28"/>
      <c r="AC17" s="28"/>
    </row>
    <row r="18" spans="1:29" ht="13">
      <c r="A18" s="27">
        <v>2012</v>
      </c>
      <c r="B18" s="28"/>
      <c r="C18" s="67">
        <v>1894934</v>
      </c>
      <c r="D18" s="67">
        <v>744701</v>
      </c>
      <c r="E18" s="67">
        <v>140533</v>
      </c>
      <c r="F18" s="67">
        <v>322000</v>
      </c>
      <c r="G18" s="28"/>
      <c r="H18" s="67">
        <v>120127</v>
      </c>
      <c r="I18" s="28"/>
      <c r="J18" s="67">
        <v>6866</v>
      </c>
      <c r="K18" s="28"/>
      <c r="L18" s="67">
        <v>212283</v>
      </c>
      <c r="M18" s="28"/>
      <c r="N18" s="28"/>
      <c r="O18" s="67">
        <v>18571</v>
      </c>
      <c r="P18" s="28"/>
      <c r="Q18" s="28"/>
      <c r="R18" s="67">
        <v>14930</v>
      </c>
      <c r="S18" s="28"/>
      <c r="T18" s="28"/>
      <c r="U18" s="67">
        <v>-298565</v>
      </c>
      <c r="V18" s="28"/>
      <c r="W18" s="67">
        <v>343698</v>
      </c>
      <c r="X18" s="28"/>
      <c r="Y18" s="28"/>
      <c r="Z18" s="28"/>
      <c r="AA18" s="28"/>
      <c r="AB18" s="28"/>
      <c r="AC18" s="28"/>
    </row>
    <row r="19" spans="1:29" ht="13">
      <c r="A19" s="27">
        <v>2013</v>
      </c>
      <c r="B19" s="28"/>
      <c r="C19" s="67">
        <v>2530389</v>
      </c>
      <c r="D19" s="67">
        <v>793926</v>
      </c>
      <c r="E19" s="67">
        <v>183961</v>
      </c>
      <c r="F19" s="67">
        <v>330000</v>
      </c>
      <c r="G19" s="28"/>
      <c r="H19" s="67">
        <v>128565</v>
      </c>
      <c r="I19" s="28"/>
      <c r="J19" s="67">
        <v>-14239</v>
      </c>
      <c r="K19" s="28"/>
      <c r="L19" s="67">
        <v>272010</v>
      </c>
      <c r="M19" s="28"/>
      <c r="N19" s="28"/>
      <c r="O19" s="67">
        <v>11132</v>
      </c>
      <c r="P19" s="28"/>
      <c r="Q19" s="28"/>
      <c r="R19" s="67">
        <v>28964</v>
      </c>
      <c r="S19" s="28"/>
      <c r="T19" s="28"/>
      <c r="U19" s="67">
        <v>80</v>
      </c>
      <c r="V19" s="28"/>
      <c r="W19" s="67">
        <v>337657</v>
      </c>
      <c r="X19" s="28"/>
      <c r="Y19" s="28"/>
      <c r="Z19" s="28"/>
      <c r="AA19" s="28"/>
      <c r="AB19" s="28"/>
      <c r="AC19" s="28"/>
    </row>
    <row r="20" spans="1:29" ht="13">
      <c r="A20" s="27">
        <v>2014</v>
      </c>
      <c r="B20" s="28"/>
      <c r="C20" s="67">
        <v>3281132</v>
      </c>
      <c r="D20" s="67">
        <v>930365</v>
      </c>
      <c r="E20" s="67">
        <v>5119</v>
      </c>
      <c r="F20" s="67">
        <v>409000</v>
      </c>
      <c r="G20" s="67">
        <v>-327</v>
      </c>
      <c r="H20" s="67">
        <v>114840</v>
      </c>
      <c r="I20" s="28"/>
      <c r="J20" s="67">
        <v>-9710</v>
      </c>
      <c r="K20" s="28"/>
      <c r="L20" s="67">
        <v>312938</v>
      </c>
      <c r="M20" s="28"/>
      <c r="N20" s="67">
        <v>-5936</v>
      </c>
      <c r="O20" s="67">
        <v>22516</v>
      </c>
      <c r="P20" s="28"/>
      <c r="Q20" s="28"/>
      <c r="R20" s="67">
        <v>28961</v>
      </c>
      <c r="S20" s="28"/>
      <c r="T20" s="28"/>
      <c r="U20" s="67">
        <v>44561</v>
      </c>
      <c r="V20" s="28"/>
      <c r="W20" s="67">
        <v>348963</v>
      </c>
      <c r="X20" s="67">
        <v>19670.7624</v>
      </c>
      <c r="Y20" s="28"/>
      <c r="Z20" s="67">
        <v>363</v>
      </c>
      <c r="AA20" s="28"/>
      <c r="AB20" s="28"/>
      <c r="AC20" s="28"/>
    </row>
    <row r="21" spans="1:29" ht="13">
      <c r="A21" s="27">
        <v>2015</v>
      </c>
      <c r="B21" s="67">
        <v>-123697</v>
      </c>
      <c r="C21" s="67">
        <v>3531401</v>
      </c>
      <c r="D21" s="67">
        <v>914195</v>
      </c>
      <c r="E21" s="67">
        <v>107411</v>
      </c>
      <c r="F21" s="67">
        <v>325000</v>
      </c>
      <c r="G21" s="67">
        <v>-16365</v>
      </c>
      <c r="H21" s="67" t="s">
        <v>328</v>
      </c>
      <c r="I21" s="67">
        <v>-39928</v>
      </c>
      <c r="J21" s="67">
        <v>-6484</v>
      </c>
      <c r="K21" s="28"/>
      <c r="L21" s="67">
        <v>321278</v>
      </c>
      <c r="M21" s="28"/>
      <c r="N21" s="67">
        <v>-7282</v>
      </c>
      <c r="O21" s="67">
        <v>22623</v>
      </c>
      <c r="P21" s="28"/>
      <c r="Q21" s="28"/>
      <c r="R21" s="67">
        <v>-11897</v>
      </c>
      <c r="S21" s="28"/>
      <c r="T21" s="28"/>
      <c r="U21" s="28"/>
      <c r="V21" s="28"/>
      <c r="W21" s="67">
        <v>423461</v>
      </c>
      <c r="X21" s="67">
        <v>16293.4905</v>
      </c>
      <c r="Y21" s="67">
        <v>8580</v>
      </c>
      <c r="Z21" s="67">
        <v>2023</v>
      </c>
      <c r="AA21" s="28"/>
      <c r="AB21" s="67">
        <v>-15206.205</v>
      </c>
      <c r="AC21" s="28"/>
    </row>
    <row r="22" spans="1:29" ht="13">
      <c r="A22" s="27">
        <v>2016</v>
      </c>
      <c r="B22" s="67">
        <v>-132993</v>
      </c>
      <c r="C22" s="67">
        <v>4156135</v>
      </c>
      <c r="D22" s="67">
        <v>1358701</v>
      </c>
      <c r="E22" s="67">
        <v>-122254</v>
      </c>
      <c r="F22" s="67">
        <v>268000</v>
      </c>
      <c r="G22" s="67">
        <v>-22620</v>
      </c>
      <c r="H22" s="67">
        <v>98202</v>
      </c>
      <c r="I22" s="67">
        <v>48011</v>
      </c>
      <c r="J22" s="67">
        <v>-55524</v>
      </c>
      <c r="K22" s="28"/>
      <c r="L22" s="67">
        <v>225701</v>
      </c>
      <c r="M22" s="44"/>
      <c r="N22" s="67">
        <v>-5531</v>
      </c>
      <c r="O22" s="67">
        <v>27290</v>
      </c>
      <c r="P22" s="28"/>
      <c r="Q22" s="28"/>
      <c r="R22" s="67">
        <v>24802</v>
      </c>
      <c r="S22" s="28"/>
      <c r="T22" s="28"/>
      <c r="U22" s="28"/>
      <c r="V22" s="28"/>
      <c r="W22" s="67">
        <v>315409</v>
      </c>
      <c r="X22" s="67">
        <v>20876.493999999999</v>
      </c>
      <c r="Y22" s="67">
        <v>12715</v>
      </c>
      <c r="Z22" s="67">
        <v>6254</v>
      </c>
      <c r="AA22" s="28"/>
      <c r="AB22" s="67">
        <v>-47364.313000000002</v>
      </c>
      <c r="AC22" s="28"/>
    </row>
    <row r="23" spans="1:29" ht="13">
      <c r="A23" s="27">
        <v>2017</v>
      </c>
      <c r="B23" s="67">
        <v>-2020</v>
      </c>
      <c r="C23" s="67">
        <v>4928000</v>
      </c>
      <c r="D23" s="67">
        <v>1556832</v>
      </c>
      <c r="E23" s="67">
        <v>585014</v>
      </c>
      <c r="F23" s="67">
        <v>236000</v>
      </c>
      <c r="G23" s="67">
        <v>-11209</v>
      </c>
      <c r="H23" s="67">
        <v>106966</v>
      </c>
      <c r="I23" s="67">
        <v>85065</v>
      </c>
      <c r="J23" s="67">
        <v>-105639</v>
      </c>
      <c r="K23" s="28"/>
      <c r="L23" s="67">
        <v>138715</v>
      </c>
      <c r="M23" s="44"/>
      <c r="N23" s="67">
        <v>-5181</v>
      </c>
      <c r="O23" s="67">
        <v>32912</v>
      </c>
      <c r="P23" s="28"/>
      <c r="Q23" s="28"/>
      <c r="R23" s="67">
        <v>10189</v>
      </c>
      <c r="S23" s="67">
        <v>3535</v>
      </c>
      <c r="T23" s="67">
        <v>-24499</v>
      </c>
      <c r="U23" s="28"/>
      <c r="V23" s="28"/>
      <c r="W23" s="67">
        <v>316255</v>
      </c>
      <c r="X23" s="67">
        <v>32520.82935</v>
      </c>
      <c r="Y23" s="67">
        <v>16365</v>
      </c>
      <c r="Z23" s="67">
        <v>11178</v>
      </c>
      <c r="AA23" s="67">
        <v>-5605</v>
      </c>
      <c r="AB23" s="67">
        <v>-179941</v>
      </c>
      <c r="AC23" s="28"/>
    </row>
    <row r="24" spans="1:29" ht="13">
      <c r="A24" s="27">
        <v>2018</v>
      </c>
      <c r="B24" s="67">
        <v>101145</v>
      </c>
      <c r="C24" s="67">
        <v>5767000</v>
      </c>
      <c r="D24" s="67">
        <v>1742000</v>
      </c>
      <c r="E24" s="67">
        <v>523420</v>
      </c>
      <c r="F24" s="67">
        <v>299000</v>
      </c>
      <c r="G24" s="67">
        <v>-6998</v>
      </c>
      <c r="H24" s="67">
        <v>124771</v>
      </c>
      <c r="I24" s="67">
        <v>60878</v>
      </c>
      <c r="J24" s="67">
        <v>-186657</v>
      </c>
      <c r="K24" s="28"/>
      <c r="L24" s="67">
        <v>-15350</v>
      </c>
      <c r="M24" s="44"/>
      <c r="N24" s="67">
        <v>-451</v>
      </c>
      <c r="O24" s="67">
        <v>65233</v>
      </c>
      <c r="P24" s="28"/>
      <c r="Q24" s="28"/>
      <c r="R24" s="67">
        <v>31660</v>
      </c>
      <c r="S24" s="67">
        <v>2394</v>
      </c>
      <c r="T24" s="67">
        <v>-45137</v>
      </c>
      <c r="U24" s="28"/>
      <c r="V24" s="28"/>
      <c r="W24" s="67">
        <v>312757</v>
      </c>
      <c r="X24" s="67">
        <v>54584.302250000001</v>
      </c>
      <c r="Y24" s="67">
        <v>12729</v>
      </c>
      <c r="Z24" s="67">
        <v>9411</v>
      </c>
      <c r="AA24" s="67">
        <v>-1463</v>
      </c>
      <c r="AB24" s="67">
        <v>-192346</v>
      </c>
      <c r="AC24" s="28"/>
    </row>
    <row r="25" spans="1:29" ht="13">
      <c r="A25" s="27">
        <v>2019</v>
      </c>
      <c r="B25" s="67">
        <v>-383481</v>
      </c>
      <c r="C25" s="67">
        <v>5814000</v>
      </c>
      <c r="D25" s="67">
        <v>1871000</v>
      </c>
      <c r="E25" s="67">
        <v>878202</v>
      </c>
      <c r="F25" s="67">
        <v>313000</v>
      </c>
      <c r="G25" s="67">
        <v>56321</v>
      </c>
      <c r="H25" s="67">
        <v>134236</v>
      </c>
      <c r="I25" s="67">
        <v>13876</v>
      </c>
      <c r="J25" s="67">
        <v>-126176</v>
      </c>
      <c r="K25" s="67">
        <v>-7675</v>
      </c>
      <c r="L25" s="67">
        <v>59114</v>
      </c>
      <c r="M25" s="44"/>
      <c r="N25" s="67">
        <v>-144</v>
      </c>
      <c r="O25" s="67">
        <v>73033</v>
      </c>
      <c r="P25" s="28"/>
      <c r="Q25" s="28"/>
      <c r="R25" s="67">
        <v>62203</v>
      </c>
      <c r="S25" s="67">
        <v>4823</v>
      </c>
      <c r="T25" s="67">
        <v>-28862</v>
      </c>
      <c r="U25" s="28"/>
      <c r="V25" s="28"/>
      <c r="W25" s="67">
        <v>336752</v>
      </c>
      <c r="X25" s="67">
        <v>63801.981599999999</v>
      </c>
      <c r="Y25" s="67">
        <v>28191</v>
      </c>
      <c r="Z25" s="67">
        <v>-1255</v>
      </c>
      <c r="AA25" s="67">
        <v>-33</v>
      </c>
      <c r="AB25" s="67">
        <v>-257109</v>
      </c>
      <c r="AC25" s="28"/>
    </row>
    <row r="26" spans="1:29" ht="13">
      <c r="A26" s="27">
        <v>2020</v>
      </c>
      <c r="B26" s="67">
        <v>-3308992</v>
      </c>
      <c r="C26" s="67">
        <v>911000</v>
      </c>
      <c r="D26" s="67">
        <v>-634000</v>
      </c>
      <c r="E26" s="67">
        <v>-31523</v>
      </c>
      <c r="F26" s="67">
        <v>-160000</v>
      </c>
      <c r="G26" s="67">
        <v>-41943</v>
      </c>
      <c r="H26" s="67">
        <v>112081</v>
      </c>
      <c r="I26" s="67">
        <v>-143561</v>
      </c>
      <c r="J26" s="67">
        <v>-124249</v>
      </c>
      <c r="K26" s="67">
        <v>-3074</v>
      </c>
      <c r="L26" s="67">
        <v>10001</v>
      </c>
      <c r="M26" s="44"/>
      <c r="N26" s="67">
        <v>-9428</v>
      </c>
      <c r="O26" s="67">
        <v>17432</v>
      </c>
      <c r="P26" s="28"/>
      <c r="Q26" s="28"/>
      <c r="R26" s="67">
        <v>-55124</v>
      </c>
      <c r="S26" s="67">
        <v>5938</v>
      </c>
      <c r="T26" s="67">
        <v>3493</v>
      </c>
      <c r="U26" s="28"/>
      <c r="V26" s="28"/>
      <c r="W26" s="67">
        <v>312986</v>
      </c>
      <c r="X26" s="67">
        <v>-140830.82200000001</v>
      </c>
      <c r="Y26" s="67">
        <v>-17062</v>
      </c>
      <c r="Z26" s="67">
        <v>-42584</v>
      </c>
      <c r="AA26" s="67">
        <v>-729</v>
      </c>
      <c r="AB26" s="67">
        <v>-148388</v>
      </c>
      <c r="AC26" s="28"/>
    </row>
    <row r="27" spans="1:29" ht="13">
      <c r="A27" s="27">
        <v>2021</v>
      </c>
      <c r="B27" s="67">
        <v>721566</v>
      </c>
      <c r="C27" s="67">
        <v>2930000</v>
      </c>
      <c r="D27" s="67">
        <v>1076000</v>
      </c>
      <c r="E27" s="67">
        <v>-61221</v>
      </c>
      <c r="F27" s="67">
        <v>-20000</v>
      </c>
      <c r="G27" s="67">
        <v>20840</v>
      </c>
      <c r="H27" s="67">
        <v>-48550</v>
      </c>
      <c r="I27" s="67">
        <v>-56919</v>
      </c>
      <c r="J27" s="67">
        <v>-34267</v>
      </c>
      <c r="K27" s="67">
        <v>729</v>
      </c>
      <c r="L27" s="67">
        <v>-85988</v>
      </c>
      <c r="M27" s="67">
        <v>-45045.931640000003</v>
      </c>
      <c r="N27" s="67">
        <v>-880</v>
      </c>
      <c r="O27" s="67">
        <v>-45764</v>
      </c>
      <c r="P27" s="67">
        <v>4355</v>
      </c>
      <c r="Q27" s="28"/>
      <c r="R27" s="67">
        <f>-16931*1.1</f>
        <v>-18624.100000000002</v>
      </c>
      <c r="S27" s="67">
        <v>10690</v>
      </c>
      <c r="T27" s="67">
        <v>-6201</v>
      </c>
      <c r="U27" s="28"/>
      <c r="V27" s="28"/>
      <c r="W27" s="67">
        <v>-248581</v>
      </c>
      <c r="X27" s="67">
        <v>-123090.36839999999</v>
      </c>
      <c r="Y27" s="67">
        <v>-10617</v>
      </c>
      <c r="Z27" s="67">
        <v>-2949</v>
      </c>
      <c r="AA27" s="67">
        <v>-37958</v>
      </c>
      <c r="AB27" s="67">
        <v>-145636</v>
      </c>
      <c r="AC27" s="28"/>
    </row>
    <row r="28" spans="1:29" ht="13">
      <c r="A28" s="27">
        <v>2022</v>
      </c>
      <c r="B28" s="67">
        <v>1980300</v>
      </c>
      <c r="C28" s="67">
        <v>5354000</v>
      </c>
      <c r="D28" s="67">
        <v>1981000</v>
      </c>
      <c r="E28" s="67">
        <v>126253</v>
      </c>
      <c r="F28" s="67">
        <v>196000</v>
      </c>
      <c r="G28" s="67">
        <v>75208</v>
      </c>
      <c r="H28" s="67">
        <v>3989</v>
      </c>
      <c r="I28" s="67">
        <v>34804</v>
      </c>
      <c r="J28" s="67">
        <v>-876</v>
      </c>
      <c r="K28" s="67">
        <v>-1452</v>
      </c>
      <c r="L28" s="67">
        <v>-13673</v>
      </c>
      <c r="M28" s="67">
        <v>-25781.08383</v>
      </c>
      <c r="N28" s="67">
        <v>4369</v>
      </c>
      <c r="O28" s="67">
        <v>-17957</v>
      </c>
      <c r="P28" s="67">
        <v>23465</v>
      </c>
      <c r="Q28" s="28"/>
      <c r="R28" s="67">
        <f>-13811*1.1</f>
        <v>-15192.1</v>
      </c>
      <c r="S28" s="67">
        <v>18072</v>
      </c>
      <c r="T28" s="67">
        <v>-667</v>
      </c>
      <c r="U28" s="28"/>
      <c r="V28" s="28"/>
      <c r="W28" s="67">
        <v>-321237</v>
      </c>
      <c r="X28" s="67">
        <v>38098.675999999999</v>
      </c>
      <c r="Y28" s="67">
        <v>40393</v>
      </c>
      <c r="Z28" s="67">
        <v>10768</v>
      </c>
      <c r="AA28" s="67">
        <v>-77311</v>
      </c>
      <c r="AB28" s="67">
        <v>-96338</v>
      </c>
      <c r="AC28" s="28"/>
    </row>
    <row r="29" spans="1:29" ht="13">
      <c r="A29" s="27">
        <v>2023</v>
      </c>
      <c r="B29" s="67">
        <v>1562000</v>
      </c>
      <c r="C29" s="67">
        <v>6344000</v>
      </c>
      <c r="D29" s="67">
        <v>2274000</v>
      </c>
      <c r="E29" s="67">
        <v>1699563</v>
      </c>
      <c r="F29" s="67">
        <v>238000</v>
      </c>
      <c r="G29" s="67">
        <v>48726</v>
      </c>
      <c r="H29" s="67">
        <v>25120</v>
      </c>
      <c r="I29" s="67">
        <v>101809</v>
      </c>
      <c r="J29" s="67">
        <v>50823</v>
      </c>
      <c r="K29" s="67">
        <v>4764</v>
      </c>
      <c r="L29" s="67">
        <v>78222</v>
      </c>
      <c r="M29" s="67">
        <v>13698.35608</v>
      </c>
      <c r="N29" s="67">
        <v>3425</v>
      </c>
      <c r="O29" s="67">
        <v>85377</v>
      </c>
      <c r="P29" s="67">
        <v>33410</v>
      </c>
      <c r="Q29" s="28"/>
      <c r="R29" s="67">
        <f>10883*1.1</f>
        <v>11971.300000000001</v>
      </c>
      <c r="S29" s="67">
        <v>22214</v>
      </c>
      <c r="T29" s="67">
        <v>3294</v>
      </c>
      <c r="U29" s="28"/>
      <c r="V29" s="28"/>
      <c r="W29" s="67">
        <v>-152353</v>
      </c>
      <c r="X29" s="67">
        <v>119060</v>
      </c>
      <c r="Y29" s="67">
        <v>74332</v>
      </c>
      <c r="Z29" s="67">
        <v>30741</v>
      </c>
      <c r="AA29" s="28"/>
      <c r="AB29" s="67">
        <v>11857</v>
      </c>
      <c r="AC29" s="28"/>
    </row>
    <row r="30" spans="1:29" ht="13">
      <c r="A30" s="27">
        <v>2024</v>
      </c>
      <c r="B30" s="28"/>
      <c r="C30" s="28"/>
      <c r="D30" s="28"/>
      <c r="E30" s="28"/>
      <c r="F30" s="28"/>
      <c r="G30" s="28"/>
      <c r="H30" s="67">
        <v>85821</v>
      </c>
      <c r="I30" s="28"/>
      <c r="J30" s="67">
        <v>103378</v>
      </c>
      <c r="K30" s="67">
        <v>6364</v>
      </c>
      <c r="L30" s="28"/>
      <c r="M30" s="28"/>
      <c r="N30" s="67">
        <v>5452</v>
      </c>
      <c r="O30" s="67">
        <v>124696</v>
      </c>
      <c r="P30" s="28"/>
      <c r="Q30" s="28"/>
      <c r="R30" s="28"/>
      <c r="S30" s="67">
        <v>27370</v>
      </c>
      <c r="T30" s="67">
        <v>464</v>
      </c>
      <c r="U30" s="28"/>
      <c r="V30" s="28"/>
      <c r="W30" s="67">
        <v>177529</v>
      </c>
      <c r="X30" s="28"/>
      <c r="Y30" s="28"/>
      <c r="Z30" s="28"/>
      <c r="AA30" s="28"/>
      <c r="AB30" s="28"/>
      <c r="AC30" s="28"/>
    </row>
    <row r="31" spans="1:29" ht="13">
      <c r="A31" s="28"/>
      <c r="B31" s="28"/>
      <c r="C31" s="28"/>
      <c r="D31" s="28"/>
      <c r="E31" s="28"/>
      <c r="F31" s="28"/>
      <c r="G31" s="28"/>
      <c r="H31" s="28"/>
      <c r="I31" s="28"/>
      <c r="J31" s="28"/>
      <c r="K31" s="28"/>
      <c r="L31" s="28"/>
      <c r="M31" s="28"/>
      <c r="N31" s="28"/>
      <c r="O31" s="28"/>
      <c r="P31" s="28"/>
      <c r="Q31" s="28"/>
      <c r="R31" s="28"/>
      <c r="S31" s="28"/>
      <c r="T31" s="28"/>
      <c r="U31" s="28"/>
      <c r="V31" s="28"/>
      <c r="W31" s="67">
        <v>303452</v>
      </c>
      <c r="X31" s="28"/>
      <c r="Y31" s="28"/>
      <c r="Z31" s="28"/>
      <c r="AA31" s="28"/>
      <c r="AB31" s="28"/>
      <c r="AC31" s="28"/>
    </row>
    <row r="32" spans="1:29" ht="13">
      <c r="A32" s="28"/>
      <c r="B32" s="28"/>
      <c r="C32" s="28"/>
      <c r="D32" s="28"/>
      <c r="E32" s="28"/>
      <c r="F32" s="28"/>
      <c r="G32" s="28"/>
      <c r="H32" s="28"/>
      <c r="I32" s="28"/>
      <c r="J32" s="28"/>
      <c r="K32" s="28"/>
      <c r="L32" s="28"/>
      <c r="M32" s="28"/>
      <c r="N32" s="28"/>
      <c r="O32" s="28"/>
      <c r="P32" s="28"/>
      <c r="Q32" s="28"/>
      <c r="R32" s="28"/>
      <c r="S32" s="28"/>
      <c r="T32" s="28"/>
      <c r="U32" s="28"/>
      <c r="V32" s="28"/>
      <c r="W32" s="28"/>
      <c r="X32" s="28"/>
      <c r="Y32" s="28"/>
      <c r="Z32" s="28"/>
      <c r="AA32" s="28"/>
      <c r="AB32" s="28"/>
      <c r="AC32" s="28"/>
    </row>
    <row r="33" spans="1:29" ht="13">
      <c r="A33" s="28"/>
      <c r="B33" s="28"/>
      <c r="C33" s="28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28"/>
      <c r="O33" s="28"/>
      <c r="P33" s="28"/>
      <c r="Q33" s="28"/>
      <c r="R33" s="28"/>
      <c r="S33" s="28"/>
      <c r="T33" s="28"/>
      <c r="U33" s="28"/>
      <c r="V33" s="28"/>
      <c r="W33" s="28"/>
      <c r="X33" s="28"/>
      <c r="Y33" s="28"/>
      <c r="Z33" s="28"/>
      <c r="AA33" s="28"/>
      <c r="AB33" s="28"/>
      <c r="AC33" s="28"/>
    </row>
    <row r="34" spans="1:29" ht="13">
      <c r="A34" s="28"/>
      <c r="B34" s="28"/>
      <c r="C34" s="28"/>
      <c r="D34" s="28"/>
      <c r="E34" s="28"/>
      <c r="F34" s="28"/>
      <c r="G34" s="28"/>
      <c r="H34" s="28"/>
      <c r="I34" s="28"/>
      <c r="J34" s="28"/>
      <c r="K34" s="28"/>
      <c r="L34" s="28"/>
      <c r="M34" s="28"/>
      <c r="N34" s="28"/>
      <c r="O34" s="28"/>
      <c r="P34" s="28"/>
      <c r="Q34" s="28"/>
      <c r="R34" s="28"/>
      <c r="S34" s="28"/>
      <c r="T34" s="28"/>
      <c r="U34" s="28"/>
      <c r="V34" s="28"/>
      <c r="W34" s="28"/>
      <c r="X34" s="28"/>
      <c r="Y34" s="28"/>
      <c r="Z34" s="28"/>
      <c r="AA34" s="28"/>
      <c r="AB34" s="28"/>
      <c r="AC34" s="28"/>
    </row>
    <row r="35" spans="1:29" ht="13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8"/>
      <c r="R35" s="28"/>
      <c r="S35" s="28"/>
      <c r="T35" s="28"/>
      <c r="U35" s="28"/>
      <c r="V35" s="28"/>
      <c r="W35" s="28"/>
      <c r="X35" s="28"/>
      <c r="Y35" s="28"/>
      <c r="Z35" s="28"/>
      <c r="AA35" s="28"/>
      <c r="AB35" s="28"/>
      <c r="AC35" s="28"/>
    </row>
    <row r="36" spans="1:29" ht="13">
      <c r="A36" s="28"/>
      <c r="B36" s="28"/>
      <c r="C36" s="28"/>
      <c r="D36" s="28"/>
      <c r="E36" s="28"/>
      <c r="F36" s="28"/>
      <c r="G36" s="28"/>
      <c r="H36" s="28"/>
      <c r="I36" s="28"/>
      <c r="J36" s="28"/>
      <c r="K36" s="28"/>
      <c r="L36" s="28"/>
      <c r="M36" s="28"/>
      <c r="N36" s="28"/>
      <c r="O36" s="28"/>
      <c r="P36" s="28"/>
      <c r="Q36" s="28"/>
      <c r="R36" s="28"/>
      <c r="S36" s="28"/>
      <c r="T36" s="28"/>
      <c r="U36" s="28"/>
      <c r="V36" s="28"/>
      <c r="W36" s="28"/>
      <c r="X36" s="28"/>
      <c r="Y36" s="28"/>
      <c r="Z36" s="28"/>
      <c r="AA36" s="28"/>
      <c r="AB36" s="28"/>
      <c r="AC36" s="28"/>
    </row>
    <row r="37" spans="1:29" ht="13">
      <c r="A37" s="28"/>
      <c r="B37" s="28"/>
      <c r="C37" s="28"/>
      <c r="D37" s="28"/>
      <c r="E37" s="28"/>
      <c r="F37" s="28"/>
      <c r="G37" s="28"/>
      <c r="H37" s="28"/>
      <c r="I37" s="28"/>
      <c r="J37" s="28"/>
      <c r="K37" s="28"/>
      <c r="L37" s="28"/>
      <c r="M37" s="28"/>
      <c r="N37" s="28"/>
      <c r="O37" s="28"/>
      <c r="P37" s="28"/>
      <c r="Q37" s="28"/>
      <c r="R37" s="28"/>
      <c r="S37" s="28"/>
      <c r="T37" s="28"/>
      <c r="U37" s="28"/>
      <c r="V37" s="28"/>
      <c r="W37" s="28"/>
      <c r="X37" s="28"/>
      <c r="Y37" s="28"/>
      <c r="Z37" s="28"/>
      <c r="AA37" s="28"/>
      <c r="AB37" s="28"/>
      <c r="AC37" s="28"/>
    </row>
    <row r="38" spans="1:29" ht="13">
      <c r="A38" s="28"/>
      <c r="B38" s="28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  <c r="O38" s="28"/>
      <c r="P38" s="28"/>
      <c r="Q38" s="28"/>
      <c r="R38" s="28"/>
      <c r="S38" s="28"/>
      <c r="T38" s="28"/>
      <c r="U38" s="28"/>
      <c r="V38" s="28"/>
      <c r="W38" s="28"/>
      <c r="X38" s="28"/>
      <c r="Y38" s="28"/>
      <c r="Z38" s="28"/>
      <c r="AA38" s="28"/>
      <c r="AB38" s="28"/>
      <c r="AC38" s="28"/>
    </row>
    <row r="39" spans="1:29" ht="13">
      <c r="A39" s="28"/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/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  <c r="AC39" s="28"/>
    </row>
    <row r="40" spans="1:29" ht="13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  <c r="Y40" s="28"/>
      <c r="Z40" s="28"/>
      <c r="AA40" s="28"/>
      <c r="AB40" s="28"/>
      <c r="AC40" s="28"/>
    </row>
    <row r="41" spans="1:29" ht="13">
      <c r="A41" s="28"/>
      <c r="B41" s="28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  <c r="O41" s="28"/>
      <c r="P41" s="28"/>
      <c r="Q41" s="28"/>
      <c r="R41" s="28"/>
      <c r="S41" s="28"/>
      <c r="T41" s="28"/>
      <c r="U41" s="28"/>
      <c r="V41" s="28"/>
      <c r="W41" s="28"/>
      <c r="X41" s="28"/>
      <c r="Y41" s="28"/>
      <c r="Z41" s="28"/>
      <c r="AA41" s="28"/>
      <c r="AB41" s="28"/>
      <c r="AC41" s="28"/>
    </row>
    <row r="42" spans="1:29" ht="13">
      <c r="A42" s="28"/>
      <c r="B42" s="28"/>
      <c r="C42" s="28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28"/>
      <c r="AC42" s="28"/>
    </row>
    <row r="43" spans="1:29" ht="13">
      <c r="A43" s="28"/>
      <c r="B43" s="28"/>
      <c r="C43" s="28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28"/>
      <c r="O43" s="28"/>
      <c r="P43" s="28"/>
      <c r="Q43" s="28"/>
      <c r="R43" s="28"/>
      <c r="S43" s="28"/>
      <c r="T43" s="28"/>
      <c r="U43" s="28"/>
      <c r="V43" s="28"/>
      <c r="W43" s="28"/>
      <c r="X43" s="28"/>
      <c r="Y43" s="28"/>
      <c r="Z43" s="28"/>
      <c r="AA43" s="28"/>
      <c r="AB43" s="28"/>
      <c r="AC43" s="28"/>
    </row>
    <row r="44" spans="1:29" ht="13">
      <c r="A44" s="28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  <c r="T44" s="28"/>
      <c r="U44" s="28"/>
      <c r="V44" s="28"/>
      <c r="W44" s="28"/>
      <c r="X44" s="28"/>
      <c r="Y44" s="28"/>
      <c r="Z44" s="28"/>
      <c r="AA44" s="28"/>
      <c r="AB44" s="28"/>
      <c r="AC44" s="28"/>
    </row>
    <row r="45" spans="1:29" ht="13">
      <c r="A45" s="28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  <c r="T45" s="28"/>
      <c r="U45" s="28"/>
      <c r="V45" s="28"/>
      <c r="W45" s="28"/>
      <c r="X45" s="28"/>
      <c r="Y45" s="28"/>
      <c r="Z45" s="28"/>
      <c r="AA45" s="28"/>
      <c r="AB45" s="28"/>
      <c r="AC45" s="28"/>
    </row>
    <row r="46" spans="1:29" ht="13">
      <c r="A46" s="28"/>
      <c r="B46" s="28"/>
      <c r="C46" s="28"/>
      <c r="D46" s="28"/>
      <c r="E46" s="28"/>
      <c r="F46" s="28"/>
      <c r="G46" s="28"/>
      <c r="H46" s="28"/>
      <c r="I46" s="28"/>
      <c r="J46" s="28"/>
      <c r="K46" s="28"/>
      <c r="L46" s="28"/>
      <c r="M46" s="2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28"/>
      <c r="AC46" s="28"/>
    </row>
    <row r="47" spans="1:29" ht="13">
      <c r="A47" s="28"/>
      <c r="B47" s="28"/>
      <c r="C47" s="28"/>
      <c r="D47" s="28"/>
      <c r="E47" s="28"/>
      <c r="F47" s="28"/>
      <c r="G47" s="28"/>
      <c r="H47" s="28"/>
      <c r="I47" s="28"/>
      <c r="J47" s="28"/>
      <c r="K47" s="28"/>
      <c r="L47" s="28"/>
      <c r="M47" s="2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28"/>
      <c r="AC47" s="28"/>
    </row>
    <row r="48" spans="1:29" ht="13">
      <c r="A48" s="28"/>
      <c r="B48" s="28"/>
      <c r="C48" s="28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28"/>
      <c r="AC48" s="28"/>
    </row>
    <row r="49" spans="1:29" ht="13">
      <c r="A49" s="28"/>
      <c r="B49" s="28"/>
      <c r="C49" s="28"/>
      <c r="D49" s="28"/>
      <c r="E49" s="28"/>
      <c r="F49" s="28"/>
      <c r="G49" s="28"/>
      <c r="H49" s="28"/>
      <c r="I49" s="28"/>
      <c r="J49" s="28"/>
      <c r="K49" s="28"/>
      <c r="L49" s="28"/>
      <c r="M49" s="2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28"/>
      <c r="AC49" s="28"/>
    </row>
    <row r="50" spans="1:29" ht="13">
      <c r="A50" s="28"/>
      <c r="B50" s="28"/>
      <c r="C50" s="28"/>
      <c r="D50" s="28"/>
      <c r="E50" s="28"/>
      <c r="F50" s="28"/>
      <c r="G50" s="28"/>
      <c r="H50" s="28"/>
      <c r="I50" s="28"/>
      <c r="J50" s="28"/>
      <c r="K50" s="28"/>
      <c r="L50" s="28"/>
      <c r="M50" s="2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</row>
    <row r="51" spans="1:29" ht="13">
      <c r="A51" s="28"/>
      <c r="B51" s="28"/>
      <c r="C51" s="28"/>
      <c r="D51" s="28"/>
      <c r="E51" s="28"/>
      <c r="F51" s="28"/>
      <c r="G51" s="28"/>
      <c r="H51" s="28"/>
      <c r="I51" s="28"/>
      <c r="J51" s="28"/>
      <c r="K51" s="28"/>
      <c r="L51" s="28"/>
      <c r="M51" s="2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</row>
    <row r="52" spans="1:29" ht="13">
      <c r="A52" s="28"/>
      <c r="B52" s="28"/>
      <c r="C52" s="28"/>
      <c r="D52" s="28"/>
      <c r="E52" s="28"/>
      <c r="F52" s="28"/>
      <c r="G52" s="28"/>
      <c r="H52" s="28"/>
      <c r="I52" s="28"/>
      <c r="J52" s="28"/>
      <c r="K52" s="28"/>
      <c r="L52" s="28"/>
      <c r="M52" s="2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28"/>
      <c r="AC52" s="28"/>
    </row>
    <row r="53" spans="1:29" ht="13">
      <c r="A53" s="28"/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/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  <c r="AC53" s="28"/>
    </row>
    <row r="54" spans="1:29" ht="13">
      <c r="A54" s="28"/>
      <c r="B54" s="28"/>
      <c r="C54" s="28"/>
      <c r="D54" s="28"/>
      <c r="E54" s="28"/>
      <c r="F54" s="28"/>
      <c r="G54" s="28"/>
      <c r="H54" s="28"/>
      <c r="I54" s="28"/>
      <c r="J54" s="28"/>
      <c r="K54" s="28"/>
      <c r="L54" s="28"/>
      <c r="M54" s="28"/>
      <c r="N54" s="28"/>
      <c r="O54" s="28"/>
      <c r="P54" s="28"/>
      <c r="Q54" s="28"/>
      <c r="R54" s="28"/>
      <c r="S54" s="28"/>
      <c r="T54" s="28"/>
      <c r="U54" s="28"/>
      <c r="V54" s="28"/>
      <c r="W54" s="28"/>
      <c r="X54" s="28"/>
      <c r="Y54" s="28"/>
      <c r="Z54" s="28"/>
      <c r="AA54" s="28"/>
      <c r="AB54" s="28"/>
      <c r="AC54" s="28"/>
    </row>
    <row r="55" spans="1:29" ht="13">
      <c r="A55" s="28"/>
      <c r="B55" s="28"/>
      <c r="C55" s="28"/>
      <c r="D55" s="28"/>
      <c r="E55" s="28"/>
      <c r="F55" s="28"/>
      <c r="G55" s="28"/>
      <c r="H55" s="28"/>
      <c r="I55" s="28"/>
      <c r="J55" s="28"/>
      <c r="K55" s="28"/>
      <c r="L55" s="28"/>
      <c r="M55" s="28"/>
      <c r="N55" s="28"/>
      <c r="O55" s="28"/>
      <c r="P55" s="28"/>
      <c r="Q55" s="28"/>
      <c r="R55" s="28"/>
      <c r="S55" s="28"/>
      <c r="T55" s="28"/>
      <c r="U55" s="28"/>
      <c r="V55" s="28"/>
      <c r="W55" s="28"/>
      <c r="X55" s="28"/>
      <c r="Y55" s="28"/>
      <c r="Z55" s="28"/>
      <c r="AA55" s="28"/>
      <c r="AB55" s="28"/>
      <c r="AC55" s="28"/>
    </row>
    <row r="56" spans="1:29" ht="13">
      <c r="A56" s="28"/>
      <c r="B56" s="28"/>
      <c r="C56" s="28"/>
      <c r="D56" s="28"/>
      <c r="E56" s="28"/>
      <c r="F56" s="28"/>
      <c r="G56" s="28"/>
      <c r="H56" s="28"/>
      <c r="I56" s="28"/>
      <c r="J56" s="28"/>
      <c r="K56" s="28"/>
      <c r="L56" s="28"/>
      <c r="M56" s="28"/>
      <c r="N56" s="28"/>
      <c r="O56" s="28"/>
      <c r="P56" s="28"/>
      <c r="Q56" s="28"/>
      <c r="R56" s="28"/>
      <c r="S56" s="28"/>
      <c r="T56" s="28"/>
      <c r="U56" s="28"/>
      <c r="V56" s="28"/>
      <c r="W56" s="28"/>
      <c r="X56" s="28"/>
      <c r="Y56" s="28"/>
      <c r="Z56" s="28"/>
      <c r="AA56" s="28"/>
      <c r="AB56" s="28"/>
      <c r="AC56" s="28"/>
    </row>
    <row r="57" spans="1:29" ht="13">
      <c r="A57" s="28"/>
      <c r="B57" s="28"/>
      <c r="C57" s="28"/>
      <c r="D57" s="28"/>
      <c r="E57" s="28"/>
      <c r="F57" s="28"/>
      <c r="G57" s="28"/>
      <c r="H57" s="28"/>
      <c r="I57" s="28"/>
      <c r="J57" s="28"/>
      <c r="K57" s="28"/>
      <c r="L57" s="28"/>
      <c r="M57" s="28"/>
      <c r="N57" s="28"/>
      <c r="O57" s="28"/>
      <c r="P57" s="28"/>
      <c r="Q57" s="28"/>
      <c r="R57" s="28"/>
      <c r="S57" s="28"/>
      <c r="T57" s="28"/>
      <c r="U57" s="28"/>
      <c r="V57" s="28"/>
      <c r="W57" s="28"/>
      <c r="X57" s="28"/>
      <c r="Y57" s="28"/>
      <c r="Z57" s="28"/>
      <c r="AA57" s="28"/>
      <c r="AB57" s="28"/>
      <c r="AC57" s="28"/>
    </row>
    <row r="58" spans="1:29" ht="13">
      <c r="A58" s="28"/>
      <c r="B58" s="28"/>
      <c r="C58" s="28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28"/>
      <c r="O58" s="28"/>
      <c r="P58" s="28"/>
      <c r="Q58" s="28"/>
      <c r="R58" s="28"/>
      <c r="S58" s="28"/>
      <c r="T58" s="28"/>
      <c r="U58" s="28"/>
      <c r="V58" s="28"/>
      <c r="W58" s="28"/>
      <c r="X58" s="28"/>
      <c r="Y58" s="28"/>
      <c r="Z58" s="28"/>
      <c r="AA58" s="28"/>
      <c r="AB58" s="28"/>
      <c r="AC58" s="28"/>
    </row>
    <row r="59" spans="1:29" ht="13">
      <c r="A59" s="28"/>
      <c r="B59" s="28"/>
      <c r="C59" s="28"/>
      <c r="D59" s="28"/>
      <c r="E59" s="28"/>
      <c r="F59" s="28"/>
      <c r="G59" s="28"/>
      <c r="H59" s="28"/>
      <c r="I59" s="28"/>
      <c r="J59" s="28"/>
      <c r="K59" s="28"/>
      <c r="L59" s="28"/>
      <c r="M59" s="28"/>
      <c r="N59" s="28"/>
      <c r="O59" s="28"/>
      <c r="P59" s="28"/>
      <c r="Q59" s="28"/>
      <c r="R59" s="28"/>
      <c r="S59" s="28"/>
      <c r="T59" s="28"/>
      <c r="U59" s="28"/>
      <c r="V59" s="28"/>
      <c r="W59" s="28"/>
      <c r="X59" s="28"/>
      <c r="Y59" s="28"/>
      <c r="Z59" s="28"/>
      <c r="AA59" s="28"/>
      <c r="AB59" s="28"/>
      <c r="AC59" s="28"/>
    </row>
    <row r="60" spans="1:29" ht="13">
      <c r="A60" s="28"/>
      <c r="B60" s="28"/>
      <c r="C60" s="28"/>
      <c r="D60" s="28"/>
      <c r="E60" s="28"/>
      <c r="F60" s="28"/>
      <c r="G60" s="28"/>
      <c r="H60" s="28"/>
      <c r="I60" s="28"/>
      <c r="J60" s="28"/>
      <c r="K60" s="28"/>
      <c r="L60" s="28"/>
      <c r="M60" s="28"/>
      <c r="N60" s="28"/>
      <c r="O60" s="28"/>
      <c r="P60" s="28"/>
      <c r="Q60" s="28"/>
      <c r="R60" s="28"/>
      <c r="S60" s="28"/>
      <c r="T60" s="28"/>
      <c r="U60" s="28"/>
      <c r="V60" s="28"/>
      <c r="W60" s="28"/>
      <c r="X60" s="28"/>
      <c r="Y60" s="28"/>
      <c r="Z60" s="28"/>
      <c r="AA60" s="28"/>
      <c r="AB60" s="28"/>
      <c r="AC60" s="28"/>
    </row>
    <row r="61" spans="1:29" ht="13">
      <c r="A61" s="28"/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  <c r="AC61" s="28"/>
    </row>
    <row r="62" spans="1:29" ht="13">
      <c r="A62" s="28"/>
      <c r="B62" s="28"/>
      <c r="C62" s="28"/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8"/>
      <c r="O62" s="28"/>
      <c r="P62" s="28"/>
      <c r="Q62" s="28"/>
      <c r="R62" s="28"/>
      <c r="S62" s="28"/>
      <c r="T62" s="28"/>
      <c r="U62" s="28"/>
      <c r="V62" s="28"/>
      <c r="W62" s="28"/>
      <c r="X62" s="28"/>
      <c r="Y62" s="28"/>
      <c r="Z62" s="28"/>
      <c r="AA62" s="28"/>
      <c r="AB62" s="28"/>
      <c r="AC62" s="28"/>
    </row>
    <row r="63" spans="1:29" ht="13">
      <c r="A63" s="28"/>
      <c r="B63" s="28"/>
      <c r="C63" s="28"/>
      <c r="D63" s="28"/>
      <c r="E63" s="28"/>
      <c r="F63" s="28"/>
      <c r="G63" s="28"/>
      <c r="H63" s="28"/>
      <c r="I63" s="28"/>
      <c r="J63" s="28"/>
      <c r="K63" s="28"/>
      <c r="L63" s="28"/>
      <c r="M63" s="28"/>
      <c r="N63" s="28"/>
      <c r="O63" s="28"/>
      <c r="P63" s="28"/>
      <c r="Q63" s="28"/>
      <c r="R63" s="28"/>
      <c r="S63" s="28"/>
      <c r="T63" s="28"/>
      <c r="U63" s="28"/>
      <c r="V63" s="28"/>
      <c r="W63" s="28"/>
      <c r="X63" s="28"/>
      <c r="Y63" s="28"/>
      <c r="Z63" s="28"/>
      <c r="AA63" s="28"/>
      <c r="AB63" s="28"/>
      <c r="AC63" s="28"/>
    </row>
    <row r="64" spans="1:29" ht="13">
      <c r="A64" s="28"/>
      <c r="B64" s="28"/>
      <c r="C64" s="28"/>
      <c r="D64" s="28"/>
      <c r="E64" s="28"/>
      <c r="F64" s="28"/>
      <c r="G64" s="28"/>
      <c r="H64" s="28"/>
      <c r="I64" s="28"/>
      <c r="J64" s="28"/>
      <c r="K64" s="28"/>
      <c r="L64" s="28"/>
      <c r="M64" s="28"/>
      <c r="N64" s="28"/>
      <c r="O64" s="28"/>
      <c r="P64" s="28"/>
      <c r="Q64" s="28"/>
      <c r="R64" s="28"/>
      <c r="S64" s="28"/>
      <c r="T64" s="28"/>
      <c r="U64" s="28"/>
      <c r="V64" s="28"/>
      <c r="W64" s="28"/>
      <c r="X64" s="28"/>
      <c r="Y64" s="28"/>
      <c r="Z64" s="28"/>
      <c r="AA64" s="28"/>
      <c r="AB64" s="28"/>
      <c r="AC64" s="28"/>
    </row>
    <row r="65" spans="1:29" ht="13">
      <c r="A65" s="28"/>
      <c r="B65" s="28"/>
      <c r="C65" s="28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8"/>
      <c r="O65" s="28"/>
      <c r="P65" s="28"/>
      <c r="Q65" s="28"/>
      <c r="R65" s="28"/>
      <c r="S65" s="28"/>
      <c r="T65" s="28"/>
      <c r="U65" s="28"/>
      <c r="V65" s="28"/>
      <c r="W65" s="28"/>
      <c r="X65" s="28"/>
      <c r="Y65" s="28"/>
      <c r="Z65" s="28"/>
      <c r="AA65" s="28"/>
      <c r="AB65" s="28"/>
      <c r="AC65" s="28"/>
    </row>
    <row r="66" spans="1:29" ht="13">
      <c r="A66" s="28"/>
      <c r="B66" s="28"/>
      <c r="C66" s="28"/>
      <c r="D66" s="28"/>
      <c r="E66" s="28"/>
      <c r="F66" s="28"/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  <c r="Z66" s="28"/>
      <c r="AA66" s="28"/>
      <c r="AB66" s="28"/>
      <c r="AC66" s="28"/>
    </row>
    <row r="67" spans="1:29" ht="13">
      <c r="A67" s="28"/>
      <c r="B67" s="28"/>
      <c r="C67" s="28"/>
      <c r="D67" s="28"/>
      <c r="E67" s="28"/>
      <c r="F67" s="28"/>
      <c r="G67" s="28"/>
      <c r="H67" s="28"/>
      <c r="I67" s="28"/>
      <c r="J67" s="28"/>
      <c r="K67" s="28"/>
      <c r="L67" s="28"/>
      <c r="M67" s="28"/>
      <c r="N67" s="28"/>
      <c r="O67" s="28"/>
      <c r="P67" s="28"/>
      <c r="Q67" s="28"/>
      <c r="R67" s="28"/>
      <c r="S67" s="28"/>
      <c r="T67" s="28"/>
      <c r="U67" s="28"/>
      <c r="V67" s="28"/>
      <c r="W67" s="28"/>
      <c r="X67" s="28"/>
      <c r="Y67" s="28"/>
      <c r="Z67" s="28"/>
      <c r="AA67" s="28"/>
      <c r="AB67" s="28"/>
      <c r="AC67" s="28"/>
    </row>
    <row r="68" spans="1:29" ht="13">
      <c r="A68" s="28"/>
      <c r="B68" s="28"/>
      <c r="C68" s="28"/>
      <c r="D68" s="28"/>
      <c r="E68" s="28"/>
      <c r="F68" s="28"/>
      <c r="G68" s="28"/>
      <c r="H68" s="28"/>
      <c r="I68" s="28"/>
      <c r="J68" s="28"/>
      <c r="K68" s="28"/>
      <c r="L68" s="28"/>
      <c r="M68" s="28"/>
      <c r="N68" s="28"/>
      <c r="O68" s="28"/>
      <c r="P68" s="28"/>
      <c r="Q68" s="28"/>
      <c r="R68" s="28"/>
      <c r="S68" s="28"/>
      <c r="T68" s="28"/>
      <c r="U68" s="28"/>
      <c r="V68" s="28"/>
      <c r="W68" s="28"/>
      <c r="X68" s="28"/>
      <c r="Y68" s="28"/>
      <c r="Z68" s="28"/>
      <c r="AA68" s="28"/>
      <c r="AB68" s="28"/>
      <c r="AC68" s="28"/>
    </row>
    <row r="69" spans="1:29" ht="13">
      <c r="A69" s="28"/>
      <c r="B69" s="28"/>
      <c r="C69" s="28"/>
      <c r="D69" s="28"/>
      <c r="E69" s="28"/>
      <c r="F69" s="28"/>
      <c r="G69" s="28"/>
      <c r="H69" s="28"/>
      <c r="I69" s="28"/>
      <c r="J69" s="28"/>
      <c r="K69" s="28"/>
      <c r="L69" s="28"/>
      <c r="M69" s="28"/>
      <c r="N69" s="28"/>
      <c r="O69" s="28"/>
      <c r="P69" s="28"/>
      <c r="Q69" s="28"/>
      <c r="R69" s="28"/>
      <c r="S69" s="28"/>
      <c r="T69" s="28"/>
      <c r="U69" s="28"/>
      <c r="V69" s="28"/>
      <c r="W69" s="28"/>
      <c r="X69" s="28"/>
      <c r="Y69" s="28"/>
      <c r="Z69" s="28"/>
      <c r="AA69" s="28"/>
      <c r="AB69" s="28"/>
      <c r="AC69" s="28"/>
    </row>
    <row r="70" spans="1:29" ht="13">
      <c r="A70" s="28"/>
      <c r="B70" s="28"/>
      <c r="C70" s="28"/>
      <c r="D70" s="28"/>
      <c r="E70" s="28"/>
      <c r="F70" s="28"/>
      <c r="G70" s="28"/>
      <c r="H70" s="28"/>
      <c r="I70" s="28"/>
      <c r="J70" s="28"/>
      <c r="K70" s="28"/>
      <c r="L70" s="28"/>
      <c r="M70" s="28"/>
      <c r="N70" s="28"/>
      <c r="O70" s="28"/>
      <c r="P70" s="28"/>
      <c r="Q70" s="28"/>
      <c r="R70" s="28"/>
      <c r="S70" s="28"/>
      <c r="T70" s="28"/>
      <c r="U70" s="28"/>
      <c r="V70" s="28"/>
      <c r="W70" s="28"/>
      <c r="X70" s="28"/>
      <c r="Y70" s="28"/>
      <c r="Z70" s="28"/>
      <c r="AA70" s="28"/>
      <c r="AB70" s="28"/>
      <c r="AC70" s="28"/>
    </row>
    <row r="71" spans="1:29" ht="13">
      <c r="A71" s="28"/>
      <c r="B71" s="28"/>
      <c r="C71" s="28"/>
      <c r="D71" s="28"/>
      <c r="E71" s="28"/>
      <c r="F71" s="28"/>
      <c r="G71" s="28"/>
      <c r="H71" s="28"/>
      <c r="I71" s="28"/>
      <c r="J71" s="28"/>
      <c r="K71" s="28"/>
      <c r="L71" s="28"/>
      <c r="M71" s="28"/>
      <c r="N71" s="28"/>
      <c r="O71" s="28"/>
      <c r="P71" s="28"/>
      <c r="Q71" s="28"/>
      <c r="R71" s="28"/>
      <c r="S71" s="28"/>
      <c r="T71" s="28"/>
      <c r="U71" s="28"/>
      <c r="V71" s="28"/>
      <c r="W71" s="28"/>
      <c r="X71" s="28"/>
      <c r="Y71" s="28"/>
      <c r="Z71" s="28"/>
      <c r="AA71" s="28"/>
      <c r="AB71" s="28"/>
      <c r="AC71" s="28"/>
    </row>
    <row r="72" spans="1:29" ht="13">
      <c r="A72" s="28"/>
      <c r="B72" s="28"/>
      <c r="C72" s="28"/>
      <c r="D72" s="28"/>
      <c r="E72" s="28"/>
      <c r="F72" s="28"/>
      <c r="G72" s="28"/>
      <c r="H72" s="28"/>
      <c r="I72" s="28"/>
      <c r="J72" s="28"/>
      <c r="K72" s="28"/>
      <c r="L72" s="28"/>
      <c r="M72" s="28"/>
      <c r="N72" s="28"/>
      <c r="O72" s="28"/>
      <c r="P72" s="28"/>
      <c r="Q72" s="28"/>
      <c r="R72" s="28"/>
      <c r="S72" s="28"/>
      <c r="T72" s="28"/>
      <c r="U72" s="28"/>
      <c r="V72" s="28"/>
      <c r="W72" s="28"/>
      <c r="X72" s="28"/>
      <c r="Y72" s="28"/>
      <c r="Z72" s="28"/>
      <c r="AA72" s="28"/>
      <c r="AB72" s="28"/>
      <c r="AC72" s="28"/>
    </row>
    <row r="73" spans="1:29" ht="13">
      <c r="A73" s="28"/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  <c r="O73" s="28"/>
      <c r="P73" s="28"/>
      <c r="Q73" s="28"/>
      <c r="R73" s="28"/>
      <c r="S73" s="28"/>
      <c r="T73" s="28"/>
      <c r="U73" s="28"/>
      <c r="V73" s="28"/>
      <c r="W73" s="28"/>
      <c r="X73" s="28"/>
      <c r="Y73" s="28"/>
      <c r="Z73" s="28"/>
      <c r="AA73" s="28"/>
      <c r="AB73" s="28"/>
      <c r="AC73" s="28"/>
    </row>
    <row r="74" spans="1:29" ht="13">
      <c r="A74" s="28"/>
      <c r="B74" s="28"/>
      <c r="C74" s="28"/>
      <c r="D74" s="28"/>
      <c r="E74" s="28"/>
      <c r="F74" s="28"/>
      <c r="G74" s="28"/>
      <c r="H74" s="28"/>
      <c r="I74" s="28"/>
      <c r="J74" s="28"/>
      <c r="K74" s="28"/>
      <c r="L74" s="28"/>
      <c r="M74" s="28"/>
      <c r="N74" s="28"/>
      <c r="O74" s="28"/>
      <c r="P74" s="28"/>
      <c r="Q74" s="28"/>
      <c r="R74" s="28"/>
      <c r="S74" s="28"/>
      <c r="T74" s="28"/>
      <c r="U74" s="28"/>
      <c r="V74" s="28"/>
      <c r="W74" s="28"/>
      <c r="X74" s="28"/>
      <c r="Y74" s="28"/>
      <c r="Z74" s="28"/>
      <c r="AA74" s="28"/>
      <c r="AB74" s="28"/>
      <c r="AC74" s="28"/>
    </row>
    <row r="75" spans="1:29" ht="13">
      <c r="A75" s="28"/>
      <c r="B75" s="28"/>
      <c r="C75" s="28"/>
      <c r="D75" s="28"/>
      <c r="E75" s="28"/>
      <c r="F75" s="28"/>
      <c r="G75" s="28"/>
      <c r="H75" s="28"/>
      <c r="I75" s="28"/>
      <c r="J75" s="28"/>
      <c r="K75" s="28"/>
      <c r="L75" s="28"/>
      <c r="M75" s="28"/>
      <c r="N75" s="28"/>
      <c r="O75" s="28"/>
      <c r="P75" s="28"/>
      <c r="Q75" s="28"/>
      <c r="R75" s="28"/>
      <c r="S75" s="28"/>
      <c r="T75" s="28"/>
      <c r="U75" s="28"/>
      <c r="V75" s="28"/>
      <c r="W75" s="28"/>
      <c r="X75" s="28"/>
      <c r="Y75" s="28"/>
      <c r="Z75" s="28"/>
      <c r="AA75" s="28"/>
      <c r="AB75" s="28"/>
      <c r="AC75" s="28"/>
    </row>
    <row r="76" spans="1:29" ht="13">
      <c r="A76" s="28"/>
      <c r="B76" s="28"/>
      <c r="C76" s="28"/>
      <c r="D76" s="28"/>
      <c r="E76" s="28"/>
      <c r="F76" s="28"/>
      <c r="G76" s="28"/>
      <c r="H76" s="28"/>
      <c r="I76" s="28"/>
      <c r="J76" s="28"/>
      <c r="K76" s="28"/>
      <c r="L76" s="28"/>
      <c r="M76" s="28"/>
      <c r="N76" s="28"/>
      <c r="O76" s="28"/>
      <c r="P76" s="28"/>
      <c r="Q76" s="28"/>
      <c r="R76" s="28"/>
      <c r="S76" s="28"/>
      <c r="T76" s="28"/>
      <c r="U76" s="28"/>
      <c r="V76" s="28"/>
      <c r="W76" s="28"/>
      <c r="X76" s="28"/>
      <c r="Y76" s="28"/>
      <c r="Z76" s="28"/>
      <c r="AA76" s="28"/>
      <c r="AB76" s="28"/>
      <c r="AC76" s="28"/>
    </row>
    <row r="77" spans="1:29" ht="13">
      <c r="A77" s="28"/>
      <c r="B77" s="28"/>
      <c r="C77" s="28"/>
      <c r="D77" s="28"/>
      <c r="E77" s="28"/>
      <c r="F77" s="28"/>
      <c r="G77" s="28"/>
      <c r="H77" s="28"/>
      <c r="I77" s="28"/>
      <c r="J77" s="28"/>
      <c r="K77" s="28"/>
      <c r="L77" s="28"/>
      <c r="M77" s="28"/>
      <c r="N77" s="28"/>
      <c r="O77" s="28"/>
      <c r="P77" s="28"/>
      <c r="Q77" s="28"/>
      <c r="R77" s="28"/>
      <c r="S77" s="28"/>
      <c r="T77" s="28"/>
      <c r="U77" s="28"/>
      <c r="V77" s="28"/>
      <c r="W77" s="28"/>
      <c r="X77" s="28"/>
      <c r="Y77" s="28"/>
      <c r="Z77" s="28"/>
      <c r="AA77" s="28"/>
      <c r="AB77" s="28"/>
      <c r="AC77" s="28"/>
    </row>
    <row r="78" spans="1:29" ht="13">
      <c r="A78" s="28"/>
      <c r="B78" s="28"/>
      <c r="C78" s="28"/>
      <c r="D78" s="28"/>
      <c r="E78" s="28"/>
      <c r="F78" s="28"/>
      <c r="G78" s="28"/>
      <c r="H78" s="28"/>
      <c r="I78" s="28"/>
      <c r="J78" s="28"/>
      <c r="K78" s="28"/>
      <c r="L78" s="28"/>
      <c r="M78" s="28"/>
      <c r="N78" s="28"/>
      <c r="O78" s="28"/>
      <c r="P78" s="28"/>
      <c r="Q78" s="28"/>
      <c r="R78" s="28"/>
      <c r="S78" s="28"/>
      <c r="T78" s="28"/>
      <c r="U78" s="28"/>
      <c r="V78" s="28"/>
      <c r="W78" s="28"/>
      <c r="X78" s="28"/>
      <c r="Y78" s="28"/>
      <c r="Z78" s="28"/>
      <c r="AA78" s="28"/>
      <c r="AB78" s="28"/>
      <c r="AC78" s="28"/>
    </row>
    <row r="79" spans="1:29" ht="13">
      <c r="A79" s="28"/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28"/>
      <c r="AC79" s="28"/>
    </row>
    <row r="80" spans="1:29" ht="13">
      <c r="A80" s="28"/>
      <c r="B80" s="28"/>
      <c r="C80" s="28"/>
      <c r="D80" s="28"/>
      <c r="E80" s="28"/>
      <c r="F80" s="28"/>
      <c r="G80" s="28"/>
      <c r="H80" s="28"/>
      <c r="I80" s="28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</row>
    <row r="81" spans="1:29" ht="13">
      <c r="A81" s="28"/>
      <c r="B81" s="28"/>
      <c r="C81" s="28"/>
      <c r="D81" s="28"/>
      <c r="E81" s="28"/>
      <c r="F81" s="28"/>
      <c r="G81" s="28"/>
      <c r="H81" s="28"/>
      <c r="I81" s="28"/>
      <c r="J81" s="28"/>
      <c r="K81" s="28"/>
      <c r="L81" s="28"/>
      <c r="M81" s="28"/>
      <c r="N81" s="28"/>
      <c r="O81" s="28"/>
      <c r="P81" s="28"/>
      <c r="Q81" s="28"/>
      <c r="R81" s="28"/>
      <c r="S81" s="28"/>
      <c r="T81" s="28"/>
      <c r="U81" s="28"/>
      <c r="V81" s="28"/>
      <c r="W81" s="28"/>
      <c r="X81" s="28"/>
      <c r="Y81" s="28"/>
      <c r="Z81" s="28"/>
      <c r="AA81" s="28"/>
      <c r="AB81" s="28"/>
      <c r="AC81" s="28"/>
    </row>
    <row r="82" spans="1:29" ht="13">
      <c r="A82" s="28"/>
      <c r="B82" s="28"/>
      <c r="C82" s="28"/>
      <c r="D82" s="28"/>
      <c r="E82" s="28"/>
      <c r="F82" s="28"/>
      <c r="G82" s="28"/>
      <c r="H82" s="28"/>
      <c r="I82" s="28"/>
      <c r="J82" s="28"/>
      <c r="K82" s="28"/>
      <c r="L82" s="28"/>
      <c r="M82" s="28"/>
      <c r="N82" s="28"/>
      <c r="O82" s="28"/>
      <c r="P82" s="28"/>
      <c r="Q82" s="28"/>
      <c r="R82" s="28"/>
      <c r="S82" s="28"/>
      <c r="T82" s="28"/>
      <c r="U82" s="28"/>
      <c r="V82" s="28"/>
      <c r="W82" s="28"/>
      <c r="X82" s="28"/>
      <c r="Y82" s="28"/>
      <c r="Z82" s="28"/>
      <c r="AA82" s="28"/>
      <c r="AB82" s="28"/>
      <c r="AC82" s="28"/>
    </row>
    <row r="83" spans="1:29" ht="13">
      <c r="A83" s="28"/>
      <c r="B83" s="28"/>
      <c r="C83" s="28"/>
      <c r="D83" s="28"/>
      <c r="E83" s="28"/>
      <c r="F83" s="28"/>
      <c r="G83" s="28"/>
      <c r="H83" s="28"/>
      <c r="I83" s="28"/>
      <c r="J83" s="28"/>
      <c r="K83" s="28"/>
      <c r="L83" s="28"/>
      <c r="M83" s="28"/>
      <c r="N83" s="28"/>
      <c r="O83" s="28"/>
      <c r="P83" s="28"/>
      <c r="Q83" s="28"/>
      <c r="R83" s="28"/>
      <c r="S83" s="28"/>
      <c r="T83" s="28"/>
      <c r="U83" s="28"/>
      <c r="V83" s="28"/>
      <c r="W83" s="28"/>
      <c r="X83" s="28"/>
      <c r="Y83" s="28"/>
      <c r="Z83" s="28"/>
      <c r="AA83" s="28"/>
      <c r="AB83" s="28"/>
      <c r="AC83" s="28"/>
    </row>
    <row r="84" spans="1:29" ht="13">
      <c r="A84" s="28"/>
      <c r="B84" s="28"/>
      <c r="C84" s="28"/>
      <c r="D84" s="28"/>
      <c r="E84" s="28"/>
      <c r="F84" s="28"/>
      <c r="G84" s="28"/>
      <c r="H84" s="28"/>
      <c r="I84" s="28"/>
      <c r="J84" s="28"/>
      <c r="K84" s="28"/>
      <c r="L84" s="28"/>
      <c r="M84" s="28"/>
      <c r="N84" s="28"/>
      <c r="O84" s="28"/>
      <c r="P84" s="28"/>
      <c r="Q84" s="28"/>
      <c r="R84" s="28"/>
      <c r="S84" s="28"/>
      <c r="T84" s="28"/>
      <c r="U84" s="28"/>
      <c r="V84" s="28"/>
      <c r="W84" s="28"/>
      <c r="X84" s="28"/>
      <c r="Y84" s="28"/>
      <c r="Z84" s="28"/>
      <c r="AA84" s="28"/>
      <c r="AB84" s="28"/>
      <c r="AC84" s="28"/>
    </row>
    <row r="85" spans="1:29" ht="13">
      <c r="A85" s="28"/>
      <c r="B85" s="28"/>
      <c r="C85" s="28"/>
      <c r="D85" s="28"/>
      <c r="E85" s="28"/>
      <c r="F85" s="28"/>
      <c r="G85" s="28"/>
      <c r="H85" s="28"/>
      <c r="I85" s="28"/>
      <c r="J85" s="28"/>
      <c r="K85" s="28"/>
      <c r="L85" s="28"/>
      <c r="M85" s="28"/>
      <c r="N85" s="28"/>
      <c r="O85" s="28"/>
      <c r="P85" s="28"/>
      <c r="Q85" s="28"/>
      <c r="R85" s="28"/>
      <c r="S85" s="28"/>
      <c r="T85" s="28"/>
      <c r="U85" s="28"/>
      <c r="V85" s="28"/>
      <c r="W85" s="28"/>
      <c r="X85" s="28"/>
      <c r="Y85" s="28"/>
      <c r="Z85" s="28"/>
      <c r="AA85" s="28"/>
      <c r="AB85" s="28"/>
      <c r="AC85" s="28"/>
    </row>
    <row r="86" spans="1:29" ht="13">
      <c r="A86" s="28"/>
      <c r="B86" s="28"/>
      <c r="C86" s="28"/>
      <c r="D86" s="28"/>
      <c r="E86" s="28"/>
      <c r="F86" s="28"/>
      <c r="G86" s="28"/>
      <c r="H86" s="28"/>
      <c r="I86" s="28"/>
      <c r="J86" s="28"/>
      <c r="K86" s="28"/>
      <c r="L86" s="28"/>
      <c r="M86" s="28"/>
      <c r="N86" s="28"/>
      <c r="O86" s="28"/>
      <c r="P86" s="28"/>
      <c r="Q86" s="28"/>
      <c r="R86" s="28"/>
      <c r="S86" s="28"/>
      <c r="T86" s="28"/>
      <c r="U86" s="28"/>
      <c r="V86" s="28"/>
      <c r="W86" s="28"/>
      <c r="X86" s="28"/>
      <c r="Y86" s="28"/>
      <c r="Z86" s="28"/>
      <c r="AA86" s="28"/>
      <c r="AB86" s="28"/>
      <c r="AC86" s="28"/>
    </row>
    <row r="87" spans="1:29" ht="13">
      <c r="A87" s="28"/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  <c r="O87" s="28"/>
      <c r="P87" s="28"/>
      <c r="Q87" s="28"/>
      <c r="R87" s="28"/>
      <c r="S87" s="28"/>
      <c r="T87" s="28"/>
      <c r="U87" s="28"/>
      <c r="V87" s="28"/>
      <c r="W87" s="28"/>
      <c r="X87" s="28"/>
      <c r="Y87" s="28"/>
      <c r="Z87" s="28"/>
      <c r="AA87" s="28"/>
      <c r="AB87" s="28"/>
      <c r="AC87" s="28"/>
    </row>
    <row r="88" spans="1:29" ht="13">
      <c r="A88" s="28"/>
      <c r="B88" s="28"/>
      <c r="C88" s="28"/>
      <c r="D88" s="28"/>
      <c r="E88" s="28"/>
      <c r="F88" s="28"/>
      <c r="G88" s="28"/>
      <c r="H88" s="28"/>
      <c r="I88" s="28"/>
      <c r="J88" s="28"/>
      <c r="K88" s="28"/>
      <c r="L88" s="28"/>
      <c r="M88" s="28"/>
      <c r="N88" s="28"/>
      <c r="O88" s="28"/>
      <c r="P88" s="28"/>
      <c r="Q88" s="28"/>
      <c r="R88" s="28"/>
      <c r="S88" s="28"/>
      <c r="T88" s="28"/>
      <c r="U88" s="28"/>
      <c r="V88" s="28"/>
      <c r="W88" s="28"/>
      <c r="X88" s="28"/>
      <c r="Y88" s="28"/>
      <c r="Z88" s="28"/>
      <c r="AA88" s="28"/>
      <c r="AB88" s="28"/>
      <c r="AC88" s="28"/>
    </row>
    <row r="89" spans="1:29" ht="13">
      <c r="A89" s="28"/>
      <c r="B89" s="28"/>
      <c r="C89" s="28"/>
      <c r="D89" s="28"/>
      <c r="E89" s="28"/>
      <c r="F89" s="28"/>
      <c r="G89" s="28"/>
      <c r="H89" s="28"/>
      <c r="I89" s="28"/>
      <c r="J89" s="28"/>
      <c r="K89" s="28"/>
      <c r="L89" s="28"/>
      <c r="M89" s="28"/>
      <c r="N89" s="28"/>
      <c r="O89" s="28"/>
      <c r="P89" s="28"/>
      <c r="Q89" s="28"/>
      <c r="R89" s="28"/>
      <c r="S89" s="28"/>
      <c r="T89" s="28"/>
      <c r="U89" s="28"/>
      <c r="V89" s="28"/>
      <c r="W89" s="28"/>
      <c r="X89" s="28"/>
      <c r="Y89" s="28"/>
      <c r="Z89" s="28"/>
      <c r="AA89" s="28"/>
      <c r="AB89" s="28"/>
      <c r="AC89" s="28"/>
    </row>
    <row r="90" spans="1:29" ht="13">
      <c r="A90" s="28"/>
      <c r="B90" s="28"/>
      <c r="C90" s="28"/>
      <c r="D90" s="28"/>
      <c r="E90" s="28"/>
      <c r="F90" s="28"/>
      <c r="G90" s="28"/>
      <c r="H90" s="28"/>
      <c r="I90" s="28"/>
      <c r="J90" s="28"/>
      <c r="K90" s="28"/>
      <c r="L90" s="28"/>
      <c r="M90" s="28"/>
      <c r="N90" s="28"/>
      <c r="O90" s="28"/>
      <c r="P90" s="28"/>
      <c r="Q90" s="28"/>
      <c r="R90" s="28"/>
      <c r="S90" s="28"/>
      <c r="T90" s="28"/>
      <c r="U90" s="28"/>
      <c r="V90" s="28"/>
      <c r="W90" s="28"/>
      <c r="X90" s="28"/>
      <c r="Y90" s="28"/>
      <c r="Z90" s="28"/>
      <c r="AA90" s="28"/>
      <c r="AB90" s="28"/>
      <c r="AC90" s="28"/>
    </row>
    <row r="91" spans="1:29" ht="13">
      <c r="A91" s="28"/>
      <c r="B91" s="28"/>
      <c r="C91" s="28"/>
      <c r="D91" s="28"/>
      <c r="E91" s="28"/>
      <c r="F91" s="28"/>
      <c r="G91" s="28"/>
      <c r="H91" s="28"/>
      <c r="I91" s="28"/>
      <c r="J91" s="28"/>
      <c r="K91" s="28"/>
      <c r="L91" s="28"/>
      <c r="M91" s="28"/>
      <c r="N91" s="28"/>
      <c r="O91" s="28"/>
      <c r="P91" s="28"/>
      <c r="Q91" s="28"/>
      <c r="R91" s="28"/>
      <c r="S91" s="28"/>
      <c r="T91" s="28"/>
      <c r="U91" s="28"/>
      <c r="V91" s="28"/>
      <c r="W91" s="28"/>
      <c r="X91" s="28"/>
      <c r="Y91" s="28"/>
      <c r="Z91" s="28"/>
      <c r="AA91" s="28"/>
      <c r="AB91" s="28"/>
      <c r="AC91" s="28"/>
    </row>
    <row r="92" spans="1:29" ht="13">
      <c r="A92" s="28"/>
      <c r="B92" s="28"/>
      <c r="C92" s="28"/>
      <c r="D92" s="28"/>
      <c r="E92" s="28"/>
      <c r="F92" s="28"/>
      <c r="G92" s="28"/>
      <c r="H92" s="28"/>
      <c r="I92" s="28"/>
      <c r="J92" s="28"/>
      <c r="K92" s="28"/>
      <c r="L92" s="28"/>
      <c r="M92" s="28"/>
      <c r="N92" s="28"/>
      <c r="O92" s="28"/>
      <c r="P92" s="28"/>
      <c r="Q92" s="28"/>
      <c r="R92" s="28"/>
      <c r="S92" s="28"/>
      <c r="T92" s="28"/>
      <c r="U92" s="28"/>
      <c r="V92" s="28"/>
      <c r="W92" s="28"/>
      <c r="X92" s="28"/>
      <c r="Y92" s="28"/>
      <c r="Z92" s="28"/>
      <c r="AA92" s="28"/>
      <c r="AB92" s="28"/>
      <c r="AC92" s="28"/>
    </row>
    <row r="93" spans="1:29" ht="13">
      <c r="A93" s="28"/>
      <c r="B93" s="28"/>
      <c r="C93" s="28"/>
      <c r="D93" s="28"/>
      <c r="E93" s="28"/>
      <c r="F93" s="28"/>
      <c r="G93" s="28"/>
      <c r="H93" s="28"/>
      <c r="I93" s="28"/>
      <c r="J93" s="28"/>
      <c r="K93" s="28"/>
      <c r="L93" s="28"/>
      <c r="M93" s="28"/>
      <c r="N93" s="28"/>
      <c r="O93" s="28"/>
      <c r="P93" s="28"/>
      <c r="Q93" s="28"/>
      <c r="R93" s="28"/>
      <c r="S93" s="28"/>
      <c r="T93" s="28"/>
      <c r="U93" s="28"/>
      <c r="V93" s="28"/>
      <c r="W93" s="28"/>
      <c r="X93" s="28"/>
      <c r="Y93" s="28"/>
      <c r="Z93" s="28"/>
      <c r="AA93" s="28"/>
      <c r="AB93" s="28"/>
      <c r="AC93" s="28"/>
    </row>
    <row r="94" spans="1:29" ht="13">
      <c r="A94" s="28"/>
      <c r="B94" s="28"/>
      <c r="C94" s="28"/>
      <c r="D94" s="28"/>
      <c r="E94" s="28"/>
      <c r="F94" s="28"/>
      <c r="G94" s="28"/>
      <c r="H94" s="28"/>
      <c r="I94" s="28"/>
      <c r="J94" s="28"/>
      <c r="K94" s="28"/>
      <c r="L94" s="28"/>
      <c r="M94" s="28"/>
      <c r="N94" s="28"/>
      <c r="O94" s="28"/>
      <c r="P94" s="28"/>
      <c r="Q94" s="28"/>
      <c r="R94" s="28"/>
      <c r="S94" s="28"/>
      <c r="T94" s="28"/>
      <c r="U94" s="28"/>
      <c r="V94" s="28"/>
      <c r="W94" s="28"/>
      <c r="X94" s="28"/>
      <c r="Y94" s="28"/>
      <c r="Z94" s="28"/>
      <c r="AA94" s="28"/>
      <c r="AB94" s="28"/>
      <c r="AC94" s="28"/>
    </row>
    <row r="95" spans="1:29" ht="13">
      <c r="A95" s="28"/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  <c r="O95" s="28"/>
      <c r="P95" s="28"/>
      <c r="Q95" s="28"/>
      <c r="R95" s="28"/>
      <c r="S95" s="28"/>
      <c r="T95" s="28"/>
      <c r="U95" s="28"/>
      <c r="V95" s="28"/>
      <c r="W95" s="28"/>
      <c r="X95" s="28"/>
      <c r="Y95" s="28"/>
      <c r="Z95" s="28"/>
      <c r="AA95" s="28"/>
      <c r="AB95" s="28"/>
      <c r="AC95" s="28"/>
    </row>
    <row r="96" spans="1:29" ht="13">
      <c r="A96" s="28"/>
      <c r="B96" s="28"/>
      <c r="C96" s="28"/>
      <c r="D96" s="28"/>
      <c r="E96" s="28"/>
      <c r="F96" s="28"/>
      <c r="G96" s="28"/>
      <c r="H96" s="28"/>
      <c r="I96" s="28"/>
      <c r="J96" s="28"/>
      <c r="K96" s="28"/>
      <c r="L96" s="28"/>
      <c r="M96" s="28"/>
      <c r="N96" s="28"/>
      <c r="O96" s="28"/>
      <c r="P96" s="28"/>
      <c r="Q96" s="28"/>
      <c r="R96" s="28"/>
      <c r="S96" s="28"/>
      <c r="T96" s="28"/>
      <c r="U96" s="28"/>
      <c r="V96" s="28"/>
      <c r="W96" s="28"/>
      <c r="X96" s="28"/>
      <c r="Y96" s="28"/>
      <c r="Z96" s="28"/>
      <c r="AA96" s="28"/>
      <c r="AB96" s="28"/>
      <c r="AC96" s="28"/>
    </row>
    <row r="97" spans="1:29" ht="13">
      <c r="A97" s="28"/>
      <c r="B97" s="28"/>
      <c r="C97" s="28"/>
      <c r="D97" s="28"/>
      <c r="E97" s="28"/>
      <c r="F97" s="28"/>
      <c r="G97" s="28"/>
      <c r="H97" s="28"/>
      <c r="I97" s="28"/>
      <c r="J97" s="28"/>
      <c r="K97" s="28"/>
      <c r="L97" s="28"/>
      <c r="M97" s="28"/>
      <c r="N97" s="28"/>
      <c r="O97" s="28"/>
      <c r="P97" s="28"/>
      <c r="Q97" s="28"/>
      <c r="R97" s="28"/>
      <c r="S97" s="28"/>
      <c r="T97" s="28"/>
      <c r="U97" s="28"/>
      <c r="V97" s="28"/>
      <c r="W97" s="28"/>
      <c r="X97" s="28"/>
      <c r="Y97" s="28"/>
      <c r="Z97" s="28"/>
      <c r="AA97" s="28"/>
      <c r="AB97" s="28"/>
      <c r="AC97" s="28"/>
    </row>
    <row r="98" spans="1:29" ht="13">
      <c r="A98" s="28"/>
      <c r="B98" s="28"/>
      <c r="C98" s="28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28"/>
      <c r="AC98" s="28"/>
    </row>
    <row r="99" spans="1:29" ht="13">
      <c r="A99" s="28"/>
      <c r="B99" s="28"/>
      <c r="C99" s="28"/>
      <c r="D99" s="28"/>
      <c r="E99" s="28"/>
      <c r="F99" s="28"/>
      <c r="G99" s="28"/>
      <c r="H99" s="28"/>
      <c r="I99" s="28"/>
      <c r="J99" s="28"/>
      <c r="K99" s="28"/>
      <c r="L99" s="28"/>
      <c r="M99" s="28"/>
      <c r="N99" s="28"/>
      <c r="O99" s="28"/>
      <c r="P99" s="28"/>
      <c r="Q99" s="28"/>
      <c r="R99" s="28"/>
      <c r="S99" s="28"/>
      <c r="T99" s="28"/>
      <c r="U99" s="28"/>
      <c r="V99" s="28"/>
      <c r="W99" s="28"/>
      <c r="X99" s="28"/>
      <c r="Y99" s="28"/>
      <c r="Z99" s="28"/>
      <c r="AA99" s="28"/>
      <c r="AB99" s="28"/>
      <c r="AC99" s="28"/>
    </row>
    <row r="100" spans="1:29" ht="13">
      <c r="A100" s="28"/>
      <c r="B100" s="28"/>
      <c r="C100" s="28"/>
      <c r="D100" s="28"/>
      <c r="E100" s="28"/>
      <c r="F100" s="28"/>
      <c r="G100" s="28"/>
      <c r="H100" s="28"/>
      <c r="I100" s="28"/>
      <c r="J100" s="28"/>
      <c r="K100" s="28"/>
      <c r="L100" s="28"/>
      <c r="M100" s="28"/>
      <c r="N100" s="28"/>
      <c r="O100" s="28"/>
      <c r="P100" s="28"/>
      <c r="Q100" s="28"/>
      <c r="R100" s="28"/>
      <c r="S100" s="28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</row>
    <row r="101" spans="1:29" ht="13">
      <c r="A101" s="28"/>
      <c r="B101" s="28"/>
      <c r="C101" s="28"/>
      <c r="D101" s="28"/>
      <c r="E101" s="28"/>
      <c r="F101" s="28"/>
      <c r="G101" s="28"/>
      <c r="H101" s="28"/>
      <c r="I101" s="28"/>
      <c r="J101" s="28"/>
      <c r="K101" s="28"/>
      <c r="L101" s="28"/>
      <c r="M101" s="28"/>
      <c r="N101" s="28"/>
      <c r="O101" s="28"/>
      <c r="P101" s="28"/>
      <c r="Q101" s="28"/>
      <c r="R101" s="28"/>
      <c r="S101" s="28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</row>
    <row r="102" spans="1:29" ht="13">
      <c r="A102" s="28"/>
      <c r="B102" s="28"/>
      <c r="C102" s="28"/>
      <c r="D102" s="28"/>
      <c r="E102" s="28"/>
      <c r="F102" s="28"/>
      <c r="G102" s="28"/>
      <c r="H102" s="28"/>
      <c r="I102" s="28"/>
      <c r="J102" s="28"/>
      <c r="K102" s="28"/>
      <c r="L102" s="28"/>
      <c r="M102" s="28"/>
      <c r="N102" s="28"/>
      <c r="O102" s="28"/>
      <c r="P102" s="28"/>
      <c r="Q102" s="28"/>
      <c r="R102" s="28"/>
      <c r="S102" s="28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</row>
    <row r="103" spans="1:29" ht="13">
      <c r="A103" s="28"/>
      <c r="B103" s="28"/>
      <c r="C103" s="28"/>
      <c r="D103" s="28"/>
      <c r="E103" s="28"/>
      <c r="F103" s="28"/>
      <c r="G103" s="28"/>
      <c r="H103" s="28"/>
      <c r="I103" s="28"/>
      <c r="J103" s="28"/>
      <c r="K103" s="28"/>
      <c r="L103" s="28"/>
      <c r="M103" s="28"/>
      <c r="N103" s="28"/>
      <c r="O103" s="28"/>
      <c r="P103" s="28"/>
      <c r="Q103" s="28"/>
      <c r="R103" s="28"/>
      <c r="S103" s="28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</row>
    <row r="104" spans="1:29" ht="13">
      <c r="A104" s="28"/>
      <c r="B104" s="28"/>
      <c r="C104" s="28"/>
      <c r="D104" s="28"/>
      <c r="E104" s="28"/>
      <c r="F104" s="28"/>
      <c r="G104" s="28"/>
      <c r="H104" s="28"/>
      <c r="I104" s="28"/>
      <c r="J104" s="28"/>
      <c r="K104" s="28"/>
      <c r="L104" s="28"/>
      <c r="M104" s="28"/>
      <c r="N104" s="28"/>
      <c r="O104" s="28"/>
      <c r="P104" s="28"/>
      <c r="Q104" s="28"/>
      <c r="R104" s="28"/>
      <c r="S104" s="28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</row>
    <row r="105" spans="1:29" ht="13">
      <c r="A105" s="28"/>
      <c r="B105" s="28"/>
      <c r="C105" s="28"/>
      <c r="D105" s="28"/>
      <c r="E105" s="28"/>
      <c r="F105" s="28"/>
      <c r="G105" s="28"/>
      <c r="H105" s="28"/>
      <c r="I105" s="28"/>
      <c r="J105" s="28"/>
      <c r="K105" s="28"/>
      <c r="L105" s="28"/>
      <c r="M105" s="28"/>
      <c r="N105" s="28"/>
      <c r="O105" s="28"/>
      <c r="P105" s="28"/>
      <c r="Q105" s="28"/>
      <c r="R105" s="28"/>
      <c r="S105" s="28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</row>
    <row r="106" spans="1:29" ht="13">
      <c r="A106" s="28"/>
      <c r="B106" s="28"/>
      <c r="C106" s="28"/>
      <c r="D106" s="28"/>
      <c r="E106" s="28"/>
      <c r="F106" s="28"/>
      <c r="G106" s="28"/>
      <c r="H106" s="28"/>
      <c r="I106" s="28"/>
      <c r="J106" s="28"/>
      <c r="K106" s="28"/>
      <c r="L106" s="28"/>
      <c r="M106" s="28"/>
      <c r="N106" s="28"/>
      <c r="O106" s="28"/>
      <c r="P106" s="28"/>
      <c r="Q106" s="28"/>
      <c r="R106" s="28"/>
      <c r="S106" s="28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</row>
    <row r="107" spans="1:29" ht="13">
      <c r="A107" s="28"/>
      <c r="B107" s="28"/>
      <c r="C107" s="28"/>
      <c r="D107" s="28"/>
      <c r="E107" s="28"/>
      <c r="F107" s="28"/>
      <c r="G107" s="28"/>
      <c r="H107" s="28"/>
      <c r="I107" s="28"/>
      <c r="J107" s="28"/>
      <c r="K107" s="28"/>
      <c r="L107" s="28"/>
      <c r="M107" s="28"/>
      <c r="N107" s="28"/>
      <c r="O107" s="28"/>
      <c r="P107" s="28"/>
      <c r="Q107" s="28"/>
      <c r="R107" s="28"/>
      <c r="S107" s="28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</row>
    <row r="108" spans="1:29" ht="13">
      <c r="A108" s="28"/>
      <c r="B108" s="28"/>
      <c r="C108" s="28"/>
      <c r="D108" s="28"/>
      <c r="E108" s="28"/>
      <c r="F108" s="28"/>
      <c r="G108" s="28"/>
      <c r="H108" s="28"/>
      <c r="I108" s="28"/>
      <c r="J108" s="28"/>
      <c r="K108" s="28"/>
      <c r="L108" s="28"/>
      <c r="M108" s="28"/>
      <c r="N108" s="28"/>
      <c r="O108" s="28"/>
      <c r="P108" s="28"/>
      <c r="Q108" s="28"/>
      <c r="R108" s="28"/>
      <c r="S108" s="28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</row>
    <row r="109" spans="1:29" ht="13">
      <c r="A109" s="28"/>
      <c r="B109" s="28"/>
      <c r="C109" s="28"/>
      <c r="D109" s="28"/>
      <c r="E109" s="28"/>
      <c r="F109" s="28"/>
      <c r="G109" s="28"/>
      <c r="H109" s="28"/>
      <c r="I109" s="28"/>
      <c r="J109" s="28"/>
      <c r="K109" s="28"/>
      <c r="L109" s="28"/>
      <c r="M109" s="28"/>
      <c r="N109" s="28"/>
      <c r="O109" s="28"/>
      <c r="P109" s="28"/>
      <c r="Q109" s="28"/>
      <c r="R109" s="28"/>
      <c r="S109" s="28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</row>
    <row r="110" spans="1:29" ht="13">
      <c r="A110" s="28"/>
      <c r="B110" s="28"/>
      <c r="C110" s="28"/>
      <c r="D110" s="28"/>
      <c r="E110" s="28"/>
      <c r="F110" s="28"/>
      <c r="G110" s="28"/>
      <c r="H110" s="28"/>
      <c r="I110" s="28"/>
      <c r="J110" s="28"/>
      <c r="K110" s="28"/>
      <c r="L110" s="28"/>
      <c r="M110" s="28"/>
      <c r="N110" s="28"/>
      <c r="O110" s="28"/>
      <c r="P110" s="28"/>
      <c r="Q110" s="28"/>
      <c r="R110" s="28"/>
      <c r="S110" s="28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</row>
    <row r="111" spans="1:29" ht="13">
      <c r="A111" s="28"/>
      <c r="B111" s="28"/>
      <c r="C111" s="28"/>
      <c r="D111" s="28"/>
      <c r="E111" s="28"/>
      <c r="F111" s="28"/>
      <c r="G111" s="28"/>
      <c r="H111" s="28"/>
      <c r="I111" s="28"/>
      <c r="J111" s="28"/>
      <c r="K111" s="28"/>
      <c r="L111" s="28"/>
      <c r="M111" s="28"/>
      <c r="N111" s="28"/>
      <c r="O111" s="28"/>
      <c r="P111" s="28"/>
      <c r="Q111" s="28"/>
      <c r="R111" s="28"/>
      <c r="S111" s="28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</row>
    <row r="112" spans="1:29" ht="13">
      <c r="A112" s="28"/>
      <c r="B112" s="28"/>
      <c r="C112" s="28"/>
      <c r="D112" s="28"/>
      <c r="E112" s="28"/>
      <c r="F112" s="28"/>
      <c r="G112" s="28"/>
      <c r="H112" s="28"/>
      <c r="I112" s="28"/>
      <c r="J112" s="28"/>
      <c r="K112" s="28"/>
      <c r="L112" s="28"/>
      <c r="M112" s="28"/>
      <c r="N112" s="28"/>
      <c r="O112" s="28"/>
      <c r="P112" s="28"/>
      <c r="Q112" s="28"/>
      <c r="R112" s="28"/>
      <c r="S112" s="28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</row>
    <row r="113" spans="1:29" ht="13">
      <c r="A113" s="28"/>
      <c r="B113" s="28"/>
      <c r="C113" s="28"/>
      <c r="D113" s="28"/>
      <c r="E113" s="28"/>
      <c r="F113" s="28"/>
      <c r="G113" s="28"/>
      <c r="H113" s="28"/>
      <c r="I113" s="28"/>
      <c r="J113" s="28"/>
      <c r="K113" s="28"/>
      <c r="L113" s="28"/>
      <c r="M113" s="28"/>
      <c r="N113" s="28"/>
      <c r="O113" s="28"/>
      <c r="P113" s="28"/>
      <c r="Q113" s="28"/>
      <c r="R113" s="28"/>
      <c r="S113" s="28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</row>
    <row r="114" spans="1:29" ht="13">
      <c r="A114" s="28"/>
      <c r="B114" s="28"/>
      <c r="C114" s="28"/>
      <c r="D114" s="28"/>
      <c r="E114" s="28"/>
      <c r="F114" s="28"/>
      <c r="G114" s="28"/>
      <c r="H114" s="28"/>
      <c r="I114" s="28"/>
      <c r="J114" s="28"/>
      <c r="K114" s="28"/>
      <c r="L114" s="28"/>
      <c r="M114" s="28"/>
      <c r="N114" s="28"/>
      <c r="O114" s="28"/>
      <c r="P114" s="28"/>
      <c r="Q114" s="28"/>
      <c r="R114" s="28"/>
      <c r="S114" s="28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</row>
    <row r="115" spans="1:29" ht="13">
      <c r="A115" s="28"/>
      <c r="B115" s="28"/>
      <c r="C115" s="28"/>
      <c r="D115" s="28"/>
      <c r="E115" s="28"/>
      <c r="F115" s="28"/>
      <c r="G115" s="28"/>
      <c r="H115" s="28"/>
      <c r="I115" s="28"/>
      <c r="J115" s="28"/>
      <c r="K115" s="28"/>
      <c r="L115" s="28"/>
      <c r="M115" s="28"/>
      <c r="N115" s="28"/>
      <c r="O115" s="28"/>
      <c r="P115" s="28"/>
      <c r="Q115" s="28"/>
      <c r="R115" s="28"/>
      <c r="S115" s="28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</row>
    <row r="116" spans="1:29" ht="13">
      <c r="A116" s="28"/>
      <c r="B116" s="28"/>
      <c r="C116" s="28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</row>
    <row r="117" spans="1:29" ht="13">
      <c r="A117" s="28"/>
      <c r="B117" s="28"/>
      <c r="C117" s="28"/>
      <c r="D117" s="28"/>
      <c r="E117" s="28"/>
      <c r="F117" s="28"/>
      <c r="G117" s="28"/>
      <c r="H117" s="28"/>
      <c r="I117" s="28"/>
      <c r="J117" s="28"/>
      <c r="K117" s="28"/>
      <c r="L117" s="28"/>
      <c r="M117" s="28"/>
      <c r="N117" s="28"/>
      <c r="O117" s="28"/>
      <c r="P117" s="28"/>
      <c r="Q117" s="28"/>
      <c r="R117" s="28"/>
      <c r="S117" s="28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</row>
    <row r="118" spans="1:29" ht="13">
      <c r="A118" s="28"/>
      <c r="B118" s="28"/>
      <c r="C118" s="28"/>
      <c r="D118" s="28"/>
      <c r="E118" s="28"/>
      <c r="F118" s="28"/>
      <c r="G118" s="28"/>
      <c r="H118" s="28"/>
      <c r="I118" s="28"/>
      <c r="J118" s="28"/>
      <c r="K118" s="28"/>
      <c r="L118" s="28"/>
      <c r="M118" s="28"/>
      <c r="N118" s="28"/>
      <c r="O118" s="28"/>
      <c r="P118" s="28"/>
      <c r="Q118" s="28"/>
      <c r="R118" s="28"/>
      <c r="S118" s="28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</row>
    <row r="119" spans="1:29" ht="13">
      <c r="A119" s="28"/>
      <c r="B119" s="28"/>
      <c r="C119" s="28"/>
      <c r="D119" s="28"/>
      <c r="E119" s="28"/>
      <c r="F119" s="28"/>
      <c r="G119" s="28"/>
      <c r="H119" s="28"/>
      <c r="I119" s="28"/>
      <c r="J119" s="28"/>
      <c r="K119" s="28"/>
      <c r="L119" s="28"/>
      <c r="M119" s="28"/>
      <c r="N119" s="28"/>
      <c r="O119" s="28"/>
      <c r="P119" s="28"/>
      <c r="Q119" s="28"/>
      <c r="R119" s="28"/>
      <c r="S119" s="28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</row>
    <row r="120" spans="1:29" ht="13">
      <c r="A120" s="28"/>
      <c r="B120" s="28"/>
      <c r="C120" s="28"/>
      <c r="D120" s="28"/>
      <c r="E120" s="28"/>
      <c r="F120" s="28"/>
      <c r="G120" s="28"/>
      <c r="H120" s="28"/>
      <c r="I120" s="28"/>
      <c r="J120" s="28"/>
      <c r="K120" s="28"/>
      <c r="L120" s="28"/>
      <c r="M120" s="28"/>
      <c r="N120" s="28"/>
      <c r="O120" s="28"/>
      <c r="P120" s="28"/>
      <c r="Q120" s="28"/>
      <c r="R120" s="28"/>
      <c r="S120" s="28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</row>
    <row r="121" spans="1:29" ht="13">
      <c r="A121" s="28"/>
      <c r="B121" s="28"/>
      <c r="C121" s="28"/>
      <c r="D121" s="28"/>
      <c r="E121" s="28"/>
      <c r="F121" s="28"/>
      <c r="G121" s="28"/>
      <c r="H121" s="28"/>
      <c r="I121" s="28"/>
      <c r="J121" s="28"/>
      <c r="K121" s="28"/>
      <c r="L121" s="28"/>
      <c r="M121" s="28"/>
      <c r="N121" s="28"/>
      <c r="O121" s="28"/>
      <c r="P121" s="28"/>
      <c r="Q121" s="28"/>
      <c r="R121" s="28"/>
      <c r="S121" s="28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</row>
    <row r="122" spans="1:29" ht="13">
      <c r="A122" s="28"/>
      <c r="B122" s="28"/>
      <c r="C122" s="28"/>
      <c r="D122" s="28"/>
      <c r="E122" s="28"/>
      <c r="F122" s="28"/>
      <c r="G122" s="28"/>
      <c r="H122" s="28"/>
      <c r="I122" s="28"/>
      <c r="J122" s="28"/>
      <c r="K122" s="28"/>
      <c r="L122" s="28"/>
      <c r="M122" s="28"/>
      <c r="N122" s="28"/>
      <c r="O122" s="28"/>
      <c r="P122" s="28"/>
      <c r="Q122" s="28"/>
      <c r="R122" s="28"/>
      <c r="S122" s="28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</row>
    <row r="123" spans="1:29" ht="13">
      <c r="A123" s="28"/>
      <c r="B123" s="28"/>
      <c r="C123" s="28"/>
      <c r="D123" s="28"/>
      <c r="E123" s="28"/>
      <c r="F123" s="28"/>
      <c r="G123" s="28"/>
      <c r="H123" s="28"/>
      <c r="I123" s="28"/>
      <c r="J123" s="28"/>
      <c r="K123" s="28"/>
      <c r="L123" s="28"/>
      <c r="M123" s="28"/>
      <c r="N123" s="28"/>
      <c r="O123" s="28"/>
      <c r="P123" s="28"/>
      <c r="Q123" s="28"/>
      <c r="R123" s="28"/>
      <c r="S123" s="28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</row>
    <row r="124" spans="1:29" ht="13">
      <c r="A124" s="28"/>
      <c r="B124" s="28"/>
      <c r="C124" s="28"/>
      <c r="D124" s="28"/>
      <c r="E124" s="28"/>
      <c r="F124" s="28"/>
      <c r="G124" s="28"/>
      <c r="H124" s="28"/>
      <c r="I124" s="28"/>
      <c r="J124" s="28"/>
      <c r="K124" s="28"/>
      <c r="L124" s="28"/>
      <c r="M124" s="28"/>
      <c r="N124" s="28"/>
      <c r="O124" s="28"/>
      <c r="P124" s="28"/>
      <c r="Q124" s="28"/>
      <c r="R124" s="28"/>
      <c r="S124" s="28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</row>
    <row r="125" spans="1:29" ht="13">
      <c r="A125" s="28"/>
      <c r="B125" s="28"/>
      <c r="C125" s="28"/>
      <c r="D125" s="28"/>
      <c r="E125" s="28"/>
      <c r="F125" s="28"/>
      <c r="G125" s="28"/>
      <c r="H125" s="28"/>
      <c r="I125" s="28"/>
      <c r="J125" s="28"/>
      <c r="K125" s="28"/>
      <c r="L125" s="28"/>
      <c r="M125" s="28"/>
      <c r="N125" s="28"/>
      <c r="O125" s="28"/>
      <c r="P125" s="28"/>
      <c r="Q125" s="28"/>
      <c r="R125" s="28"/>
      <c r="S125" s="28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</row>
    <row r="126" spans="1:29" ht="13">
      <c r="A126" s="28"/>
      <c r="B126" s="28"/>
      <c r="C126" s="28"/>
      <c r="D126" s="28"/>
      <c r="E126" s="28"/>
      <c r="F126" s="28"/>
      <c r="G126" s="28"/>
      <c r="H126" s="28"/>
      <c r="I126" s="28"/>
      <c r="J126" s="28"/>
      <c r="K126" s="28"/>
      <c r="L126" s="28"/>
      <c r="M126" s="28"/>
      <c r="N126" s="28"/>
      <c r="O126" s="28"/>
      <c r="P126" s="28"/>
      <c r="Q126" s="28"/>
      <c r="R126" s="28"/>
      <c r="S126" s="28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</row>
    <row r="127" spans="1:29" ht="13">
      <c r="A127" s="28"/>
      <c r="B127" s="28"/>
      <c r="C127" s="28"/>
      <c r="D127" s="28"/>
      <c r="E127" s="28"/>
      <c r="F127" s="28"/>
      <c r="G127" s="28"/>
      <c r="H127" s="28"/>
      <c r="I127" s="28"/>
      <c r="J127" s="28"/>
      <c r="K127" s="28"/>
      <c r="L127" s="28"/>
      <c r="M127" s="28"/>
      <c r="N127" s="28"/>
      <c r="O127" s="28"/>
      <c r="P127" s="28"/>
      <c r="Q127" s="28"/>
      <c r="R127" s="28"/>
      <c r="S127" s="28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</row>
    <row r="128" spans="1:29" ht="13">
      <c r="A128" s="28"/>
      <c r="B128" s="28"/>
      <c r="C128" s="28"/>
      <c r="D128" s="28"/>
      <c r="E128" s="28"/>
      <c r="F128" s="28"/>
      <c r="G128" s="28"/>
      <c r="H128" s="28"/>
      <c r="I128" s="28"/>
      <c r="J128" s="28"/>
      <c r="K128" s="28"/>
      <c r="L128" s="28"/>
      <c r="M128" s="28"/>
      <c r="N128" s="28"/>
      <c r="O128" s="28"/>
      <c r="P128" s="28"/>
      <c r="Q128" s="28"/>
      <c r="R128" s="28"/>
      <c r="S128" s="28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</row>
    <row r="129" spans="1:29" ht="13">
      <c r="A129" s="28"/>
      <c r="B129" s="28"/>
      <c r="C129" s="28"/>
      <c r="D129" s="28"/>
      <c r="E129" s="28"/>
      <c r="F129" s="28"/>
      <c r="G129" s="28"/>
      <c r="H129" s="28"/>
      <c r="I129" s="28"/>
      <c r="J129" s="28"/>
      <c r="K129" s="28"/>
      <c r="L129" s="28"/>
      <c r="M129" s="28"/>
      <c r="N129" s="28"/>
      <c r="O129" s="28"/>
      <c r="P129" s="28"/>
      <c r="Q129" s="28"/>
      <c r="R129" s="28"/>
      <c r="S129" s="28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</row>
    <row r="130" spans="1:29" ht="13">
      <c r="A130" s="28"/>
      <c r="B130" s="28"/>
      <c r="C130" s="28"/>
      <c r="D130" s="28"/>
      <c r="E130" s="28"/>
      <c r="F130" s="28"/>
      <c r="G130" s="28"/>
      <c r="H130" s="28"/>
      <c r="I130" s="28"/>
      <c r="J130" s="28"/>
      <c r="K130" s="28"/>
      <c r="L130" s="28"/>
      <c r="M130" s="28"/>
      <c r="N130" s="28"/>
      <c r="O130" s="28"/>
      <c r="P130" s="28"/>
      <c r="Q130" s="28"/>
      <c r="R130" s="28"/>
      <c r="S130" s="28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</row>
    <row r="131" spans="1:29" ht="13">
      <c r="A131" s="28"/>
      <c r="B131" s="28"/>
      <c r="C131" s="28"/>
      <c r="D131" s="28"/>
      <c r="E131" s="28"/>
      <c r="F131" s="28"/>
      <c r="G131" s="28"/>
      <c r="H131" s="28"/>
      <c r="I131" s="28"/>
      <c r="J131" s="28"/>
      <c r="K131" s="28"/>
      <c r="L131" s="28"/>
      <c r="M131" s="28"/>
      <c r="N131" s="28"/>
      <c r="O131" s="28"/>
      <c r="P131" s="28"/>
      <c r="Q131" s="28"/>
      <c r="R131" s="28"/>
      <c r="S131" s="28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</row>
    <row r="132" spans="1:29" ht="13">
      <c r="A132" s="28"/>
      <c r="B132" s="28"/>
      <c r="C132" s="28"/>
      <c r="D132" s="28"/>
      <c r="E132" s="28"/>
      <c r="F132" s="28"/>
      <c r="G132" s="28"/>
      <c r="H132" s="28"/>
      <c r="I132" s="28"/>
      <c r="J132" s="28"/>
      <c r="K132" s="28"/>
      <c r="L132" s="28"/>
      <c r="M132" s="28"/>
      <c r="N132" s="28"/>
      <c r="O132" s="28"/>
      <c r="P132" s="28"/>
      <c r="Q132" s="28"/>
      <c r="R132" s="28"/>
      <c r="S132" s="28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</row>
    <row r="133" spans="1:29" ht="13">
      <c r="A133" s="28"/>
      <c r="B133" s="28"/>
      <c r="C133" s="28"/>
      <c r="D133" s="28"/>
      <c r="E133" s="28"/>
      <c r="F133" s="28"/>
      <c r="G133" s="28"/>
      <c r="H133" s="28"/>
      <c r="I133" s="28"/>
      <c r="J133" s="28"/>
      <c r="K133" s="28"/>
      <c r="L133" s="28"/>
      <c r="M133" s="28"/>
      <c r="N133" s="28"/>
      <c r="O133" s="28"/>
      <c r="P133" s="28"/>
      <c r="Q133" s="28"/>
      <c r="R133" s="28"/>
      <c r="S133" s="28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</row>
    <row r="134" spans="1:29" ht="13">
      <c r="A134" s="28"/>
      <c r="B134" s="28"/>
      <c r="C134" s="28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</row>
    <row r="135" spans="1:29" ht="13">
      <c r="A135" s="28"/>
      <c r="B135" s="28"/>
      <c r="C135" s="28"/>
      <c r="D135" s="28"/>
      <c r="E135" s="28"/>
      <c r="F135" s="28"/>
      <c r="G135" s="28"/>
      <c r="H135" s="28"/>
      <c r="I135" s="28"/>
      <c r="J135" s="28"/>
      <c r="K135" s="28"/>
      <c r="L135" s="28"/>
      <c r="M135" s="28"/>
      <c r="N135" s="28"/>
      <c r="O135" s="28"/>
      <c r="P135" s="28"/>
      <c r="Q135" s="28"/>
      <c r="R135" s="28"/>
      <c r="S135" s="28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</row>
    <row r="136" spans="1:29" ht="13">
      <c r="A136" s="28"/>
      <c r="B136" s="28"/>
      <c r="C136" s="28"/>
      <c r="D136" s="28"/>
      <c r="E136" s="28"/>
      <c r="F136" s="28"/>
      <c r="G136" s="28"/>
      <c r="H136" s="28"/>
      <c r="I136" s="28"/>
      <c r="J136" s="28"/>
      <c r="K136" s="28"/>
      <c r="L136" s="28"/>
      <c r="M136" s="28"/>
      <c r="N136" s="28"/>
      <c r="O136" s="28"/>
      <c r="P136" s="28"/>
      <c r="Q136" s="28"/>
      <c r="R136" s="28"/>
      <c r="S136" s="28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</row>
    <row r="137" spans="1:29" ht="13">
      <c r="A137" s="28"/>
      <c r="B137" s="28"/>
      <c r="C137" s="28"/>
      <c r="D137" s="28"/>
      <c r="E137" s="28"/>
      <c r="F137" s="28"/>
      <c r="G137" s="28"/>
      <c r="H137" s="28"/>
      <c r="I137" s="28"/>
      <c r="J137" s="28"/>
      <c r="K137" s="28"/>
      <c r="L137" s="28"/>
      <c r="M137" s="28"/>
      <c r="N137" s="28"/>
      <c r="O137" s="28"/>
      <c r="P137" s="28"/>
      <c r="Q137" s="28"/>
      <c r="R137" s="28"/>
      <c r="S137" s="28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</row>
    <row r="138" spans="1:29" ht="13">
      <c r="A138" s="28"/>
      <c r="B138" s="28"/>
      <c r="C138" s="28"/>
      <c r="D138" s="28"/>
      <c r="E138" s="28"/>
      <c r="F138" s="28"/>
      <c r="G138" s="28"/>
      <c r="H138" s="28"/>
      <c r="I138" s="28"/>
      <c r="J138" s="28"/>
      <c r="K138" s="28"/>
      <c r="L138" s="28"/>
      <c r="M138" s="28"/>
      <c r="N138" s="28"/>
      <c r="O138" s="28"/>
      <c r="P138" s="28"/>
      <c r="Q138" s="28"/>
      <c r="R138" s="28"/>
      <c r="S138" s="28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</row>
    <row r="139" spans="1:29" ht="13">
      <c r="A139" s="28"/>
      <c r="B139" s="28"/>
      <c r="C139" s="28"/>
      <c r="D139" s="28"/>
      <c r="E139" s="28"/>
      <c r="F139" s="28"/>
      <c r="G139" s="28"/>
      <c r="H139" s="28"/>
      <c r="I139" s="28"/>
      <c r="J139" s="28"/>
      <c r="K139" s="28"/>
      <c r="L139" s="28"/>
      <c r="M139" s="28"/>
      <c r="N139" s="28"/>
      <c r="O139" s="28"/>
      <c r="P139" s="28"/>
      <c r="Q139" s="28"/>
      <c r="R139" s="28"/>
      <c r="S139" s="28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</row>
    <row r="140" spans="1:29" ht="13">
      <c r="A140" s="28"/>
      <c r="B140" s="28"/>
      <c r="C140" s="28"/>
      <c r="D140" s="28"/>
      <c r="E140" s="28"/>
      <c r="F140" s="28"/>
      <c r="G140" s="28"/>
      <c r="H140" s="28"/>
      <c r="I140" s="28"/>
      <c r="J140" s="28"/>
      <c r="K140" s="28"/>
      <c r="L140" s="28"/>
      <c r="M140" s="28"/>
      <c r="N140" s="28"/>
      <c r="O140" s="28"/>
      <c r="P140" s="28"/>
      <c r="Q140" s="28"/>
      <c r="R140" s="28"/>
      <c r="S140" s="28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</row>
    <row r="141" spans="1:29" ht="13">
      <c r="A141" s="28"/>
      <c r="B141" s="28"/>
      <c r="C141" s="28"/>
      <c r="D141" s="28"/>
      <c r="E141" s="28"/>
      <c r="F141" s="28"/>
      <c r="G141" s="28"/>
      <c r="H141" s="28"/>
      <c r="I141" s="28"/>
      <c r="J141" s="28"/>
      <c r="K141" s="28"/>
      <c r="L141" s="28"/>
      <c r="M141" s="28"/>
      <c r="N141" s="28"/>
      <c r="O141" s="28"/>
      <c r="P141" s="28"/>
      <c r="Q141" s="28"/>
      <c r="R141" s="28"/>
      <c r="S141" s="28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</row>
    <row r="142" spans="1:29" ht="13">
      <c r="A142" s="28"/>
      <c r="B142" s="28"/>
      <c r="C142" s="28"/>
      <c r="D142" s="28"/>
      <c r="E142" s="28"/>
      <c r="F142" s="28"/>
      <c r="G142" s="28"/>
      <c r="H142" s="28"/>
      <c r="I142" s="28"/>
      <c r="J142" s="28"/>
      <c r="K142" s="28"/>
      <c r="L142" s="28"/>
      <c r="M142" s="28"/>
      <c r="N142" s="28"/>
      <c r="O142" s="28"/>
      <c r="P142" s="28"/>
      <c r="Q142" s="28"/>
      <c r="R142" s="28"/>
      <c r="S142" s="28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</row>
    <row r="143" spans="1:29" ht="13">
      <c r="A143" s="28"/>
      <c r="B143" s="28"/>
      <c r="C143" s="28"/>
      <c r="D143" s="28"/>
      <c r="E143" s="28"/>
      <c r="F143" s="28"/>
      <c r="G143" s="28"/>
      <c r="H143" s="28"/>
      <c r="I143" s="28"/>
      <c r="J143" s="28"/>
      <c r="K143" s="28"/>
      <c r="L143" s="28"/>
      <c r="M143" s="28"/>
      <c r="N143" s="28"/>
      <c r="O143" s="28"/>
      <c r="P143" s="28"/>
      <c r="Q143" s="28"/>
      <c r="R143" s="28"/>
      <c r="S143" s="28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</row>
    <row r="144" spans="1:29" ht="13">
      <c r="A144" s="28"/>
      <c r="B144" s="28"/>
      <c r="C144" s="28"/>
      <c r="D144" s="28"/>
      <c r="E144" s="28"/>
      <c r="F144" s="28"/>
      <c r="G144" s="28"/>
      <c r="H144" s="28"/>
      <c r="I144" s="28"/>
      <c r="J144" s="28"/>
      <c r="K144" s="28"/>
      <c r="L144" s="28"/>
      <c r="M144" s="28"/>
      <c r="N144" s="28"/>
      <c r="O144" s="28"/>
      <c r="P144" s="28"/>
      <c r="Q144" s="28"/>
      <c r="R144" s="28"/>
      <c r="S144" s="28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</row>
    <row r="145" spans="1:29" ht="13">
      <c r="A145" s="28"/>
      <c r="B145" s="28"/>
      <c r="C145" s="28"/>
      <c r="D145" s="28"/>
      <c r="E145" s="28"/>
      <c r="F145" s="28"/>
      <c r="G145" s="28"/>
      <c r="H145" s="28"/>
      <c r="I145" s="28"/>
      <c r="J145" s="28"/>
      <c r="K145" s="28"/>
      <c r="L145" s="28"/>
      <c r="M145" s="28"/>
      <c r="N145" s="28"/>
      <c r="O145" s="28"/>
      <c r="P145" s="28"/>
      <c r="Q145" s="28"/>
      <c r="R145" s="28"/>
      <c r="S145" s="28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</row>
    <row r="146" spans="1:29" ht="13">
      <c r="A146" s="28"/>
      <c r="B146" s="28"/>
      <c r="C146" s="28"/>
      <c r="D146" s="28"/>
      <c r="E146" s="28"/>
      <c r="F146" s="28"/>
      <c r="G146" s="28"/>
      <c r="H146" s="28"/>
      <c r="I146" s="28"/>
      <c r="J146" s="28"/>
      <c r="K146" s="28"/>
      <c r="L146" s="28"/>
      <c r="M146" s="28"/>
      <c r="N146" s="28"/>
      <c r="O146" s="28"/>
      <c r="P146" s="28"/>
      <c r="Q146" s="28"/>
      <c r="R146" s="28"/>
      <c r="S146" s="28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</row>
    <row r="147" spans="1:29" ht="13">
      <c r="A147" s="28"/>
      <c r="B147" s="28"/>
      <c r="C147" s="28"/>
      <c r="D147" s="28"/>
      <c r="E147" s="28"/>
      <c r="F147" s="28"/>
      <c r="G147" s="28"/>
      <c r="H147" s="28"/>
      <c r="I147" s="28"/>
      <c r="J147" s="28"/>
      <c r="K147" s="28"/>
      <c r="L147" s="28"/>
      <c r="M147" s="28"/>
      <c r="N147" s="28"/>
      <c r="O147" s="28"/>
      <c r="P147" s="28"/>
      <c r="Q147" s="28"/>
      <c r="R147" s="28"/>
      <c r="S147" s="28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</row>
    <row r="148" spans="1:29" ht="13">
      <c r="A148" s="28"/>
      <c r="B148" s="28"/>
      <c r="C148" s="28"/>
      <c r="D148" s="28"/>
      <c r="E148" s="28"/>
      <c r="F148" s="28"/>
      <c r="G148" s="28"/>
      <c r="H148" s="28"/>
      <c r="I148" s="28"/>
      <c r="J148" s="28"/>
      <c r="K148" s="28"/>
      <c r="L148" s="28"/>
      <c r="M148" s="28"/>
      <c r="N148" s="28"/>
      <c r="O148" s="28"/>
      <c r="P148" s="28"/>
      <c r="Q148" s="28"/>
      <c r="R148" s="28"/>
      <c r="S148" s="28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</row>
    <row r="149" spans="1:29" ht="13">
      <c r="A149" s="28"/>
      <c r="B149" s="28"/>
      <c r="C149" s="28"/>
      <c r="D149" s="28"/>
      <c r="E149" s="28"/>
      <c r="F149" s="28"/>
      <c r="G149" s="28"/>
      <c r="H149" s="28"/>
      <c r="I149" s="28"/>
      <c r="J149" s="28"/>
      <c r="K149" s="28"/>
      <c r="L149" s="28"/>
      <c r="M149" s="28"/>
      <c r="N149" s="28"/>
      <c r="O149" s="28"/>
      <c r="P149" s="28"/>
      <c r="Q149" s="28"/>
      <c r="R149" s="28"/>
      <c r="S149" s="28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</row>
    <row r="150" spans="1:29" ht="13">
      <c r="A150" s="28"/>
      <c r="B150" s="28"/>
      <c r="C150" s="28"/>
      <c r="D150" s="28"/>
      <c r="E150" s="28"/>
      <c r="F150" s="28"/>
      <c r="G150" s="28"/>
      <c r="H150" s="28"/>
      <c r="I150" s="28"/>
      <c r="J150" s="28"/>
      <c r="K150" s="28"/>
      <c r="L150" s="28"/>
      <c r="M150" s="28"/>
      <c r="N150" s="28"/>
      <c r="O150" s="28"/>
      <c r="P150" s="28"/>
      <c r="Q150" s="28"/>
      <c r="R150" s="28"/>
      <c r="S150" s="28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</row>
    <row r="151" spans="1:29" ht="13">
      <c r="A151" s="28"/>
      <c r="B151" s="28"/>
      <c r="C151" s="28"/>
      <c r="D151" s="28"/>
      <c r="E151" s="28"/>
      <c r="F151" s="28"/>
      <c r="G151" s="28"/>
      <c r="H151" s="28"/>
      <c r="I151" s="28"/>
      <c r="J151" s="28"/>
      <c r="K151" s="28"/>
      <c r="L151" s="28"/>
      <c r="M151" s="28"/>
      <c r="N151" s="28"/>
      <c r="O151" s="28"/>
      <c r="P151" s="28"/>
      <c r="Q151" s="28"/>
      <c r="R151" s="28"/>
      <c r="S151" s="28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</row>
    <row r="152" spans="1:29" ht="13">
      <c r="A152" s="28"/>
      <c r="B152" s="28"/>
      <c r="C152" s="28"/>
      <c r="D152" s="28"/>
      <c r="E152" s="28"/>
      <c r="F152" s="28"/>
      <c r="G152" s="28"/>
      <c r="H152" s="28"/>
      <c r="I152" s="28"/>
      <c r="J152" s="28"/>
      <c r="K152" s="28"/>
      <c r="L152" s="28"/>
      <c r="M152" s="28"/>
      <c r="N152" s="28"/>
      <c r="O152" s="28"/>
      <c r="P152" s="28"/>
      <c r="Q152" s="28"/>
      <c r="R152" s="28"/>
      <c r="S152" s="28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</row>
    <row r="153" spans="1:29" ht="13">
      <c r="A153" s="28"/>
      <c r="B153" s="28"/>
      <c r="C153" s="28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</row>
    <row r="154" spans="1:29" ht="13">
      <c r="A154" s="28"/>
      <c r="B154" s="28"/>
      <c r="C154" s="28"/>
      <c r="D154" s="28"/>
      <c r="E154" s="28"/>
      <c r="F154" s="28"/>
      <c r="G154" s="28"/>
      <c r="H154" s="28"/>
      <c r="I154" s="28"/>
      <c r="J154" s="28"/>
      <c r="K154" s="28"/>
      <c r="L154" s="28"/>
      <c r="M154" s="28"/>
      <c r="N154" s="28"/>
      <c r="O154" s="28"/>
      <c r="P154" s="28"/>
      <c r="Q154" s="28"/>
      <c r="R154" s="28"/>
      <c r="S154" s="28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</row>
    <row r="155" spans="1:29" ht="13">
      <c r="A155" s="28"/>
      <c r="B155" s="28"/>
      <c r="C155" s="28"/>
      <c r="D155" s="28"/>
      <c r="E155" s="28"/>
      <c r="F155" s="28"/>
      <c r="G155" s="28"/>
      <c r="H155" s="28"/>
      <c r="I155" s="28"/>
      <c r="J155" s="28"/>
      <c r="K155" s="28"/>
      <c r="L155" s="28"/>
      <c r="M155" s="28"/>
      <c r="N155" s="28"/>
      <c r="O155" s="28"/>
      <c r="P155" s="28"/>
      <c r="Q155" s="28"/>
      <c r="R155" s="28"/>
      <c r="S155" s="28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</row>
    <row r="156" spans="1:29" ht="13">
      <c r="A156" s="28"/>
      <c r="B156" s="28"/>
      <c r="C156" s="28"/>
      <c r="D156" s="28"/>
      <c r="E156" s="28"/>
      <c r="F156" s="28"/>
      <c r="G156" s="28"/>
      <c r="H156" s="28"/>
      <c r="I156" s="28"/>
      <c r="J156" s="28"/>
      <c r="K156" s="28"/>
      <c r="L156" s="28"/>
      <c r="M156" s="28"/>
      <c r="N156" s="28"/>
      <c r="O156" s="28"/>
      <c r="P156" s="28"/>
      <c r="Q156" s="28"/>
      <c r="R156" s="28"/>
      <c r="S156" s="28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</row>
    <row r="157" spans="1:29" ht="13">
      <c r="A157" s="28"/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</row>
    <row r="158" spans="1:29" ht="13">
      <c r="A158" s="28"/>
      <c r="B158" s="28"/>
      <c r="C158" s="28"/>
      <c r="D158" s="28"/>
      <c r="E158" s="28"/>
      <c r="F158" s="28"/>
      <c r="G158" s="28"/>
      <c r="H158" s="28"/>
      <c r="I158" s="28"/>
      <c r="J158" s="28"/>
      <c r="K158" s="28"/>
      <c r="L158" s="28"/>
      <c r="M158" s="28"/>
      <c r="N158" s="28"/>
      <c r="O158" s="28"/>
      <c r="P158" s="28"/>
      <c r="Q158" s="28"/>
      <c r="R158" s="28"/>
      <c r="S158" s="28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</row>
    <row r="159" spans="1:29" ht="13">
      <c r="A159" s="28"/>
      <c r="B159" s="28"/>
      <c r="C159" s="28"/>
      <c r="D159" s="28"/>
      <c r="E159" s="28"/>
      <c r="F159" s="28"/>
      <c r="G159" s="28"/>
      <c r="H159" s="28"/>
      <c r="I159" s="28"/>
      <c r="J159" s="28"/>
      <c r="K159" s="28"/>
      <c r="L159" s="28"/>
      <c r="M159" s="28"/>
      <c r="N159" s="28"/>
      <c r="O159" s="28"/>
      <c r="P159" s="28"/>
      <c r="Q159" s="28"/>
      <c r="R159" s="28"/>
      <c r="S159" s="28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</row>
    <row r="160" spans="1:29" ht="13">
      <c r="A160" s="28"/>
      <c r="B160" s="28"/>
      <c r="C160" s="28"/>
      <c r="D160" s="28"/>
      <c r="E160" s="28"/>
      <c r="F160" s="28"/>
      <c r="G160" s="28"/>
      <c r="H160" s="28"/>
      <c r="I160" s="28"/>
      <c r="J160" s="28"/>
      <c r="K160" s="28"/>
      <c r="L160" s="28"/>
      <c r="M160" s="28"/>
      <c r="N160" s="28"/>
      <c r="O160" s="28"/>
      <c r="P160" s="28"/>
      <c r="Q160" s="28"/>
      <c r="R160" s="28"/>
      <c r="S160" s="28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</row>
    <row r="161" spans="1:29" ht="13">
      <c r="A161" s="28"/>
      <c r="B161" s="28"/>
      <c r="C161" s="28"/>
      <c r="D161" s="28"/>
      <c r="E161" s="28"/>
      <c r="F161" s="28"/>
      <c r="G161" s="28"/>
      <c r="H161" s="28"/>
      <c r="I161" s="28"/>
      <c r="J161" s="28"/>
      <c r="K161" s="28"/>
      <c r="L161" s="28"/>
      <c r="M161" s="28"/>
      <c r="N161" s="28"/>
      <c r="O161" s="28"/>
      <c r="P161" s="28"/>
      <c r="Q161" s="28"/>
      <c r="R161" s="28"/>
      <c r="S161" s="28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</row>
    <row r="162" spans="1:29" ht="13">
      <c r="A162" s="28"/>
      <c r="B162" s="28"/>
      <c r="C162" s="28"/>
      <c r="D162" s="28"/>
      <c r="E162" s="28"/>
      <c r="F162" s="28"/>
      <c r="G162" s="28"/>
      <c r="H162" s="28"/>
      <c r="I162" s="28"/>
      <c r="J162" s="28"/>
      <c r="K162" s="28"/>
      <c r="L162" s="28"/>
      <c r="M162" s="28"/>
      <c r="N162" s="28"/>
      <c r="O162" s="28"/>
      <c r="P162" s="28"/>
      <c r="Q162" s="28"/>
      <c r="R162" s="28"/>
      <c r="S162" s="28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</row>
    <row r="163" spans="1:29" ht="13">
      <c r="A163" s="28"/>
      <c r="B163" s="28"/>
      <c r="C163" s="28"/>
      <c r="D163" s="28"/>
      <c r="E163" s="28"/>
      <c r="F163" s="28"/>
      <c r="G163" s="28"/>
      <c r="H163" s="28"/>
      <c r="I163" s="28"/>
      <c r="J163" s="28"/>
      <c r="K163" s="28"/>
      <c r="L163" s="28"/>
      <c r="M163" s="28"/>
      <c r="N163" s="28"/>
      <c r="O163" s="28"/>
      <c r="P163" s="28"/>
      <c r="Q163" s="28"/>
      <c r="R163" s="28"/>
      <c r="S163" s="28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</row>
    <row r="164" spans="1:29" ht="13">
      <c r="A164" s="28"/>
      <c r="B164" s="28"/>
      <c r="C164" s="28"/>
      <c r="D164" s="28"/>
      <c r="E164" s="28"/>
      <c r="F164" s="28"/>
      <c r="G164" s="28"/>
      <c r="H164" s="28"/>
      <c r="I164" s="28"/>
      <c r="J164" s="28"/>
      <c r="K164" s="28"/>
      <c r="L164" s="28"/>
      <c r="M164" s="28"/>
      <c r="N164" s="28"/>
      <c r="O164" s="28"/>
      <c r="P164" s="28"/>
      <c r="Q164" s="28"/>
      <c r="R164" s="28"/>
      <c r="S164" s="28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</row>
    <row r="165" spans="1:29" ht="13">
      <c r="A165" s="28"/>
      <c r="B165" s="28"/>
      <c r="C165" s="28"/>
      <c r="D165" s="28"/>
      <c r="E165" s="28"/>
      <c r="F165" s="28"/>
      <c r="G165" s="28"/>
      <c r="H165" s="28"/>
      <c r="I165" s="28"/>
      <c r="J165" s="28"/>
      <c r="K165" s="28"/>
      <c r="L165" s="28"/>
      <c r="M165" s="28"/>
      <c r="N165" s="28"/>
      <c r="O165" s="28"/>
      <c r="P165" s="28"/>
      <c r="Q165" s="28"/>
      <c r="R165" s="28"/>
      <c r="S165" s="28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</row>
    <row r="166" spans="1:29" ht="13">
      <c r="A166" s="28"/>
      <c r="B166" s="28"/>
      <c r="C166" s="28"/>
      <c r="D166" s="28"/>
      <c r="E166" s="28"/>
      <c r="F166" s="28"/>
      <c r="G166" s="28"/>
      <c r="H166" s="28"/>
      <c r="I166" s="28"/>
      <c r="J166" s="28"/>
      <c r="K166" s="28"/>
      <c r="L166" s="28"/>
      <c r="M166" s="28"/>
      <c r="N166" s="28"/>
      <c r="O166" s="28"/>
      <c r="P166" s="28"/>
      <c r="Q166" s="28"/>
      <c r="R166" s="28"/>
      <c r="S166" s="28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</row>
    <row r="167" spans="1:29" ht="13">
      <c r="A167" s="28"/>
      <c r="B167" s="28"/>
      <c r="C167" s="28"/>
      <c r="D167" s="28"/>
      <c r="E167" s="28"/>
      <c r="F167" s="28"/>
      <c r="G167" s="28"/>
      <c r="H167" s="28"/>
      <c r="I167" s="28"/>
      <c r="J167" s="28"/>
      <c r="K167" s="28"/>
      <c r="L167" s="28"/>
      <c r="M167" s="28"/>
      <c r="N167" s="28"/>
      <c r="O167" s="28"/>
      <c r="P167" s="28"/>
      <c r="Q167" s="28"/>
      <c r="R167" s="28"/>
      <c r="S167" s="28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</row>
    <row r="168" spans="1:29" ht="13">
      <c r="A168" s="28"/>
      <c r="B168" s="28"/>
      <c r="C168" s="28"/>
      <c r="D168" s="28"/>
      <c r="E168" s="28"/>
      <c r="F168" s="28"/>
      <c r="G168" s="28"/>
      <c r="H168" s="28"/>
      <c r="I168" s="28"/>
      <c r="J168" s="28"/>
      <c r="K168" s="28"/>
      <c r="L168" s="28"/>
      <c r="M168" s="28"/>
      <c r="N168" s="28"/>
      <c r="O168" s="28"/>
      <c r="P168" s="28"/>
      <c r="Q168" s="28"/>
      <c r="R168" s="28"/>
      <c r="S168" s="28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</row>
    <row r="169" spans="1:29" ht="13">
      <c r="A169" s="28"/>
      <c r="B169" s="28"/>
      <c r="C169" s="28"/>
      <c r="D169" s="28"/>
      <c r="E169" s="28"/>
      <c r="F169" s="28"/>
      <c r="G169" s="28"/>
      <c r="H169" s="28"/>
      <c r="I169" s="28"/>
      <c r="J169" s="28"/>
      <c r="K169" s="28"/>
      <c r="L169" s="28"/>
      <c r="M169" s="28"/>
      <c r="N169" s="28"/>
      <c r="O169" s="28"/>
      <c r="P169" s="28"/>
      <c r="Q169" s="28"/>
      <c r="R169" s="28"/>
      <c r="S169" s="28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</row>
    <row r="170" spans="1:29" ht="13">
      <c r="A170" s="28"/>
      <c r="B170" s="28"/>
      <c r="C170" s="28"/>
      <c r="D170" s="28"/>
      <c r="E170" s="28"/>
      <c r="F170" s="28"/>
      <c r="G170" s="28"/>
      <c r="H170" s="28"/>
      <c r="I170" s="28"/>
      <c r="J170" s="28"/>
      <c r="K170" s="28"/>
      <c r="L170" s="28"/>
      <c r="M170" s="28"/>
      <c r="N170" s="28"/>
      <c r="O170" s="28"/>
      <c r="P170" s="28"/>
      <c r="Q170" s="28"/>
      <c r="R170" s="28"/>
      <c r="S170" s="28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</row>
    <row r="171" spans="1:29" ht="13">
      <c r="A171" s="28"/>
      <c r="B171" s="28"/>
      <c r="C171" s="28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</row>
    <row r="172" spans="1:29" ht="13">
      <c r="A172" s="28"/>
      <c r="B172" s="28"/>
      <c r="C172" s="28"/>
      <c r="D172" s="28"/>
      <c r="E172" s="28"/>
      <c r="F172" s="28"/>
      <c r="G172" s="28"/>
      <c r="H172" s="28"/>
      <c r="I172" s="28"/>
      <c r="J172" s="28"/>
      <c r="K172" s="28"/>
      <c r="L172" s="28"/>
      <c r="M172" s="28"/>
      <c r="N172" s="28"/>
      <c r="O172" s="28"/>
      <c r="P172" s="28"/>
      <c r="Q172" s="28"/>
      <c r="R172" s="28"/>
      <c r="S172" s="28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</row>
    <row r="173" spans="1:29" ht="13">
      <c r="A173" s="28"/>
      <c r="B173" s="28"/>
      <c r="C173" s="28"/>
      <c r="D173" s="28"/>
      <c r="E173" s="28"/>
      <c r="F173" s="28"/>
      <c r="G173" s="28"/>
      <c r="H173" s="28"/>
      <c r="I173" s="28"/>
      <c r="J173" s="28"/>
      <c r="K173" s="28"/>
      <c r="L173" s="28"/>
      <c r="M173" s="28"/>
      <c r="N173" s="28"/>
      <c r="O173" s="28"/>
      <c r="P173" s="28"/>
      <c r="Q173" s="28"/>
      <c r="R173" s="28"/>
      <c r="S173" s="28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</row>
    <row r="174" spans="1:29" ht="13">
      <c r="A174" s="28"/>
      <c r="B174" s="28"/>
      <c r="C174" s="28"/>
      <c r="D174" s="28"/>
      <c r="E174" s="28"/>
      <c r="F174" s="28"/>
      <c r="G174" s="28"/>
      <c r="H174" s="28"/>
      <c r="I174" s="28"/>
      <c r="J174" s="28"/>
      <c r="K174" s="28"/>
      <c r="L174" s="28"/>
      <c r="M174" s="28"/>
      <c r="N174" s="28"/>
      <c r="O174" s="28"/>
      <c r="P174" s="28"/>
      <c r="Q174" s="28"/>
      <c r="R174" s="28"/>
      <c r="S174" s="28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</row>
    <row r="175" spans="1:29" ht="13">
      <c r="A175" s="28"/>
      <c r="B175" s="28"/>
      <c r="C175" s="28"/>
      <c r="D175" s="28"/>
      <c r="E175" s="28"/>
      <c r="F175" s="28"/>
      <c r="G175" s="28"/>
      <c r="H175" s="28"/>
      <c r="I175" s="28"/>
      <c r="J175" s="28"/>
      <c r="K175" s="28"/>
      <c r="L175" s="28"/>
      <c r="M175" s="28"/>
      <c r="N175" s="28"/>
      <c r="O175" s="28"/>
      <c r="P175" s="28"/>
      <c r="Q175" s="28"/>
      <c r="R175" s="28"/>
      <c r="S175" s="28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</row>
    <row r="176" spans="1:29" ht="13">
      <c r="A176" s="28"/>
      <c r="B176" s="28"/>
      <c r="C176" s="28"/>
      <c r="D176" s="28"/>
      <c r="E176" s="28"/>
      <c r="F176" s="28"/>
      <c r="G176" s="28"/>
      <c r="H176" s="28"/>
      <c r="I176" s="28"/>
      <c r="J176" s="28"/>
      <c r="K176" s="28"/>
      <c r="L176" s="28"/>
      <c r="M176" s="28"/>
      <c r="N176" s="28"/>
      <c r="O176" s="28"/>
      <c r="P176" s="28"/>
      <c r="Q176" s="28"/>
      <c r="R176" s="28"/>
      <c r="S176" s="28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</row>
    <row r="177" spans="1:29" ht="13">
      <c r="A177" s="28"/>
      <c r="B177" s="28"/>
      <c r="C177" s="28"/>
      <c r="D177" s="28"/>
      <c r="E177" s="28"/>
      <c r="F177" s="28"/>
      <c r="G177" s="28"/>
      <c r="H177" s="28"/>
      <c r="I177" s="28"/>
      <c r="J177" s="28"/>
      <c r="K177" s="28"/>
      <c r="L177" s="28"/>
      <c r="M177" s="28"/>
      <c r="N177" s="28"/>
      <c r="O177" s="28"/>
      <c r="P177" s="28"/>
      <c r="Q177" s="28"/>
      <c r="R177" s="28"/>
      <c r="S177" s="28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</row>
    <row r="178" spans="1:29" ht="13">
      <c r="A178" s="28"/>
      <c r="B178" s="28"/>
      <c r="C178" s="28"/>
      <c r="D178" s="28"/>
      <c r="E178" s="28"/>
      <c r="F178" s="28"/>
      <c r="G178" s="28"/>
      <c r="H178" s="28"/>
      <c r="I178" s="28"/>
      <c r="J178" s="28"/>
      <c r="K178" s="28"/>
      <c r="L178" s="28"/>
      <c r="M178" s="28"/>
      <c r="N178" s="28"/>
      <c r="O178" s="28"/>
      <c r="P178" s="28"/>
      <c r="Q178" s="28"/>
      <c r="R178" s="28"/>
      <c r="S178" s="28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</row>
    <row r="179" spans="1:29" ht="13">
      <c r="A179" s="28"/>
      <c r="B179" s="28"/>
      <c r="C179" s="28"/>
      <c r="D179" s="28"/>
      <c r="E179" s="28"/>
      <c r="F179" s="28"/>
      <c r="G179" s="28"/>
      <c r="H179" s="28"/>
      <c r="I179" s="28"/>
      <c r="J179" s="28"/>
      <c r="K179" s="28"/>
      <c r="L179" s="28"/>
      <c r="M179" s="28"/>
      <c r="N179" s="28"/>
      <c r="O179" s="28"/>
      <c r="P179" s="28"/>
      <c r="Q179" s="28"/>
      <c r="R179" s="28"/>
      <c r="S179" s="28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</row>
    <row r="180" spans="1:29" ht="13">
      <c r="A180" s="28"/>
      <c r="B180" s="28"/>
      <c r="C180" s="28"/>
      <c r="D180" s="28"/>
      <c r="E180" s="28"/>
      <c r="F180" s="28"/>
      <c r="G180" s="28"/>
      <c r="H180" s="28"/>
      <c r="I180" s="28"/>
      <c r="J180" s="28"/>
      <c r="K180" s="28"/>
      <c r="L180" s="28"/>
      <c r="M180" s="28"/>
      <c r="N180" s="28"/>
      <c r="O180" s="28"/>
      <c r="P180" s="28"/>
      <c r="Q180" s="28"/>
      <c r="R180" s="28"/>
      <c r="S180" s="28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</row>
    <row r="181" spans="1:29" ht="13">
      <c r="A181" s="28"/>
      <c r="B181" s="28"/>
      <c r="C181" s="28"/>
      <c r="D181" s="28"/>
      <c r="E181" s="28"/>
      <c r="F181" s="28"/>
      <c r="G181" s="28"/>
      <c r="H181" s="28"/>
      <c r="I181" s="28"/>
      <c r="J181" s="28"/>
      <c r="K181" s="28"/>
      <c r="L181" s="28"/>
      <c r="M181" s="28"/>
      <c r="N181" s="28"/>
      <c r="O181" s="28"/>
      <c r="P181" s="28"/>
      <c r="Q181" s="28"/>
      <c r="R181" s="28"/>
      <c r="S181" s="28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</row>
    <row r="182" spans="1:29" ht="13">
      <c r="A182" s="28"/>
      <c r="B182" s="28"/>
      <c r="C182" s="28"/>
      <c r="D182" s="28"/>
      <c r="E182" s="28"/>
      <c r="F182" s="28"/>
      <c r="G182" s="28"/>
      <c r="H182" s="28"/>
      <c r="I182" s="28"/>
      <c r="J182" s="28"/>
      <c r="K182" s="28"/>
      <c r="L182" s="28"/>
      <c r="M182" s="28"/>
      <c r="N182" s="28"/>
      <c r="O182" s="28"/>
      <c r="P182" s="28"/>
      <c r="Q182" s="28"/>
      <c r="R182" s="28"/>
      <c r="S182" s="28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</row>
    <row r="183" spans="1:29" ht="13">
      <c r="A183" s="28"/>
      <c r="B183" s="28"/>
      <c r="C183" s="28"/>
      <c r="D183" s="28"/>
      <c r="E183" s="28"/>
      <c r="F183" s="28"/>
      <c r="G183" s="28"/>
      <c r="H183" s="28"/>
      <c r="I183" s="28"/>
      <c r="J183" s="28"/>
      <c r="K183" s="28"/>
      <c r="L183" s="28"/>
      <c r="M183" s="28"/>
      <c r="N183" s="28"/>
      <c r="O183" s="28"/>
      <c r="P183" s="28"/>
      <c r="Q183" s="28"/>
      <c r="R183" s="28"/>
      <c r="S183" s="28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</row>
    <row r="184" spans="1:29" ht="13">
      <c r="A184" s="28"/>
      <c r="B184" s="28"/>
      <c r="C184" s="28"/>
      <c r="D184" s="28"/>
      <c r="E184" s="28"/>
      <c r="F184" s="28"/>
      <c r="G184" s="28"/>
      <c r="H184" s="28"/>
      <c r="I184" s="28"/>
      <c r="J184" s="28"/>
      <c r="K184" s="28"/>
      <c r="L184" s="28"/>
      <c r="M184" s="28"/>
      <c r="N184" s="28"/>
      <c r="O184" s="28"/>
      <c r="P184" s="28"/>
      <c r="Q184" s="28"/>
      <c r="R184" s="28"/>
      <c r="S184" s="28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</row>
    <row r="185" spans="1:29" ht="13">
      <c r="A185" s="28"/>
      <c r="B185" s="28"/>
      <c r="C185" s="28"/>
      <c r="D185" s="28"/>
      <c r="E185" s="28"/>
      <c r="F185" s="28"/>
      <c r="G185" s="28"/>
      <c r="H185" s="28"/>
      <c r="I185" s="28"/>
      <c r="J185" s="28"/>
      <c r="K185" s="28"/>
      <c r="L185" s="28"/>
      <c r="M185" s="28"/>
      <c r="N185" s="28"/>
      <c r="O185" s="28"/>
      <c r="P185" s="28"/>
      <c r="Q185" s="28"/>
      <c r="R185" s="28"/>
      <c r="S185" s="28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</row>
    <row r="186" spans="1:29" ht="13">
      <c r="A186" s="28"/>
      <c r="B186" s="28"/>
      <c r="C186" s="28"/>
      <c r="D186" s="28"/>
      <c r="E186" s="28"/>
      <c r="F186" s="28"/>
      <c r="G186" s="28"/>
      <c r="H186" s="28"/>
      <c r="I186" s="28"/>
      <c r="J186" s="28"/>
      <c r="K186" s="28"/>
      <c r="L186" s="28"/>
      <c r="M186" s="28"/>
      <c r="N186" s="28"/>
      <c r="O186" s="28"/>
      <c r="P186" s="28"/>
      <c r="Q186" s="28"/>
      <c r="R186" s="28"/>
      <c r="S186" s="28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</row>
    <row r="187" spans="1:29" ht="13">
      <c r="A187" s="28"/>
      <c r="B187" s="28"/>
      <c r="C187" s="28"/>
      <c r="D187" s="28"/>
      <c r="E187" s="28"/>
      <c r="F187" s="28"/>
      <c r="G187" s="28"/>
      <c r="H187" s="28"/>
      <c r="I187" s="28"/>
      <c r="J187" s="28"/>
      <c r="K187" s="28"/>
      <c r="L187" s="28"/>
      <c r="M187" s="28"/>
      <c r="N187" s="28"/>
      <c r="O187" s="28"/>
      <c r="P187" s="28"/>
      <c r="Q187" s="28"/>
      <c r="R187" s="28"/>
      <c r="S187" s="28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</row>
    <row r="188" spans="1:29" ht="13">
      <c r="A188" s="28"/>
      <c r="B188" s="28"/>
      <c r="C188" s="28"/>
      <c r="D188" s="28"/>
      <c r="E188" s="28"/>
      <c r="F188" s="28"/>
      <c r="G188" s="28"/>
      <c r="H188" s="28"/>
      <c r="I188" s="28"/>
      <c r="J188" s="28"/>
      <c r="K188" s="28"/>
      <c r="L188" s="28"/>
      <c r="M188" s="28"/>
      <c r="N188" s="28"/>
      <c r="O188" s="28"/>
      <c r="P188" s="28"/>
      <c r="Q188" s="28"/>
      <c r="R188" s="28"/>
      <c r="S188" s="28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</row>
    <row r="189" spans="1:29" ht="13">
      <c r="A189" s="28"/>
      <c r="B189" s="28"/>
      <c r="C189" s="28"/>
      <c r="D189" s="28"/>
      <c r="E189" s="28"/>
      <c r="F189" s="28"/>
      <c r="G189" s="28"/>
      <c r="H189" s="28"/>
      <c r="I189" s="28"/>
      <c r="J189" s="28"/>
      <c r="K189" s="28"/>
      <c r="L189" s="28"/>
      <c r="M189" s="28"/>
      <c r="N189" s="28"/>
      <c r="O189" s="28"/>
      <c r="P189" s="28"/>
      <c r="Q189" s="28"/>
      <c r="R189" s="28"/>
      <c r="S189" s="28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</row>
    <row r="190" spans="1:29" ht="13">
      <c r="A190" s="28"/>
      <c r="B190" s="28"/>
      <c r="C190" s="28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</row>
    <row r="191" spans="1:29" ht="13">
      <c r="A191" s="28"/>
      <c r="B191" s="28"/>
      <c r="C191" s="28"/>
      <c r="D191" s="28"/>
      <c r="E191" s="28"/>
      <c r="F191" s="28"/>
      <c r="G191" s="28"/>
      <c r="H191" s="28"/>
      <c r="I191" s="28"/>
      <c r="J191" s="28"/>
      <c r="K191" s="28"/>
      <c r="L191" s="28"/>
      <c r="M191" s="28"/>
      <c r="N191" s="28"/>
      <c r="O191" s="28"/>
      <c r="P191" s="28"/>
      <c r="Q191" s="28"/>
      <c r="R191" s="28"/>
      <c r="S191" s="28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</row>
    <row r="192" spans="1:29" ht="13">
      <c r="A192" s="28"/>
      <c r="B192" s="28"/>
      <c r="C192" s="28"/>
      <c r="D192" s="28"/>
      <c r="E192" s="28"/>
      <c r="F192" s="28"/>
      <c r="G192" s="28"/>
      <c r="H192" s="28"/>
      <c r="I192" s="28"/>
      <c r="J192" s="28"/>
      <c r="K192" s="28"/>
      <c r="L192" s="28"/>
      <c r="M192" s="28"/>
      <c r="N192" s="28"/>
      <c r="O192" s="28"/>
      <c r="P192" s="28"/>
      <c r="Q192" s="28"/>
      <c r="R192" s="28"/>
      <c r="S192" s="28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</row>
    <row r="193" spans="1:29" ht="13">
      <c r="A193" s="28"/>
      <c r="B193" s="28"/>
      <c r="C193" s="28"/>
      <c r="D193" s="28"/>
      <c r="E193" s="28"/>
      <c r="F193" s="28"/>
      <c r="G193" s="28"/>
      <c r="H193" s="28"/>
      <c r="I193" s="28"/>
      <c r="J193" s="28"/>
      <c r="K193" s="28"/>
      <c r="L193" s="28"/>
      <c r="M193" s="28"/>
      <c r="N193" s="28"/>
      <c r="O193" s="28"/>
      <c r="P193" s="28"/>
      <c r="Q193" s="28"/>
      <c r="R193" s="28"/>
      <c r="S193" s="28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</row>
    <row r="194" spans="1:29" ht="13">
      <c r="A194" s="28"/>
      <c r="B194" s="28"/>
      <c r="C194" s="28"/>
      <c r="D194" s="28"/>
      <c r="E194" s="28"/>
      <c r="F194" s="28"/>
      <c r="G194" s="28"/>
      <c r="H194" s="28"/>
      <c r="I194" s="28"/>
      <c r="J194" s="28"/>
      <c r="K194" s="28"/>
      <c r="L194" s="28"/>
      <c r="M194" s="28"/>
      <c r="N194" s="28"/>
      <c r="O194" s="28"/>
      <c r="P194" s="28"/>
      <c r="Q194" s="28"/>
      <c r="R194" s="28"/>
      <c r="S194" s="28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</row>
    <row r="195" spans="1:29" ht="13">
      <c r="A195" s="28"/>
      <c r="B195" s="28"/>
      <c r="C195" s="28"/>
      <c r="D195" s="28"/>
      <c r="E195" s="28"/>
      <c r="F195" s="28"/>
      <c r="G195" s="28"/>
      <c r="H195" s="28"/>
      <c r="I195" s="28"/>
      <c r="J195" s="28"/>
      <c r="K195" s="28"/>
      <c r="L195" s="28"/>
      <c r="M195" s="28"/>
      <c r="N195" s="28"/>
      <c r="O195" s="28"/>
      <c r="P195" s="28"/>
      <c r="Q195" s="28"/>
      <c r="R195" s="28"/>
      <c r="S195" s="28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</row>
    <row r="196" spans="1:29" ht="13">
      <c r="A196" s="28"/>
      <c r="B196" s="28"/>
      <c r="C196" s="28"/>
      <c r="D196" s="28"/>
      <c r="E196" s="28"/>
      <c r="F196" s="28"/>
      <c r="G196" s="28"/>
      <c r="H196" s="28"/>
      <c r="I196" s="28"/>
      <c r="J196" s="28"/>
      <c r="K196" s="28"/>
      <c r="L196" s="28"/>
      <c r="M196" s="28"/>
      <c r="N196" s="28"/>
      <c r="O196" s="28"/>
      <c r="P196" s="28"/>
      <c r="Q196" s="28"/>
      <c r="R196" s="28"/>
      <c r="S196" s="28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</row>
    <row r="197" spans="1:29" ht="13">
      <c r="A197" s="28"/>
      <c r="B197" s="28"/>
      <c r="C197" s="28"/>
      <c r="D197" s="28"/>
      <c r="E197" s="28"/>
      <c r="F197" s="28"/>
      <c r="G197" s="28"/>
      <c r="H197" s="28"/>
      <c r="I197" s="28"/>
      <c r="J197" s="28"/>
      <c r="K197" s="28"/>
      <c r="L197" s="28"/>
      <c r="M197" s="28"/>
      <c r="N197" s="28"/>
      <c r="O197" s="28"/>
      <c r="P197" s="28"/>
      <c r="Q197" s="28"/>
      <c r="R197" s="28"/>
      <c r="S197" s="28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</row>
    <row r="198" spans="1:29" ht="13">
      <c r="A198" s="28"/>
      <c r="B198" s="28"/>
      <c r="C198" s="28"/>
      <c r="D198" s="28"/>
      <c r="E198" s="28"/>
      <c r="F198" s="28"/>
      <c r="G198" s="28"/>
      <c r="H198" s="28"/>
      <c r="I198" s="28"/>
      <c r="J198" s="28"/>
      <c r="K198" s="28"/>
      <c r="L198" s="28"/>
      <c r="M198" s="28"/>
      <c r="N198" s="28"/>
      <c r="O198" s="28"/>
      <c r="P198" s="28"/>
      <c r="Q198" s="28"/>
      <c r="R198" s="28"/>
      <c r="S198" s="28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</row>
    <row r="199" spans="1:29" ht="13">
      <c r="A199" s="28"/>
      <c r="B199" s="28"/>
      <c r="C199" s="28"/>
      <c r="D199" s="28"/>
      <c r="E199" s="28"/>
      <c r="F199" s="28"/>
      <c r="G199" s="28"/>
      <c r="H199" s="28"/>
      <c r="I199" s="28"/>
      <c r="J199" s="28"/>
      <c r="K199" s="28"/>
      <c r="L199" s="28"/>
      <c r="M199" s="28"/>
      <c r="N199" s="28"/>
      <c r="O199" s="28"/>
      <c r="P199" s="28"/>
      <c r="Q199" s="28"/>
      <c r="R199" s="28"/>
      <c r="S199" s="28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</row>
    <row r="200" spans="1:29" ht="13">
      <c r="A200" s="28"/>
      <c r="B200" s="28"/>
      <c r="C200" s="28"/>
      <c r="D200" s="28"/>
      <c r="E200" s="28"/>
      <c r="F200" s="28"/>
      <c r="G200" s="28"/>
      <c r="H200" s="28"/>
      <c r="I200" s="28"/>
      <c r="J200" s="28"/>
      <c r="K200" s="28"/>
      <c r="L200" s="28"/>
      <c r="M200" s="28"/>
      <c r="N200" s="28"/>
      <c r="O200" s="28"/>
      <c r="P200" s="28"/>
      <c r="Q200" s="28"/>
      <c r="R200" s="28"/>
      <c r="S200" s="28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</row>
    <row r="201" spans="1:29" ht="13">
      <c r="A201" s="28"/>
      <c r="B201" s="28"/>
      <c r="C201" s="28"/>
      <c r="D201" s="28"/>
      <c r="E201" s="28"/>
      <c r="F201" s="28"/>
      <c r="G201" s="28"/>
      <c r="H201" s="28"/>
      <c r="I201" s="28"/>
      <c r="J201" s="28"/>
      <c r="K201" s="28"/>
      <c r="L201" s="28"/>
      <c r="M201" s="28"/>
      <c r="N201" s="28"/>
      <c r="O201" s="28"/>
      <c r="P201" s="28"/>
      <c r="Q201" s="28"/>
      <c r="R201" s="28"/>
      <c r="S201" s="28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</row>
    <row r="202" spans="1:29" ht="13">
      <c r="A202" s="28"/>
      <c r="B202" s="28"/>
      <c r="C202" s="28"/>
      <c r="D202" s="28"/>
      <c r="E202" s="28"/>
      <c r="F202" s="28"/>
      <c r="G202" s="28"/>
      <c r="H202" s="28"/>
      <c r="I202" s="28"/>
      <c r="J202" s="28"/>
      <c r="K202" s="28"/>
      <c r="L202" s="28"/>
      <c r="M202" s="28"/>
      <c r="N202" s="28"/>
      <c r="O202" s="28"/>
      <c r="P202" s="28"/>
      <c r="Q202" s="28"/>
      <c r="R202" s="28"/>
      <c r="S202" s="28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</row>
    <row r="203" spans="1:29" ht="13">
      <c r="A203" s="28"/>
      <c r="B203" s="28"/>
      <c r="C203" s="28"/>
      <c r="D203" s="28"/>
      <c r="E203" s="28"/>
      <c r="F203" s="28"/>
      <c r="G203" s="28"/>
      <c r="H203" s="28"/>
      <c r="I203" s="28"/>
      <c r="J203" s="28"/>
      <c r="K203" s="28"/>
      <c r="L203" s="28"/>
      <c r="M203" s="28"/>
      <c r="N203" s="28"/>
      <c r="O203" s="28"/>
      <c r="P203" s="28"/>
      <c r="Q203" s="28"/>
      <c r="R203" s="28"/>
      <c r="S203" s="28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</row>
    <row r="204" spans="1:29" ht="13">
      <c r="A204" s="28"/>
      <c r="B204" s="28"/>
      <c r="C204" s="28"/>
      <c r="D204" s="28"/>
      <c r="E204" s="28"/>
      <c r="F204" s="28"/>
      <c r="G204" s="28"/>
      <c r="H204" s="28"/>
      <c r="I204" s="28"/>
      <c r="J204" s="28"/>
      <c r="K204" s="28"/>
      <c r="L204" s="28"/>
      <c r="M204" s="28"/>
      <c r="N204" s="28"/>
      <c r="O204" s="28"/>
      <c r="P204" s="28"/>
      <c r="Q204" s="28"/>
      <c r="R204" s="28"/>
      <c r="S204" s="28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</row>
    <row r="205" spans="1:29" ht="13">
      <c r="A205" s="28"/>
      <c r="B205" s="28"/>
      <c r="C205" s="28"/>
      <c r="D205" s="28"/>
      <c r="E205" s="28"/>
      <c r="F205" s="28"/>
      <c r="G205" s="28"/>
      <c r="H205" s="28"/>
      <c r="I205" s="28"/>
      <c r="J205" s="28"/>
      <c r="K205" s="28"/>
      <c r="L205" s="28"/>
      <c r="M205" s="28"/>
      <c r="N205" s="28"/>
      <c r="O205" s="28"/>
      <c r="P205" s="28"/>
      <c r="Q205" s="28"/>
      <c r="R205" s="28"/>
      <c r="S205" s="28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</row>
    <row r="206" spans="1:29" ht="13">
      <c r="A206" s="28"/>
      <c r="B206" s="28"/>
      <c r="C206" s="28"/>
      <c r="D206" s="28"/>
      <c r="E206" s="28"/>
      <c r="F206" s="28"/>
      <c r="G206" s="28"/>
      <c r="H206" s="28"/>
      <c r="I206" s="28"/>
      <c r="J206" s="28"/>
      <c r="K206" s="28"/>
      <c r="L206" s="28"/>
      <c r="M206" s="28"/>
      <c r="N206" s="28"/>
      <c r="O206" s="28"/>
      <c r="P206" s="28"/>
      <c r="Q206" s="28"/>
      <c r="R206" s="28"/>
      <c r="S206" s="28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</row>
    <row r="207" spans="1:29" ht="13">
      <c r="A207" s="28"/>
      <c r="B207" s="28"/>
      <c r="C207" s="28"/>
      <c r="D207" s="28"/>
      <c r="E207" s="28"/>
      <c r="F207" s="28"/>
      <c r="G207" s="28"/>
      <c r="H207" s="28"/>
      <c r="I207" s="28"/>
      <c r="J207" s="28"/>
      <c r="K207" s="28"/>
      <c r="L207" s="28"/>
      <c r="M207" s="28"/>
      <c r="N207" s="28"/>
      <c r="O207" s="28"/>
      <c r="P207" s="28"/>
      <c r="Q207" s="28"/>
      <c r="R207" s="28"/>
      <c r="S207" s="28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</row>
    <row r="208" spans="1:29" ht="13">
      <c r="A208" s="28"/>
      <c r="B208" s="28"/>
      <c r="C208" s="28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</row>
    <row r="209" spans="1:29" ht="13">
      <c r="A209" s="28"/>
      <c r="B209" s="28"/>
      <c r="C209" s="28"/>
      <c r="D209" s="28"/>
      <c r="E209" s="28"/>
      <c r="F209" s="28"/>
      <c r="G209" s="28"/>
      <c r="H209" s="28"/>
      <c r="I209" s="28"/>
      <c r="J209" s="28"/>
      <c r="K209" s="28"/>
      <c r="L209" s="28"/>
      <c r="M209" s="28"/>
      <c r="N209" s="28"/>
      <c r="O209" s="28"/>
      <c r="P209" s="28"/>
      <c r="Q209" s="28"/>
      <c r="R209" s="28"/>
      <c r="S209" s="28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</row>
    <row r="210" spans="1:29" ht="13">
      <c r="A210" s="28"/>
      <c r="B210" s="28"/>
      <c r="C210" s="28"/>
      <c r="D210" s="28"/>
      <c r="E210" s="28"/>
      <c r="F210" s="28"/>
      <c r="G210" s="28"/>
      <c r="H210" s="28"/>
      <c r="I210" s="28"/>
      <c r="J210" s="28"/>
      <c r="K210" s="28"/>
      <c r="L210" s="28"/>
      <c r="M210" s="28"/>
      <c r="N210" s="28"/>
      <c r="O210" s="28"/>
      <c r="P210" s="28"/>
      <c r="Q210" s="28"/>
      <c r="R210" s="28"/>
      <c r="S210" s="28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</row>
    <row r="211" spans="1:29" ht="13">
      <c r="A211" s="28"/>
      <c r="B211" s="28"/>
      <c r="C211" s="28"/>
      <c r="D211" s="28"/>
      <c r="E211" s="28"/>
      <c r="F211" s="28"/>
      <c r="G211" s="28"/>
      <c r="H211" s="28"/>
      <c r="I211" s="28"/>
      <c r="J211" s="28"/>
      <c r="K211" s="28"/>
      <c r="L211" s="28"/>
      <c r="M211" s="28"/>
      <c r="N211" s="28"/>
      <c r="O211" s="28"/>
      <c r="P211" s="28"/>
      <c r="Q211" s="28"/>
      <c r="R211" s="28"/>
      <c r="S211" s="28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</row>
    <row r="212" spans="1:29" ht="13">
      <c r="A212" s="28"/>
      <c r="B212" s="28"/>
      <c r="C212" s="28"/>
      <c r="D212" s="28"/>
      <c r="E212" s="28"/>
      <c r="F212" s="28"/>
      <c r="G212" s="28"/>
      <c r="H212" s="28"/>
      <c r="I212" s="28"/>
      <c r="J212" s="28"/>
      <c r="K212" s="28"/>
      <c r="L212" s="28"/>
      <c r="M212" s="28"/>
      <c r="N212" s="28"/>
      <c r="O212" s="28"/>
      <c r="P212" s="28"/>
      <c r="Q212" s="28"/>
      <c r="R212" s="28"/>
      <c r="S212" s="28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</row>
    <row r="213" spans="1:29" ht="13">
      <c r="A213" s="28"/>
      <c r="B213" s="28"/>
      <c r="C213" s="28"/>
      <c r="D213" s="28"/>
      <c r="E213" s="28"/>
      <c r="F213" s="28"/>
      <c r="G213" s="28"/>
      <c r="H213" s="28"/>
      <c r="I213" s="28"/>
      <c r="J213" s="28"/>
      <c r="K213" s="28"/>
      <c r="L213" s="28"/>
      <c r="M213" s="28"/>
      <c r="N213" s="28"/>
      <c r="O213" s="28"/>
      <c r="P213" s="28"/>
      <c r="Q213" s="28"/>
      <c r="R213" s="28"/>
      <c r="S213" s="28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</row>
    <row r="214" spans="1:29" ht="13">
      <c r="A214" s="28"/>
      <c r="B214" s="28"/>
      <c r="C214" s="28"/>
      <c r="D214" s="28"/>
      <c r="E214" s="28"/>
      <c r="F214" s="28"/>
      <c r="G214" s="28"/>
      <c r="H214" s="28"/>
      <c r="I214" s="28"/>
      <c r="J214" s="28"/>
      <c r="K214" s="28"/>
      <c r="L214" s="28"/>
      <c r="M214" s="28"/>
      <c r="N214" s="28"/>
      <c r="O214" s="28"/>
      <c r="P214" s="28"/>
      <c r="Q214" s="28"/>
      <c r="R214" s="28"/>
      <c r="S214" s="28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</row>
    <row r="215" spans="1:29" ht="13">
      <c r="A215" s="28"/>
      <c r="B215" s="28"/>
      <c r="C215" s="28"/>
      <c r="D215" s="28"/>
      <c r="E215" s="28"/>
      <c r="F215" s="28"/>
      <c r="G215" s="28"/>
      <c r="H215" s="28"/>
      <c r="I215" s="28"/>
      <c r="J215" s="28"/>
      <c r="K215" s="28"/>
      <c r="L215" s="28"/>
      <c r="M215" s="28"/>
      <c r="N215" s="28"/>
      <c r="O215" s="28"/>
      <c r="P215" s="28"/>
      <c r="Q215" s="28"/>
      <c r="R215" s="28"/>
      <c r="S215" s="28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</row>
    <row r="216" spans="1:29" ht="13">
      <c r="A216" s="28"/>
      <c r="B216" s="28"/>
      <c r="C216" s="28"/>
      <c r="D216" s="28"/>
      <c r="E216" s="28"/>
      <c r="F216" s="28"/>
      <c r="G216" s="28"/>
      <c r="H216" s="28"/>
      <c r="I216" s="28"/>
      <c r="J216" s="28"/>
      <c r="K216" s="28"/>
      <c r="L216" s="28"/>
      <c r="M216" s="28"/>
      <c r="N216" s="28"/>
      <c r="O216" s="28"/>
      <c r="P216" s="28"/>
      <c r="Q216" s="28"/>
      <c r="R216" s="28"/>
      <c r="S216" s="28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</row>
    <row r="217" spans="1:29" ht="13">
      <c r="A217" s="28"/>
      <c r="B217" s="28"/>
      <c r="C217" s="28"/>
      <c r="D217" s="28"/>
      <c r="E217" s="28"/>
      <c r="F217" s="28"/>
      <c r="G217" s="28"/>
      <c r="H217" s="28"/>
      <c r="I217" s="28"/>
      <c r="J217" s="28"/>
      <c r="K217" s="28"/>
      <c r="L217" s="28"/>
      <c r="M217" s="28"/>
      <c r="N217" s="28"/>
      <c r="O217" s="28"/>
      <c r="P217" s="28"/>
      <c r="Q217" s="28"/>
      <c r="R217" s="28"/>
      <c r="S217" s="28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</row>
    <row r="218" spans="1:29" ht="13">
      <c r="A218" s="28"/>
      <c r="B218" s="28"/>
      <c r="C218" s="28"/>
      <c r="D218" s="28"/>
      <c r="E218" s="28"/>
      <c r="F218" s="28"/>
      <c r="G218" s="28"/>
      <c r="H218" s="28"/>
      <c r="I218" s="28"/>
      <c r="J218" s="28"/>
      <c r="K218" s="28"/>
      <c r="L218" s="28"/>
      <c r="M218" s="28"/>
      <c r="N218" s="28"/>
      <c r="O218" s="28"/>
      <c r="P218" s="28"/>
      <c r="Q218" s="28"/>
      <c r="R218" s="28"/>
      <c r="S218" s="28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</row>
    <row r="219" spans="1:29" ht="13">
      <c r="A219" s="28"/>
      <c r="B219" s="28"/>
      <c r="C219" s="28"/>
      <c r="D219" s="28"/>
      <c r="E219" s="28"/>
      <c r="F219" s="28"/>
      <c r="G219" s="28"/>
      <c r="H219" s="28"/>
      <c r="I219" s="28"/>
      <c r="J219" s="28"/>
      <c r="K219" s="28"/>
      <c r="L219" s="28"/>
      <c r="M219" s="28"/>
      <c r="N219" s="28"/>
      <c r="O219" s="28"/>
      <c r="P219" s="28"/>
      <c r="Q219" s="28"/>
      <c r="R219" s="28"/>
      <c r="S219" s="28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</row>
    <row r="220" spans="1:29" ht="13">
      <c r="A220" s="28"/>
      <c r="B220" s="28"/>
      <c r="C220" s="28"/>
      <c r="D220" s="28"/>
      <c r="E220" s="28"/>
      <c r="F220" s="28"/>
      <c r="G220" s="28"/>
      <c r="H220" s="28"/>
      <c r="I220" s="28"/>
      <c r="J220" s="28"/>
      <c r="K220" s="28"/>
      <c r="L220" s="28"/>
      <c r="M220" s="28"/>
      <c r="N220" s="28"/>
      <c r="O220" s="28"/>
      <c r="P220" s="28"/>
      <c r="Q220" s="28"/>
      <c r="R220" s="28"/>
      <c r="S220" s="28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</row>
    <row r="221" spans="1:29" ht="13">
      <c r="A221" s="28"/>
      <c r="B221" s="28"/>
      <c r="C221" s="28"/>
      <c r="D221" s="28"/>
      <c r="E221" s="28"/>
      <c r="F221" s="28"/>
      <c r="G221" s="28"/>
      <c r="H221" s="28"/>
      <c r="I221" s="28"/>
      <c r="J221" s="28"/>
      <c r="K221" s="28"/>
      <c r="L221" s="28"/>
      <c r="M221" s="28"/>
      <c r="N221" s="28"/>
      <c r="O221" s="28"/>
      <c r="P221" s="28"/>
      <c r="Q221" s="28"/>
      <c r="R221" s="28"/>
      <c r="S221" s="28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</row>
    <row r="222" spans="1:29" ht="13">
      <c r="A222" s="28"/>
      <c r="B222" s="28"/>
      <c r="C222" s="28"/>
      <c r="D222" s="28"/>
      <c r="E222" s="28"/>
      <c r="F222" s="28"/>
      <c r="G222" s="28"/>
      <c r="H222" s="28"/>
      <c r="I222" s="28"/>
      <c r="J222" s="28"/>
      <c r="K222" s="28"/>
      <c r="L222" s="28"/>
      <c r="M222" s="28"/>
      <c r="N222" s="28"/>
      <c r="O222" s="28"/>
      <c r="P222" s="28"/>
      <c r="Q222" s="28"/>
      <c r="R222" s="28"/>
      <c r="S222" s="28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</row>
    <row r="223" spans="1:29" ht="13">
      <c r="A223" s="28"/>
      <c r="B223" s="28"/>
      <c r="C223" s="28"/>
      <c r="D223" s="28"/>
      <c r="E223" s="28"/>
      <c r="F223" s="28"/>
      <c r="G223" s="28"/>
      <c r="H223" s="28"/>
      <c r="I223" s="28"/>
      <c r="J223" s="28"/>
      <c r="K223" s="28"/>
      <c r="L223" s="28"/>
      <c r="M223" s="28"/>
      <c r="N223" s="28"/>
      <c r="O223" s="28"/>
      <c r="P223" s="28"/>
      <c r="Q223" s="28"/>
      <c r="R223" s="28"/>
      <c r="S223" s="28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</row>
    <row r="224" spans="1:29" ht="13">
      <c r="A224" s="28"/>
      <c r="B224" s="28"/>
      <c r="C224" s="28"/>
      <c r="D224" s="28"/>
      <c r="E224" s="28"/>
      <c r="F224" s="28"/>
      <c r="G224" s="28"/>
      <c r="H224" s="28"/>
      <c r="I224" s="28"/>
      <c r="J224" s="28"/>
      <c r="K224" s="28"/>
      <c r="L224" s="28"/>
      <c r="M224" s="28"/>
      <c r="N224" s="28"/>
      <c r="O224" s="28"/>
      <c r="P224" s="28"/>
      <c r="Q224" s="28"/>
      <c r="R224" s="28"/>
      <c r="S224" s="28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</row>
    <row r="225" spans="1:29" ht="13">
      <c r="A225" s="28"/>
      <c r="B225" s="28"/>
      <c r="C225" s="28"/>
      <c r="D225" s="28"/>
      <c r="E225" s="28"/>
      <c r="F225" s="28"/>
      <c r="G225" s="28"/>
      <c r="H225" s="28"/>
      <c r="I225" s="28"/>
      <c r="J225" s="28"/>
      <c r="K225" s="28"/>
      <c r="L225" s="28"/>
      <c r="M225" s="28"/>
      <c r="N225" s="28"/>
      <c r="O225" s="28"/>
      <c r="P225" s="28"/>
      <c r="Q225" s="28"/>
      <c r="R225" s="28"/>
      <c r="S225" s="28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</row>
    <row r="226" spans="1:29" ht="13">
      <c r="A226" s="28"/>
      <c r="B226" s="28"/>
      <c r="C226" s="28"/>
      <c r="D226" s="28"/>
      <c r="E226" s="28"/>
      <c r="F226" s="28"/>
      <c r="G226" s="28"/>
      <c r="H226" s="28"/>
      <c r="I226" s="28"/>
      <c r="J226" s="28"/>
      <c r="K226" s="28"/>
      <c r="L226" s="28"/>
      <c r="M226" s="28"/>
      <c r="N226" s="28"/>
      <c r="O226" s="28"/>
      <c r="P226" s="28"/>
      <c r="Q226" s="28"/>
      <c r="R226" s="28"/>
      <c r="S226" s="28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</row>
    <row r="227" spans="1:29" ht="13">
      <c r="A227" s="28"/>
      <c r="B227" s="28"/>
      <c r="C227" s="28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</row>
    <row r="228" spans="1:29" ht="13">
      <c r="A228" s="28"/>
      <c r="B228" s="28"/>
      <c r="C228" s="28"/>
      <c r="D228" s="28"/>
      <c r="E228" s="28"/>
      <c r="F228" s="28"/>
      <c r="G228" s="28"/>
      <c r="H228" s="28"/>
      <c r="I228" s="28"/>
      <c r="J228" s="28"/>
      <c r="K228" s="28"/>
      <c r="L228" s="28"/>
      <c r="M228" s="28"/>
      <c r="N228" s="28"/>
      <c r="O228" s="28"/>
      <c r="P228" s="28"/>
      <c r="Q228" s="28"/>
      <c r="R228" s="28"/>
      <c r="S228" s="28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</row>
    <row r="229" spans="1:29" ht="13">
      <c r="A229" s="28"/>
      <c r="B229" s="28"/>
      <c r="C229" s="28"/>
      <c r="D229" s="28"/>
      <c r="E229" s="28"/>
      <c r="F229" s="28"/>
      <c r="G229" s="28"/>
      <c r="H229" s="28"/>
      <c r="I229" s="28"/>
      <c r="J229" s="28"/>
      <c r="K229" s="28"/>
      <c r="L229" s="28"/>
      <c r="M229" s="28"/>
      <c r="N229" s="28"/>
      <c r="O229" s="28"/>
      <c r="P229" s="28"/>
      <c r="Q229" s="28"/>
      <c r="R229" s="28"/>
      <c r="S229" s="28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</row>
    <row r="230" spans="1:29" ht="13">
      <c r="A230" s="28"/>
      <c r="B230" s="28"/>
      <c r="C230" s="28"/>
      <c r="D230" s="28"/>
      <c r="E230" s="28"/>
      <c r="F230" s="28"/>
      <c r="G230" s="28"/>
      <c r="H230" s="28"/>
      <c r="I230" s="28"/>
      <c r="J230" s="28"/>
      <c r="K230" s="28"/>
      <c r="L230" s="28"/>
      <c r="M230" s="28"/>
      <c r="N230" s="28"/>
      <c r="O230" s="28"/>
      <c r="P230" s="28"/>
      <c r="Q230" s="28"/>
      <c r="R230" s="28"/>
      <c r="S230" s="28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</row>
    <row r="231" spans="1:29" ht="13">
      <c r="A231" s="28"/>
      <c r="B231" s="28"/>
      <c r="C231" s="28"/>
      <c r="D231" s="28"/>
      <c r="E231" s="28"/>
      <c r="F231" s="28"/>
      <c r="G231" s="28"/>
      <c r="H231" s="28"/>
      <c r="I231" s="28"/>
      <c r="J231" s="28"/>
      <c r="K231" s="28"/>
      <c r="L231" s="28"/>
      <c r="M231" s="28"/>
      <c r="N231" s="28"/>
      <c r="O231" s="28"/>
      <c r="P231" s="28"/>
      <c r="Q231" s="28"/>
      <c r="R231" s="28"/>
      <c r="S231" s="28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</row>
    <row r="232" spans="1:29" ht="13">
      <c r="A232" s="28"/>
      <c r="B232" s="28"/>
      <c r="C232" s="28"/>
      <c r="D232" s="28"/>
      <c r="E232" s="28"/>
      <c r="F232" s="28"/>
      <c r="G232" s="28"/>
      <c r="H232" s="28"/>
      <c r="I232" s="28"/>
      <c r="J232" s="28"/>
      <c r="K232" s="28"/>
      <c r="L232" s="28"/>
      <c r="M232" s="28"/>
      <c r="N232" s="28"/>
      <c r="O232" s="28"/>
      <c r="P232" s="28"/>
      <c r="Q232" s="28"/>
      <c r="R232" s="28"/>
      <c r="S232" s="28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</row>
    <row r="233" spans="1:29" ht="13">
      <c r="A233" s="28"/>
      <c r="B233" s="28"/>
      <c r="C233" s="28"/>
      <c r="D233" s="28"/>
      <c r="E233" s="28"/>
      <c r="F233" s="28"/>
      <c r="G233" s="28"/>
      <c r="H233" s="28"/>
      <c r="I233" s="28"/>
      <c r="J233" s="28"/>
      <c r="K233" s="28"/>
      <c r="L233" s="28"/>
      <c r="M233" s="28"/>
      <c r="N233" s="28"/>
      <c r="O233" s="28"/>
      <c r="P233" s="28"/>
      <c r="Q233" s="28"/>
      <c r="R233" s="28"/>
      <c r="S233" s="28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</row>
    <row r="234" spans="1:29" ht="13">
      <c r="A234" s="28"/>
      <c r="B234" s="28"/>
      <c r="C234" s="28"/>
      <c r="D234" s="28"/>
      <c r="E234" s="28"/>
      <c r="F234" s="28"/>
      <c r="G234" s="28"/>
      <c r="H234" s="28"/>
      <c r="I234" s="28"/>
      <c r="J234" s="28"/>
      <c r="K234" s="28"/>
      <c r="L234" s="28"/>
      <c r="M234" s="28"/>
      <c r="N234" s="28"/>
      <c r="O234" s="28"/>
      <c r="P234" s="28"/>
      <c r="Q234" s="28"/>
      <c r="R234" s="28"/>
      <c r="S234" s="28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</row>
    <row r="235" spans="1:29" ht="13">
      <c r="A235" s="28"/>
      <c r="B235" s="28"/>
      <c r="C235" s="28"/>
      <c r="D235" s="28"/>
      <c r="E235" s="28"/>
      <c r="F235" s="28"/>
      <c r="G235" s="28"/>
      <c r="H235" s="28"/>
      <c r="I235" s="28"/>
      <c r="J235" s="28"/>
      <c r="K235" s="28"/>
      <c r="L235" s="28"/>
      <c r="M235" s="28"/>
      <c r="N235" s="28"/>
      <c r="O235" s="28"/>
      <c r="P235" s="28"/>
      <c r="Q235" s="28"/>
      <c r="R235" s="28"/>
      <c r="S235" s="28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</row>
    <row r="236" spans="1:29" ht="13">
      <c r="A236" s="28"/>
      <c r="B236" s="28"/>
      <c r="C236" s="28"/>
      <c r="D236" s="28"/>
      <c r="E236" s="28"/>
      <c r="F236" s="28"/>
      <c r="G236" s="28"/>
      <c r="H236" s="28"/>
      <c r="I236" s="28"/>
      <c r="J236" s="28"/>
      <c r="K236" s="28"/>
      <c r="L236" s="28"/>
      <c r="M236" s="28"/>
      <c r="N236" s="28"/>
      <c r="O236" s="28"/>
      <c r="P236" s="28"/>
      <c r="Q236" s="28"/>
      <c r="R236" s="28"/>
      <c r="S236" s="28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</row>
    <row r="237" spans="1:29" ht="13">
      <c r="A237" s="28"/>
      <c r="B237" s="28"/>
      <c r="C237" s="28"/>
      <c r="D237" s="28"/>
      <c r="E237" s="28"/>
      <c r="F237" s="28"/>
      <c r="G237" s="28"/>
      <c r="H237" s="28"/>
      <c r="I237" s="28"/>
      <c r="J237" s="28"/>
      <c r="K237" s="28"/>
      <c r="L237" s="28"/>
      <c r="M237" s="28"/>
      <c r="N237" s="28"/>
      <c r="O237" s="28"/>
      <c r="P237" s="28"/>
      <c r="Q237" s="28"/>
      <c r="R237" s="28"/>
      <c r="S237" s="28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</row>
    <row r="238" spans="1:29" ht="13">
      <c r="A238" s="28"/>
      <c r="B238" s="28"/>
      <c r="C238" s="28"/>
      <c r="D238" s="28"/>
      <c r="E238" s="28"/>
      <c r="F238" s="28"/>
      <c r="G238" s="28"/>
      <c r="H238" s="28"/>
      <c r="I238" s="28"/>
      <c r="J238" s="28"/>
      <c r="K238" s="28"/>
      <c r="L238" s="28"/>
      <c r="M238" s="28"/>
      <c r="N238" s="28"/>
      <c r="O238" s="28"/>
      <c r="P238" s="28"/>
      <c r="Q238" s="28"/>
      <c r="R238" s="28"/>
      <c r="S238" s="28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</row>
    <row r="239" spans="1:29" ht="13">
      <c r="A239" s="28"/>
      <c r="B239" s="28"/>
      <c r="C239" s="28"/>
      <c r="D239" s="28"/>
      <c r="E239" s="28"/>
      <c r="F239" s="28"/>
      <c r="G239" s="28"/>
      <c r="H239" s="28"/>
      <c r="I239" s="28"/>
      <c r="J239" s="28"/>
      <c r="K239" s="28"/>
      <c r="L239" s="28"/>
      <c r="M239" s="28"/>
      <c r="N239" s="28"/>
      <c r="O239" s="28"/>
      <c r="P239" s="28"/>
      <c r="Q239" s="28"/>
      <c r="R239" s="28"/>
      <c r="S239" s="28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</row>
    <row r="240" spans="1:29" ht="13">
      <c r="A240" s="28"/>
      <c r="B240" s="28"/>
      <c r="C240" s="28"/>
      <c r="D240" s="28"/>
      <c r="E240" s="28"/>
      <c r="F240" s="28"/>
      <c r="G240" s="28"/>
      <c r="H240" s="28"/>
      <c r="I240" s="28"/>
      <c r="J240" s="28"/>
      <c r="K240" s="28"/>
      <c r="L240" s="28"/>
      <c r="M240" s="28"/>
      <c r="N240" s="28"/>
      <c r="O240" s="28"/>
      <c r="P240" s="28"/>
      <c r="Q240" s="28"/>
      <c r="R240" s="28"/>
      <c r="S240" s="28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</row>
    <row r="241" spans="1:29" ht="13">
      <c r="A241" s="28"/>
      <c r="B241" s="28"/>
      <c r="C241" s="28"/>
      <c r="D241" s="28"/>
      <c r="E241" s="28"/>
      <c r="F241" s="28"/>
      <c r="G241" s="28"/>
      <c r="H241" s="28"/>
      <c r="I241" s="28"/>
      <c r="J241" s="28"/>
      <c r="K241" s="28"/>
      <c r="L241" s="28"/>
      <c r="M241" s="28"/>
      <c r="N241" s="28"/>
      <c r="O241" s="28"/>
      <c r="P241" s="28"/>
      <c r="Q241" s="28"/>
      <c r="R241" s="28"/>
      <c r="S241" s="28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</row>
    <row r="242" spans="1:29" ht="13">
      <c r="A242" s="28"/>
      <c r="B242" s="28"/>
      <c r="C242" s="28"/>
      <c r="D242" s="28"/>
      <c r="E242" s="28"/>
      <c r="F242" s="28"/>
      <c r="G242" s="28"/>
      <c r="H242" s="28"/>
      <c r="I242" s="28"/>
      <c r="J242" s="28"/>
      <c r="K242" s="28"/>
      <c r="L242" s="28"/>
      <c r="M242" s="28"/>
      <c r="N242" s="28"/>
      <c r="O242" s="28"/>
      <c r="P242" s="28"/>
      <c r="Q242" s="28"/>
      <c r="R242" s="28"/>
      <c r="S242" s="28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</row>
    <row r="243" spans="1:29" ht="13">
      <c r="A243" s="28"/>
      <c r="B243" s="28"/>
      <c r="C243" s="28"/>
      <c r="D243" s="28"/>
      <c r="E243" s="28"/>
      <c r="F243" s="28"/>
      <c r="G243" s="28"/>
      <c r="H243" s="28"/>
      <c r="I243" s="28"/>
      <c r="J243" s="28"/>
      <c r="K243" s="28"/>
      <c r="L243" s="28"/>
      <c r="M243" s="28"/>
      <c r="N243" s="28"/>
      <c r="O243" s="28"/>
      <c r="P243" s="28"/>
      <c r="Q243" s="28"/>
      <c r="R243" s="28"/>
      <c r="S243" s="28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</row>
    <row r="244" spans="1:29" ht="13">
      <c r="A244" s="28"/>
      <c r="B244" s="28"/>
      <c r="C244" s="28"/>
      <c r="D244" s="28"/>
      <c r="E244" s="28"/>
      <c r="F244" s="28"/>
      <c r="G244" s="28"/>
      <c r="H244" s="28"/>
      <c r="I244" s="28"/>
      <c r="J244" s="28"/>
      <c r="K244" s="28"/>
      <c r="L244" s="28"/>
      <c r="M244" s="28"/>
      <c r="N244" s="28"/>
      <c r="O244" s="28"/>
      <c r="P244" s="28"/>
      <c r="Q244" s="28"/>
      <c r="R244" s="28"/>
      <c r="S244" s="28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</row>
    <row r="245" spans="1:29" ht="13">
      <c r="A245" s="28"/>
      <c r="B245" s="28"/>
      <c r="C245" s="28"/>
      <c r="D245" s="28"/>
      <c r="E245" s="28"/>
      <c r="F245" s="28"/>
      <c r="G245" s="28"/>
      <c r="H245" s="28"/>
      <c r="I245" s="28"/>
      <c r="J245" s="28"/>
      <c r="K245" s="28"/>
      <c r="L245" s="28"/>
      <c r="M245" s="28"/>
      <c r="N245" s="28"/>
      <c r="O245" s="28"/>
      <c r="P245" s="28"/>
      <c r="Q245" s="28"/>
      <c r="R245" s="28"/>
      <c r="S245" s="28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</row>
    <row r="246" spans="1:29" ht="13">
      <c r="A246" s="28"/>
      <c r="B246" s="28"/>
      <c r="C246" s="28"/>
      <c r="D246" s="28"/>
      <c r="E246" s="28"/>
      <c r="F246" s="28"/>
      <c r="G246" s="28"/>
      <c r="H246" s="28"/>
      <c r="I246" s="28"/>
      <c r="J246" s="28"/>
      <c r="K246" s="28"/>
      <c r="L246" s="28"/>
      <c r="M246" s="28"/>
      <c r="N246" s="28"/>
      <c r="O246" s="28"/>
      <c r="P246" s="28"/>
      <c r="Q246" s="28"/>
      <c r="R246" s="28"/>
      <c r="S246" s="28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</row>
    <row r="247" spans="1:29" ht="13">
      <c r="A247" s="28"/>
      <c r="B247" s="28"/>
      <c r="C247" s="28"/>
      <c r="D247" s="28"/>
      <c r="E247" s="28"/>
      <c r="F247" s="28"/>
      <c r="G247" s="28"/>
      <c r="H247" s="28"/>
      <c r="I247" s="28"/>
      <c r="J247" s="28"/>
      <c r="K247" s="28"/>
      <c r="L247" s="28"/>
      <c r="M247" s="28"/>
      <c r="N247" s="28"/>
      <c r="O247" s="28"/>
      <c r="P247" s="28"/>
      <c r="Q247" s="28"/>
      <c r="R247" s="28"/>
      <c r="S247" s="28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</row>
    <row r="248" spans="1:29" ht="13">
      <c r="A248" s="28"/>
      <c r="B248" s="28"/>
      <c r="C248" s="28"/>
      <c r="D248" s="28"/>
      <c r="E248" s="28"/>
      <c r="F248" s="28"/>
      <c r="G248" s="28"/>
      <c r="H248" s="28"/>
      <c r="I248" s="28"/>
      <c r="J248" s="28"/>
      <c r="K248" s="28"/>
      <c r="L248" s="28"/>
      <c r="M248" s="28"/>
      <c r="N248" s="28"/>
      <c r="O248" s="28"/>
      <c r="P248" s="28"/>
      <c r="Q248" s="28"/>
      <c r="R248" s="28"/>
      <c r="S248" s="28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</row>
    <row r="249" spans="1:29" ht="13">
      <c r="A249" s="28"/>
      <c r="B249" s="28"/>
      <c r="C249" s="28"/>
      <c r="D249" s="28"/>
      <c r="E249" s="28"/>
      <c r="F249" s="28"/>
      <c r="G249" s="28"/>
      <c r="H249" s="28"/>
      <c r="I249" s="28"/>
      <c r="J249" s="28"/>
      <c r="K249" s="28"/>
      <c r="L249" s="28"/>
      <c r="M249" s="28"/>
      <c r="N249" s="28"/>
      <c r="O249" s="28"/>
      <c r="P249" s="28"/>
      <c r="Q249" s="28"/>
      <c r="R249" s="28"/>
      <c r="S249" s="28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</row>
    <row r="250" spans="1:29" ht="13">
      <c r="A250" s="28"/>
      <c r="B250" s="28"/>
      <c r="C250" s="28"/>
      <c r="D250" s="28"/>
      <c r="E250" s="28"/>
      <c r="F250" s="28"/>
      <c r="G250" s="28"/>
      <c r="H250" s="28"/>
      <c r="I250" s="28"/>
      <c r="J250" s="28"/>
      <c r="K250" s="28"/>
      <c r="L250" s="28"/>
      <c r="M250" s="28"/>
      <c r="N250" s="28"/>
      <c r="O250" s="28"/>
      <c r="P250" s="28"/>
      <c r="Q250" s="28"/>
      <c r="R250" s="28"/>
      <c r="S250" s="28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</row>
    <row r="251" spans="1:29" ht="13">
      <c r="A251" s="28"/>
      <c r="B251" s="28"/>
      <c r="C251" s="28"/>
      <c r="D251" s="28"/>
      <c r="E251" s="28"/>
      <c r="F251" s="28"/>
      <c r="G251" s="28"/>
      <c r="H251" s="28"/>
      <c r="I251" s="28"/>
      <c r="J251" s="28"/>
      <c r="K251" s="28"/>
      <c r="L251" s="28"/>
      <c r="M251" s="28"/>
      <c r="N251" s="28"/>
      <c r="O251" s="28"/>
      <c r="P251" s="28"/>
      <c r="Q251" s="28"/>
      <c r="R251" s="28"/>
      <c r="S251" s="28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</row>
    <row r="252" spans="1:29" ht="13">
      <c r="A252" s="28"/>
      <c r="B252" s="28"/>
      <c r="C252" s="28"/>
      <c r="D252" s="28"/>
      <c r="E252" s="28"/>
      <c r="F252" s="28"/>
      <c r="G252" s="28"/>
      <c r="H252" s="28"/>
      <c r="I252" s="28"/>
      <c r="J252" s="28"/>
      <c r="K252" s="28"/>
      <c r="L252" s="28"/>
      <c r="M252" s="28"/>
      <c r="N252" s="28"/>
      <c r="O252" s="28"/>
      <c r="P252" s="28"/>
      <c r="Q252" s="28"/>
      <c r="R252" s="28"/>
      <c r="S252" s="28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</row>
    <row r="253" spans="1:29" ht="13">
      <c r="A253" s="28"/>
      <c r="B253" s="28"/>
      <c r="C253" s="28"/>
      <c r="D253" s="28"/>
      <c r="E253" s="28"/>
      <c r="F253" s="28"/>
      <c r="G253" s="28"/>
      <c r="H253" s="28"/>
      <c r="I253" s="28"/>
      <c r="J253" s="28"/>
      <c r="K253" s="28"/>
      <c r="L253" s="28"/>
      <c r="M253" s="28"/>
      <c r="N253" s="28"/>
      <c r="O253" s="28"/>
      <c r="P253" s="28"/>
      <c r="Q253" s="28"/>
      <c r="R253" s="28"/>
      <c r="S253" s="28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</row>
    <row r="254" spans="1:29" ht="13">
      <c r="A254" s="28"/>
      <c r="B254" s="28"/>
      <c r="C254" s="28"/>
      <c r="D254" s="28"/>
      <c r="E254" s="28"/>
      <c r="F254" s="28"/>
      <c r="G254" s="28"/>
      <c r="H254" s="28"/>
      <c r="I254" s="28"/>
      <c r="J254" s="28"/>
      <c r="K254" s="28"/>
      <c r="L254" s="28"/>
      <c r="M254" s="28"/>
      <c r="N254" s="28"/>
      <c r="O254" s="28"/>
      <c r="P254" s="28"/>
      <c r="Q254" s="28"/>
      <c r="R254" s="28"/>
      <c r="S254" s="28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</row>
    <row r="255" spans="1:29" ht="13">
      <c r="A255" s="28"/>
      <c r="B255" s="28"/>
      <c r="C255" s="28"/>
      <c r="D255" s="28"/>
      <c r="E255" s="28"/>
      <c r="F255" s="28"/>
      <c r="G255" s="28"/>
      <c r="H255" s="28"/>
      <c r="I255" s="28"/>
      <c r="J255" s="28"/>
      <c r="K255" s="28"/>
      <c r="L255" s="28"/>
      <c r="M255" s="28"/>
      <c r="N255" s="28"/>
      <c r="O255" s="28"/>
      <c r="P255" s="28"/>
      <c r="Q255" s="28"/>
      <c r="R255" s="28"/>
      <c r="S255" s="28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</row>
    <row r="256" spans="1:29" ht="13">
      <c r="A256" s="28"/>
      <c r="B256" s="28"/>
      <c r="C256" s="28"/>
      <c r="D256" s="28"/>
      <c r="E256" s="28"/>
      <c r="F256" s="28"/>
      <c r="G256" s="28"/>
      <c r="H256" s="28"/>
      <c r="I256" s="28"/>
      <c r="J256" s="28"/>
      <c r="K256" s="28"/>
      <c r="L256" s="28"/>
      <c r="M256" s="28"/>
      <c r="N256" s="28"/>
      <c r="O256" s="28"/>
      <c r="P256" s="28"/>
      <c r="Q256" s="28"/>
      <c r="R256" s="28"/>
      <c r="S256" s="28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</row>
    <row r="257" spans="1:29" ht="13">
      <c r="A257" s="28"/>
      <c r="B257" s="28"/>
      <c r="C257" s="28"/>
      <c r="D257" s="28"/>
      <c r="E257" s="28"/>
      <c r="F257" s="28"/>
      <c r="G257" s="28"/>
      <c r="H257" s="28"/>
      <c r="I257" s="28"/>
      <c r="J257" s="28"/>
      <c r="K257" s="28"/>
      <c r="L257" s="28"/>
      <c r="M257" s="28"/>
      <c r="N257" s="28"/>
      <c r="O257" s="28"/>
      <c r="P257" s="28"/>
      <c r="Q257" s="28"/>
      <c r="R257" s="28"/>
      <c r="S257" s="28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</row>
    <row r="258" spans="1:29" ht="13">
      <c r="A258" s="28"/>
      <c r="B258" s="28"/>
      <c r="C258" s="28"/>
      <c r="D258" s="28"/>
      <c r="E258" s="28"/>
      <c r="F258" s="28"/>
      <c r="G258" s="28"/>
      <c r="H258" s="28"/>
      <c r="I258" s="28"/>
      <c r="J258" s="28"/>
      <c r="K258" s="28"/>
      <c r="L258" s="28"/>
      <c r="M258" s="28"/>
      <c r="N258" s="28"/>
      <c r="O258" s="28"/>
      <c r="P258" s="28"/>
      <c r="Q258" s="28"/>
      <c r="R258" s="28"/>
      <c r="S258" s="28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</row>
    <row r="259" spans="1:29" ht="13">
      <c r="A259" s="28"/>
      <c r="B259" s="28"/>
      <c r="C259" s="28"/>
      <c r="D259" s="28"/>
      <c r="E259" s="28"/>
      <c r="F259" s="28"/>
      <c r="G259" s="28"/>
      <c r="H259" s="28"/>
      <c r="I259" s="28"/>
      <c r="J259" s="28"/>
      <c r="K259" s="28"/>
      <c r="L259" s="28"/>
      <c r="M259" s="28"/>
      <c r="N259" s="28"/>
      <c r="O259" s="28"/>
      <c r="P259" s="28"/>
      <c r="Q259" s="28"/>
      <c r="R259" s="28"/>
      <c r="S259" s="28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</row>
    <row r="260" spans="1:29" ht="13">
      <c r="A260" s="28"/>
      <c r="B260" s="28"/>
      <c r="C260" s="28"/>
      <c r="D260" s="28"/>
      <c r="E260" s="28"/>
      <c r="F260" s="28"/>
      <c r="G260" s="28"/>
      <c r="H260" s="28"/>
      <c r="I260" s="28"/>
      <c r="J260" s="28"/>
      <c r="K260" s="28"/>
      <c r="L260" s="28"/>
      <c r="M260" s="28"/>
      <c r="N260" s="28"/>
      <c r="O260" s="28"/>
      <c r="P260" s="28"/>
      <c r="Q260" s="28"/>
      <c r="R260" s="28"/>
      <c r="S260" s="28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</row>
    <row r="261" spans="1:29" ht="13">
      <c r="A261" s="28"/>
      <c r="B261" s="28"/>
      <c r="C261" s="28"/>
      <c r="D261" s="28"/>
      <c r="E261" s="28"/>
      <c r="F261" s="28"/>
      <c r="G261" s="28"/>
      <c r="H261" s="28"/>
      <c r="I261" s="28"/>
      <c r="J261" s="28"/>
      <c r="K261" s="28"/>
      <c r="L261" s="28"/>
      <c r="M261" s="28"/>
      <c r="N261" s="28"/>
      <c r="O261" s="28"/>
      <c r="P261" s="28"/>
      <c r="Q261" s="28"/>
      <c r="R261" s="28"/>
      <c r="S261" s="28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</row>
    <row r="262" spans="1:29" ht="13">
      <c r="A262" s="28"/>
      <c r="B262" s="28"/>
      <c r="C262" s="28"/>
      <c r="D262" s="28"/>
      <c r="E262" s="28"/>
      <c r="F262" s="28"/>
      <c r="G262" s="28"/>
      <c r="H262" s="28"/>
      <c r="I262" s="28"/>
      <c r="J262" s="28"/>
      <c r="K262" s="28"/>
      <c r="L262" s="28"/>
      <c r="M262" s="28"/>
      <c r="N262" s="28"/>
      <c r="O262" s="28"/>
      <c r="P262" s="28"/>
      <c r="Q262" s="28"/>
      <c r="R262" s="28"/>
      <c r="S262" s="28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</row>
    <row r="263" spans="1:29" ht="13">
      <c r="A263" s="28"/>
      <c r="B263" s="28"/>
      <c r="C263" s="28"/>
      <c r="D263" s="28"/>
      <c r="E263" s="28"/>
      <c r="F263" s="28"/>
      <c r="G263" s="28"/>
      <c r="H263" s="28"/>
      <c r="I263" s="28"/>
      <c r="J263" s="28"/>
      <c r="K263" s="28"/>
      <c r="L263" s="28"/>
      <c r="M263" s="28"/>
      <c r="N263" s="28"/>
      <c r="O263" s="28"/>
      <c r="P263" s="28"/>
      <c r="Q263" s="28"/>
      <c r="R263" s="28"/>
      <c r="S263" s="28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</row>
    <row r="264" spans="1:29" ht="13">
      <c r="A264" s="28"/>
      <c r="B264" s="28"/>
      <c r="C264" s="28"/>
      <c r="D264" s="28"/>
      <c r="E264" s="28"/>
      <c r="F264" s="28"/>
      <c r="G264" s="28"/>
      <c r="H264" s="28"/>
      <c r="I264" s="28"/>
      <c r="J264" s="28"/>
      <c r="K264" s="28"/>
      <c r="L264" s="28"/>
      <c r="M264" s="28"/>
      <c r="N264" s="28"/>
      <c r="O264" s="28"/>
      <c r="P264" s="28"/>
      <c r="Q264" s="28"/>
      <c r="R264" s="28"/>
      <c r="S264" s="28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</row>
    <row r="265" spans="1:29" ht="13">
      <c r="A265" s="28"/>
      <c r="B265" s="28"/>
      <c r="C265" s="28"/>
      <c r="D265" s="28"/>
      <c r="E265" s="28"/>
      <c r="F265" s="28"/>
      <c r="G265" s="28"/>
      <c r="H265" s="28"/>
      <c r="I265" s="28"/>
      <c r="J265" s="28"/>
      <c r="K265" s="28"/>
      <c r="L265" s="28"/>
      <c r="M265" s="28"/>
      <c r="N265" s="28"/>
      <c r="O265" s="28"/>
      <c r="P265" s="28"/>
      <c r="Q265" s="28"/>
      <c r="R265" s="28"/>
      <c r="S265" s="28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</row>
    <row r="266" spans="1:29" ht="13">
      <c r="A266" s="28"/>
      <c r="B266" s="28"/>
      <c r="C266" s="28"/>
      <c r="D266" s="28"/>
      <c r="E266" s="28"/>
      <c r="F266" s="28"/>
      <c r="G266" s="28"/>
      <c r="H266" s="28"/>
      <c r="I266" s="28"/>
      <c r="J266" s="28"/>
      <c r="K266" s="28"/>
      <c r="L266" s="28"/>
      <c r="M266" s="28"/>
      <c r="N266" s="28"/>
      <c r="O266" s="28"/>
      <c r="P266" s="28"/>
      <c r="Q266" s="28"/>
      <c r="R266" s="28"/>
      <c r="S266" s="28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</row>
    <row r="267" spans="1:29" ht="13">
      <c r="A267" s="28"/>
      <c r="B267" s="28"/>
      <c r="C267" s="28"/>
      <c r="D267" s="28"/>
      <c r="E267" s="28"/>
      <c r="F267" s="28"/>
      <c r="G267" s="28"/>
      <c r="H267" s="28"/>
      <c r="I267" s="28"/>
      <c r="J267" s="28"/>
      <c r="K267" s="28"/>
      <c r="L267" s="28"/>
      <c r="M267" s="28"/>
      <c r="N267" s="28"/>
      <c r="O267" s="28"/>
      <c r="P267" s="28"/>
      <c r="Q267" s="28"/>
      <c r="R267" s="28"/>
      <c r="S267" s="28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</row>
    <row r="268" spans="1:29" ht="13">
      <c r="A268" s="28"/>
      <c r="B268" s="28"/>
      <c r="C268" s="28"/>
      <c r="D268" s="28"/>
      <c r="E268" s="28"/>
      <c r="F268" s="28"/>
      <c r="G268" s="28"/>
      <c r="H268" s="28"/>
      <c r="I268" s="28"/>
      <c r="J268" s="28"/>
      <c r="K268" s="28"/>
      <c r="L268" s="28"/>
      <c r="M268" s="28"/>
      <c r="N268" s="28"/>
      <c r="O268" s="28"/>
      <c r="P268" s="28"/>
      <c r="Q268" s="28"/>
      <c r="R268" s="28"/>
      <c r="S268" s="28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</row>
    <row r="269" spans="1:29" ht="13">
      <c r="A269" s="28"/>
      <c r="B269" s="28"/>
      <c r="C269" s="28"/>
      <c r="D269" s="28"/>
      <c r="E269" s="28"/>
      <c r="F269" s="28"/>
      <c r="G269" s="28"/>
      <c r="H269" s="28"/>
      <c r="I269" s="28"/>
      <c r="J269" s="28"/>
      <c r="K269" s="28"/>
      <c r="L269" s="28"/>
      <c r="M269" s="28"/>
      <c r="N269" s="28"/>
      <c r="O269" s="28"/>
      <c r="P269" s="28"/>
      <c r="Q269" s="28"/>
      <c r="R269" s="28"/>
      <c r="S269" s="28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</row>
    <row r="270" spans="1:29" ht="13">
      <c r="A270" s="28"/>
      <c r="B270" s="28"/>
      <c r="C270" s="28"/>
      <c r="D270" s="28"/>
      <c r="E270" s="28"/>
      <c r="F270" s="28"/>
      <c r="G270" s="28"/>
      <c r="H270" s="28"/>
      <c r="I270" s="28"/>
      <c r="J270" s="28"/>
      <c r="K270" s="28"/>
      <c r="L270" s="28"/>
      <c r="M270" s="28"/>
      <c r="N270" s="28"/>
      <c r="O270" s="28"/>
      <c r="P270" s="28"/>
      <c r="Q270" s="28"/>
      <c r="R270" s="28"/>
      <c r="S270" s="28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</row>
    <row r="271" spans="1:29" ht="13">
      <c r="A271" s="28"/>
      <c r="B271" s="28"/>
      <c r="C271" s="28"/>
      <c r="D271" s="28"/>
      <c r="E271" s="28"/>
      <c r="F271" s="28"/>
      <c r="G271" s="28"/>
      <c r="H271" s="28"/>
      <c r="I271" s="28"/>
      <c r="J271" s="28"/>
      <c r="K271" s="28"/>
      <c r="L271" s="28"/>
      <c r="M271" s="28"/>
      <c r="N271" s="28"/>
      <c r="O271" s="28"/>
      <c r="P271" s="28"/>
      <c r="Q271" s="28"/>
      <c r="R271" s="28"/>
      <c r="S271" s="28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</row>
    <row r="272" spans="1:29" ht="13">
      <c r="A272" s="28"/>
      <c r="B272" s="28"/>
      <c r="C272" s="28"/>
      <c r="D272" s="28"/>
      <c r="E272" s="28"/>
      <c r="F272" s="28"/>
      <c r="G272" s="28"/>
      <c r="H272" s="28"/>
      <c r="I272" s="28"/>
      <c r="J272" s="28"/>
      <c r="K272" s="28"/>
      <c r="L272" s="28"/>
      <c r="M272" s="28"/>
      <c r="N272" s="28"/>
      <c r="O272" s="28"/>
      <c r="P272" s="28"/>
      <c r="Q272" s="28"/>
      <c r="R272" s="28"/>
      <c r="S272" s="28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</row>
    <row r="273" spans="1:29" ht="13">
      <c r="A273" s="28"/>
      <c r="B273" s="28"/>
      <c r="C273" s="28"/>
      <c r="D273" s="28"/>
      <c r="E273" s="28"/>
      <c r="F273" s="28"/>
      <c r="G273" s="28"/>
      <c r="H273" s="28"/>
      <c r="I273" s="28"/>
      <c r="J273" s="28"/>
      <c r="K273" s="28"/>
      <c r="L273" s="28"/>
      <c r="M273" s="28"/>
      <c r="N273" s="28"/>
      <c r="O273" s="28"/>
      <c r="P273" s="28"/>
      <c r="Q273" s="28"/>
      <c r="R273" s="28"/>
      <c r="S273" s="28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</row>
    <row r="274" spans="1:29" ht="13">
      <c r="A274" s="28"/>
      <c r="B274" s="28"/>
      <c r="C274" s="28"/>
      <c r="D274" s="28"/>
      <c r="E274" s="28"/>
      <c r="F274" s="28"/>
      <c r="G274" s="28"/>
      <c r="H274" s="28"/>
      <c r="I274" s="28"/>
      <c r="J274" s="28"/>
      <c r="K274" s="28"/>
      <c r="L274" s="28"/>
      <c r="M274" s="28"/>
      <c r="N274" s="28"/>
      <c r="O274" s="28"/>
      <c r="P274" s="28"/>
      <c r="Q274" s="28"/>
      <c r="R274" s="28"/>
      <c r="S274" s="28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</row>
    <row r="275" spans="1:29" ht="13">
      <c r="A275" s="28"/>
      <c r="B275" s="28"/>
      <c r="C275" s="28"/>
      <c r="D275" s="28"/>
      <c r="E275" s="28"/>
      <c r="F275" s="28"/>
      <c r="G275" s="28"/>
      <c r="H275" s="28"/>
      <c r="I275" s="28"/>
      <c r="J275" s="28"/>
      <c r="K275" s="28"/>
      <c r="L275" s="28"/>
      <c r="M275" s="28"/>
      <c r="N275" s="28"/>
      <c r="O275" s="28"/>
      <c r="P275" s="28"/>
      <c r="Q275" s="28"/>
      <c r="R275" s="28"/>
      <c r="S275" s="28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</row>
    <row r="276" spans="1:29" ht="13">
      <c r="A276" s="28"/>
      <c r="B276" s="28"/>
      <c r="C276" s="28"/>
      <c r="D276" s="28"/>
      <c r="E276" s="28"/>
      <c r="F276" s="28"/>
      <c r="G276" s="28"/>
      <c r="H276" s="28"/>
      <c r="I276" s="28"/>
      <c r="J276" s="28"/>
      <c r="K276" s="28"/>
      <c r="L276" s="28"/>
      <c r="M276" s="28"/>
      <c r="N276" s="28"/>
      <c r="O276" s="28"/>
      <c r="P276" s="28"/>
      <c r="Q276" s="28"/>
      <c r="R276" s="28"/>
      <c r="S276" s="28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</row>
    <row r="277" spans="1:29" ht="13">
      <c r="A277" s="28"/>
      <c r="B277" s="28"/>
      <c r="C277" s="28"/>
      <c r="D277" s="28"/>
      <c r="E277" s="28"/>
      <c r="F277" s="28"/>
      <c r="G277" s="28"/>
      <c r="H277" s="28"/>
      <c r="I277" s="28"/>
      <c r="J277" s="28"/>
      <c r="K277" s="28"/>
      <c r="L277" s="28"/>
      <c r="M277" s="28"/>
      <c r="N277" s="28"/>
      <c r="O277" s="28"/>
      <c r="P277" s="28"/>
      <c r="Q277" s="28"/>
      <c r="R277" s="28"/>
      <c r="S277" s="28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</row>
    <row r="278" spans="1:29" ht="13">
      <c r="A278" s="28"/>
      <c r="B278" s="28"/>
      <c r="C278" s="28"/>
      <c r="D278" s="28"/>
      <c r="E278" s="28"/>
      <c r="F278" s="28"/>
      <c r="G278" s="28"/>
      <c r="H278" s="28"/>
      <c r="I278" s="28"/>
      <c r="J278" s="28"/>
      <c r="K278" s="28"/>
      <c r="L278" s="28"/>
      <c r="M278" s="28"/>
      <c r="N278" s="28"/>
      <c r="O278" s="28"/>
      <c r="P278" s="28"/>
      <c r="Q278" s="28"/>
      <c r="R278" s="28"/>
      <c r="S278" s="28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</row>
    <row r="279" spans="1:29" ht="13">
      <c r="A279" s="28"/>
      <c r="B279" s="28"/>
      <c r="C279" s="28"/>
      <c r="D279" s="28"/>
      <c r="E279" s="28"/>
      <c r="F279" s="28"/>
      <c r="G279" s="28"/>
      <c r="H279" s="28"/>
      <c r="I279" s="28"/>
      <c r="J279" s="28"/>
      <c r="K279" s="28"/>
      <c r="L279" s="28"/>
      <c r="M279" s="28"/>
      <c r="N279" s="28"/>
      <c r="O279" s="28"/>
      <c r="P279" s="28"/>
      <c r="Q279" s="28"/>
      <c r="R279" s="28"/>
      <c r="S279" s="28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</row>
    <row r="280" spans="1:29" ht="13">
      <c r="A280" s="28"/>
      <c r="B280" s="28"/>
      <c r="C280" s="28"/>
      <c r="D280" s="28"/>
      <c r="E280" s="28"/>
      <c r="F280" s="28"/>
      <c r="G280" s="28"/>
      <c r="H280" s="28"/>
      <c r="I280" s="28"/>
      <c r="J280" s="28"/>
      <c r="K280" s="28"/>
      <c r="L280" s="28"/>
      <c r="M280" s="28"/>
      <c r="N280" s="28"/>
      <c r="O280" s="28"/>
      <c r="P280" s="28"/>
      <c r="Q280" s="28"/>
      <c r="R280" s="28"/>
      <c r="S280" s="28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</row>
    <row r="281" spans="1:29" ht="13">
      <c r="A281" s="28"/>
      <c r="B281" s="28"/>
      <c r="C281" s="28"/>
      <c r="D281" s="28"/>
      <c r="E281" s="28"/>
      <c r="F281" s="28"/>
      <c r="G281" s="28"/>
      <c r="H281" s="28"/>
      <c r="I281" s="28"/>
      <c r="J281" s="28"/>
      <c r="K281" s="28"/>
      <c r="L281" s="28"/>
      <c r="M281" s="28"/>
      <c r="N281" s="28"/>
      <c r="O281" s="28"/>
      <c r="P281" s="28"/>
      <c r="Q281" s="28"/>
      <c r="R281" s="28"/>
      <c r="S281" s="28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</row>
    <row r="282" spans="1:29" ht="13">
      <c r="A282" s="28"/>
      <c r="B282" s="28"/>
      <c r="C282" s="28"/>
      <c r="D282" s="28"/>
      <c r="E282" s="28"/>
      <c r="F282" s="28"/>
      <c r="G282" s="28"/>
      <c r="H282" s="28"/>
      <c r="I282" s="28"/>
      <c r="J282" s="28"/>
      <c r="K282" s="28"/>
      <c r="L282" s="28"/>
      <c r="M282" s="28"/>
      <c r="N282" s="28"/>
      <c r="O282" s="28"/>
      <c r="P282" s="28"/>
      <c r="Q282" s="28"/>
      <c r="R282" s="28"/>
      <c r="S282" s="28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</row>
    <row r="283" spans="1:29" ht="13">
      <c r="A283" s="28"/>
      <c r="B283" s="28"/>
      <c r="C283" s="28"/>
      <c r="D283" s="28"/>
      <c r="E283" s="28"/>
      <c r="F283" s="28"/>
      <c r="G283" s="28"/>
      <c r="H283" s="28"/>
      <c r="I283" s="28"/>
      <c r="J283" s="28"/>
      <c r="K283" s="28"/>
      <c r="L283" s="28"/>
      <c r="M283" s="28"/>
      <c r="N283" s="28"/>
      <c r="O283" s="28"/>
      <c r="P283" s="28"/>
      <c r="Q283" s="28"/>
      <c r="R283" s="28"/>
      <c r="S283" s="28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</row>
    <row r="284" spans="1:29" ht="13">
      <c r="A284" s="28"/>
      <c r="B284" s="28"/>
      <c r="C284" s="28"/>
      <c r="D284" s="28"/>
      <c r="E284" s="28"/>
      <c r="F284" s="28"/>
      <c r="G284" s="28"/>
      <c r="H284" s="28"/>
      <c r="I284" s="28"/>
      <c r="J284" s="28"/>
      <c r="K284" s="28"/>
      <c r="L284" s="28"/>
      <c r="M284" s="28"/>
      <c r="N284" s="28"/>
      <c r="O284" s="28"/>
      <c r="P284" s="28"/>
      <c r="Q284" s="28"/>
      <c r="R284" s="28"/>
      <c r="S284" s="28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</row>
    <row r="285" spans="1:29" ht="13">
      <c r="A285" s="28"/>
      <c r="B285" s="28"/>
      <c r="C285" s="28"/>
      <c r="D285" s="28"/>
      <c r="E285" s="28"/>
      <c r="F285" s="28"/>
      <c r="G285" s="28"/>
      <c r="H285" s="28"/>
      <c r="I285" s="28"/>
      <c r="J285" s="28"/>
      <c r="K285" s="28"/>
      <c r="L285" s="28"/>
      <c r="M285" s="28"/>
      <c r="N285" s="28"/>
      <c r="O285" s="28"/>
      <c r="P285" s="28"/>
      <c r="Q285" s="28"/>
      <c r="R285" s="28"/>
      <c r="S285" s="28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</row>
    <row r="286" spans="1:29" ht="13">
      <c r="A286" s="28"/>
      <c r="B286" s="28"/>
      <c r="C286" s="28"/>
      <c r="D286" s="28"/>
      <c r="E286" s="28"/>
      <c r="F286" s="28"/>
      <c r="G286" s="28"/>
      <c r="H286" s="28"/>
      <c r="I286" s="28"/>
      <c r="J286" s="28"/>
      <c r="K286" s="28"/>
      <c r="L286" s="28"/>
      <c r="M286" s="28"/>
      <c r="N286" s="28"/>
      <c r="O286" s="28"/>
      <c r="P286" s="28"/>
      <c r="Q286" s="28"/>
      <c r="R286" s="28"/>
      <c r="S286" s="28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</row>
    <row r="287" spans="1:29" ht="13">
      <c r="A287" s="28"/>
      <c r="B287" s="28"/>
      <c r="C287" s="28"/>
      <c r="D287" s="28"/>
      <c r="E287" s="28"/>
      <c r="F287" s="28"/>
      <c r="G287" s="28"/>
      <c r="H287" s="28"/>
      <c r="I287" s="28"/>
      <c r="J287" s="28"/>
      <c r="K287" s="28"/>
      <c r="L287" s="28"/>
      <c r="M287" s="28"/>
      <c r="N287" s="28"/>
      <c r="O287" s="28"/>
      <c r="P287" s="28"/>
      <c r="Q287" s="28"/>
      <c r="R287" s="28"/>
      <c r="S287" s="28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</row>
    <row r="288" spans="1:29" ht="13">
      <c r="A288" s="28"/>
      <c r="B288" s="28"/>
      <c r="C288" s="28"/>
      <c r="D288" s="28"/>
      <c r="E288" s="28"/>
      <c r="F288" s="28"/>
      <c r="G288" s="28"/>
      <c r="H288" s="28"/>
      <c r="I288" s="28"/>
      <c r="J288" s="28"/>
      <c r="K288" s="28"/>
      <c r="L288" s="28"/>
      <c r="M288" s="28"/>
      <c r="N288" s="28"/>
      <c r="O288" s="28"/>
      <c r="P288" s="28"/>
      <c r="Q288" s="28"/>
      <c r="R288" s="28"/>
      <c r="S288" s="28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</row>
    <row r="289" spans="1:29" ht="13">
      <c r="A289" s="28"/>
      <c r="B289" s="28"/>
      <c r="C289" s="28"/>
      <c r="D289" s="28"/>
      <c r="E289" s="28"/>
      <c r="F289" s="28"/>
      <c r="G289" s="28"/>
      <c r="H289" s="28"/>
      <c r="I289" s="28"/>
      <c r="J289" s="28"/>
      <c r="K289" s="28"/>
      <c r="L289" s="28"/>
      <c r="M289" s="28"/>
      <c r="N289" s="28"/>
      <c r="O289" s="28"/>
      <c r="P289" s="28"/>
      <c r="Q289" s="28"/>
      <c r="R289" s="28"/>
      <c r="S289" s="28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</row>
    <row r="290" spans="1:29" ht="13">
      <c r="A290" s="28"/>
      <c r="B290" s="28"/>
      <c r="C290" s="28"/>
      <c r="D290" s="28"/>
      <c r="E290" s="28"/>
      <c r="F290" s="28"/>
      <c r="G290" s="28"/>
      <c r="H290" s="28"/>
      <c r="I290" s="28"/>
      <c r="J290" s="28"/>
      <c r="K290" s="28"/>
      <c r="L290" s="28"/>
      <c r="M290" s="28"/>
      <c r="N290" s="28"/>
      <c r="O290" s="28"/>
      <c r="P290" s="28"/>
      <c r="Q290" s="28"/>
      <c r="R290" s="28"/>
      <c r="S290" s="28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</row>
    <row r="291" spans="1:29" ht="13">
      <c r="A291" s="28"/>
      <c r="B291" s="28"/>
      <c r="C291" s="28"/>
      <c r="D291" s="28"/>
      <c r="E291" s="28"/>
      <c r="F291" s="28"/>
      <c r="G291" s="28"/>
      <c r="H291" s="28"/>
      <c r="I291" s="28"/>
      <c r="J291" s="28"/>
      <c r="K291" s="28"/>
      <c r="L291" s="28"/>
      <c r="M291" s="28"/>
      <c r="N291" s="28"/>
      <c r="O291" s="28"/>
      <c r="P291" s="28"/>
      <c r="Q291" s="28"/>
      <c r="R291" s="28"/>
      <c r="S291" s="28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</row>
    <row r="292" spans="1:29" ht="13">
      <c r="A292" s="28"/>
      <c r="B292" s="28"/>
      <c r="C292" s="28"/>
      <c r="D292" s="28"/>
      <c r="E292" s="28"/>
      <c r="F292" s="28"/>
      <c r="G292" s="28"/>
      <c r="H292" s="28"/>
      <c r="I292" s="28"/>
      <c r="J292" s="28"/>
      <c r="K292" s="28"/>
      <c r="L292" s="28"/>
      <c r="M292" s="28"/>
      <c r="N292" s="28"/>
      <c r="O292" s="28"/>
      <c r="P292" s="28"/>
      <c r="Q292" s="28"/>
      <c r="R292" s="28"/>
      <c r="S292" s="28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</row>
    <row r="293" spans="1:29" ht="13">
      <c r="A293" s="28"/>
      <c r="B293" s="28"/>
      <c r="C293" s="28"/>
      <c r="D293" s="28"/>
      <c r="E293" s="28"/>
      <c r="F293" s="28"/>
      <c r="G293" s="28"/>
      <c r="H293" s="28"/>
      <c r="I293" s="28"/>
      <c r="J293" s="28"/>
      <c r="K293" s="28"/>
      <c r="L293" s="28"/>
      <c r="M293" s="28"/>
      <c r="N293" s="28"/>
      <c r="O293" s="28"/>
      <c r="P293" s="28"/>
      <c r="Q293" s="28"/>
      <c r="R293" s="28"/>
      <c r="S293" s="28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</row>
    <row r="294" spans="1:29" ht="13">
      <c r="A294" s="28"/>
      <c r="B294" s="28"/>
      <c r="C294" s="28"/>
      <c r="D294" s="28"/>
      <c r="E294" s="28"/>
      <c r="F294" s="28"/>
      <c r="G294" s="28"/>
      <c r="H294" s="28"/>
      <c r="I294" s="28"/>
      <c r="J294" s="28"/>
      <c r="K294" s="28"/>
      <c r="L294" s="28"/>
      <c r="M294" s="28"/>
      <c r="N294" s="28"/>
      <c r="O294" s="28"/>
      <c r="P294" s="28"/>
      <c r="Q294" s="28"/>
      <c r="R294" s="28"/>
      <c r="S294" s="28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</row>
    <row r="295" spans="1:29" ht="13">
      <c r="A295" s="28"/>
      <c r="B295" s="28"/>
      <c r="C295" s="28"/>
      <c r="D295" s="28"/>
      <c r="E295" s="28"/>
      <c r="F295" s="28"/>
      <c r="G295" s="28"/>
      <c r="H295" s="28"/>
      <c r="I295" s="28"/>
      <c r="J295" s="28"/>
      <c r="K295" s="28"/>
      <c r="L295" s="28"/>
      <c r="M295" s="28"/>
      <c r="N295" s="28"/>
      <c r="O295" s="28"/>
      <c r="P295" s="28"/>
      <c r="Q295" s="28"/>
      <c r="R295" s="28"/>
      <c r="S295" s="28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</row>
    <row r="296" spans="1:29" ht="13">
      <c r="A296" s="28"/>
      <c r="B296" s="28"/>
      <c r="C296" s="28"/>
      <c r="D296" s="28"/>
      <c r="E296" s="28"/>
      <c r="F296" s="28"/>
      <c r="G296" s="28"/>
      <c r="H296" s="28"/>
      <c r="I296" s="28"/>
      <c r="J296" s="28"/>
      <c r="K296" s="28"/>
      <c r="L296" s="28"/>
      <c r="M296" s="28"/>
      <c r="N296" s="28"/>
      <c r="O296" s="28"/>
      <c r="P296" s="28"/>
      <c r="Q296" s="28"/>
      <c r="R296" s="28"/>
      <c r="S296" s="28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</row>
    <row r="297" spans="1:29" ht="13">
      <c r="A297" s="28"/>
      <c r="B297" s="28"/>
      <c r="C297" s="28"/>
      <c r="D297" s="28"/>
      <c r="E297" s="28"/>
      <c r="F297" s="28"/>
      <c r="G297" s="28"/>
      <c r="H297" s="28"/>
      <c r="I297" s="28"/>
      <c r="J297" s="28"/>
      <c r="K297" s="28"/>
      <c r="L297" s="28"/>
      <c r="M297" s="28"/>
      <c r="N297" s="28"/>
      <c r="O297" s="28"/>
      <c r="P297" s="28"/>
      <c r="Q297" s="28"/>
      <c r="R297" s="28"/>
      <c r="S297" s="28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</row>
    <row r="298" spans="1:29" ht="13">
      <c r="A298" s="28"/>
      <c r="B298" s="28"/>
      <c r="C298" s="28"/>
      <c r="D298" s="28"/>
      <c r="E298" s="28"/>
      <c r="F298" s="28"/>
      <c r="G298" s="28"/>
      <c r="H298" s="28"/>
      <c r="I298" s="28"/>
      <c r="J298" s="28"/>
      <c r="K298" s="28"/>
      <c r="L298" s="28"/>
      <c r="M298" s="28"/>
      <c r="N298" s="28"/>
      <c r="O298" s="28"/>
      <c r="P298" s="28"/>
      <c r="Q298" s="28"/>
      <c r="R298" s="28"/>
      <c r="S298" s="28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</row>
    <row r="299" spans="1:29" ht="13">
      <c r="A299" s="28"/>
      <c r="B299" s="28"/>
      <c r="C299" s="28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</row>
    <row r="300" spans="1:29" ht="13">
      <c r="A300" s="28"/>
      <c r="B300" s="28"/>
      <c r="C300" s="28"/>
      <c r="D300" s="28"/>
      <c r="E300" s="28"/>
      <c r="F300" s="28"/>
      <c r="G300" s="28"/>
      <c r="H300" s="28"/>
      <c r="I300" s="28"/>
      <c r="J300" s="28"/>
      <c r="K300" s="28"/>
      <c r="L300" s="28"/>
      <c r="M300" s="28"/>
      <c r="N300" s="28"/>
      <c r="O300" s="28"/>
      <c r="P300" s="28"/>
      <c r="Q300" s="28"/>
      <c r="R300" s="28"/>
      <c r="S300" s="28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</row>
    <row r="301" spans="1:29" ht="13">
      <c r="A301" s="28"/>
      <c r="B301" s="28"/>
      <c r="C301" s="28"/>
      <c r="D301" s="28"/>
      <c r="E301" s="28"/>
      <c r="F301" s="28"/>
      <c r="G301" s="28"/>
      <c r="H301" s="28"/>
      <c r="I301" s="28"/>
      <c r="J301" s="28"/>
      <c r="K301" s="28"/>
      <c r="L301" s="28"/>
      <c r="M301" s="28"/>
      <c r="N301" s="28"/>
      <c r="O301" s="28"/>
      <c r="P301" s="28"/>
      <c r="Q301" s="28"/>
      <c r="R301" s="28"/>
      <c r="S301" s="28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</row>
    <row r="302" spans="1:29" ht="13">
      <c r="A302" s="28"/>
      <c r="B302" s="28"/>
      <c r="C302" s="28"/>
      <c r="D302" s="28"/>
      <c r="E302" s="28"/>
      <c r="F302" s="28"/>
      <c r="G302" s="28"/>
      <c r="H302" s="28"/>
      <c r="I302" s="28"/>
      <c r="J302" s="28"/>
      <c r="K302" s="28"/>
      <c r="L302" s="28"/>
      <c r="M302" s="28"/>
      <c r="N302" s="28"/>
      <c r="O302" s="28"/>
      <c r="P302" s="28"/>
      <c r="Q302" s="28"/>
      <c r="R302" s="28"/>
      <c r="S302" s="28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</row>
    <row r="303" spans="1:29" ht="13">
      <c r="A303" s="28"/>
      <c r="B303" s="28"/>
      <c r="C303" s="28"/>
      <c r="D303" s="28"/>
      <c r="E303" s="28"/>
      <c r="F303" s="28"/>
      <c r="G303" s="28"/>
      <c r="H303" s="28"/>
      <c r="I303" s="28"/>
      <c r="J303" s="28"/>
      <c r="K303" s="28"/>
      <c r="L303" s="28"/>
      <c r="M303" s="28"/>
      <c r="N303" s="28"/>
      <c r="O303" s="28"/>
      <c r="P303" s="28"/>
      <c r="Q303" s="28"/>
      <c r="R303" s="28"/>
      <c r="S303" s="28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</row>
    <row r="304" spans="1:29" ht="13">
      <c r="A304" s="28"/>
      <c r="B304" s="28"/>
      <c r="C304" s="28"/>
      <c r="D304" s="28"/>
      <c r="E304" s="28"/>
      <c r="F304" s="28"/>
      <c r="G304" s="28"/>
      <c r="H304" s="28"/>
      <c r="I304" s="28"/>
      <c r="J304" s="28"/>
      <c r="K304" s="28"/>
      <c r="L304" s="28"/>
      <c r="M304" s="28"/>
      <c r="N304" s="28"/>
      <c r="O304" s="28"/>
      <c r="P304" s="28"/>
      <c r="Q304" s="28"/>
      <c r="R304" s="28"/>
      <c r="S304" s="28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</row>
    <row r="305" spans="1:29" ht="13">
      <c r="A305" s="28"/>
      <c r="B305" s="28"/>
      <c r="C305" s="28"/>
      <c r="D305" s="28"/>
      <c r="E305" s="28"/>
      <c r="F305" s="28"/>
      <c r="G305" s="28"/>
      <c r="H305" s="28"/>
      <c r="I305" s="28"/>
      <c r="J305" s="28"/>
      <c r="K305" s="28"/>
      <c r="L305" s="28"/>
      <c r="M305" s="28"/>
      <c r="N305" s="28"/>
      <c r="O305" s="28"/>
      <c r="P305" s="28"/>
      <c r="Q305" s="28"/>
      <c r="R305" s="28"/>
      <c r="S305" s="28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</row>
    <row r="306" spans="1:29" ht="13">
      <c r="A306" s="28"/>
      <c r="B306" s="28"/>
      <c r="C306" s="28"/>
      <c r="D306" s="28"/>
      <c r="E306" s="28"/>
      <c r="F306" s="28"/>
      <c r="G306" s="28"/>
      <c r="H306" s="28"/>
      <c r="I306" s="28"/>
      <c r="J306" s="28"/>
      <c r="K306" s="28"/>
      <c r="L306" s="28"/>
      <c r="M306" s="28"/>
      <c r="N306" s="28"/>
      <c r="O306" s="28"/>
      <c r="P306" s="28"/>
      <c r="Q306" s="28"/>
      <c r="R306" s="28"/>
      <c r="S306" s="28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</row>
    <row r="307" spans="1:29" ht="13">
      <c r="A307" s="28"/>
      <c r="B307" s="28"/>
      <c r="C307" s="28"/>
      <c r="D307" s="28"/>
      <c r="E307" s="28"/>
      <c r="F307" s="28"/>
      <c r="G307" s="28"/>
      <c r="H307" s="28"/>
      <c r="I307" s="28"/>
      <c r="J307" s="28"/>
      <c r="K307" s="28"/>
      <c r="L307" s="28"/>
      <c r="M307" s="28"/>
      <c r="N307" s="28"/>
      <c r="O307" s="28"/>
      <c r="P307" s="28"/>
      <c r="Q307" s="28"/>
      <c r="R307" s="28"/>
      <c r="S307" s="28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</row>
    <row r="308" spans="1:29" ht="13">
      <c r="A308" s="28"/>
      <c r="B308" s="28"/>
      <c r="C308" s="28"/>
      <c r="D308" s="28"/>
      <c r="E308" s="28"/>
      <c r="F308" s="28"/>
      <c r="G308" s="28"/>
      <c r="H308" s="28"/>
      <c r="I308" s="28"/>
      <c r="J308" s="28"/>
      <c r="K308" s="28"/>
      <c r="L308" s="28"/>
      <c r="M308" s="28"/>
      <c r="N308" s="28"/>
      <c r="O308" s="28"/>
      <c r="P308" s="28"/>
      <c r="Q308" s="28"/>
      <c r="R308" s="28"/>
      <c r="S308" s="28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</row>
    <row r="309" spans="1:29" ht="13">
      <c r="A309" s="28"/>
      <c r="B309" s="28"/>
      <c r="C309" s="28"/>
      <c r="D309" s="28"/>
      <c r="E309" s="28"/>
      <c r="F309" s="28"/>
      <c r="G309" s="28"/>
      <c r="H309" s="28"/>
      <c r="I309" s="28"/>
      <c r="J309" s="28"/>
      <c r="K309" s="28"/>
      <c r="L309" s="28"/>
      <c r="M309" s="28"/>
      <c r="N309" s="28"/>
      <c r="O309" s="28"/>
      <c r="P309" s="28"/>
      <c r="Q309" s="28"/>
      <c r="R309" s="28"/>
      <c r="S309" s="28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</row>
    <row r="310" spans="1:29" ht="13">
      <c r="A310" s="28"/>
      <c r="B310" s="28"/>
      <c r="C310" s="28"/>
      <c r="D310" s="28"/>
      <c r="E310" s="28"/>
      <c r="F310" s="28"/>
      <c r="G310" s="28"/>
      <c r="H310" s="28"/>
      <c r="I310" s="28"/>
      <c r="J310" s="28"/>
      <c r="K310" s="28"/>
      <c r="L310" s="28"/>
      <c r="M310" s="28"/>
      <c r="N310" s="28"/>
      <c r="O310" s="28"/>
      <c r="P310" s="28"/>
      <c r="Q310" s="28"/>
      <c r="R310" s="28"/>
      <c r="S310" s="28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</row>
    <row r="311" spans="1:29" ht="13">
      <c r="A311" s="28"/>
      <c r="B311" s="28"/>
      <c r="C311" s="28"/>
      <c r="D311" s="28"/>
      <c r="E311" s="28"/>
      <c r="F311" s="28"/>
      <c r="G311" s="28"/>
      <c r="H311" s="28"/>
      <c r="I311" s="28"/>
      <c r="J311" s="28"/>
      <c r="K311" s="28"/>
      <c r="L311" s="28"/>
      <c r="M311" s="28"/>
      <c r="N311" s="28"/>
      <c r="O311" s="28"/>
      <c r="P311" s="28"/>
      <c r="Q311" s="28"/>
      <c r="R311" s="28"/>
      <c r="S311" s="28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</row>
    <row r="312" spans="1:29" ht="13">
      <c r="A312" s="28"/>
      <c r="B312" s="28"/>
      <c r="C312" s="28"/>
      <c r="D312" s="28"/>
      <c r="E312" s="28"/>
      <c r="F312" s="28"/>
      <c r="G312" s="28"/>
      <c r="H312" s="28"/>
      <c r="I312" s="28"/>
      <c r="J312" s="28"/>
      <c r="K312" s="28"/>
      <c r="L312" s="28"/>
      <c r="M312" s="28"/>
      <c r="N312" s="28"/>
      <c r="O312" s="28"/>
      <c r="P312" s="28"/>
      <c r="Q312" s="28"/>
      <c r="R312" s="28"/>
      <c r="S312" s="28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</row>
    <row r="313" spans="1:29" ht="13">
      <c r="A313" s="28"/>
      <c r="B313" s="28"/>
      <c r="C313" s="28"/>
      <c r="D313" s="28"/>
      <c r="E313" s="28"/>
      <c r="F313" s="28"/>
      <c r="G313" s="28"/>
      <c r="H313" s="28"/>
      <c r="I313" s="28"/>
      <c r="J313" s="28"/>
      <c r="K313" s="28"/>
      <c r="L313" s="28"/>
      <c r="M313" s="28"/>
      <c r="N313" s="28"/>
      <c r="O313" s="28"/>
      <c r="P313" s="28"/>
      <c r="Q313" s="28"/>
      <c r="R313" s="28"/>
      <c r="S313" s="28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</row>
    <row r="314" spans="1:29" ht="13">
      <c r="A314" s="28"/>
      <c r="B314" s="28"/>
      <c r="C314" s="28"/>
      <c r="D314" s="28"/>
      <c r="E314" s="28"/>
      <c r="F314" s="28"/>
      <c r="G314" s="28"/>
      <c r="H314" s="28"/>
      <c r="I314" s="28"/>
      <c r="J314" s="28"/>
      <c r="K314" s="28"/>
      <c r="L314" s="28"/>
      <c r="M314" s="28"/>
      <c r="N314" s="28"/>
      <c r="O314" s="28"/>
      <c r="P314" s="28"/>
      <c r="Q314" s="28"/>
      <c r="R314" s="28"/>
      <c r="S314" s="28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</row>
    <row r="315" spans="1:29" ht="13">
      <c r="A315" s="28"/>
      <c r="B315" s="28"/>
      <c r="C315" s="28"/>
      <c r="D315" s="28"/>
      <c r="E315" s="28"/>
      <c r="F315" s="28"/>
      <c r="G315" s="28"/>
      <c r="H315" s="28"/>
      <c r="I315" s="28"/>
      <c r="J315" s="28"/>
      <c r="K315" s="28"/>
      <c r="L315" s="28"/>
      <c r="M315" s="28"/>
      <c r="N315" s="28"/>
      <c r="O315" s="28"/>
      <c r="P315" s="28"/>
      <c r="Q315" s="28"/>
      <c r="R315" s="28"/>
      <c r="S315" s="28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</row>
    <row r="316" spans="1:29" ht="13">
      <c r="A316" s="28"/>
      <c r="B316" s="28"/>
      <c r="C316" s="28"/>
      <c r="D316" s="28"/>
      <c r="E316" s="28"/>
      <c r="F316" s="28"/>
      <c r="G316" s="28"/>
      <c r="H316" s="28"/>
      <c r="I316" s="28"/>
      <c r="J316" s="28"/>
      <c r="K316" s="28"/>
      <c r="L316" s="28"/>
      <c r="M316" s="28"/>
      <c r="N316" s="28"/>
      <c r="O316" s="28"/>
      <c r="P316" s="28"/>
      <c r="Q316" s="28"/>
      <c r="R316" s="28"/>
      <c r="S316" s="28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</row>
    <row r="317" spans="1:29" ht="13">
      <c r="A317" s="28"/>
      <c r="B317" s="28"/>
      <c r="C317" s="28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</row>
    <row r="318" spans="1:29" ht="13">
      <c r="A318" s="28"/>
      <c r="B318" s="28"/>
      <c r="C318" s="28"/>
      <c r="D318" s="28"/>
      <c r="E318" s="28"/>
      <c r="F318" s="28"/>
      <c r="G318" s="28"/>
      <c r="H318" s="28"/>
      <c r="I318" s="28"/>
      <c r="J318" s="28"/>
      <c r="K318" s="28"/>
      <c r="L318" s="28"/>
      <c r="M318" s="28"/>
      <c r="N318" s="28"/>
      <c r="O318" s="28"/>
      <c r="P318" s="28"/>
      <c r="Q318" s="28"/>
      <c r="R318" s="28"/>
      <c r="S318" s="28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</row>
    <row r="319" spans="1:29" ht="13">
      <c r="A319" s="28"/>
      <c r="B319" s="28"/>
      <c r="C319" s="28"/>
      <c r="D319" s="28"/>
      <c r="E319" s="28"/>
      <c r="F319" s="28"/>
      <c r="G319" s="28"/>
      <c r="H319" s="28"/>
      <c r="I319" s="28"/>
      <c r="J319" s="28"/>
      <c r="K319" s="28"/>
      <c r="L319" s="28"/>
      <c r="M319" s="28"/>
      <c r="N319" s="28"/>
      <c r="O319" s="28"/>
      <c r="P319" s="28"/>
      <c r="Q319" s="28"/>
      <c r="R319" s="28"/>
      <c r="S319" s="28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</row>
    <row r="320" spans="1:29" ht="13">
      <c r="A320" s="28"/>
      <c r="B320" s="28"/>
      <c r="C320" s="28"/>
      <c r="D320" s="28"/>
      <c r="E320" s="28"/>
      <c r="F320" s="28"/>
      <c r="G320" s="28"/>
      <c r="H320" s="28"/>
      <c r="I320" s="28"/>
      <c r="J320" s="28"/>
      <c r="K320" s="28"/>
      <c r="L320" s="28"/>
      <c r="M320" s="28"/>
      <c r="N320" s="28"/>
      <c r="O320" s="28"/>
      <c r="P320" s="28"/>
      <c r="Q320" s="28"/>
      <c r="R320" s="28"/>
      <c r="S320" s="28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</row>
    <row r="321" spans="1:29" ht="13">
      <c r="A321" s="28"/>
      <c r="B321" s="28"/>
      <c r="C321" s="28"/>
      <c r="D321" s="28"/>
      <c r="E321" s="28"/>
      <c r="F321" s="28"/>
      <c r="G321" s="28"/>
      <c r="H321" s="28"/>
      <c r="I321" s="28"/>
      <c r="J321" s="28"/>
      <c r="K321" s="28"/>
      <c r="L321" s="28"/>
      <c r="M321" s="28"/>
      <c r="N321" s="28"/>
      <c r="O321" s="28"/>
      <c r="P321" s="28"/>
      <c r="Q321" s="28"/>
      <c r="R321" s="28"/>
      <c r="S321" s="28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</row>
    <row r="322" spans="1:29" ht="13">
      <c r="A322" s="28"/>
      <c r="B322" s="28"/>
      <c r="C322" s="28"/>
      <c r="D322" s="28"/>
      <c r="E322" s="28"/>
      <c r="F322" s="28"/>
      <c r="G322" s="28"/>
      <c r="H322" s="28"/>
      <c r="I322" s="28"/>
      <c r="J322" s="28"/>
      <c r="K322" s="28"/>
      <c r="L322" s="28"/>
      <c r="M322" s="28"/>
      <c r="N322" s="28"/>
      <c r="O322" s="28"/>
      <c r="P322" s="28"/>
      <c r="Q322" s="28"/>
      <c r="R322" s="28"/>
      <c r="S322" s="28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</row>
    <row r="323" spans="1:29" ht="13">
      <c r="A323" s="28"/>
      <c r="B323" s="28"/>
      <c r="C323" s="28"/>
      <c r="D323" s="28"/>
      <c r="E323" s="28"/>
      <c r="F323" s="28"/>
      <c r="G323" s="28"/>
      <c r="H323" s="28"/>
      <c r="I323" s="28"/>
      <c r="J323" s="28"/>
      <c r="K323" s="28"/>
      <c r="L323" s="28"/>
      <c r="M323" s="28"/>
      <c r="N323" s="28"/>
      <c r="O323" s="28"/>
      <c r="P323" s="28"/>
      <c r="Q323" s="28"/>
      <c r="R323" s="28"/>
      <c r="S323" s="28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</row>
    <row r="324" spans="1:29" ht="13">
      <c r="A324" s="28"/>
      <c r="B324" s="28"/>
      <c r="C324" s="28"/>
      <c r="D324" s="28"/>
      <c r="E324" s="28"/>
      <c r="F324" s="28"/>
      <c r="G324" s="28"/>
      <c r="H324" s="28"/>
      <c r="I324" s="28"/>
      <c r="J324" s="28"/>
      <c r="K324" s="28"/>
      <c r="L324" s="28"/>
      <c r="M324" s="28"/>
      <c r="N324" s="28"/>
      <c r="O324" s="28"/>
      <c r="P324" s="28"/>
      <c r="Q324" s="28"/>
      <c r="R324" s="28"/>
      <c r="S324" s="28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</row>
    <row r="325" spans="1:29" ht="13">
      <c r="A325" s="28"/>
      <c r="B325" s="28"/>
      <c r="C325" s="28"/>
      <c r="D325" s="28"/>
      <c r="E325" s="28"/>
      <c r="F325" s="28"/>
      <c r="G325" s="28"/>
      <c r="H325" s="28"/>
      <c r="I325" s="28"/>
      <c r="J325" s="28"/>
      <c r="K325" s="28"/>
      <c r="L325" s="28"/>
      <c r="M325" s="28"/>
      <c r="N325" s="28"/>
      <c r="O325" s="28"/>
      <c r="P325" s="28"/>
      <c r="Q325" s="28"/>
      <c r="R325" s="28"/>
      <c r="S325" s="28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</row>
    <row r="326" spans="1:29" ht="13">
      <c r="A326" s="28"/>
      <c r="B326" s="28"/>
      <c r="C326" s="28"/>
      <c r="D326" s="28"/>
      <c r="E326" s="28"/>
      <c r="F326" s="28"/>
      <c r="G326" s="28"/>
      <c r="H326" s="28"/>
      <c r="I326" s="28"/>
      <c r="J326" s="28"/>
      <c r="K326" s="28"/>
      <c r="L326" s="28"/>
      <c r="M326" s="28"/>
      <c r="N326" s="28"/>
      <c r="O326" s="28"/>
      <c r="P326" s="28"/>
      <c r="Q326" s="28"/>
      <c r="R326" s="28"/>
      <c r="S326" s="28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</row>
    <row r="327" spans="1:29" ht="13">
      <c r="A327" s="28"/>
      <c r="B327" s="28"/>
      <c r="C327" s="28"/>
      <c r="D327" s="28"/>
      <c r="E327" s="28"/>
      <c r="F327" s="28"/>
      <c r="G327" s="28"/>
      <c r="H327" s="28"/>
      <c r="I327" s="28"/>
      <c r="J327" s="28"/>
      <c r="K327" s="28"/>
      <c r="L327" s="28"/>
      <c r="M327" s="28"/>
      <c r="N327" s="28"/>
      <c r="O327" s="28"/>
      <c r="P327" s="28"/>
      <c r="Q327" s="28"/>
      <c r="R327" s="28"/>
      <c r="S327" s="28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</row>
    <row r="328" spans="1:29" ht="13">
      <c r="A328" s="28"/>
      <c r="B328" s="28"/>
      <c r="C328" s="28"/>
      <c r="D328" s="28"/>
      <c r="E328" s="28"/>
      <c r="F328" s="28"/>
      <c r="G328" s="28"/>
      <c r="H328" s="28"/>
      <c r="I328" s="28"/>
      <c r="J328" s="28"/>
      <c r="K328" s="28"/>
      <c r="L328" s="28"/>
      <c r="M328" s="28"/>
      <c r="N328" s="28"/>
      <c r="O328" s="28"/>
      <c r="P328" s="28"/>
      <c r="Q328" s="28"/>
      <c r="R328" s="28"/>
      <c r="S328" s="28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</row>
    <row r="329" spans="1:29" ht="13">
      <c r="A329" s="28"/>
      <c r="B329" s="28"/>
      <c r="C329" s="28"/>
      <c r="D329" s="28"/>
      <c r="E329" s="28"/>
      <c r="F329" s="28"/>
      <c r="G329" s="28"/>
      <c r="H329" s="28"/>
      <c r="I329" s="28"/>
      <c r="J329" s="28"/>
      <c r="K329" s="28"/>
      <c r="L329" s="28"/>
      <c r="M329" s="28"/>
      <c r="N329" s="28"/>
      <c r="O329" s="28"/>
      <c r="P329" s="28"/>
      <c r="Q329" s="28"/>
      <c r="R329" s="28"/>
      <c r="S329" s="28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</row>
    <row r="330" spans="1:29" ht="13">
      <c r="A330" s="28"/>
      <c r="B330" s="28"/>
      <c r="C330" s="28"/>
      <c r="D330" s="28"/>
      <c r="E330" s="28"/>
      <c r="F330" s="28"/>
      <c r="G330" s="28"/>
      <c r="H330" s="28"/>
      <c r="I330" s="28"/>
      <c r="J330" s="28"/>
      <c r="K330" s="28"/>
      <c r="L330" s="28"/>
      <c r="M330" s="28"/>
      <c r="N330" s="28"/>
      <c r="O330" s="28"/>
      <c r="P330" s="28"/>
      <c r="Q330" s="28"/>
      <c r="R330" s="28"/>
      <c r="S330" s="28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</row>
    <row r="331" spans="1:29" ht="13">
      <c r="A331" s="28"/>
      <c r="B331" s="28"/>
      <c r="C331" s="28"/>
      <c r="D331" s="28"/>
      <c r="E331" s="28"/>
      <c r="F331" s="28"/>
      <c r="G331" s="28"/>
      <c r="H331" s="28"/>
      <c r="I331" s="28"/>
      <c r="J331" s="28"/>
      <c r="K331" s="28"/>
      <c r="L331" s="28"/>
      <c r="M331" s="28"/>
      <c r="N331" s="28"/>
      <c r="O331" s="28"/>
      <c r="P331" s="28"/>
      <c r="Q331" s="28"/>
      <c r="R331" s="28"/>
      <c r="S331" s="28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</row>
    <row r="332" spans="1:29" ht="13">
      <c r="A332" s="28"/>
      <c r="B332" s="28"/>
      <c r="C332" s="28"/>
      <c r="D332" s="28"/>
      <c r="E332" s="28"/>
      <c r="F332" s="28"/>
      <c r="G332" s="28"/>
      <c r="H332" s="28"/>
      <c r="I332" s="28"/>
      <c r="J332" s="28"/>
      <c r="K332" s="28"/>
      <c r="L332" s="28"/>
      <c r="M332" s="28"/>
      <c r="N332" s="28"/>
      <c r="O332" s="28"/>
      <c r="P332" s="28"/>
      <c r="Q332" s="28"/>
      <c r="R332" s="28"/>
      <c r="S332" s="28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</row>
    <row r="333" spans="1:29" ht="13">
      <c r="A333" s="28"/>
      <c r="B333" s="28"/>
      <c r="C333" s="28"/>
      <c r="D333" s="28"/>
      <c r="E333" s="28"/>
      <c r="F333" s="28"/>
      <c r="G333" s="28"/>
      <c r="H333" s="28"/>
      <c r="I333" s="28"/>
      <c r="J333" s="28"/>
      <c r="K333" s="28"/>
      <c r="L333" s="28"/>
      <c r="M333" s="28"/>
      <c r="N333" s="28"/>
      <c r="O333" s="28"/>
      <c r="P333" s="28"/>
      <c r="Q333" s="28"/>
      <c r="R333" s="28"/>
      <c r="S333" s="28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</row>
    <row r="334" spans="1:29" ht="13">
      <c r="A334" s="28"/>
      <c r="B334" s="28"/>
      <c r="C334" s="28"/>
      <c r="D334" s="28"/>
      <c r="E334" s="28"/>
      <c r="F334" s="28"/>
      <c r="G334" s="28"/>
      <c r="H334" s="28"/>
      <c r="I334" s="28"/>
      <c r="J334" s="28"/>
      <c r="K334" s="28"/>
      <c r="L334" s="28"/>
      <c r="M334" s="28"/>
      <c r="N334" s="28"/>
      <c r="O334" s="28"/>
      <c r="P334" s="28"/>
      <c r="Q334" s="28"/>
      <c r="R334" s="28"/>
      <c r="S334" s="28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</row>
    <row r="335" spans="1:29" ht="13">
      <c r="A335" s="28"/>
      <c r="B335" s="28"/>
      <c r="C335" s="28"/>
      <c r="D335" s="28"/>
      <c r="E335" s="28"/>
      <c r="F335" s="28"/>
      <c r="G335" s="28"/>
      <c r="H335" s="28"/>
      <c r="I335" s="28"/>
      <c r="J335" s="28"/>
      <c r="K335" s="28"/>
      <c r="L335" s="28"/>
      <c r="M335" s="28"/>
      <c r="N335" s="28"/>
      <c r="O335" s="28"/>
      <c r="P335" s="28"/>
      <c r="Q335" s="28"/>
      <c r="R335" s="28"/>
      <c r="S335" s="28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</row>
    <row r="336" spans="1:29" ht="13">
      <c r="A336" s="28"/>
      <c r="B336" s="28"/>
      <c r="C336" s="28"/>
      <c r="D336" s="28"/>
      <c r="E336" s="28"/>
      <c r="F336" s="28"/>
      <c r="G336" s="28"/>
      <c r="H336" s="28"/>
      <c r="I336" s="28"/>
      <c r="J336" s="28"/>
      <c r="K336" s="28"/>
      <c r="L336" s="28"/>
      <c r="M336" s="28"/>
      <c r="N336" s="28"/>
      <c r="O336" s="28"/>
      <c r="P336" s="28"/>
      <c r="Q336" s="28"/>
      <c r="R336" s="28"/>
      <c r="S336" s="28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</row>
    <row r="337" spans="1:29" ht="13">
      <c r="A337" s="28"/>
      <c r="B337" s="28"/>
      <c r="C337" s="28"/>
      <c r="D337" s="28"/>
      <c r="E337" s="28"/>
      <c r="F337" s="28"/>
      <c r="G337" s="28"/>
      <c r="H337" s="28"/>
      <c r="I337" s="28"/>
      <c r="J337" s="28"/>
      <c r="K337" s="28"/>
      <c r="L337" s="28"/>
      <c r="M337" s="28"/>
      <c r="N337" s="28"/>
      <c r="O337" s="28"/>
      <c r="P337" s="28"/>
      <c r="Q337" s="28"/>
      <c r="R337" s="28"/>
      <c r="S337" s="28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</row>
    <row r="338" spans="1:29" ht="13">
      <c r="A338" s="28"/>
      <c r="B338" s="28"/>
      <c r="C338" s="28"/>
      <c r="D338" s="28"/>
      <c r="E338" s="28"/>
      <c r="F338" s="28"/>
      <c r="G338" s="28"/>
      <c r="H338" s="28"/>
      <c r="I338" s="28"/>
      <c r="J338" s="28"/>
      <c r="K338" s="28"/>
      <c r="L338" s="28"/>
      <c r="M338" s="28"/>
      <c r="N338" s="28"/>
      <c r="O338" s="28"/>
      <c r="P338" s="28"/>
      <c r="Q338" s="28"/>
      <c r="R338" s="28"/>
      <c r="S338" s="28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</row>
    <row r="339" spans="1:29" ht="13">
      <c r="A339" s="28"/>
      <c r="B339" s="28"/>
      <c r="C339" s="28"/>
      <c r="D339" s="28"/>
      <c r="E339" s="28"/>
      <c r="F339" s="28"/>
      <c r="G339" s="28"/>
      <c r="H339" s="28"/>
      <c r="I339" s="28"/>
      <c r="J339" s="28"/>
      <c r="K339" s="28"/>
      <c r="L339" s="28"/>
      <c r="M339" s="28"/>
      <c r="N339" s="28"/>
      <c r="O339" s="28"/>
      <c r="P339" s="28"/>
      <c r="Q339" s="28"/>
      <c r="R339" s="28"/>
      <c r="S339" s="28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</row>
    <row r="340" spans="1:29" ht="13">
      <c r="A340" s="28"/>
      <c r="B340" s="28"/>
      <c r="C340" s="28"/>
      <c r="D340" s="28"/>
      <c r="E340" s="28"/>
      <c r="F340" s="28"/>
      <c r="G340" s="28"/>
      <c r="H340" s="28"/>
      <c r="I340" s="28"/>
      <c r="J340" s="28"/>
      <c r="K340" s="28"/>
      <c r="L340" s="28"/>
      <c r="M340" s="28"/>
      <c r="N340" s="28"/>
      <c r="O340" s="28"/>
      <c r="P340" s="28"/>
      <c r="Q340" s="28"/>
      <c r="R340" s="28"/>
      <c r="S340" s="28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</row>
    <row r="341" spans="1:29" ht="13">
      <c r="A341" s="28"/>
      <c r="B341" s="28"/>
      <c r="C341" s="28"/>
      <c r="D341" s="28"/>
      <c r="E341" s="28"/>
      <c r="F341" s="28"/>
      <c r="G341" s="28"/>
      <c r="H341" s="28"/>
      <c r="I341" s="28"/>
      <c r="J341" s="28"/>
      <c r="K341" s="28"/>
      <c r="L341" s="28"/>
      <c r="M341" s="28"/>
      <c r="N341" s="28"/>
      <c r="O341" s="28"/>
      <c r="P341" s="28"/>
      <c r="Q341" s="28"/>
      <c r="R341" s="28"/>
      <c r="S341" s="28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</row>
    <row r="342" spans="1:29" ht="13">
      <c r="A342" s="28"/>
      <c r="B342" s="28"/>
      <c r="C342" s="28"/>
      <c r="D342" s="28"/>
      <c r="E342" s="28"/>
      <c r="F342" s="28"/>
      <c r="G342" s="28"/>
      <c r="H342" s="28"/>
      <c r="I342" s="28"/>
      <c r="J342" s="28"/>
      <c r="K342" s="28"/>
      <c r="L342" s="28"/>
      <c r="M342" s="28"/>
      <c r="N342" s="28"/>
      <c r="O342" s="28"/>
      <c r="P342" s="28"/>
      <c r="Q342" s="28"/>
      <c r="R342" s="28"/>
      <c r="S342" s="28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</row>
    <row r="343" spans="1:29" ht="13">
      <c r="A343" s="28"/>
      <c r="B343" s="28"/>
      <c r="C343" s="28"/>
      <c r="D343" s="28"/>
      <c r="E343" s="28"/>
      <c r="F343" s="28"/>
      <c r="G343" s="28"/>
      <c r="H343" s="28"/>
      <c r="I343" s="28"/>
      <c r="J343" s="28"/>
      <c r="K343" s="28"/>
      <c r="L343" s="28"/>
      <c r="M343" s="28"/>
      <c r="N343" s="28"/>
      <c r="O343" s="28"/>
      <c r="P343" s="28"/>
      <c r="Q343" s="28"/>
      <c r="R343" s="28"/>
      <c r="S343" s="28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</row>
    <row r="344" spans="1:29" ht="13">
      <c r="A344" s="28"/>
      <c r="B344" s="28"/>
      <c r="C344" s="28"/>
      <c r="D344" s="28"/>
      <c r="E344" s="28"/>
      <c r="F344" s="28"/>
      <c r="G344" s="28"/>
      <c r="H344" s="28"/>
      <c r="I344" s="28"/>
      <c r="J344" s="28"/>
      <c r="K344" s="28"/>
      <c r="L344" s="28"/>
      <c r="M344" s="28"/>
      <c r="N344" s="28"/>
      <c r="O344" s="28"/>
      <c r="P344" s="28"/>
      <c r="Q344" s="28"/>
      <c r="R344" s="28"/>
      <c r="S344" s="28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</row>
    <row r="345" spans="1:29" ht="13">
      <c r="A345" s="28"/>
      <c r="B345" s="28"/>
      <c r="C345" s="28"/>
      <c r="D345" s="28"/>
      <c r="E345" s="28"/>
      <c r="F345" s="28"/>
      <c r="G345" s="28"/>
      <c r="H345" s="28"/>
      <c r="I345" s="28"/>
      <c r="J345" s="28"/>
      <c r="K345" s="28"/>
      <c r="L345" s="28"/>
      <c r="M345" s="28"/>
      <c r="N345" s="28"/>
      <c r="O345" s="28"/>
      <c r="P345" s="28"/>
      <c r="Q345" s="28"/>
      <c r="R345" s="28"/>
      <c r="S345" s="28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</row>
    <row r="346" spans="1:29" ht="13">
      <c r="A346" s="28"/>
      <c r="B346" s="28"/>
      <c r="C346" s="28"/>
      <c r="D346" s="28"/>
      <c r="E346" s="28"/>
      <c r="F346" s="28"/>
      <c r="G346" s="28"/>
      <c r="H346" s="28"/>
      <c r="I346" s="28"/>
      <c r="J346" s="28"/>
      <c r="K346" s="28"/>
      <c r="L346" s="28"/>
      <c r="M346" s="28"/>
      <c r="N346" s="28"/>
      <c r="O346" s="28"/>
      <c r="P346" s="28"/>
      <c r="Q346" s="28"/>
      <c r="R346" s="28"/>
      <c r="S346" s="28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</row>
    <row r="347" spans="1:29" ht="13">
      <c r="A347" s="28"/>
      <c r="B347" s="28"/>
      <c r="C347" s="28"/>
      <c r="D347" s="28"/>
      <c r="E347" s="28"/>
      <c r="F347" s="28"/>
      <c r="G347" s="28"/>
      <c r="H347" s="28"/>
      <c r="I347" s="28"/>
      <c r="J347" s="28"/>
      <c r="K347" s="28"/>
      <c r="L347" s="28"/>
      <c r="M347" s="28"/>
      <c r="N347" s="28"/>
      <c r="O347" s="28"/>
      <c r="P347" s="28"/>
      <c r="Q347" s="28"/>
      <c r="R347" s="28"/>
      <c r="S347" s="28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</row>
    <row r="348" spans="1:29" ht="13">
      <c r="A348" s="28"/>
      <c r="B348" s="28"/>
      <c r="C348" s="28"/>
      <c r="D348" s="28"/>
      <c r="E348" s="28"/>
      <c r="F348" s="28"/>
      <c r="G348" s="28"/>
      <c r="H348" s="28"/>
      <c r="I348" s="28"/>
      <c r="J348" s="28"/>
      <c r="K348" s="28"/>
      <c r="L348" s="28"/>
      <c r="M348" s="28"/>
      <c r="N348" s="28"/>
      <c r="O348" s="28"/>
      <c r="P348" s="28"/>
      <c r="Q348" s="28"/>
      <c r="R348" s="28"/>
      <c r="S348" s="28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</row>
    <row r="349" spans="1:29" ht="13">
      <c r="A349" s="28"/>
      <c r="B349" s="28"/>
      <c r="C349" s="28"/>
      <c r="D349" s="28"/>
      <c r="E349" s="28"/>
      <c r="F349" s="28"/>
      <c r="G349" s="28"/>
      <c r="H349" s="28"/>
      <c r="I349" s="28"/>
      <c r="J349" s="28"/>
      <c r="K349" s="28"/>
      <c r="L349" s="28"/>
      <c r="M349" s="28"/>
      <c r="N349" s="28"/>
      <c r="O349" s="28"/>
      <c r="P349" s="28"/>
      <c r="Q349" s="28"/>
      <c r="R349" s="28"/>
      <c r="S349" s="28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</row>
    <row r="350" spans="1:29" ht="13">
      <c r="A350" s="28"/>
      <c r="B350" s="28"/>
      <c r="C350" s="28"/>
      <c r="D350" s="28"/>
      <c r="E350" s="28"/>
      <c r="F350" s="28"/>
      <c r="G350" s="28"/>
      <c r="H350" s="28"/>
      <c r="I350" s="28"/>
      <c r="J350" s="28"/>
      <c r="K350" s="28"/>
      <c r="L350" s="28"/>
      <c r="M350" s="28"/>
      <c r="N350" s="28"/>
      <c r="O350" s="28"/>
      <c r="P350" s="28"/>
      <c r="Q350" s="28"/>
      <c r="R350" s="28"/>
      <c r="S350" s="28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</row>
    <row r="351" spans="1:29" ht="13">
      <c r="A351" s="28"/>
      <c r="B351" s="28"/>
      <c r="C351" s="28"/>
      <c r="D351" s="28"/>
      <c r="E351" s="28"/>
      <c r="F351" s="28"/>
      <c r="G351" s="28"/>
      <c r="H351" s="28"/>
      <c r="I351" s="28"/>
      <c r="J351" s="28"/>
      <c r="K351" s="28"/>
      <c r="L351" s="28"/>
      <c r="M351" s="28"/>
      <c r="N351" s="28"/>
      <c r="O351" s="28"/>
      <c r="P351" s="28"/>
      <c r="Q351" s="28"/>
      <c r="R351" s="28"/>
      <c r="S351" s="28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</row>
    <row r="352" spans="1:29" ht="13">
      <c r="A352" s="28"/>
      <c r="B352" s="28"/>
      <c r="C352" s="28"/>
      <c r="D352" s="28"/>
      <c r="E352" s="28"/>
      <c r="F352" s="28"/>
      <c r="G352" s="28"/>
      <c r="H352" s="28"/>
      <c r="I352" s="28"/>
      <c r="J352" s="28"/>
      <c r="K352" s="28"/>
      <c r="L352" s="28"/>
      <c r="M352" s="28"/>
      <c r="N352" s="28"/>
      <c r="O352" s="28"/>
      <c r="P352" s="28"/>
      <c r="Q352" s="28"/>
      <c r="R352" s="28"/>
      <c r="S352" s="28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</row>
    <row r="353" spans="1:29" ht="13">
      <c r="A353" s="28"/>
      <c r="B353" s="28"/>
      <c r="C353" s="28"/>
      <c r="D353" s="28"/>
      <c r="E353" s="28"/>
      <c r="F353" s="28"/>
      <c r="G353" s="28"/>
      <c r="H353" s="28"/>
      <c r="I353" s="28"/>
      <c r="J353" s="28"/>
      <c r="K353" s="28"/>
      <c r="L353" s="28"/>
      <c r="M353" s="28"/>
      <c r="N353" s="28"/>
      <c r="O353" s="28"/>
      <c r="P353" s="28"/>
      <c r="Q353" s="28"/>
      <c r="R353" s="28"/>
      <c r="S353" s="28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</row>
    <row r="354" spans="1:29" ht="13">
      <c r="A354" s="28"/>
      <c r="B354" s="28"/>
      <c r="C354" s="28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28"/>
      <c r="S354" s="28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</row>
    <row r="355" spans="1:29" ht="13">
      <c r="A355" s="28"/>
      <c r="B355" s="28"/>
      <c r="C355" s="28"/>
      <c r="D355" s="28"/>
      <c r="E355" s="28"/>
      <c r="F355" s="28"/>
      <c r="G355" s="28"/>
      <c r="H355" s="28"/>
      <c r="I355" s="28"/>
      <c r="J355" s="28"/>
      <c r="K355" s="28"/>
      <c r="L355" s="28"/>
      <c r="M355" s="28"/>
      <c r="N355" s="28"/>
      <c r="O355" s="28"/>
      <c r="P355" s="28"/>
      <c r="Q355" s="28"/>
      <c r="R355" s="28"/>
      <c r="S355" s="28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</row>
    <row r="356" spans="1:29" ht="13">
      <c r="A356" s="28"/>
      <c r="B356" s="28"/>
      <c r="C356" s="28"/>
      <c r="D356" s="28"/>
      <c r="E356" s="28"/>
      <c r="F356" s="28"/>
      <c r="G356" s="28"/>
      <c r="H356" s="28"/>
      <c r="I356" s="28"/>
      <c r="J356" s="28"/>
      <c r="K356" s="28"/>
      <c r="L356" s="28"/>
      <c r="M356" s="28"/>
      <c r="N356" s="28"/>
      <c r="O356" s="28"/>
      <c r="P356" s="28"/>
      <c r="Q356" s="28"/>
      <c r="R356" s="28"/>
      <c r="S356" s="28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</row>
    <row r="357" spans="1:29" ht="13">
      <c r="A357" s="28"/>
      <c r="B357" s="28"/>
      <c r="C357" s="28"/>
      <c r="D357" s="28"/>
      <c r="E357" s="28"/>
      <c r="F357" s="28"/>
      <c r="G357" s="28"/>
      <c r="H357" s="28"/>
      <c r="I357" s="28"/>
      <c r="J357" s="28"/>
      <c r="K357" s="28"/>
      <c r="L357" s="28"/>
      <c r="M357" s="28"/>
      <c r="N357" s="28"/>
      <c r="O357" s="28"/>
      <c r="P357" s="28"/>
      <c r="Q357" s="28"/>
      <c r="R357" s="28"/>
      <c r="S357" s="28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</row>
    <row r="358" spans="1:29" ht="13">
      <c r="A358" s="28"/>
      <c r="B358" s="28"/>
      <c r="C358" s="28"/>
      <c r="D358" s="28"/>
      <c r="E358" s="28"/>
      <c r="F358" s="28"/>
      <c r="G358" s="28"/>
      <c r="H358" s="28"/>
      <c r="I358" s="28"/>
      <c r="J358" s="28"/>
      <c r="K358" s="28"/>
      <c r="L358" s="28"/>
      <c r="M358" s="28"/>
      <c r="N358" s="28"/>
      <c r="O358" s="28"/>
      <c r="P358" s="28"/>
      <c r="Q358" s="28"/>
      <c r="R358" s="28"/>
      <c r="S358" s="28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</row>
    <row r="359" spans="1:29" ht="13">
      <c r="A359" s="28"/>
      <c r="B359" s="28"/>
      <c r="C359" s="28"/>
      <c r="D359" s="28"/>
      <c r="E359" s="28"/>
      <c r="F359" s="28"/>
      <c r="G359" s="28"/>
      <c r="H359" s="28"/>
      <c r="I359" s="28"/>
      <c r="J359" s="28"/>
      <c r="K359" s="28"/>
      <c r="L359" s="28"/>
      <c r="M359" s="28"/>
      <c r="N359" s="28"/>
      <c r="O359" s="28"/>
      <c r="P359" s="28"/>
      <c r="Q359" s="28"/>
      <c r="R359" s="28"/>
      <c r="S359" s="28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</row>
    <row r="360" spans="1:29" ht="13">
      <c r="A360" s="28"/>
      <c r="B360" s="28"/>
      <c r="C360" s="28"/>
      <c r="D360" s="28"/>
      <c r="E360" s="28"/>
      <c r="F360" s="28"/>
      <c r="G360" s="28"/>
      <c r="H360" s="28"/>
      <c r="I360" s="28"/>
      <c r="J360" s="28"/>
      <c r="K360" s="28"/>
      <c r="L360" s="28"/>
      <c r="M360" s="28"/>
      <c r="N360" s="28"/>
      <c r="O360" s="28"/>
      <c r="P360" s="28"/>
      <c r="Q360" s="28"/>
      <c r="R360" s="28"/>
      <c r="S360" s="28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</row>
    <row r="361" spans="1:29" ht="13">
      <c r="A361" s="28"/>
      <c r="B361" s="28"/>
      <c r="C361" s="28"/>
      <c r="D361" s="28"/>
      <c r="E361" s="28"/>
      <c r="F361" s="28"/>
      <c r="G361" s="28"/>
      <c r="H361" s="28"/>
      <c r="I361" s="28"/>
      <c r="J361" s="28"/>
      <c r="K361" s="28"/>
      <c r="L361" s="28"/>
      <c r="M361" s="28"/>
      <c r="N361" s="28"/>
      <c r="O361" s="28"/>
      <c r="P361" s="28"/>
      <c r="Q361" s="28"/>
      <c r="R361" s="28"/>
      <c r="S361" s="28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</row>
    <row r="362" spans="1:29" ht="13">
      <c r="A362" s="28"/>
      <c r="B362" s="28"/>
      <c r="C362" s="28"/>
      <c r="D362" s="28"/>
      <c r="E362" s="28"/>
      <c r="F362" s="28"/>
      <c r="G362" s="28"/>
      <c r="H362" s="28"/>
      <c r="I362" s="28"/>
      <c r="J362" s="28"/>
      <c r="K362" s="28"/>
      <c r="L362" s="28"/>
      <c r="M362" s="28"/>
      <c r="N362" s="28"/>
      <c r="O362" s="28"/>
      <c r="P362" s="28"/>
      <c r="Q362" s="28"/>
      <c r="R362" s="28"/>
      <c r="S362" s="28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</row>
    <row r="363" spans="1:29" ht="13">
      <c r="A363" s="28"/>
      <c r="B363" s="28"/>
      <c r="C363" s="28"/>
      <c r="D363" s="28"/>
      <c r="E363" s="28"/>
      <c r="F363" s="28"/>
      <c r="G363" s="28"/>
      <c r="H363" s="28"/>
      <c r="I363" s="28"/>
      <c r="J363" s="28"/>
      <c r="K363" s="28"/>
      <c r="L363" s="28"/>
      <c r="M363" s="28"/>
      <c r="N363" s="28"/>
      <c r="O363" s="28"/>
      <c r="P363" s="28"/>
      <c r="Q363" s="28"/>
      <c r="R363" s="28"/>
      <c r="S363" s="28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</row>
    <row r="364" spans="1:29" ht="13">
      <c r="A364" s="28"/>
      <c r="B364" s="28"/>
      <c r="C364" s="28"/>
      <c r="D364" s="28"/>
      <c r="E364" s="28"/>
      <c r="F364" s="28"/>
      <c r="G364" s="28"/>
      <c r="H364" s="28"/>
      <c r="I364" s="28"/>
      <c r="J364" s="28"/>
      <c r="K364" s="28"/>
      <c r="L364" s="28"/>
      <c r="M364" s="28"/>
      <c r="N364" s="28"/>
      <c r="O364" s="28"/>
      <c r="P364" s="28"/>
      <c r="Q364" s="28"/>
      <c r="R364" s="28"/>
      <c r="S364" s="28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</row>
    <row r="365" spans="1:29" ht="13">
      <c r="A365" s="28"/>
      <c r="B365" s="28"/>
      <c r="C365" s="28"/>
      <c r="D365" s="28"/>
      <c r="E365" s="28"/>
      <c r="F365" s="28"/>
      <c r="G365" s="28"/>
      <c r="H365" s="28"/>
      <c r="I365" s="28"/>
      <c r="J365" s="28"/>
      <c r="K365" s="28"/>
      <c r="L365" s="28"/>
      <c r="M365" s="28"/>
      <c r="N365" s="28"/>
      <c r="O365" s="28"/>
      <c r="P365" s="28"/>
      <c r="Q365" s="28"/>
      <c r="R365" s="28"/>
      <c r="S365" s="28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</row>
    <row r="366" spans="1:29" ht="13">
      <c r="A366" s="28"/>
      <c r="B366" s="28"/>
      <c r="C366" s="28"/>
      <c r="D366" s="28"/>
      <c r="E366" s="28"/>
      <c r="F366" s="28"/>
      <c r="G366" s="28"/>
      <c r="H366" s="28"/>
      <c r="I366" s="28"/>
      <c r="J366" s="28"/>
      <c r="K366" s="28"/>
      <c r="L366" s="28"/>
      <c r="M366" s="28"/>
      <c r="N366" s="28"/>
      <c r="O366" s="28"/>
      <c r="P366" s="28"/>
      <c r="Q366" s="28"/>
      <c r="R366" s="28"/>
      <c r="S366" s="28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</row>
    <row r="367" spans="1:29" ht="13">
      <c r="A367" s="28"/>
      <c r="B367" s="28"/>
      <c r="C367" s="28"/>
      <c r="D367" s="28"/>
      <c r="E367" s="28"/>
      <c r="F367" s="28"/>
      <c r="G367" s="28"/>
      <c r="H367" s="28"/>
      <c r="I367" s="28"/>
      <c r="J367" s="28"/>
      <c r="K367" s="28"/>
      <c r="L367" s="28"/>
      <c r="M367" s="28"/>
      <c r="N367" s="28"/>
      <c r="O367" s="28"/>
      <c r="P367" s="28"/>
      <c r="Q367" s="28"/>
      <c r="R367" s="28"/>
      <c r="S367" s="28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</row>
    <row r="368" spans="1:29" ht="13">
      <c r="A368" s="28"/>
      <c r="B368" s="28"/>
      <c r="C368" s="28"/>
      <c r="D368" s="28"/>
      <c r="E368" s="28"/>
      <c r="F368" s="28"/>
      <c r="G368" s="28"/>
      <c r="H368" s="28"/>
      <c r="I368" s="28"/>
      <c r="J368" s="28"/>
      <c r="K368" s="28"/>
      <c r="L368" s="28"/>
      <c r="M368" s="28"/>
      <c r="N368" s="28"/>
      <c r="O368" s="28"/>
      <c r="P368" s="28"/>
      <c r="Q368" s="28"/>
      <c r="R368" s="28"/>
      <c r="S368" s="28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</row>
    <row r="369" spans="1:29" ht="13">
      <c r="A369" s="28"/>
      <c r="B369" s="28"/>
      <c r="C369" s="28"/>
      <c r="D369" s="28"/>
      <c r="E369" s="28"/>
      <c r="F369" s="28"/>
      <c r="G369" s="28"/>
      <c r="H369" s="28"/>
      <c r="I369" s="28"/>
      <c r="J369" s="28"/>
      <c r="K369" s="28"/>
      <c r="L369" s="28"/>
      <c r="M369" s="28"/>
      <c r="N369" s="28"/>
      <c r="O369" s="28"/>
      <c r="P369" s="28"/>
      <c r="Q369" s="28"/>
      <c r="R369" s="28"/>
      <c r="S369" s="28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</row>
    <row r="370" spans="1:29" ht="13">
      <c r="A370" s="28"/>
      <c r="B370" s="28"/>
      <c r="C370" s="28"/>
      <c r="D370" s="28"/>
      <c r="E370" s="28"/>
      <c r="F370" s="28"/>
      <c r="G370" s="28"/>
      <c r="H370" s="28"/>
      <c r="I370" s="28"/>
      <c r="J370" s="28"/>
      <c r="K370" s="28"/>
      <c r="L370" s="28"/>
      <c r="M370" s="28"/>
      <c r="N370" s="28"/>
      <c r="O370" s="28"/>
      <c r="P370" s="28"/>
      <c r="Q370" s="28"/>
      <c r="R370" s="28"/>
      <c r="S370" s="28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</row>
    <row r="371" spans="1:29" ht="13">
      <c r="A371" s="28"/>
      <c r="B371" s="28"/>
      <c r="C371" s="28"/>
      <c r="D371" s="28"/>
      <c r="E371" s="28"/>
      <c r="F371" s="28"/>
      <c r="G371" s="28"/>
      <c r="H371" s="28"/>
      <c r="I371" s="28"/>
      <c r="J371" s="28"/>
      <c r="K371" s="28"/>
      <c r="L371" s="28"/>
      <c r="M371" s="28"/>
      <c r="N371" s="28"/>
      <c r="O371" s="28"/>
      <c r="P371" s="28"/>
      <c r="Q371" s="28"/>
      <c r="R371" s="28"/>
      <c r="S371" s="28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</row>
    <row r="372" spans="1:29" ht="13">
      <c r="A372" s="28"/>
      <c r="B372" s="28"/>
      <c r="C372" s="28"/>
      <c r="D372" s="28"/>
      <c r="E372" s="28"/>
      <c r="F372" s="28"/>
      <c r="G372" s="28"/>
      <c r="H372" s="28"/>
      <c r="I372" s="28"/>
      <c r="J372" s="28"/>
      <c r="K372" s="28"/>
      <c r="L372" s="28"/>
      <c r="M372" s="28"/>
      <c r="N372" s="28"/>
      <c r="O372" s="28"/>
      <c r="P372" s="28"/>
      <c r="Q372" s="28"/>
      <c r="R372" s="28"/>
      <c r="S372" s="28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</row>
    <row r="373" spans="1:29" ht="13">
      <c r="A373" s="28"/>
      <c r="B373" s="28"/>
      <c r="C373" s="28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</row>
    <row r="374" spans="1:29" ht="13">
      <c r="A374" s="28"/>
      <c r="B374" s="28"/>
      <c r="C374" s="28"/>
      <c r="D374" s="28"/>
      <c r="E374" s="28"/>
      <c r="F374" s="28"/>
      <c r="G374" s="28"/>
      <c r="H374" s="28"/>
      <c r="I374" s="28"/>
      <c r="J374" s="28"/>
      <c r="K374" s="28"/>
      <c r="L374" s="28"/>
      <c r="M374" s="28"/>
      <c r="N374" s="28"/>
      <c r="O374" s="28"/>
      <c r="P374" s="28"/>
      <c r="Q374" s="28"/>
      <c r="R374" s="28"/>
      <c r="S374" s="28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</row>
    <row r="375" spans="1:29" ht="13">
      <c r="A375" s="28"/>
      <c r="B375" s="28"/>
      <c r="C375" s="28"/>
      <c r="D375" s="28"/>
      <c r="E375" s="28"/>
      <c r="F375" s="28"/>
      <c r="G375" s="28"/>
      <c r="H375" s="28"/>
      <c r="I375" s="28"/>
      <c r="J375" s="28"/>
      <c r="K375" s="28"/>
      <c r="L375" s="28"/>
      <c r="M375" s="28"/>
      <c r="N375" s="28"/>
      <c r="O375" s="28"/>
      <c r="P375" s="28"/>
      <c r="Q375" s="28"/>
      <c r="R375" s="28"/>
      <c r="S375" s="28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</row>
    <row r="376" spans="1:29" ht="13">
      <c r="A376" s="28"/>
      <c r="B376" s="28"/>
      <c r="C376" s="28"/>
      <c r="D376" s="28"/>
      <c r="E376" s="28"/>
      <c r="F376" s="28"/>
      <c r="G376" s="28"/>
      <c r="H376" s="28"/>
      <c r="I376" s="28"/>
      <c r="J376" s="28"/>
      <c r="K376" s="28"/>
      <c r="L376" s="28"/>
      <c r="M376" s="28"/>
      <c r="N376" s="28"/>
      <c r="O376" s="28"/>
      <c r="P376" s="28"/>
      <c r="Q376" s="28"/>
      <c r="R376" s="28"/>
      <c r="S376" s="28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</row>
    <row r="377" spans="1:29" ht="13">
      <c r="A377" s="28"/>
      <c r="B377" s="28"/>
      <c r="C377" s="28"/>
      <c r="D377" s="28"/>
      <c r="E377" s="28"/>
      <c r="F377" s="28"/>
      <c r="G377" s="28"/>
      <c r="H377" s="28"/>
      <c r="I377" s="28"/>
      <c r="J377" s="28"/>
      <c r="K377" s="28"/>
      <c r="L377" s="28"/>
      <c r="M377" s="28"/>
      <c r="N377" s="28"/>
      <c r="O377" s="28"/>
      <c r="P377" s="28"/>
      <c r="Q377" s="28"/>
      <c r="R377" s="28"/>
      <c r="S377" s="28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</row>
    <row r="378" spans="1:29" ht="13">
      <c r="A378" s="28"/>
      <c r="B378" s="28"/>
      <c r="C378" s="28"/>
      <c r="D378" s="28"/>
      <c r="E378" s="28"/>
      <c r="F378" s="28"/>
      <c r="G378" s="28"/>
      <c r="H378" s="28"/>
      <c r="I378" s="28"/>
      <c r="J378" s="28"/>
      <c r="K378" s="28"/>
      <c r="L378" s="28"/>
      <c r="M378" s="28"/>
      <c r="N378" s="28"/>
      <c r="O378" s="28"/>
      <c r="P378" s="28"/>
      <c r="Q378" s="28"/>
      <c r="R378" s="28"/>
      <c r="S378" s="28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</row>
    <row r="379" spans="1:29" ht="13">
      <c r="A379" s="28"/>
      <c r="B379" s="28"/>
      <c r="C379" s="28"/>
      <c r="D379" s="28"/>
      <c r="E379" s="28"/>
      <c r="F379" s="28"/>
      <c r="G379" s="28"/>
      <c r="H379" s="28"/>
      <c r="I379" s="28"/>
      <c r="J379" s="28"/>
      <c r="K379" s="28"/>
      <c r="L379" s="28"/>
      <c r="M379" s="28"/>
      <c r="N379" s="28"/>
      <c r="O379" s="28"/>
      <c r="P379" s="28"/>
      <c r="Q379" s="28"/>
      <c r="R379" s="28"/>
      <c r="S379" s="28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</row>
    <row r="380" spans="1:29" ht="13">
      <c r="A380" s="28"/>
      <c r="B380" s="28"/>
      <c r="C380" s="28"/>
      <c r="D380" s="28"/>
      <c r="E380" s="28"/>
      <c r="F380" s="28"/>
      <c r="G380" s="28"/>
      <c r="H380" s="28"/>
      <c r="I380" s="28"/>
      <c r="J380" s="28"/>
      <c r="K380" s="28"/>
      <c r="L380" s="28"/>
      <c r="M380" s="28"/>
      <c r="N380" s="28"/>
      <c r="O380" s="28"/>
      <c r="P380" s="28"/>
      <c r="Q380" s="28"/>
      <c r="R380" s="28"/>
      <c r="S380" s="28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</row>
    <row r="381" spans="1:29" ht="13">
      <c r="A381" s="28"/>
      <c r="B381" s="28"/>
      <c r="C381" s="28"/>
      <c r="D381" s="28"/>
      <c r="E381" s="28"/>
      <c r="F381" s="28"/>
      <c r="G381" s="28"/>
      <c r="H381" s="28"/>
      <c r="I381" s="28"/>
      <c r="J381" s="28"/>
      <c r="K381" s="28"/>
      <c r="L381" s="28"/>
      <c r="M381" s="28"/>
      <c r="N381" s="28"/>
      <c r="O381" s="28"/>
      <c r="P381" s="28"/>
      <c r="Q381" s="28"/>
      <c r="R381" s="28"/>
      <c r="S381" s="28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</row>
    <row r="382" spans="1:29" ht="13">
      <c r="A382" s="28"/>
      <c r="B382" s="28"/>
      <c r="C382" s="28"/>
      <c r="D382" s="28"/>
      <c r="E382" s="28"/>
      <c r="F382" s="28"/>
      <c r="G382" s="28"/>
      <c r="H382" s="28"/>
      <c r="I382" s="28"/>
      <c r="J382" s="28"/>
      <c r="K382" s="28"/>
      <c r="L382" s="28"/>
      <c r="M382" s="28"/>
      <c r="N382" s="28"/>
      <c r="O382" s="28"/>
      <c r="P382" s="28"/>
      <c r="Q382" s="28"/>
      <c r="R382" s="28"/>
      <c r="S382" s="28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</row>
    <row r="383" spans="1:29" ht="13">
      <c r="A383" s="28"/>
      <c r="B383" s="28"/>
      <c r="C383" s="28"/>
      <c r="D383" s="28"/>
      <c r="E383" s="28"/>
      <c r="F383" s="28"/>
      <c r="G383" s="28"/>
      <c r="H383" s="28"/>
      <c r="I383" s="28"/>
      <c r="J383" s="28"/>
      <c r="K383" s="28"/>
      <c r="L383" s="28"/>
      <c r="M383" s="28"/>
      <c r="N383" s="28"/>
      <c r="O383" s="28"/>
      <c r="P383" s="28"/>
      <c r="Q383" s="28"/>
      <c r="R383" s="28"/>
      <c r="S383" s="28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</row>
    <row r="384" spans="1:29" ht="13">
      <c r="A384" s="28"/>
      <c r="B384" s="28"/>
      <c r="C384" s="28"/>
      <c r="D384" s="28"/>
      <c r="E384" s="28"/>
      <c r="F384" s="28"/>
      <c r="G384" s="28"/>
      <c r="H384" s="28"/>
      <c r="I384" s="28"/>
      <c r="J384" s="28"/>
      <c r="K384" s="28"/>
      <c r="L384" s="28"/>
      <c r="M384" s="28"/>
      <c r="N384" s="28"/>
      <c r="O384" s="28"/>
      <c r="P384" s="28"/>
      <c r="Q384" s="28"/>
      <c r="R384" s="28"/>
      <c r="S384" s="28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</row>
    <row r="385" spans="1:29" ht="13">
      <c r="A385" s="28"/>
      <c r="B385" s="28"/>
      <c r="C385" s="28"/>
      <c r="D385" s="28"/>
      <c r="E385" s="28"/>
      <c r="F385" s="28"/>
      <c r="G385" s="28"/>
      <c r="H385" s="28"/>
      <c r="I385" s="28"/>
      <c r="J385" s="28"/>
      <c r="K385" s="28"/>
      <c r="L385" s="28"/>
      <c r="M385" s="28"/>
      <c r="N385" s="28"/>
      <c r="O385" s="28"/>
      <c r="P385" s="28"/>
      <c r="Q385" s="28"/>
      <c r="R385" s="28"/>
      <c r="S385" s="28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</row>
    <row r="386" spans="1:29" ht="13">
      <c r="A386" s="28"/>
      <c r="B386" s="28"/>
      <c r="C386" s="28"/>
      <c r="D386" s="28"/>
      <c r="E386" s="28"/>
      <c r="F386" s="28"/>
      <c r="G386" s="28"/>
      <c r="H386" s="28"/>
      <c r="I386" s="28"/>
      <c r="J386" s="28"/>
      <c r="K386" s="28"/>
      <c r="L386" s="28"/>
      <c r="M386" s="28"/>
      <c r="N386" s="28"/>
      <c r="O386" s="28"/>
      <c r="P386" s="28"/>
      <c r="Q386" s="28"/>
      <c r="R386" s="28"/>
      <c r="S386" s="28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</row>
    <row r="387" spans="1:29" ht="13">
      <c r="A387" s="28"/>
      <c r="B387" s="28"/>
      <c r="C387" s="28"/>
      <c r="D387" s="28"/>
      <c r="E387" s="28"/>
      <c r="F387" s="28"/>
      <c r="G387" s="28"/>
      <c r="H387" s="28"/>
      <c r="I387" s="28"/>
      <c r="J387" s="28"/>
      <c r="K387" s="28"/>
      <c r="L387" s="28"/>
      <c r="M387" s="28"/>
      <c r="N387" s="28"/>
      <c r="O387" s="28"/>
      <c r="P387" s="28"/>
      <c r="Q387" s="28"/>
      <c r="R387" s="28"/>
      <c r="S387" s="28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</row>
    <row r="388" spans="1:29" ht="13">
      <c r="A388" s="28"/>
      <c r="B388" s="28"/>
      <c r="C388" s="28"/>
      <c r="D388" s="28"/>
      <c r="E388" s="28"/>
      <c r="F388" s="28"/>
      <c r="G388" s="28"/>
      <c r="H388" s="28"/>
      <c r="I388" s="28"/>
      <c r="J388" s="28"/>
      <c r="K388" s="28"/>
      <c r="L388" s="28"/>
      <c r="M388" s="28"/>
      <c r="N388" s="28"/>
      <c r="O388" s="28"/>
      <c r="P388" s="28"/>
      <c r="Q388" s="28"/>
      <c r="R388" s="28"/>
      <c r="S388" s="28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</row>
    <row r="389" spans="1:29" ht="13">
      <c r="A389" s="28"/>
      <c r="B389" s="28"/>
      <c r="C389" s="28"/>
      <c r="D389" s="28"/>
      <c r="E389" s="28"/>
      <c r="F389" s="28"/>
      <c r="G389" s="28"/>
      <c r="H389" s="28"/>
      <c r="I389" s="28"/>
      <c r="J389" s="28"/>
      <c r="K389" s="28"/>
      <c r="L389" s="28"/>
      <c r="M389" s="28"/>
      <c r="N389" s="28"/>
      <c r="O389" s="28"/>
      <c r="P389" s="28"/>
      <c r="Q389" s="28"/>
      <c r="R389" s="28"/>
      <c r="S389" s="28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</row>
    <row r="390" spans="1:29" ht="13">
      <c r="A390" s="28"/>
      <c r="B390" s="28"/>
      <c r="C390" s="28"/>
      <c r="D390" s="28"/>
      <c r="E390" s="28"/>
      <c r="F390" s="28"/>
      <c r="G390" s="28"/>
      <c r="H390" s="28"/>
      <c r="I390" s="28"/>
      <c r="J390" s="28"/>
      <c r="K390" s="28"/>
      <c r="L390" s="28"/>
      <c r="M390" s="28"/>
      <c r="N390" s="28"/>
      <c r="O390" s="28"/>
      <c r="P390" s="28"/>
      <c r="Q390" s="28"/>
      <c r="R390" s="28"/>
      <c r="S390" s="28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</row>
    <row r="391" spans="1:29" ht="13">
      <c r="A391" s="28"/>
      <c r="B391" s="28"/>
      <c r="C391" s="28"/>
      <c r="D391" s="28"/>
      <c r="E391" s="28"/>
      <c r="F391" s="28"/>
      <c r="G391" s="28"/>
      <c r="H391" s="28"/>
      <c r="I391" s="28"/>
      <c r="J391" s="28"/>
      <c r="K391" s="28"/>
      <c r="L391" s="28"/>
      <c r="M391" s="28"/>
      <c r="N391" s="28"/>
      <c r="O391" s="28"/>
      <c r="P391" s="28"/>
      <c r="Q391" s="28"/>
      <c r="R391" s="28"/>
      <c r="S391" s="28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</row>
    <row r="392" spans="1:29" ht="13">
      <c r="A392" s="28"/>
      <c r="B392" s="28"/>
      <c r="C392" s="28"/>
      <c r="D392" s="28"/>
      <c r="E392" s="28"/>
      <c r="F392" s="28"/>
      <c r="G392" s="28"/>
      <c r="H392" s="28"/>
      <c r="I392" s="28"/>
      <c r="J392" s="28"/>
      <c r="K392" s="28"/>
      <c r="L392" s="28"/>
      <c r="M392" s="28"/>
      <c r="N392" s="28"/>
      <c r="O392" s="28"/>
      <c r="P392" s="28"/>
      <c r="Q392" s="28"/>
      <c r="R392" s="28"/>
      <c r="S392" s="28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</row>
    <row r="393" spans="1:29" ht="13">
      <c r="A393" s="28"/>
      <c r="B393" s="28"/>
      <c r="C393" s="28"/>
      <c r="D393" s="28"/>
      <c r="E393" s="28"/>
      <c r="F393" s="28"/>
      <c r="G393" s="28"/>
      <c r="H393" s="28"/>
      <c r="I393" s="28"/>
      <c r="J393" s="28"/>
      <c r="K393" s="28"/>
      <c r="L393" s="28"/>
      <c r="M393" s="28"/>
      <c r="N393" s="28"/>
      <c r="O393" s="28"/>
      <c r="P393" s="28"/>
      <c r="Q393" s="28"/>
      <c r="R393" s="28"/>
      <c r="S393" s="28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</row>
    <row r="394" spans="1:29" ht="13">
      <c r="A394" s="28"/>
      <c r="B394" s="28"/>
      <c r="C394" s="28"/>
      <c r="D394" s="28"/>
      <c r="E394" s="28"/>
      <c r="F394" s="28"/>
      <c r="G394" s="28"/>
      <c r="H394" s="28"/>
      <c r="I394" s="28"/>
      <c r="J394" s="28"/>
      <c r="K394" s="28"/>
      <c r="L394" s="28"/>
      <c r="M394" s="28"/>
      <c r="N394" s="28"/>
      <c r="O394" s="28"/>
      <c r="P394" s="28"/>
      <c r="Q394" s="28"/>
      <c r="R394" s="28"/>
      <c r="S394" s="28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</row>
    <row r="395" spans="1:29" ht="13">
      <c r="A395" s="28"/>
      <c r="B395" s="28"/>
      <c r="C395" s="28"/>
      <c r="D395" s="28"/>
      <c r="E395" s="28"/>
      <c r="F395" s="28"/>
      <c r="G395" s="28"/>
      <c r="H395" s="28"/>
      <c r="I395" s="28"/>
      <c r="J395" s="28"/>
      <c r="K395" s="28"/>
      <c r="L395" s="28"/>
      <c r="M395" s="28"/>
      <c r="N395" s="28"/>
      <c r="O395" s="28"/>
      <c r="P395" s="28"/>
      <c r="Q395" s="28"/>
      <c r="R395" s="28"/>
      <c r="S395" s="28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</row>
    <row r="396" spans="1:29" ht="13">
      <c r="A396" s="28"/>
      <c r="B396" s="28"/>
      <c r="C396" s="28"/>
      <c r="D396" s="28"/>
      <c r="E396" s="28"/>
      <c r="F396" s="28"/>
      <c r="G396" s="28"/>
      <c r="H396" s="28"/>
      <c r="I396" s="28"/>
      <c r="J396" s="28"/>
      <c r="K396" s="28"/>
      <c r="L396" s="28"/>
      <c r="M396" s="28"/>
      <c r="N396" s="28"/>
      <c r="O396" s="28"/>
      <c r="P396" s="28"/>
      <c r="Q396" s="28"/>
      <c r="R396" s="28"/>
      <c r="S396" s="28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</row>
    <row r="397" spans="1:29" ht="13">
      <c r="A397" s="28"/>
      <c r="B397" s="28"/>
      <c r="C397" s="28"/>
      <c r="D397" s="28"/>
      <c r="E397" s="28"/>
      <c r="F397" s="28"/>
      <c r="G397" s="28"/>
      <c r="H397" s="28"/>
      <c r="I397" s="28"/>
      <c r="J397" s="28"/>
      <c r="K397" s="28"/>
      <c r="L397" s="28"/>
      <c r="M397" s="28"/>
      <c r="N397" s="28"/>
      <c r="O397" s="28"/>
      <c r="P397" s="28"/>
      <c r="Q397" s="28"/>
      <c r="R397" s="28"/>
      <c r="S397" s="28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</row>
    <row r="398" spans="1:29" ht="13">
      <c r="A398" s="28"/>
      <c r="B398" s="28"/>
      <c r="C398" s="28"/>
      <c r="D398" s="28"/>
      <c r="E398" s="28"/>
      <c r="F398" s="28"/>
      <c r="G398" s="28"/>
      <c r="H398" s="28"/>
      <c r="I398" s="28"/>
      <c r="J398" s="28"/>
      <c r="K398" s="28"/>
      <c r="L398" s="28"/>
      <c r="M398" s="28"/>
      <c r="N398" s="28"/>
      <c r="O398" s="28"/>
      <c r="P398" s="28"/>
      <c r="Q398" s="28"/>
      <c r="R398" s="28"/>
      <c r="S398" s="28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</row>
    <row r="399" spans="1:29" ht="13">
      <c r="A399" s="28"/>
      <c r="B399" s="28"/>
      <c r="C399" s="28"/>
      <c r="D399" s="28"/>
      <c r="E399" s="28"/>
      <c r="F399" s="28"/>
      <c r="G399" s="28"/>
      <c r="H399" s="28"/>
      <c r="I399" s="28"/>
      <c r="J399" s="28"/>
      <c r="K399" s="28"/>
      <c r="L399" s="28"/>
      <c r="M399" s="28"/>
      <c r="N399" s="28"/>
      <c r="O399" s="28"/>
      <c r="P399" s="28"/>
      <c r="Q399" s="28"/>
      <c r="R399" s="28"/>
      <c r="S399" s="28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</row>
    <row r="400" spans="1:29" ht="13">
      <c r="A400" s="28"/>
      <c r="B400" s="28"/>
      <c r="C400" s="28"/>
      <c r="D400" s="28"/>
      <c r="E400" s="28"/>
      <c r="F400" s="28"/>
      <c r="G400" s="28"/>
      <c r="H400" s="28"/>
      <c r="I400" s="28"/>
      <c r="J400" s="28"/>
      <c r="K400" s="28"/>
      <c r="L400" s="28"/>
      <c r="M400" s="28"/>
      <c r="N400" s="28"/>
      <c r="O400" s="28"/>
      <c r="P400" s="28"/>
      <c r="Q400" s="28"/>
      <c r="R400" s="28"/>
      <c r="S400" s="28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</row>
    <row r="401" spans="1:29" ht="13">
      <c r="A401" s="28"/>
      <c r="B401" s="28"/>
      <c r="C401" s="28"/>
      <c r="D401" s="28"/>
      <c r="E401" s="28"/>
      <c r="F401" s="28"/>
      <c r="G401" s="28"/>
      <c r="H401" s="28"/>
      <c r="I401" s="28"/>
      <c r="J401" s="28"/>
      <c r="K401" s="28"/>
      <c r="L401" s="28"/>
      <c r="M401" s="28"/>
      <c r="N401" s="28"/>
      <c r="O401" s="28"/>
      <c r="P401" s="28"/>
      <c r="Q401" s="28"/>
      <c r="R401" s="28"/>
      <c r="S401" s="28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</row>
    <row r="402" spans="1:29" ht="13">
      <c r="A402" s="28"/>
      <c r="B402" s="28"/>
      <c r="C402" s="28"/>
      <c r="D402" s="28"/>
      <c r="E402" s="28"/>
      <c r="F402" s="28"/>
      <c r="G402" s="28"/>
      <c r="H402" s="28"/>
      <c r="I402" s="28"/>
      <c r="J402" s="28"/>
      <c r="K402" s="28"/>
      <c r="L402" s="28"/>
      <c r="M402" s="28"/>
      <c r="N402" s="28"/>
      <c r="O402" s="28"/>
      <c r="P402" s="28"/>
      <c r="Q402" s="28"/>
      <c r="R402" s="28"/>
      <c r="S402" s="28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</row>
    <row r="403" spans="1:29" ht="13">
      <c r="A403" s="28"/>
      <c r="B403" s="28"/>
      <c r="C403" s="28"/>
      <c r="D403" s="28"/>
      <c r="E403" s="28"/>
      <c r="F403" s="28"/>
      <c r="G403" s="28"/>
      <c r="H403" s="28"/>
      <c r="I403" s="28"/>
      <c r="J403" s="28"/>
      <c r="K403" s="28"/>
      <c r="L403" s="28"/>
      <c r="M403" s="28"/>
      <c r="N403" s="28"/>
      <c r="O403" s="28"/>
      <c r="P403" s="28"/>
      <c r="Q403" s="28"/>
      <c r="R403" s="28"/>
      <c r="S403" s="28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</row>
    <row r="404" spans="1:29" ht="13">
      <c r="A404" s="28"/>
      <c r="B404" s="28"/>
      <c r="C404" s="28"/>
      <c r="D404" s="28"/>
      <c r="E404" s="28"/>
      <c r="F404" s="28"/>
      <c r="G404" s="28"/>
      <c r="H404" s="28"/>
      <c r="I404" s="28"/>
      <c r="J404" s="28"/>
      <c r="K404" s="28"/>
      <c r="L404" s="28"/>
      <c r="M404" s="28"/>
      <c r="N404" s="28"/>
      <c r="O404" s="28"/>
      <c r="P404" s="28"/>
      <c r="Q404" s="28"/>
      <c r="R404" s="28"/>
      <c r="S404" s="28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</row>
    <row r="405" spans="1:29" ht="13">
      <c r="A405" s="28"/>
      <c r="B405" s="28"/>
      <c r="C405" s="28"/>
      <c r="D405" s="28"/>
      <c r="E405" s="28"/>
      <c r="F405" s="28"/>
      <c r="G405" s="28"/>
      <c r="H405" s="28"/>
      <c r="I405" s="28"/>
      <c r="J405" s="28"/>
      <c r="K405" s="28"/>
      <c r="L405" s="28"/>
      <c r="M405" s="28"/>
      <c r="N405" s="28"/>
      <c r="O405" s="28"/>
      <c r="P405" s="28"/>
      <c r="Q405" s="28"/>
      <c r="R405" s="28"/>
      <c r="S405" s="28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</row>
    <row r="406" spans="1:29" ht="13">
      <c r="A406" s="28"/>
      <c r="B406" s="28"/>
      <c r="C406" s="28"/>
      <c r="D406" s="28"/>
      <c r="E406" s="28"/>
      <c r="F406" s="28"/>
      <c r="G406" s="28"/>
      <c r="H406" s="28"/>
      <c r="I406" s="28"/>
      <c r="J406" s="28"/>
      <c r="K406" s="28"/>
      <c r="L406" s="28"/>
      <c r="M406" s="28"/>
      <c r="N406" s="28"/>
      <c r="O406" s="28"/>
      <c r="P406" s="28"/>
      <c r="Q406" s="28"/>
      <c r="R406" s="28"/>
      <c r="S406" s="28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</row>
    <row r="407" spans="1:29" ht="13">
      <c r="A407" s="28"/>
      <c r="B407" s="28"/>
      <c r="C407" s="28"/>
      <c r="D407" s="28"/>
      <c r="E407" s="28"/>
      <c r="F407" s="28"/>
      <c r="G407" s="28"/>
      <c r="H407" s="28"/>
      <c r="I407" s="28"/>
      <c r="J407" s="28"/>
      <c r="K407" s="28"/>
      <c r="L407" s="28"/>
      <c r="M407" s="28"/>
      <c r="N407" s="28"/>
      <c r="O407" s="28"/>
      <c r="P407" s="28"/>
      <c r="Q407" s="28"/>
      <c r="R407" s="28"/>
      <c r="S407" s="28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</row>
    <row r="408" spans="1:29" ht="13">
      <c r="A408" s="28"/>
      <c r="B408" s="28"/>
      <c r="C408" s="28"/>
      <c r="D408" s="28"/>
      <c r="E408" s="28"/>
      <c r="F408" s="28"/>
      <c r="G408" s="28"/>
      <c r="H408" s="28"/>
      <c r="I408" s="28"/>
      <c r="J408" s="28"/>
      <c r="K408" s="28"/>
      <c r="L408" s="28"/>
      <c r="M408" s="28"/>
      <c r="N408" s="28"/>
      <c r="O408" s="28"/>
      <c r="P408" s="28"/>
      <c r="Q408" s="28"/>
      <c r="R408" s="28"/>
      <c r="S408" s="28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</row>
    <row r="409" spans="1:29" ht="13">
      <c r="A409" s="28"/>
      <c r="B409" s="28"/>
      <c r="C409" s="28"/>
      <c r="D409" s="28"/>
      <c r="E409" s="28"/>
      <c r="F409" s="28"/>
      <c r="G409" s="28"/>
      <c r="H409" s="28"/>
      <c r="I409" s="28"/>
      <c r="J409" s="28"/>
      <c r="K409" s="28"/>
      <c r="L409" s="28"/>
      <c r="M409" s="28"/>
      <c r="N409" s="28"/>
      <c r="O409" s="28"/>
      <c r="P409" s="28"/>
      <c r="Q409" s="28"/>
      <c r="R409" s="28"/>
      <c r="S409" s="28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</row>
    <row r="410" spans="1:29" ht="13">
      <c r="A410" s="28"/>
      <c r="B410" s="28"/>
      <c r="C410" s="28"/>
      <c r="D410" s="28"/>
      <c r="E410" s="28"/>
      <c r="F410" s="28"/>
      <c r="G410" s="28"/>
      <c r="H410" s="28"/>
      <c r="I410" s="28"/>
      <c r="J410" s="28"/>
      <c r="K410" s="28"/>
      <c r="L410" s="28"/>
      <c r="M410" s="28"/>
      <c r="N410" s="28"/>
      <c r="O410" s="28"/>
      <c r="P410" s="28"/>
      <c r="Q410" s="28"/>
      <c r="R410" s="28"/>
      <c r="S410" s="28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</row>
    <row r="411" spans="1:29" ht="13">
      <c r="A411" s="28"/>
      <c r="B411" s="28"/>
      <c r="C411" s="28"/>
      <c r="D411" s="28"/>
      <c r="E411" s="28"/>
      <c r="F411" s="28"/>
      <c r="G411" s="28"/>
      <c r="H411" s="28"/>
      <c r="I411" s="28"/>
      <c r="J411" s="28"/>
      <c r="K411" s="28"/>
      <c r="L411" s="28"/>
      <c r="M411" s="28"/>
      <c r="N411" s="28"/>
      <c r="O411" s="28"/>
      <c r="P411" s="28"/>
      <c r="Q411" s="28"/>
      <c r="R411" s="28"/>
      <c r="S411" s="28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</row>
    <row r="412" spans="1:29" ht="13">
      <c r="A412" s="28"/>
      <c r="B412" s="28"/>
      <c r="C412" s="28"/>
      <c r="D412" s="28"/>
      <c r="E412" s="28"/>
      <c r="F412" s="28"/>
      <c r="G412" s="28"/>
      <c r="H412" s="28"/>
      <c r="I412" s="28"/>
      <c r="J412" s="28"/>
      <c r="K412" s="28"/>
      <c r="L412" s="28"/>
      <c r="M412" s="28"/>
      <c r="N412" s="28"/>
      <c r="O412" s="28"/>
      <c r="P412" s="28"/>
      <c r="Q412" s="28"/>
      <c r="R412" s="28"/>
      <c r="S412" s="28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</row>
    <row r="413" spans="1:29" ht="13">
      <c r="A413" s="28"/>
      <c r="B413" s="28"/>
      <c r="C413" s="28"/>
      <c r="D413" s="28"/>
      <c r="E413" s="28"/>
      <c r="F413" s="28"/>
      <c r="G413" s="28"/>
      <c r="H413" s="28"/>
      <c r="I413" s="28"/>
      <c r="J413" s="28"/>
      <c r="K413" s="28"/>
      <c r="L413" s="28"/>
      <c r="M413" s="28"/>
      <c r="N413" s="28"/>
      <c r="O413" s="28"/>
      <c r="P413" s="28"/>
      <c r="Q413" s="28"/>
      <c r="R413" s="28"/>
      <c r="S413" s="28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</row>
    <row r="414" spans="1:29" ht="13">
      <c r="A414" s="28"/>
      <c r="B414" s="28"/>
      <c r="C414" s="28"/>
      <c r="D414" s="28"/>
      <c r="E414" s="28"/>
      <c r="F414" s="28"/>
      <c r="G414" s="28"/>
      <c r="H414" s="28"/>
      <c r="I414" s="28"/>
      <c r="J414" s="28"/>
      <c r="K414" s="28"/>
      <c r="L414" s="28"/>
      <c r="M414" s="28"/>
      <c r="N414" s="28"/>
      <c r="O414" s="28"/>
      <c r="P414" s="28"/>
      <c r="Q414" s="28"/>
      <c r="R414" s="28"/>
      <c r="S414" s="28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</row>
    <row r="415" spans="1:29" ht="13">
      <c r="A415" s="28"/>
      <c r="B415" s="28"/>
      <c r="C415" s="28"/>
      <c r="D415" s="28"/>
      <c r="E415" s="28"/>
      <c r="F415" s="28"/>
      <c r="G415" s="28"/>
      <c r="H415" s="28"/>
      <c r="I415" s="28"/>
      <c r="J415" s="28"/>
      <c r="K415" s="28"/>
      <c r="L415" s="28"/>
      <c r="M415" s="28"/>
      <c r="N415" s="28"/>
      <c r="O415" s="28"/>
      <c r="P415" s="28"/>
      <c r="Q415" s="28"/>
      <c r="R415" s="28"/>
      <c r="S415" s="28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</row>
    <row r="416" spans="1:29" ht="13">
      <c r="A416" s="28"/>
      <c r="B416" s="28"/>
      <c r="C416" s="28"/>
      <c r="D416" s="28"/>
      <c r="E416" s="28"/>
      <c r="F416" s="28"/>
      <c r="G416" s="28"/>
      <c r="H416" s="28"/>
      <c r="I416" s="28"/>
      <c r="J416" s="28"/>
      <c r="K416" s="28"/>
      <c r="L416" s="28"/>
      <c r="M416" s="28"/>
      <c r="N416" s="28"/>
      <c r="O416" s="28"/>
      <c r="P416" s="28"/>
      <c r="Q416" s="28"/>
      <c r="R416" s="28"/>
      <c r="S416" s="28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</row>
    <row r="417" spans="1:29" ht="13">
      <c r="A417" s="28"/>
      <c r="B417" s="28"/>
      <c r="C417" s="28"/>
      <c r="D417" s="28"/>
      <c r="E417" s="28"/>
      <c r="F417" s="28"/>
      <c r="G417" s="28"/>
      <c r="H417" s="28"/>
      <c r="I417" s="28"/>
      <c r="J417" s="28"/>
      <c r="K417" s="28"/>
      <c r="L417" s="28"/>
      <c r="M417" s="28"/>
      <c r="N417" s="28"/>
      <c r="O417" s="28"/>
      <c r="P417" s="28"/>
      <c r="Q417" s="28"/>
      <c r="R417" s="28"/>
      <c r="S417" s="28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</row>
    <row r="418" spans="1:29" ht="13">
      <c r="A418" s="28"/>
      <c r="B418" s="28"/>
      <c r="C418" s="28"/>
      <c r="D418" s="28"/>
      <c r="E418" s="28"/>
      <c r="F418" s="28"/>
      <c r="G418" s="28"/>
      <c r="H418" s="28"/>
      <c r="I418" s="28"/>
      <c r="J418" s="28"/>
      <c r="K418" s="28"/>
      <c r="L418" s="28"/>
      <c r="M418" s="28"/>
      <c r="N418" s="28"/>
      <c r="O418" s="28"/>
      <c r="P418" s="28"/>
      <c r="Q418" s="28"/>
      <c r="R418" s="28"/>
      <c r="S418" s="28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</row>
    <row r="419" spans="1:29" ht="13">
      <c r="A419" s="28"/>
      <c r="B419" s="28"/>
      <c r="C419" s="28"/>
      <c r="D419" s="28"/>
      <c r="E419" s="28"/>
      <c r="F419" s="28"/>
      <c r="G419" s="28"/>
      <c r="H419" s="28"/>
      <c r="I419" s="28"/>
      <c r="J419" s="28"/>
      <c r="K419" s="28"/>
      <c r="L419" s="28"/>
      <c r="M419" s="28"/>
      <c r="N419" s="28"/>
      <c r="O419" s="28"/>
      <c r="P419" s="28"/>
      <c r="Q419" s="28"/>
      <c r="R419" s="28"/>
      <c r="S419" s="28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</row>
    <row r="420" spans="1:29" ht="13">
      <c r="A420" s="28"/>
      <c r="B420" s="28"/>
      <c r="C420" s="28"/>
      <c r="D420" s="28"/>
      <c r="E420" s="28"/>
      <c r="F420" s="28"/>
      <c r="G420" s="28"/>
      <c r="H420" s="28"/>
      <c r="I420" s="28"/>
      <c r="J420" s="28"/>
      <c r="K420" s="28"/>
      <c r="L420" s="28"/>
      <c r="M420" s="28"/>
      <c r="N420" s="28"/>
      <c r="O420" s="28"/>
      <c r="P420" s="28"/>
      <c r="Q420" s="28"/>
      <c r="R420" s="28"/>
      <c r="S420" s="28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</row>
    <row r="421" spans="1:29" ht="13">
      <c r="A421" s="28"/>
      <c r="B421" s="28"/>
      <c r="C421" s="28"/>
      <c r="D421" s="28"/>
      <c r="E421" s="28"/>
      <c r="F421" s="28"/>
      <c r="G421" s="28"/>
      <c r="H421" s="28"/>
      <c r="I421" s="28"/>
      <c r="J421" s="28"/>
      <c r="K421" s="28"/>
      <c r="L421" s="28"/>
      <c r="M421" s="28"/>
      <c r="N421" s="28"/>
      <c r="O421" s="28"/>
      <c r="P421" s="28"/>
      <c r="Q421" s="28"/>
      <c r="R421" s="28"/>
      <c r="S421" s="28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</row>
    <row r="422" spans="1:29" ht="13">
      <c r="A422" s="28"/>
      <c r="B422" s="28"/>
      <c r="C422" s="28"/>
      <c r="D422" s="28"/>
      <c r="E422" s="28"/>
      <c r="F422" s="28"/>
      <c r="G422" s="28"/>
      <c r="H422" s="28"/>
      <c r="I422" s="28"/>
      <c r="J422" s="28"/>
      <c r="K422" s="28"/>
      <c r="L422" s="28"/>
      <c r="M422" s="28"/>
      <c r="N422" s="28"/>
      <c r="O422" s="28"/>
      <c r="P422" s="28"/>
      <c r="Q422" s="28"/>
      <c r="R422" s="28"/>
      <c r="S422" s="28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</row>
    <row r="423" spans="1:29" ht="13">
      <c r="A423" s="28"/>
      <c r="B423" s="28"/>
      <c r="C423" s="28"/>
      <c r="D423" s="28"/>
      <c r="E423" s="28"/>
      <c r="F423" s="28"/>
      <c r="G423" s="28"/>
      <c r="H423" s="28"/>
      <c r="I423" s="28"/>
      <c r="J423" s="28"/>
      <c r="K423" s="28"/>
      <c r="L423" s="28"/>
      <c r="M423" s="28"/>
      <c r="N423" s="28"/>
      <c r="O423" s="28"/>
      <c r="P423" s="28"/>
      <c r="Q423" s="28"/>
      <c r="R423" s="28"/>
      <c r="S423" s="28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</row>
    <row r="424" spans="1:29" ht="13">
      <c r="A424" s="28"/>
      <c r="B424" s="28"/>
      <c r="C424" s="28"/>
      <c r="D424" s="28"/>
      <c r="E424" s="28"/>
      <c r="F424" s="28"/>
      <c r="G424" s="28"/>
      <c r="H424" s="28"/>
      <c r="I424" s="28"/>
      <c r="J424" s="28"/>
      <c r="K424" s="28"/>
      <c r="L424" s="28"/>
      <c r="M424" s="28"/>
      <c r="N424" s="28"/>
      <c r="O424" s="28"/>
      <c r="P424" s="28"/>
      <c r="Q424" s="28"/>
      <c r="R424" s="28"/>
      <c r="S424" s="28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</row>
    <row r="425" spans="1:29" ht="13">
      <c r="A425" s="28"/>
      <c r="B425" s="28"/>
      <c r="C425" s="28"/>
      <c r="D425" s="28"/>
      <c r="E425" s="28"/>
      <c r="F425" s="28"/>
      <c r="G425" s="28"/>
      <c r="H425" s="28"/>
      <c r="I425" s="28"/>
      <c r="J425" s="28"/>
      <c r="K425" s="28"/>
      <c r="L425" s="28"/>
      <c r="M425" s="28"/>
      <c r="N425" s="28"/>
      <c r="O425" s="28"/>
      <c r="P425" s="28"/>
      <c r="Q425" s="28"/>
      <c r="R425" s="28"/>
      <c r="S425" s="28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</row>
    <row r="426" spans="1:29" ht="13">
      <c r="A426" s="28"/>
      <c r="B426" s="28"/>
      <c r="C426" s="28"/>
      <c r="D426" s="28"/>
      <c r="E426" s="28"/>
      <c r="F426" s="28"/>
      <c r="G426" s="28"/>
      <c r="H426" s="28"/>
      <c r="I426" s="28"/>
      <c r="J426" s="28"/>
      <c r="K426" s="28"/>
      <c r="L426" s="28"/>
      <c r="M426" s="28"/>
      <c r="N426" s="28"/>
      <c r="O426" s="28"/>
      <c r="P426" s="28"/>
      <c r="Q426" s="28"/>
      <c r="R426" s="28"/>
      <c r="S426" s="28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</row>
    <row r="427" spans="1:29" ht="13">
      <c r="A427" s="28"/>
      <c r="B427" s="28"/>
      <c r="C427" s="28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</row>
    <row r="428" spans="1:29" ht="13">
      <c r="A428" s="28"/>
      <c r="B428" s="28"/>
      <c r="C428" s="28"/>
      <c r="D428" s="28"/>
      <c r="E428" s="28"/>
      <c r="F428" s="28"/>
      <c r="G428" s="28"/>
      <c r="H428" s="28"/>
      <c r="I428" s="28"/>
      <c r="J428" s="28"/>
      <c r="K428" s="28"/>
      <c r="L428" s="28"/>
      <c r="M428" s="28"/>
      <c r="N428" s="28"/>
      <c r="O428" s="28"/>
      <c r="P428" s="28"/>
      <c r="Q428" s="28"/>
      <c r="R428" s="28"/>
      <c r="S428" s="28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</row>
    <row r="429" spans="1:29" ht="13">
      <c r="A429" s="28"/>
      <c r="B429" s="28"/>
      <c r="C429" s="28"/>
      <c r="D429" s="28"/>
      <c r="E429" s="28"/>
      <c r="F429" s="28"/>
      <c r="G429" s="28"/>
      <c r="H429" s="28"/>
      <c r="I429" s="28"/>
      <c r="J429" s="28"/>
      <c r="K429" s="28"/>
      <c r="L429" s="28"/>
      <c r="M429" s="28"/>
      <c r="N429" s="28"/>
      <c r="O429" s="28"/>
      <c r="P429" s="28"/>
      <c r="Q429" s="28"/>
      <c r="R429" s="28"/>
      <c r="S429" s="28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</row>
    <row r="430" spans="1:29" ht="13">
      <c r="A430" s="28"/>
      <c r="B430" s="28"/>
      <c r="C430" s="28"/>
      <c r="D430" s="28"/>
      <c r="E430" s="28"/>
      <c r="F430" s="28"/>
      <c r="G430" s="28"/>
      <c r="H430" s="28"/>
      <c r="I430" s="28"/>
      <c r="J430" s="28"/>
      <c r="K430" s="28"/>
      <c r="L430" s="28"/>
      <c r="M430" s="28"/>
      <c r="N430" s="28"/>
      <c r="O430" s="28"/>
      <c r="P430" s="28"/>
      <c r="Q430" s="28"/>
      <c r="R430" s="28"/>
      <c r="S430" s="28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</row>
    <row r="431" spans="1:29" ht="13">
      <c r="A431" s="28"/>
      <c r="B431" s="28"/>
      <c r="C431" s="28"/>
      <c r="D431" s="28"/>
      <c r="E431" s="28"/>
      <c r="F431" s="28"/>
      <c r="G431" s="28"/>
      <c r="H431" s="28"/>
      <c r="I431" s="28"/>
      <c r="J431" s="28"/>
      <c r="K431" s="28"/>
      <c r="L431" s="28"/>
      <c r="M431" s="28"/>
      <c r="N431" s="28"/>
      <c r="O431" s="28"/>
      <c r="P431" s="28"/>
      <c r="Q431" s="28"/>
      <c r="R431" s="28"/>
      <c r="S431" s="28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</row>
    <row r="432" spans="1:29" ht="13">
      <c r="A432" s="28"/>
      <c r="B432" s="28"/>
      <c r="C432" s="28"/>
      <c r="D432" s="28"/>
      <c r="E432" s="28"/>
      <c r="F432" s="28"/>
      <c r="G432" s="28"/>
      <c r="H432" s="28"/>
      <c r="I432" s="28"/>
      <c r="J432" s="28"/>
      <c r="K432" s="28"/>
      <c r="L432" s="28"/>
      <c r="M432" s="28"/>
      <c r="N432" s="28"/>
      <c r="O432" s="28"/>
      <c r="P432" s="28"/>
      <c r="Q432" s="28"/>
      <c r="R432" s="28"/>
      <c r="S432" s="28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</row>
    <row r="433" spans="1:29" ht="13">
      <c r="A433" s="28"/>
      <c r="B433" s="28"/>
      <c r="C433" s="28"/>
      <c r="D433" s="28"/>
      <c r="E433" s="28"/>
      <c r="F433" s="28"/>
      <c r="G433" s="28"/>
      <c r="H433" s="28"/>
      <c r="I433" s="28"/>
      <c r="J433" s="28"/>
      <c r="K433" s="28"/>
      <c r="L433" s="28"/>
      <c r="M433" s="28"/>
      <c r="N433" s="28"/>
      <c r="O433" s="28"/>
      <c r="P433" s="28"/>
      <c r="Q433" s="28"/>
      <c r="R433" s="28"/>
      <c r="S433" s="28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</row>
    <row r="434" spans="1:29" ht="13">
      <c r="A434" s="28"/>
      <c r="B434" s="28"/>
      <c r="C434" s="28"/>
      <c r="D434" s="28"/>
      <c r="E434" s="28"/>
      <c r="F434" s="28"/>
      <c r="G434" s="28"/>
      <c r="H434" s="28"/>
      <c r="I434" s="28"/>
      <c r="J434" s="28"/>
      <c r="K434" s="28"/>
      <c r="L434" s="28"/>
      <c r="M434" s="28"/>
      <c r="N434" s="28"/>
      <c r="O434" s="28"/>
      <c r="P434" s="28"/>
      <c r="Q434" s="28"/>
      <c r="R434" s="28"/>
      <c r="S434" s="28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</row>
    <row r="435" spans="1:29" ht="13">
      <c r="A435" s="28"/>
      <c r="B435" s="28"/>
      <c r="C435" s="28"/>
      <c r="D435" s="28"/>
      <c r="E435" s="28"/>
      <c r="F435" s="28"/>
      <c r="G435" s="28"/>
      <c r="H435" s="28"/>
      <c r="I435" s="28"/>
      <c r="J435" s="28"/>
      <c r="K435" s="28"/>
      <c r="L435" s="28"/>
      <c r="M435" s="28"/>
      <c r="N435" s="28"/>
      <c r="O435" s="28"/>
      <c r="P435" s="28"/>
      <c r="Q435" s="28"/>
      <c r="R435" s="28"/>
      <c r="S435" s="28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</row>
    <row r="436" spans="1:29" ht="13">
      <c r="A436" s="28"/>
      <c r="B436" s="28"/>
      <c r="C436" s="28"/>
      <c r="D436" s="28"/>
      <c r="E436" s="28"/>
      <c r="F436" s="28"/>
      <c r="G436" s="28"/>
      <c r="H436" s="28"/>
      <c r="I436" s="28"/>
      <c r="J436" s="28"/>
      <c r="K436" s="28"/>
      <c r="L436" s="28"/>
      <c r="M436" s="28"/>
      <c r="N436" s="28"/>
      <c r="O436" s="28"/>
      <c r="P436" s="28"/>
      <c r="Q436" s="28"/>
      <c r="R436" s="28"/>
      <c r="S436" s="28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</row>
    <row r="437" spans="1:29" ht="13">
      <c r="A437" s="28"/>
      <c r="B437" s="28"/>
      <c r="C437" s="28"/>
      <c r="D437" s="28"/>
      <c r="E437" s="28"/>
      <c r="F437" s="28"/>
      <c r="G437" s="28"/>
      <c r="H437" s="28"/>
      <c r="I437" s="28"/>
      <c r="J437" s="28"/>
      <c r="K437" s="28"/>
      <c r="L437" s="28"/>
      <c r="M437" s="28"/>
      <c r="N437" s="28"/>
      <c r="O437" s="28"/>
      <c r="P437" s="28"/>
      <c r="Q437" s="28"/>
      <c r="R437" s="28"/>
      <c r="S437" s="28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</row>
    <row r="438" spans="1:29" ht="13">
      <c r="A438" s="28"/>
      <c r="B438" s="28"/>
      <c r="C438" s="28"/>
      <c r="D438" s="28"/>
      <c r="E438" s="28"/>
      <c r="F438" s="28"/>
      <c r="G438" s="28"/>
      <c r="H438" s="28"/>
      <c r="I438" s="28"/>
      <c r="J438" s="28"/>
      <c r="K438" s="28"/>
      <c r="L438" s="28"/>
      <c r="M438" s="28"/>
      <c r="N438" s="28"/>
      <c r="O438" s="28"/>
      <c r="P438" s="28"/>
      <c r="Q438" s="28"/>
      <c r="R438" s="28"/>
      <c r="S438" s="28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</row>
    <row r="439" spans="1:29" ht="13">
      <c r="A439" s="28"/>
      <c r="B439" s="28"/>
      <c r="C439" s="28"/>
      <c r="D439" s="28"/>
      <c r="E439" s="28"/>
      <c r="F439" s="28"/>
      <c r="G439" s="28"/>
      <c r="H439" s="28"/>
      <c r="I439" s="28"/>
      <c r="J439" s="28"/>
      <c r="K439" s="28"/>
      <c r="L439" s="28"/>
      <c r="M439" s="28"/>
      <c r="N439" s="28"/>
      <c r="O439" s="28"/>
      <c r="P439" s="28"/>
      <c r="Q439" s="28"/>
      <c r="R439" s="28"/>
      <c r="S439" s="28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</row>
    <row r="440" spans="1:29" ht="13">
      <c r="A440" s="28"/>
      <c r="B440" s="28"/>
      <c r="C440" s="28"/>
      <c r="D440" s="28"/>
      <c r="E440" s="28"/>
      <c r="F440" s="28"/>
      <c r="G440" s="28"/>
      <c r="H440" s="28"/>
      <c r="I440" s="28"/>
      <c r="J440" s="28"/>
      <c r="K440" s="28"/>
      <c r="L440" s="28"/>
      <c r="M440" s="28"/>
      <c r="N440" s="28"/>
      <c r="O440" s="28"/>
      <c r="P440" s="28"/>
      <c r="Q440" s="28"/>
      <c r="R440" s="28"/>
      <c r="S440" s="28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</row>
    <row r="441" spans="1:29" ht="13">
      <c r="A441" s="28"/>
      <c r="B441" s="28"/>
      <c r="C441" s="28"/>
      <c r="D441" s="28"/>
      <c r="E441" s="28"/>
      <c r="F441" s="28"/>
      <c r="G441" s="28"/>
      <c r="H441" s="28"/>
      <c r="I441" s="28"/>
      <c r="J441" s="28"/>
      <c r="K441" s="28"/>
      <c r="L441" s="28"/>
      <c r="M441" s="28"/>
      <c r="N441" s="28"/>
      <c r="O441" s="28"/>
      <c r="P441" s="28"/>
      <c r="Q441" s="28"/>
      <c r="R441" s="28"/>
      <c r="S441" s="28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</row>
    <row r="442" spans="1:29" ht="13">
      <c r="A442" s="28"/>
      <c r="B442" s="28"/>
      <c r="C442" s="28"/>
      <c r="D442" s="28"/>
      <c r="E442" s="28"/>
      <c r="F442" s="28"/>
      <c r="G442" s="28"/>
      <c r="H442" s="28"/>
      <c r="I442" s="28"/>
      <c r="J442" s="28"/>
      <c r="K442" s="28"/>
      <c r="L442" s="28"/>
      <c r="M442" s="28"/>
      <c r="N442" s="28"/>
      <c r="O442" s="28"/>
      <c r="P442" s="28"/>
      <c r="Q442" s="28"/>
      <c r="R442" s="28"/>
      <c r="S442" s="28"/>
      <c r="T442" s="28"/>
      <c r="U442" s="28"/>
      <c r="V442" s="28"/>
      <c r="W442" s="28"/>
      <c r="X442" s="28"/>
      <c r="Y442" s="28"/>
      <c r="Z442" s="28"/>
      <c r="AA442" s="28"/>
      <c r="AB442" s="28"/>
      <c r="AC442" s="28"/>
    </row>
    <row r="443" spans="1:29" ht="13">
      <c r="A443" s="28"/>
      <c r="B443" s="28"/>
      <c r="C443" s="28"/>
      <c r="D443" s="28"/>
      <c r="E443" s="28"/>
      <c r="F443" s="28"/>
      <c r="G443" s="28"/>
      <c r="H443" s="28"/>
      <c r="I443" s="28"/>
      <c r="J443" s="28"/>
      <c r="K443" s="28"/>
      <c r="L443" s="28"/>
      <c r="M443" s="28"/>
      <c r="N443" s="28"/>
      <c r="O443" s="28"/>
      <c r="P443" s="28"/>
      <c r="Q443" s="28"/>
      <c r="R443" s="28"/>
      <c r="S443" s="28"/>
      <c r="T443" s="28"/>
      <c r="U443" s="28"/>
      <c r="V443" s="28"/>
      <c r="W443" s="28"/>
      <c r="X443" s="28"/>
      <c r="Y443" s="28"/>
      <c r="Z443" s="28"/>
      <c r="AA443" s="28"/>
      <c r="AB443" s="28"/>
      <c r="AC443" s="28"/>
    </row>
    <row r="444" spans="1:29" ht="13">
      <c r="A444" s="28"/>
      <c r="B444" s="28"/>
      <c r="C444" s="28"/>
      <c r="D444" s="28"/>
      <c r="E444" s="28"/>
      <c r="F444" s="28"/>
      <c r="G444" s="28"/>
      <c r="H444" s="28"/>
      <c r="I444" s="28"/>
      <c r="J444" s="28"/>
      <c r="K444" s="28"/>
      <c r="L444" s="28"/>
      <c r="M444" s="28"/>
      <c r="N444" s="28"/>
      <c r="O444" s="28"/>
      <c r="P444" s="28"/>
      <c r="Q444" s="28"/>
      <c r="R444" s="28"/>
      <c r="S444" s="28"/>
      <c r="T444" s="28"/>
      <c r="U444" s="28"/>
      <c r="V444" s="28"/>
      <c r="W444" s="28"/>
      <c r="X444" s="28"/>
      <c r="Y444" s="28"/>
      <c r="Z444" s="28"/>
      <c r="AA444" s="28"/>
      <c r="AB444" s="28"/>
      <c r="AC444" s="28"/>
    </row>
    <row r="445" spans="1:29" ht="13">
      <c r="A445" s="28"/>
      <c r="B445" s="28"/>
      <c r="C445" s="28"/>
      <c r="D445" s="28"/>
      <c r="E445" s="28"/>
      <c r="F445" s="28"/>
      <c r="G445" s="28"/>
      <c r="H445" s="28"/>
      <c r="I445" s="28"/>
      <c r="J445" s="28"/>
      <c r="K445" s="28"/>
      <c r="L445" s="28"/>
      <c r="M445" s="28"/>
      <c r="N445" s="28"/>
      <c r="O445" s="28"/>
      <c r="P445" s="28"/>
      <c r="Q445" s="28"/>
      <c r="R445" s="28"/>
      <c r="S445" s="28"/>
      <c r="T445" s="28"/>
      <c r="U445" s="28"/>
      <c r="V445" s="28"/>
      <c r="W445" s="28"/>
      <c r="X445" s="28"/>
      <c r="Y445" s="28"/>
      <c r="Z445" s="28"/>
      <c r="AA445" s="28"/>
      <c r="AB445" s="28"/>
      <c r="AC445" s="28"/>
    </row>
    <row r="446" spans="1:29" ht="13">
      <c r="A446" s="28"/>
      <c r="B446" s="28"/>
      <c r="C446" s="28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28"/>
    </row>
    <row r="447" spans="1:29" ht="13">
      <c r="A447" s="28"/>
      <c r="B447" s="28"/>
      <c r="C447" s="28"/>
      <c r="D447" s="28"/>
      <c r="E447" s="28"/>
      <c r="F447" s="28"/>
      <c r="G447" s="28"/>
      <c r="H447" s="28"/>
      <c r="I447" s="28"/>
      <c r="J447" s="28"/>
      <c r="K447" s="28"/>
      <c r="L447" s="28"/>
      <c r="M447" s="28"/>
      <c r="N447" s="28"/>
      <c r="O447" s="28"/>
      <c r="P447" s="28"/>
      <c r="Q447" s="28"/>
      <c r="R447" s="28"/>
      <c r="S447" s="28"/>
      <c r="T447" s="28"/>
      <c r="U447" s="28"/>
      <c r="V447" s="28"/>
      <c r="W447" s="28"/>
      <c r="X447" s="28"/>
      <c r="Y447" s="28"/>
      <c r="Z447" s="28"/>
      <c r="AA447" s="28"/>
      <c r="AB447" s="28"/>
      <c r="AC447" s="28"/>
    </row>
    <row r="448" spans="1:29" ht="13">
      <c r="A448" s="28"/>
      <c r="B448" s="28"/>
      <c r="C448" s="28"/>
      <c r="D448" s="28"/>
      <c r="E448" s="28"/>
      <c r="F448" s="28"/>
      <c r="G448" s="28"/>
      <c r="H448" s="28"/>
      <c r="I448" s="28"/>
      <c r="J448" s="28"/>
      <c r="K448" s="28"/>
      <c r="L448" s="28"/>
      <c r="M448" s="28"/>
      <c r="N448" s="28"/>
      <c r="O448" s="28"/>
      <c r="P448" s="28"/>
      <c r="Q448" s="28"/>
      <c r="R448" s="28"/>
      <c r="S448" s="28"/>
      <c r="T448" s="28"/>
      <c r="U448" s="28"/>
      <c r="V448" s="28"/>
      <c r="W448" s="28"/>
      <c r="X448" s="28"/>
      <c r="Y448" s="28"/>
      <c r="Z448" s="28"/>
      <c r="AA448" s="28"/>
      <c r="AB448" s="28"/>
      <c r="AC448" s="28"/>
    </row>
    <row r="449" spans="1:29" ht="13">
      <c r="A449" s="28"/>
      <c r="B449" s="28"/>
      <c r="C449" s="28"/>
      <c r="D449" s="28"/>
      <c r="E449" s="28"/>
      <c r="F449" s="28"/>
      <c r="G449" s="28"/>
      <c r="H449" s="28"/>
      <c r="I449" s="28"/>
      <c r="J449" s="28"/>
      <c r="K449" s="28"/>
      <c r="L449" s="28"/>
      <c r="M449" s="28"/>
      <c r="N449" s="28"/>
      <c r="O449" s="28"/>
      <c r="P449" s="28"/>
      <c r="Q449" s="28"/>
      <c r="R449" s="28"/>
      <c r="S449" s="28"/>
      <c r="T449" s="28"/>
      <c r="U449" s="28"/>
      <c r="V449" s="28"/>
      <c r="W449" s="28"/>
      <c r="X449" s="28"/>
      <c r="Y449" s="28"/>
      <c r="Z449" s="28"/>
      <c r="AA449" s="28"/>
      <c r="AB449" s="28"/>
      <c r="AC449" s="28"/>
    </row>
    <row r="450" spans="1:29" ht="13">
      <c r="A450" s="28"/>
      <c r="B450" s="28"/>
      <c r="C450" s="28"/>
      <c r="D450" s="28"/>
      <c r="E450" s="28"/>
      <c r="F450" s="28"/>
      <c r="G450" s="28"/>
      <c r="H450" s="28"/>
      <c r="I450" s="28"/>
      <c r="J450" s="28"/>
      <c r="K450" s="28"/>
      <c r="L450" s="28"/>
      <c r="M450" s="28"/>
      <c r="N450" s="28"/>
      <c r="O450" s="28"/>
      <c r="P450" s="28"/>
      <c r="Q450" s="28"/>
      <c r="R450" s="28"/>
      <c r="S450" s="28"/>
      <c r="T450" s="28"/>
      <c r="U450" s="28"/>
      <c r="V450" s="28"/>
      <c r="W450" s="28"/>
      <c r="X450" s="28"/>
      <c r="Y450" s="28"/>
      <c r="Z450" s="28"/>
      <c r="AA450" s="28"/>
      <c r="AB450" s="28"/>
      <c r="AC450" s="28"/>
    </row>
    <row r="451" spans="1:29" ht="13">
      <c r="A451" s="28"/>
      <c r="B451" s="28"/>
      <c r="C451" s="28"/>
      <c r="D451" s="28"/>
      <c r="E451" s="28"/>
      <c r="F451" s="28"/>
      <c r="G451" s="28"/>
      <c r="H451" s="28"/>
      <c r="I451" s="28"/>
      <c r="J451" s="28"/>
      <c r="K451" s="28"/>
      <c r="L451" s="28"/>
      <c r="M451" s="28"/>
      <c r="N451" s="28"/>
      <c r="O451" s="28"/>
      <c r="P451" s="28"/>
      <c r="Q451" s="28"/>
      <c r="R451" s="28"/>
      <c r="S451" s="28"/>
      <c r="T451" s="28"/>
      <c r="U451" s="28"/>
      <c r="V451" s="28"/>
      <c r="W451" s="28"/>
      <c r="X451" s="28"/>
      <c r="Y451" s="28"/>
      <c r="Z451" s="28"/>
      <c r="AA451" s="28"/>
      <c r="AB451" s="28"/>
      <c r="AC451" s="28"/>
    </row>
    <row r="452" spans="1:29" ht="13">
      <c r="A452" s="28"/>
      <c r="B452" s="28"/>
      <c r="C452" s="28"/>
      <c r="D452" s="28"/>
      <c r="E452" s="28"/>
      <c r="F452" s="28"/>
      <c r="G452" s="28"/>
      <c r="H452" s="28"/>
      <c r="I452" s="28"/>
      <c r="J452" s="28"/>
      <c r="K452" s="28"/>
      <c r="L452" s="28"/>
      <c r="M452" s="28"/>
      <c r="N452" s="28"/>
      <c r="O452" s="28"/>
      <c r="P452" s="28"/>
      <c r="Q452" s="28"/>
      <c r="R452" s="28"/>
      <c r="S452" s="28"/>
      <c r="T452" s="28"/>
      <c r="U452" s="28"/>
      <c r="V452" s="28"/>
      <c r="W452" s="28"/>
      <c r="X452" s="28"/>
      <c r="Y452" s="28"/>
      <c r="Z452" s="28"/>
      <c r="AA452" s="28"/>
      <c r="AB452" s="28"/>
      <c r="AC452" s="28"/>
    </row>
    <row r="453" spans="1:29" ht="13">
      <c r="A453" s="28"/>
      <c r="B453" s="28"/>
      <c r="C453" s="28"/>
      <c r="D453" s="28"/>
      <c r="E453" s="28"/>
      <c r="F453" s="28"/>
      <c r="G453" s="28"/>
      <c r="H453" s="28"/>
      <c r="I453" s="28"/>
      <c r="J453" s="28"/>
      <c r="K453" s="28"/>
      <c r="L453" s="28"/>
      <c r="M453" s="28"/>
      <c r="N453" s="28"/>
      <c r="O453" s="28"/>
      <c r="P453" s="28"/>
      <c r="Q453" s="28"/>
      <c r="R453" s="28"/>
      <c r="S453" s="28"/>
      <c r="T453" s="28"/>
      <c r="U453" s="28"/>
      <c r="V453" s="28"/>
      <c r="W453" s="28"/>
      <c r="X453" s="28"/>
      <c r="Y453" s="28"/>
      <c r="Z453" s="28"/>
      <c r="AA453" s="28"/>
      <c r="AB453" s="28"/>
      <c r="AC453" s="28"/>
    </row>
    <row r="454" spans="1:29" ht="13">
      <c r="A454" s="28"/>
      <c r="B454" s="28"/>
      <c r="C454" s="28"/>
      <c r="D454" s="28"/>
      <c r="E454" s="28"/>
      <c r="F454" s="28"/>
      <c r="G454" s="28"/>
      <c r="H454" s="28"/>
      <c r="I454" s="28"/>
      <c r="J454" s="28"/>
      <c r="K454" s="28"/>
      <c r="L454" s="28"/>
      <c r="M454" s="28"/>
      <c r="N454" s="28"/>
      <c r="O454" s="28"/>
      <c r="P454" s="28"/>
      <c r="Q454" s="28"/>
      <c r="R454" s="28"/>
      <c r="S454" s="28"/>
      <c r="T454" s="28"/>
      <c r="U454" s="28"/>
      <c r="V454" s="28"/>
      <c r="W454" s="28"/>
      <c r="X454" s="28"/>
      <c r="Y454" s="28"/>
      <c r="Z454" s="28"/>
      <c r="AA454" s="28"/>
      <c r="AB454" s="28"/>
      <c r="AC454" s="28"/>
    </row>
    <row r="455" spans="1:29" ht="13">
      <c r="A455" s="28"/>
      <c r="B455" s="28"/>
      <c r="C455" s="28"/>
      <c r="D455" s="28"/>
      <c r="E455" s="28"/>
      <c r="F455" s="28"/>
      <c r="G455" s="28"/>
      <c r="H455" s="28"/>
      <c r="I455" s="28"/>
      <c r="J455" s="28"/>
      <c r="K455" s="28"/>
      <c r="L455" s="28"/>
      <c r="M455" s="28"/>
      <c r="N455" s="28"/>
      <c r="O455" s="28"/>
      <c r="P455" s="28"/>
      <c r="Q455" s="28"/>
      <c r="R455" s="28"/>
      <c r="S455" s="28"/>
      <c r="T455" s="28"/>
      <c r="U455" s="28"/>
      <c r="V455" s="28"/>
      <c r="W455" s="28"/>
      <c r="X455" s="28"/>
      <c r="Y455" s="28"/>
      <c r="Z455" s="28"/>
      <c r="AA455" s="28"/>
      <c r="AB455" s="28"/>
      <c r="AC455" s="28"/>
    </row>
    <row r="456" spans="1:29" ht="13">
      <c r="A456" s="28"/>
      <c r="B456" s="28"/>
      <c r="C456" s="28"/>
      <c r="D456" s="28"/>
      <c r="E456" s="28"/>
      <c r="F456" s="28"/>
      <c r="G456" s="28"/>
      <c r="H456" s="28"/>
      <c r="I456" s="28"/>
      <c r="J456" s="28"/>
      <c r="K456" s="28"/>
      <c r="L456" s="28"/>
      <c r="M456" s="28"/>
      <c r="N456" s="28"/>
      <c r="O456" s="28"/>
      <c r="P456" s="28"/>
      <c r="Q456" s="28"/>
      <c r="R456" s="28"/>
      <c r="S456" s="28"/>
      <c r="T456" s="28"/>
      <c r="U456" s="28"/>
      <c r="V456" s="28"/>
      <c r="W456" s="28"/>
      <c r="X456" s="28"/>
      <c r="Y456" s="28"/>
      <c r="Z456" s="28"/>
      <c r="AA456" s="28"/>
      <c r="AB456" s="28"/>
      <c r="AC456" s="28"/>
    </row>
    <row r="457" spans="1:29" ht="13">
      <c r="A457" s="28"/>
      <c r="B457" s="28"/>
      <c r="C457" s="28"/>
      <c r="D457" s="28"/>
      <c r="E457" s="28"/>
      <c r="F457" s="28"/>
      <c r="G457" s="28"/>
      <c r="H457" s="28"/>
      <c r="I457" s="28"/>
      <c r="J457" s="28"/>
      <c r="K457" s="28"/>
      <c r="L457" s="28"/>
      <c r="M457" s="28"/>
      <c r="N457" s="28"/>
      <c r="O457" s="28"/>
      <c r="P457" s="28"/>
      <c r="Q457" s="28"/>
      <c r="R457" s="28"/>
      <c r="S457" s="28"/>
      <c r="T457" s="28"/>
      <c r="U457" s="28"/>
      <c r="V457" s="28"/>
      <c r="W457" s="28"/>
      <c r="X457" s="28"/>
      <c r="Y457" s="28"/>
      <c r="Z457" s="28"/>
      <c r="AA457" s="28"/>
      <c r="AB457" s="28"/>
      <c r="AC457" s="28"/>
    </row>
    <row r="458" spans="1:29" ht="13">
      <c r="A458" s="28"/>
      <c r="B458" s="28"/>
      <c r="C458" s="28"/>
      <c r="D458" s="28"/>
      <c r="E458" s="28"/>
      <c r="F458" s="28"/>
      <c r="G458" s="28"/>
      <c r="H458" s="28"/>
      <c r="I458" s="28"/>
      <c r="J458" s="28"/>
      <c r="K458" s="28"/>
      <c r="L458" s="28"/>
      <c r="M458" s="28"/>
      <c r="N458" s="28"/>
      <c r="O458" s="28"/>
      <c r="P458" s="28"/>
      <c r="Q458" s="28"/>
      <c r="R458" s="28"/>
      <c r="S458" s="28"/>
      <c r="T458" s="28"/>
      <c r="U458" s="28"/>
      <c r="V458" s="28"/>
      <c r="W458" s="28"/>
      <c r="X458" s="28"/>
      <c r="Y458" s="28"/>
      <c r="Z458" s="28"/>
      <c r="AA458" s="28"/>
      <c r="AB458" s="28"/>
      <c r="AC458" s="28"/>
    </row>
    <row r="459" spans="1:29" ht="13">
      <c r="A459" s="28"/>
      <c r="B459" s="28"/>
      <c r="C459" s="28"/>
      <c r="D459" s="28"/>
      <c r="E459" s="28"/>
      <c r="F459" s="28"/>
      <c r="G459" s="28"/>
      <c r="H459" s="28"/>
      <c r="I459" s="28"/>
      <c r="J459" s="28"/>
      <c r="K459" s="28"/>
      <c r="L459" s="28"/>
      <c r="M459" s="28"/>
      <c r="N459" s="28"/>
      <c r="O459" s="28"/>
      <c r="P459" s="28"/>
      <c r="Q459" s="28"/>
      <c r="R459" s="28"/>
      <c r="S459" s="28"/>
      <c r="T459" s="28"/>
      <c r="U459" s="28"/>
      <c r="V459" s="28"/>
      <c r="W459" s="28"/>
      <c r="X459" s="28"/>
      <c r="Y459" s="28"/>
      <c r="Z459" s="28"/>
      <c r="AA459" s="28"/>
      <c r="AB459" s="28"/>
      <c r="AC459" s="28"/>
    </row>
    <row r="460" spans="1:29" ht="13">
      <c r="A460" s="28"/>
      <c r="B460" s="28"/>
      <c r="C460" s="28"/>
      <c r="D460" s="28"/>
      <c r="E460" s="28"/>
      <c r="F460" s="28"/>
      <c r="G460" s="28"/>
      <c r="H460" s="28"/>
      <c r="I460" s="28"/>
      <c r="J460" s="28"/>
      <c r="K460" s="28"/>
      <c r="L460" s="28"/>
      <c r="M460" s="28"/>
      <c r="N460" s="28"/>
      <c r="O460" s="28"/>
      <c r="P460" s="28"/>
      <c r="Q460" s="28"/>
      <c r="R460" s="28"/>
      <c r="S460" s="28"/>
      <c r="T460" s="28"/>
      <c r="U460" s="28"/>
      <c r="V460" s="28"/>
      <c r="W460" s="28"/>
      <c r="X460" s="28"/>
      <c r="Y460" s="28"/>
      <c r="Z460" s="28"/>
      <c r="AA460" s="28"/>
      <c r="AB460" s="28"/>
      <c r="AC460" s="28"/>
    </row>
    <row r="461" spans="1:29" ht="13">
      <c r="A461" s="28"/>
      <c r="B461" s="28"/>
      <c r="C461" s="28"/>
      <c r="D461" s="28"/>
      <c r="E461" s="28"/>
      <c r="F461" s="28"/>
      <c r="G461" s="28"/>
      <c r="H461" s="28"/>
      <c r="I461" s="28"/>
      <c r="J461" s="28"/>
      <c r="K461" s="28"/>
      <c r="L461" s="28"/>
      <c r="M461" s="28"/>
      <c r="N461" s="28"/>
      <c r="O461" s="28"/>
      <c r="P461" s="28"/>
      <c r="Q461" s="28"/>
      <c r="R461" s="28"/>
      <c r="S461" s="28"/>
      <c r="T461" s="28"/>
      <c r="U461" s="28"/>
      <c r="V461" s="28"/>
      <c r="W461" s="28"/>
      <c r="X461" s="28"/>
      <c r="Y461" s="28"/>
      <c r="Z461" s="28"/>
      <c r="AA461" s="28"/>
      <c r="AB461" s="28"/>
      <c r="AC461" s="28"/>
    </row>
    <row r="462" spans="1:29" ht="13">
      <c r="A462" s="28"/>
      <c r="B462" s="28"/>
      <c r="C462" s="28"/>
      <c r="D462" s="28"/>
      <c r="E462" s="28"/>
      <c r="F462" s="28"/>
      <c r="G462" s="28"/>
      <c r="H462" s="28"/>
      <c r="I462" s="28"/>
      <c r="J462" s="28"/>
      <c r="K462" s="28"/>
      <c r="L462" s="28"/>
      <c r="M462" s="28"/>
      <c r="N462" s="28"/>
      <c r="O462" s="28"/>
      <c r="P462" s="28"/>
      <c r="Q462" s="28"/>
      <c r="R462" s="28"/>
      <c r="S462" s="28"/>
      <c r="T462" s="28"/>
      <c r="U462" s="28"/>
      <c r="V462" s="28"/>
      <c r="W462" s="28"/>
      <c r="X462" s="28"/>
      <c r="Y462" s="28"/>
      <c r="Z462" s="28"/>
      <c r="AA462" s="28"/>
      <c r="AB462" s="28"/>
      <c r="AC462" s="28"/>
    </row>
    <row r="463" spans="1:29" ht="13">
      <c r="A463" s="28"/>
      <c r="B463" s="28"/>
      <c r="C463" s="28"/>
      <c r="D463" s="28"/>
      <c r="E463" s="28"/>
      <c r="F463" s="28"/>
      <c r="G463" s="28"/>
      <c r="H463" s="28"/>
      <c r="I463" s="28"/>
      <c r="J463" s="28"/>
      <c r="K463" s="28"/>
      <c r="L463" s="28"/>
      <c r="M463" s="28"/>
      <c r="N463" s="28"/>
      <c r="O463" s="28"/>
      <c r="P463" s="28"/>
      <c r="Q463" s="28"/>
      <c r="R463" s="28"/>
      <c r="S463" s="28"/>
      <c r="T463" s="28"/>
      <c r="U463" s="28"/>
      <c r="V463" s="28"/>
      <c r="W463" s="28"/>
      <c r="X463" s="28"/>
      <c r="Y463" s="28"/>
      <c r="Z463" s="28"/>
      <c r="AA463" s="28"/>
      <c r="AB463" s="28"/>
      <c r="AC463" s="28"/>
    </row>
    <row r="464" spans="1:29" ht="13">
      <c r="A464" s="28"/>
      <c r="B464" s="28"/>
      <c r="C464" s="28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28"/>
      <c r="AB464" s="28"/>
      <c r="AC464" s="28"/>
    </row>
    <row r="465" spans="1:29" ht="13">
      <c r="A465" s="28"/>
      <c r="B465" s="28"/>
      <c r="C465" s="28"/>
      <c r="D465" s="28"/>
      <c r="E465" s="28"/>
      <c r="F465" s="28"/>
      <c r="G465" s="28"/>
      <c r="H465" s="28"/>
      <c r="I465" s="28"/>
      <c r="J465" s="28"/>
      <c r="K465" s="28"/>
      <c r="L465" s="28"/>
      <c r="M465" s="28"/>
      <c r="N465" s="28"/>
      <c r="O465" s="28"/>
      <c r="P465" s="28"/>
      <c r="Q465" s="28"/>
      <c r="R465" s="28"/>
      <c r="S465" s="28"/>
      <c r="T465" s="28"/>
      <c r="U465" s="28"/>
      <c r="V465" s="28"/>
      <c r="W465" s="28"/>
      <c r="X465" s="28"/>
      <c r="Y465" s="28"/>
      <c r="Z465" s="28"/>
      <c r="AA465" s="28"/>
      <c r="AB465" s="28"/>
      <c r="AC465" s="28"/>
    </row>
    <row r="466" spans="1:29" ht="13">
      <c r="A466" s="28"/>
      <c r="B466" s="28"/>
      <c r="C466" s="28"/>
      <c r="D466" s="28"/>
      <c r="E466" s="28"/>
      <c r="F466" s="28"/>
      <c r="G466" s="28"/>
      <c r="H466" s="28"/>
      <c r="I466" s="28"/>
      <c r="J466" s="28"/>
      <c r="K466" s="28"/>
      <c r="L466" s="28"/>
      <c r="M466" s="28"/>
      <c r="N466" s="28"/>
      <c r="O466" s="28"/>
      <c r="P466" s="28"/>
      <c r="Q466" s="28"/>
      <c r="R466" s="28"/>
      <c r="S466" s="28"/>
      <c r="T466" s="28"/>
      <c r="U466" s="28"/>
      <c r="V466" s="28"/>
      <c r="W466" s="28"/>
      <c r="X466" s="28"/>
      <c r="Y466" s="28"/>
      <c r="Z466" s="28"/>
      <c r="AA466" s="28"/>
      <c r="AB466" s="28"/>
      <c r="AC466" s="28"/>
    </row>
    <row r="467" spans="1:29" ht="13">
      <c r="A467" s="28"/>
      <c r="B467" s="28"/>
      <c r="C467" s="28"/>
      <c r="D467" s="28"/>
      <c r="E467" s="28"/>
      <c r="F467" s="28"/>
      <c r="G467" s="28"/>
      <c r="H467" s="28"/>
      <c r="I467" s="28"/>
      <c r="J467" s="28"/>
      <c r="K467" s="28"/>
      <c r="L467" s="28"/>
      <c r="M467" s="28"/>
      <c r="N467" s="28"/>
      <c r="O467" s="28"/>
      <c r="P467" s="28"/>
      <c r="Q467" s="28"/>
      <c r="R467" s="28"/>
      <c r="S467" s="28"/>
      <c r="T467" s="28"/>
      <c r="U467" s="28"/>
      <c r="V467" s="28"/>
      <c r="W467" s="28"/>
      <c r="X467" s="28"/>
      <c r="Y467" s="28"/>
      <c r="Z467" s="28"/>
      <c r="AA467" s="28"/>
      <c r="AB467" s="28"/>
      <c r="AC467" s="28"/>
    </row>
    <row r="468" spans="1:29" ht="13">
      <c r="A468" s="28"/>
      <c r="B468" s="28"/>
      <c r="C468" s="28"/>
      <c r="D468" s="28"/>
      <c r="E468" s="28"/>
      <c r="F468" s="28"/>
      <c r="G468" s="28"/>
      <c r="H468" s="28"/>
      <c r="I468" s="28"/>
      <c r="J468" s="28"/>
      <c r="K468" s="28"/>
      <c r="L468" s="28"/>
      <c r="M468" s="28"/>
      <c r="N468" s="28"/>
      <c r="O468" s="28"/>
      <c r="P468" s="28"/>
      <c r="Q468" s="28"/>
      <c r="R468" s="28"/>
      <c r="S468" s="28"/>
      <c r="T468" s="28"/>
      <c r="U468" s="28"/>
      <c r="V468" s="28"/>
      <c r="W468" s="28"/>
      <c r="X468" s="28"/>
      <c r="Y468" s="28"/>
      <c r="Z468" s="28"/>
      <c r="AA468" s="28"/>
      <c r="AB468" s="28"/>
      <c r="AC468" s="28"/>
    </row>
    <row r="469" spans="1:29" ht="13">
      <c r="A469" s="28"/>
      <c r="B469" s="28"/>
      <c r="C469" s="28"/>
      <c r="D469" s="28"/>
      <c r="E469" s="28"/>
      <c r="F469" s="28"/>
      <c r="G469" s="28"/>
      <c r="H469" s="28"/>
      <c r="I469" s="28"/>
      <c r="J469" s="28"/>
      <c r="K469" s="28"/>
      <c r="L469" s="28"/>
      <c r="M469" s="28"/>
      <c r="N469" s="28"/>
      <c r="O469" s="28"/>
      <c r="P469" s="28"/>
      <c r="Q469" s="28"/>
      <c r="R469" s="28"/>
      <c r="S469" s="28"/>
      <c r="T469" s="28"/>
      <c r="U469" s="28"/>
      <c r="V469" s="28"/>
      <c r="W469" s="28"/>
      <c r="X469" s="28"/>
      <c r="Y469" s="28"/>
      <c r="Z469" s="28"/>
      <c r="AA469" s="28"/>
      <c r="AB469" s="28"/>
      <c r="AC469" s="28"/>
    </row>
    <row r="470" spans="1:29" ht="13">
      <c r="A470" s="28"/>
      <c r="B470" s="28"/>
      <c r="C470" s="28"/>
      <c r="D470" s="28"/>
      <c r="E470" s="28"/>
      <c r="F470" s="28"/>
      <c r="G470" s="28"/>
      <c r="H470" s="28"/>
      <c r="I470" s="28"/>
      <c r="J470" s="28"/>
      <c r="K470" s="28"/>
      <c r="L470" s="28"/>
      <c r="M470" s="28"/>
      <c r="N470" s="28"/>
      <c r="O470" s="28"/>
      <c r="P470" s="28"/>
      <c r="Q470" s="28"/>
      <c r="R470" s="28"/>
      <c r="S470" s="28"/>
      <c r="T470" s="28"/>
      <c r="U470" s="28"/>
      <c r="V470" s="28"/>
      <c r="W470" s="28"/>
      <c r="X470" s="28"/>
      <c r="Y470" s="28"/>
      <c r="Z470" s="28"/>
      <c r="AA470" s="28"/>
      <c r="AB470" s="28"/>
      <c r="AC470" s="28"/>
    </row>
    <row r="471" spans="1:29" ht="13">
      <c r="A471" s="28"/>
      <c r="B471" s="28"/>
      <c r="C471" s="28"/>
      <c r="D471" s="28"/>
      <c r="E471" s="28"/>
      <c r="F471" s="28"/>
      <c r="G471" s="28"/>
      <c r="H471" s="28"/>
      <c r="I471" s="28"/>
      <c r="J471" s="28"/>
      <c r="K471" s="28"/>
      <c r="L471" s="28"/>
      <c r="M471" s="28"/>
      <c r="N471" s="28"/>
      <c r="O471" s="28"/>
      <c r="P471" s="28"/>
      <c r="Q471" s="28"/>
      <c r="R471" s="28"/>
      <c r="S471" s="28"/>
      <c r="T471" s="28"/>
      <c r="U471" s="28"/>
      <c r="V471" s="28"/>
      <c r="W471" s="28"/>
      <c r="X471" s="28"/>
      <c r="Y471" s="28"/>
      <c r="Z471" s="28"/>
      <c r="AA471" s="28"/>
      <c r="AB471" s="28"/>
      <c r="AC471" s="28"/>
    </row>
    <row r="472" spans="1:29" ht="13">
      <c r="A472" s="28"/>
      <c r="B472" s="28"/>
      <c r="C472" s="28"/>
      <c r="D472" s="28"/>
      <c r="E472" s="28"/>
      <c r="F472" s="28"/>
      <c r="G472" s="28"/>
      <c r="H472" s="28"/>
      <c r="I472" s="28"/>
      <c r="J472" s="28"/>
      <c r="K472" s="28"/>
      <c r="L472" s="28"/>
      <c r="M472" s="28"/>
      <c r="N472" s="28"/>
      <c r="O472" s="28"/>
      <c r="P472" s="28"/>
      <c r="Q472" s="28"/>
      <c r="R472" s="28"/>
      <c r="S472" s="28"/>
      <c r="T472" s="28"/>
      <c r="U472" s="28"/>
      <c r="V472" s="28"/>
      <c r="W472" s="28"/>
      <c r="X472" s="28"/>
      <c r="Y472" s="28"/>
      <c r="Z472" s="28"/>
      <c r="AA472" s="28"/>
      <c r="AB472" s="28"/>
      <c r="AC472" s="28"/>
    </row>
    <row r="473" spans="1:29" ht="13">
      <c r="A473" s="28"/>
      <c r="B473" s="28"/>
      <c r="C473" s="28"/>
      <c r="D473" s="28"/>
      <c r="E473" s="28"/>
      <c r="F473" s="28"/>
      <c r="G473" s="28"/>
      <c r="H473" s="28"/>
      <c r="I473" s="28"/>
      <c r="J473" s="28"/>
      <c r="K473" s="28"/>
      <c r="L473" s="28"/>
      <c r="M473" s="28"/>
      <c r="N473" s="28"/>
      <c r="O473" s="28"/>
      <c r="P473" s="28"/>
      <c r="Q473" s="28"/>
      <c r="R473" s="28"/>
      <c r="S473" s="28"/>
      <c r="T473" s="28"/>
      <c r="U473" s="28"/>
      <c r="V473" s="28"/>
      <c r="W473" s="28"/>
      <c r="X473" s="28"/>
      <c r="Y473" s="28"/>
      <c r="Z473" s="28"/>
      <c r="AA473" s="28"/>
      <c r="AB473" s="28"/>
      <c r="AC473" s="28"/>
    </row>
    <row r="474" spans="1:29" ht="13">
      <c r="A474" s="28"/>
      <c r="B474" s="28"/>
      <c r="C474" s="28"/>
      <c r="D474" s="28"/>
      <c r="E474" s="28"/>
      <c r="F474" s="28"/>
      <c r="G474" s="28"/>
      <c r="H474" s="28"/>
      <c r="I474" s="28"/>
      <c r="J474" s="28"/>
      <c r="K474" s="28"/>
      <c r="L474" s="28"/>
      <c r="M474" s="28"/>
      <c r="N474" s="28"/>
      <c r="O474" s="28"/>
      <c r="P474" s="28"/>
      <c r="Q474" s="28"/>
      <c r="R474" s="28"/>
      <c r="S474" s="28"/>
      <c r="T474" s="28"/>
      <c r="U474" s="28"/>
      <c r="V474" s="28"/>
      <c r="W474" s="28"/>
      <c r="X474" s="28"/>
      <c r="Y474" s="28"/>
      <c r="Z474" s="28"/>
      <c r="AA474" s="28"/>
      <c r="AB474" s="28"/>
      <c r="AC474" s="28"/>
    </row>
    <row r="475" spans="1:29" ht="13">
      <c r="A475" s="28"/>
      <c r="B475" s="28"/>
      <c r="C475" s="28"/>
      <c r="D475" s="28"/>
      <c r="E475" s="28"/>
      <c r="F475" s="28"/>
      <c r="G475" s="28"/>
      <c r="H475" s="28"/>
      <c r="I475" s="28"/>
      <c r="J475" s="28"/>
      <c r="K475" s="28"/>
      <c r="L475" s="28"/>
      <c r="M475" s="28"/>
      <c r="N475" s="28"/>
      <c r="O475" s="28"/>
      <c r="P475" s="28"/>
      <c r="Q475" s="28"/>
      <c r="R475" s="28"/>
      <c r="S475" s="28"/>
      <c r="T475" s="28"/>
      <c r="U475" s="28"/>
      <c r="V475" s="28"/>
      <c r="W475" s="28"/>
      <c r="X475" s="28"/>
      <c r="Y475" s="28"/>
      <c r="Z475" s="28"/>
      <c r="AA475" s="28"/>
      <c r="AB475" s="28"/>
      <c r="AC475" s="28"/>
    </row>
    <row r="476" spans="1:29" ht="13">
      <c r="A476" s="28"/>
      <c r="B476" s="28"/>
      <c r="C476" s="28"/>
      <c r="D476" s="28"/>
      <c r="E476" s="28"/>
      <c r="F476" s="28"/>
      <c r="G476" s="28"/>
      <c r="H476" s="28"/>
      <c r="I476" s="28"/>
      <c r="J476" s="28"/>
      <c r="K476" s="28"/>
      <c r="L476" s="28"/>
      <c r="M476" s="28"/>
      <c r="N476" s="28"/>
      <c r="O476" s="28"/>
      <c r="P476" s="28"/>
      <c r="Q476" s="28"/>
      <c r="R476" s="28"/>
      <c r="S476" s="28"/>
      <c r="T476" s="28"/>
      <c r="U476" s="28"/>
      <c r="V476" s="28"/>
      <c r="W476" s="28"/>
      <c r="X476" s="28"/>
      <c r="Y476" s="28"/>
      <c r="Z476" s="28"/>
      <c r="AA476" s="28"/>
      <c r="AB476" s="28"/>
      <c r="AC476" s="28"/>
    </row>
    <row r="477" spans="1:29" ht="13">
      <c r="A477" s="28"/>
      <c r="B477" s="28"/>
      <c r="C477" s="28"/>
      <c r="D477" s="28"/>
      <c r="E477" s="28"/>
      <c r="F477" s="28"/>
      <c r="G477" s="28"/>
      <c r="H477" s="28"/>
      <c r="I477" s="28"/>
      <c r="J477" s="28"/>
      <c r="K477" s="28"/>
      <c r="L477" s="28"/>
      <c r="M477" s="28"/>
      <c r="N477" s="28"/>
      <c r="O477" s="28"/>
      <c r="P477" s="28"/>
      <c r="Q477" s="28"/>
      <c r="R477" s="28"/>
      <c r="S477" s="28"/>
      <c r="T477" s="28"/>
      <c r="U477" s="28"/>
      <c r="V477" s="28"/>
      <c r="W477" s="28"/>
      <c r="X477" s="28"/>
      <c r="Y477" s="28"/>
      <c r="Z477" s="28"/>
      <c r="AA477" s="28"/>
      <c r="AB477" s="28"/>
      <c r="AC477" s="28"/>
    </row>
    <row r="478" spans="1:29" ht="13">
      <c r="A478" s="28"/>
      <c r="B478" s="28"/>
      <c r="C478" s="28"/>
      <c r="D478" s="28"/>
      <c r="E478" s="28"/>
      <c r="F478" s="28"/>
      <c r="G478" s="28"/>
      <c r="H478" s="28"/>
      <c r="I478" s="28"/>
      <c r="J478" s="28"/>
      <c r="K478" s="28"/>
      <c r="L478" s="28"/>
      <c r="M478" s="28"/>
      <c r="N478" s="28"/>
      <c r="O478" s="28"/>
      <c r="P478" s="28"/>
      <c r="Q478" s="28"/>
      <c r="R478" s="28"/>
      <c r="S478" s="28"/>
      <c r="T478" s="28"/>
      <c r="U478" s="28"/>
      <c r="V478" s="28"/>
      <c r="W478" s="28"/>
      <c r="X478" s="28"/>
      <c r="Y478" s="28"/>
      <c r="Z478" s="28"/>
      <c r="AA478" s="28"/>
      <c r="AB478" s="28"/>
      <c r="AC478" s="28"/>
    </row>
    <row r="479" spans="1:29" ht="13">
      <c r="A479" s="28"/>
      <c r="B479" s="28"/>
      <c r="C479" s="28"/>
      <c r="D479" s="28"/>
      <c r="E479" s="28"/>
      <c r="F479" s="28"/>
      <c r="G479" s="28"/>
      <c r="H479" s="28"/>
      <c r="I479" s="28"/>
      <c r="J479" s="28"/>
      <c r="K479" s="28"/>
      <c r="L479" s="28"/>
      <c r="M479" s="28"/>
      <c r="N479" s="28"/>
      <c r="O479" s="28"/>
      <c r="P479" s="28"/>
      <c r="Q479" s="28"/>
      <c r="R479" s="28"/>
      <c r="S479" s="28"/>
      <c r="T479" s="28"/>
      <c r="U479" s="28"/>
      <c r="V479" s="28"/>
      <c r="W479" s="28"/>
      <c r="X479" s="28"/>
      <c r="Y479" s="28"/>
      <c r="Z479" s="28"/>
      <c r="AA479" s="28"/>
      <c r="AB479" s="28"/>
      <c r="AC479" s="28"/>
    </row>
    <row r="480" spans="1:29" ht="13">
      <c r="A480" s="28"/>
      <c r="B480" s="28"/>
      <c r="C480" s="28"/>
      <c r="D480" s="28"/>
      <c r="E480" s="28"/>
      <c r="F480" s="28"/>
      <c r="G480" s="28"/>
      <c r="H480" s="28"/>
      <c r="I480" s="28"/>
      <c r="J480" s="28"/>
      <c r="K480" s="28"/>
      <c r="L480" s="28"/>
      <c r="M480" s="28"/>
      <c r="N480" s="28"/>
      <c r="O480" s="28"/>
      <c r="P480" s="28"/>
      <c r="Q480" s="28"/>
      <c r="R480" s="28"/>
      <c r="S480" s="28"/>
      <c r="T480" s="28"/>
      <c r="U480" s="28"/>
      <c r="V480" s="28"/>
      <c r="W480" s="28"/>
      <c r="X480" s="28"/>
      <c r="Y480" s="28"/>
      <c r="Z480" s="28"/>
      <c r="AA480" s="28"/>
      <c r="AB480" s="28"/>
      <c r="AC480" s="28"/>
    </row>
    <row r="481" spans="1:29" ht="13">
      <c r="A481" s="28"/>
      <c r="B481" s="28"/>
      <c r="C481" s="28"/>
      <c r="D481" s="28"/>
      <c r="E481" s="28"/>
      <c r="F481" s="28"/>
      <c r="G481" s="28"/>
      <c r="H481" s="28"/>
      <c r="I481" s="28"/>
      <c r="J481" s="28"/>
      <c r="K481" s="28"/>
      <c r="L481" s="28"/>
      <c r="M481" s="28"/>
      <c r="N481" s="28"/>
      <c r="O481" s="28"/>
      <c r="P481" s="28"/>
      <c r="Q481" s="28"/>
      <c r="R481" s="28"/>
      <c r="S481" s="28"/>
      <c r="T481" s="28"/>
      <c r="U481" s="28"/>
      <c r="V481" s="28"/>
      <c r="W481" s="28"/>
      <c r="X481" s="28"/>
      <c r="Y481" s="28"/>
      <c r="Z481" s="28"/>
      <c r="AA481" s="28"/>
      <c r="AB481" s="28"/>
      <c r="AC481" s="28"/>
    </row>
    <row r="482" spans="1:29" ht="13">
      <c r="A482" s="28"/>
      <c r="B482" s="28"/>
      <c r="C482" s="28"/>
      <c r="D482" s="28"/>
      <c r="E482" s="28"/>
      <c r="F482" s="28"/>
      <c r="G482" s="28"/>
      <c r="H482" s="28"/>
      <c r="I482" s="28"/>
      <c r="J482" s="28"/>
      <c r="K482" s="28"/>
      <c r="L482" s="28"/>
      <c r="M482" s="28"/>
      <c r="N482" s="28"/>
      <c r="O482" s="28"/>
      <c r="P482" s="28"/>
      <c r="Q482" s="28"/>
      <c r="R482" s="28"/>
      <c r="S482" s="28"/>
      <c r="T482" s="28"/>
      <c r="U482" s="28"/>
      <c r="V482" s="28"/>
      <c r="W482" s="28"/>
      <c r="X482" s="28"/>
      <c r="Y482" s="28"/>
      <c r="Z482" s="28"/>
      <c r="AA482" s="28"/>
      <c r="AB482" s="28"/>
      <c r="AC482" s="28"/>
    </row>
    <row r="483" spans="1:29" ht="13">
      <c r="A483" s="28"/>
      <c r="B483" s="28"/>
      <c r="C483" s="28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28"/>
      <c r="AC483" s="28"/>
    </row>
    <row r="484" spans="1:29" ht="13">
      <c r="A484" s="28"/>
      <c r="B484" s="28"/>
      <c r="C484" s="28"/>
      <c r="D484" s="28"/>
      <c r="E484" s="28"/>
      <c r="F484" s="28"/>
      <c r="G484" s="28"/>
      <c r="H484" s="28"/>
      <c r="I484" s="28"/>
      <c r="J484" s="28"/>
      <c r="K484" s="28"/>
      <c r="L484" s="28"/>
      <c r="M484" s="28"/>
      <c r="N484" s="28"/>
      <c r="O484" s="28"/>
      <c r="P484" s="28"/>
      <c r="Q484" s="28"/>
      <c r="R484" s="28"/>
      <c r="S484" s="28"/>
      <c r="T484" s="28"/>
      <c r="U484" s="28"/>
      <c r="V484" s="28"/>
      <c r="W484" s="28"/>
      <c r="X484" s="28"/>
      <c r="Y484" s="28"/>
      <c r="Z484" s="28"/>
      <c r="AA484" s="28"/>
      <c r="AB484" s="28"/>
      <c r="AC484" s="28"/>
    </row>
    <row r="485" spans="1:29" ht="13">
      <c r="A485" s="28"/>
      <c r="B485" s="28"/>
      <c r="C485" s="28"/>
      <c r="D485" s="28"/>
      <c r="E485" s="28"/>
      <c r="F485" s="28"/>
      <c r="G485" s="28"/>
      <c r="H485" s="28"/>
      <c r="I485" s="28"/>
      <c r="J485" s="28"/>
      <c r="K485" s="28"/>
      <c r="L485" s="28"/>
      <c r="M485" s="28"/>
      <c r="N485" s="28"/>
      <c r="O485" s="28"/>
      <c r="P485" s="28"/>
      <c r="Q485" s="28"/>
      <c r="R485" s="28"/>
      <c r="S485" s="28"/>
      <c r="T485" s="28"/>
      <c r="U485" s="28"/>
      <c r="V485" s="28"/>
      <c r="W485" s="28"/>
      <c r="X485" s="28"/>
      <c r="Y485" s="28"/>
      <c r="Z485" s="28"/>
      <c r="AA485" s="28"/>
      <c r="AB485" s="28"/>
      <c r="AC485" s="28"/>
    </row>
    <row r="486" spans="1:29" ht="13">
      <c r="A486" s="28"/>
      <c r="B486" s="28"/>
      <c r="C486" s="28"/>
      <c r="D486" s="28"/>
      <c r="E486" s="28"/>
      <c r="F486" s="28"/>
      <c r="G486" s="28"/>
      <c r="H486" s="28"/>
      <c r="I486" s="28"/>
      <c r="J486" s="28"/>
      <c r="K486" s="28"/>
      <c r="L486" s="28"/>
      <c r="M486" s="28"/>
      <c r="N486" s="28"/>
      <c r="O486" s="28"/>
      <c r="P486" s="28"/>
      <c r="Q486" s="28"/>
      <c r="R486" s="28"/>
      <c r="S486" s="28"/>
      <c r="T486" s="28"/>
      <c r="U486" s="28"/>
      <c r="V486" s="28"/>
      <c r="W486" s="28"/>
      <c r="X486" s="28"/>
      <c r="Y486" s="28"/>
      <c r="Z486" s="28"/>
      <c r="AA486" s="28"/>
      <c r="AB486" s="28"/>
      <c r="AC486" s="28"/>
    </row>
    <row r="487" spans="1:29" ht="13">
      <c r="A487" s="28"/>
      <c r="B487" s="28"/>
      <c r="C487" s="28"/>
      <c r="D487" s="28"/>
      <c r="E487" s="28"/>
      <c r="F487" s="28"/>
      <c r="G487" s="28"/>
      <c r="H487" s="28"/>
      <c r="I487" s="28"/>
      <c r="J487" s="28"/>
      <c r="K487" s="28"/>
      <c r="L487" s="28"/>
      <c r="M487" s="28"/>
      <c r="N487" s="28"/>
      <c r="O487" s="28"/>
      <c r="P487" s="28"/>
      <c r="Q487" s="28"/>
      <c r="R487" s="28"/>
      <c r="S487" s="28"/>
      <c r="T487" s="28"/>
      <c r="U487" s="28"/>
      <c r="V487" s="28"/>
      <c r="W487" s="28"/>
      <c r="X487" s="28"/>
      <c r="Y487" s="28"/>
      <c r="Z487" s="28"/>
      <c r="AA487" s="28"/>
      <c r="AB487" s="28"/>
      <c r="AC487" s="28"/>
    </row>
    <row r="488" spans="1:29" ht="13">
      <c r="A488" s="28"/>
      <c r="B488" s="28"/>
      <c r="C488" s="28"/>
      <c r="D488" s="28"/>
      <c r="E488" s="28"/>
      <c r="F488" s="28"/>
      <c r="G488" s="28"/>
      <c r="H488" s="28"/>
      <c r="I488" s="28"/>
      <c r="J488" s="28"/>
      <c r="K488" s="28"/>
      <c r="L488" s="28"/>
      <c r="M488" s="28"/>
      <c r="N488" s="28"/>
      <c r="O488" s="28"/>
      <c r="P488" s="28"/>
      <c r="Q488" s="28"/>
      <c r="R488" s="28"/>
      <c r="S488" s="28"/>
      <c r="T488" s="28"/>
      <c r="U488" s="28"/>
      <c r="V488" s="28"/>
      <c r="W488" s="28"/>
      <c r="X488" s="28"/>
      <c r="Y488" s="28"/>
      <c r="Z488" s="28"/>
      <c r="AA488" s="28"/>
      <c r="AB488" s="28"/>
      <c r="AC488" s="28"/>
    </row>
    <row r="489" spans="1:29" ht="13">
      <c r="A489" s="28"/>
      <c r="B489" s="28"/>
      <c r="C489" s="28"/>
      <c r="D489" s="28"/>
      <c r="E489" s="28"/>
      <c r="F489" s="28"/>
      <c r="G489" s="28"/>
      <c r="H489" s="28"/>
      <c r="I489" s="28"/>
      <c r="J489" s="28"/>
      <c r="K489" s="28"/>
      <c r="L489" s="28"/>
      <c r="M489" s="28"/>
      <c r="N489" s="28"/>
      <c r="O489" s="28"/>
      <c r="P489" s="28"/>
      <c r="Q489" s="28"/>
      <c r="R489" s="28"/>
      <c r="S489" s="28"/>
      <c r="T489" s="28"/>
      <c r="U489" s="28"/>
      <c r="V489" s="28"/>
      <c r="W489" s="28"/>
      <c r="X489" s="28"/>
      <c r="Y489" s="28"/>
      <c r="Z489" s="28"/>
      <c r="AA489" s="28"/>
      <c r="AB489" s="28"/>
      <c r="AC489" s="28"/>
    </row>
    <row r="490" spans="1:29" ht="13">
      <c r="A490" s="28"/>
      <c r="B490" s="28"/>
      <c r="C490" s="28"/>
      <c r="D490" s="28"/>
      <c r="E490" s="28"/>
      <c r="F490" s="28"/>
      <c r="G490" s="28"/>
      <c r="H490" s="28"/>
      <c r="I490" s="28"/>
      <c r="J490" s="28"/>
      <c r="K490" s="28"/>
      <c r="L490" s="28"/>
      <c r="M490" s="28"/>
      <c r="N490" s="28"/>
      <c r="O490" s="28"/>
      <c r="P490" s="28"/>
      <c r="Q490" s="28"/>
      <c r="R490" s="28"/>
      <c r="S490" s="28"/>
      <c r="T490" s="28"/>
      <c r="U490" s="28"/>
      <c r="V490" s="28"/>
      <c r="W490" s="28"/>
      <c r="X490" s="28"/>
      <c r="Y490" s="28"/>
      <c r="Z490" s="28"/>
      <c r="AA490" s="28"/>
      <c r="AB490" s="28"/>
      <c r="AC490" s="28"/>
    </row>
    <row r="491" spans="1:29" ht="13">
      <c r="A491" s="28"/>
      <c r="B491" s="28"/>
      <c r="C491" s="28"/>
      <c r="D491" s="28"/>
      <c r="E491" s="28"/>
      <c r="F491" s="28"/>
      <c r="G491" s="28"/>
      <c r="H491" s="28"/>
      <c r="I491" s="28"/>
      <c r="J491" s="28"/>
      <c r="K491" s="28"/>
      <c r="L491" s="28"/>
      <c r="M491" s="28"/>
      <c r="N491" s="28"/>
      <c r="O491" s="28"/>
      <c r="P491" s="28"/>
      <c r="Q491" s="28"/>
      <c r="R491" s="28"/>
      <c r="S491" s="28"/>
      <c r="T491" s="28"/>
      <c r="U491" s="28"/>
      <c r="V491" s="28"/>
      <c r="W491" s="28"/>
      <c r="X491" s="28"/>
      <c r="Y491" s="28"/>
      <c r="Z491" s="28"/>
      <c r="AA491" s="28"/>
      <c r="AB491" s="28"/>
      <c r="AC491" s="28"/>
    </row>
    <row r="492" spans="1:29" ht="13">
      <c r="A492" s="28"/>
      <c r="B492" s="28"/>
      <c r="C492" s="28"/>
      <c r="D492" s="28"/>
      <c r="E492" s="28"/>
      <c r="F492" s="28"/>
      <c r="G492" s="28"/>
      <c r="H492" s="28"/>
      <c r="I492" s="28"/>
      <c r="J492" s="28"/>
      <c r="K492" s="28"/>
      <c r="L492" s="28"/>
      <c r="M492" s="28"/>
      <c r="N492" s="28"/>
      <c r="O492" s="28"/>
      <c r="P492" s="28"/>
      <c r="Q492" s="28"/>
      <c r="R492" s="28"/>
      <c r="S492" s="28"/>
      <c r="T492" s="28"/>
      <c r="U492" s="28"/>
      <c r="V492" s="28"/>
      <c r="W492" s="28"/>
      <c r="X492" s="28"/>
      <c r="Y492" s="28"/>
      <c r="Z492" s="28"/>
      <c r="AA492" s="28"/>
      <c r="AB492" s="28"/>
      <c r="AC492" s="28"/>
    </row>
    <row r="493" spans="1:29" ht="13">
      <c r="A493" s="28"/>
      <c r="B493" s="28"/>
      <c r="C493" s="28"/>
      <c r="D493" s="28"/>
      <c r="E493" s="28"/>
      <c r="F493" s="28"/>
      <c r="G493" s="28"/>
      <c r="H493" s="28"/>
      <c r="I493" s="28"/>
      <c r="J493" s="28"/>
      <c r="K493" s="28"/>
      <c r="L493" s="28"/>
      <c r="M493" s="28"/>
      <c r="N493" s="28"/>
      <c r="O493" s="28"/>
      <c r="P493" s="28"/>
      <c r="Q493" s="28"/>
      <c r="R493" s="28"/>
      <c r="S493" s="28"/>
      <c r="T493" s="28"/>
      <c r="U493" s="28"/>
      <c r="V493" s="28"/>
      <c r="W493" s="28"/>
      <c r="X493" s="28"/>
      <c r="Y493" s="28"/>
      <c r="Z493" s="28"/>
      <c r="AA493" s="28"/>
      <c r="AB493" s="28"/>
      <c r="AC493" s="28"/>
    </row>
    <row r="494" spans="1:29" ht="13">
      <c r="A494" s="28"/>
      <c r="B494" s="28"/>
      <c r="C494" s="28"/>
      <c r="D494" s="28"/>
      <c r="E494" s="28"/>
      <c r="F494" s="28"/>
      <c r="G494" s="28"/>
      <c r="H494" s="28"/>
      <c r="I494" s="28"/>
      <c r="J494" s="28"/>
      <c r="K494" s="28"/>
      <c r="L494" s="28"/>
      <c r="M494" s="28"/>
      <c r="N494" s="28"/>
      <c r="O494" s="28"/>
      <c r="P494" s="28"/>
      <c r="Q494" s="28"/>
      <c r="R494" s="28"/>
      <c r="S494" s="28"/>
      <c r="T494" s="28"/>
      <c r="U494" s="28"/>
      <c r="V494" s="28"/>
      <c r="W494" s="28"/>
      <c r="X494" s="28"/>
      <c r="Y494" s="28"/>
      <c r="Z494" s="28"/>
      <c r="AA494" s="28"/>
      <c r="AB494" s="28"/>
      <c r="AC494" s="28"/>
    </row>
    <row r="495" spans="1:29" ht="13">
      <c r="A495" s="28"/>
      <c r="B495" s="28"/>
      <c r="C495" s="28"/>
      <c r="D495" s="28"/>
      <c r="E495" s="28"/>
      <c r="F495" s="28"/>
      <c r="G495" s="28"/>
      <c r="H495" s="28"/>
      <c r="I495" s="28"/>
      <c r="J495" s="28"/>
      <c r="K495" s="28"/>
      <c r="L495" s="28"/>
      <c r="M495" s="28"/>
      <c r="N495" s="28"/>
      <c r="O495" s="28"/>
      <c r="P495" s="28"/>
      <c r="Q495" s="28"/>
      <c r="R495" s="28"/>
      <c r="S495" s="28"/>
      <c r="T495" s="28"/>
      <c r="U495" s="28"/>
      <c r="V495" s="28"/>
      <c r="W495" s="28"/>
      <c r="X495" s="28"/>
      <c r="Y495" s="28"/>
      <c r="Z495" s="28"/>
      <c r="AA495" s="28"/>
      <c r="AB495" s="28"/>
      <c r="AC495" s="28"/>
    </row>
    <row r="496" spans="1:29" ht="13">
      <c r="A496" s="28"/>
      <c r="B496" s="28"/>
      <c r="C496" s="28"/>
      <c r="D496" s="28"/>
      <c r="E496" s="28"/>
      <c r="F496" s="28"/>
      <c r="G496" s="28"/>
      <c r="H496" s="28"/>
      <c r="I496" s="28"/>
      <c r="J496" s="28"/>
      <c r="K496" s="28"/>
      <c r="L496" s="28"/>
      <c r="M496" s="28"/>
      <c r="N496" s="28"/>
      <c r="O496" s="28"/>
      <c r="P496" s="28"/>
      <c r="Q496" s="28"/>
      <c r="R496" s="28"/>
      <c r="S496" s="28"/>
      <c r="T496" s="28"/>
      <c r="U496" s="28"/>
      <c r="V496" s="28"/>
      <c r="W496" s="28"/>
      <c r="X496" s="28"/>
      <c r="Y496" s="28"/>
      <c r="Z496" s="28"/>
      <c r="AA496" s="28"/>
      <c r="AB496" s="28"/>
      <c r="AC496" s="28"/>
    </row>
    <row r="497" spans="1:29" ht="13">
      <c r="A497" s="28"/>
      <c r="B497" s="28"/>
      <c r="C497" s="28"/>
      <c r="D497" s="28"/>
      <c r="E497" s="28"/>
      <c r="F497" s="28"/>
      <c r="G497" s="28"/>
      <c r="H497" s="28"/>
      <c r="I497" s="28"/>
      <c r="J497" s="28"/>
      <c r="K497" s="28"/>
      <c r="L497" s="28"/>
      <c r="M497" s="28"/>
      <c r="N497" s="28"/>
      <c r="O497" s="28"/>
      <c r="P497" s="28"/>
      <c r="Q497" s="28"/>
      <c r="R497" s="28"/>
      <c r="S497" s="28"/>
      <c r="T497" s="28"/>
      <c r="U497" s="28"/>
      <c r="V497" s="28"/>
      <c r="W497" s="28"/>
      <c r="X497" s="28"/>
      <c r="Y497" s="28"/>
      <c r="Z497" s="28"/>
      <c r="AA497" s="28"/>
      <c r="AB497" s="28"/>
      <c r="AC497" s="28"/>
    </row>
    <row r="498" spans="1:29" ht="13">
      <c r="A498" s="28"/>
      <c r="B498" s="28"/>
      <c r="C498" s="28"/>
      <c r="D498" s="28"/>
      <c r="E498" s="28"/>
      <c r="F498" s="28"/>
      <c r="G498" s="28"/>
      <c r="H498" s="28"/>
      <c r="I498" s="28"/>
      <c r="J498" s="28"/>
      <c r="K498" s="28"/>
      <c r="L498" s="28"/>
      <c r="M498" s="28"/>
      <c r="N498" s="28"/>
      <c r="O498" s="28"/>
      <c r="P498" s="28"/>
      <c r="Q498" s="28"/>
      <c r="R498" s="28"/>
      <c r="S498" s="28"/>
      <c r="T498" s="28"/>
      <c r="U498" s="28"/>
      <c r="V498" s="28"/>
      <c r="W498" s="28"/>
      <c r="X498" s="28"/>
      <c r="Y498" s="28"/>
      <c r="Z498" s="28"/>
      <c r="AA498" s="28"/>
      <c r="AB498" s="28"/>
      <c r="AC498" s="28"/>
    </row>
    <row r="499" spans="1:29" ht="13">
      <c r="A499" s="28"/>
      <c r="B499" s="28"/>
      <c r="C499" s="28"/>
      <c r="D499" s="28"/>
      <c r="E499" s="28"/>
      <c r="F499" s="28"/>
      <c r="G499" s="28"/>
      <c r="H499" s="28"/>
      <c r="I499" s="28"/>
      <c r="J499" s="28"/>
      <c r="K499" s="28"/>
      <c r="L499" s="28"/>
      <c r="M499" s="28"/>
      <c r="N499" s="28"/>
      <c r="O499" s="28"/>
      <c r="P499" s="28"/>
      <c r="Q499" s="28"/>
      <c r="R499" s="28"/>
      <c r="S499" s="28"/>
      <c r="T499" s="28"/>
      <c r="U499" s="28"/>
      <c r="V499" s="28"/>
      <c r="W499" s="28"/>
      <c r="X499" s="28"/>
      <c r="Y499" s="28"/>
      <c r="Z499" s="28"/>
      <c r="AA499" s="28"/>
      <c r="AB499" s="28"/>
      <c r="AC499" s="28"/>
    </row>
    <row r="500" spans="1:29" ht="13">
      <c r="A500" s="28"/>
      <c r="B500" s="28"/>
      <c r="C500" s="28"/>
      <c r="D500" s="28"/>
      <c r="E500" s="28"/>
      <c r="F500" s="28"/>
      <c r="G500" s="28"/>
      <c r="H500" s="28"/>
      <c r="I500" s="28"/>
      <c r="J500" s="28"/>
      <c r="K500" s="28"/>
      <c r="L500" s="28"/>
      <c r="M500" s="28"/>
      <c r="N500" s="28"/>
      <c r="O500" s="28"/>
      <c r="P500" s="28"/>
      <c r="Q500" s="28"/>
      <c r="R500" s="28"/>
      <c r="S500" s="28"/>
      <c r="T500" s="28"/>
      <c r="U500" s="28"/>
      <c r="V500" s="28"/>
      <c r="W500" s="28"/>
      <c r="X500" s="28"/>
      <c r="Y500" s="28"/>
      <c r="Z500" s="28"/>
      <c r="AA500" s="28"/>
      <c r="AB500" s="28"/>
      <c r="AC500" s="28"/>
    </row>
    <row r="501" spans="1:29" ht="13">
      <c r="A501" s="28"/>
      <c r="B501" s="28"/>
      <c r="C501" s="28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28"/>
      <c r="O501" s="28"/>
      <c r="P501" s="28"/>
      <c r="Q501" s="28"/>
      <c r="R501" s="28"/>
      <c r="S501" s="28"/>
      <c r="T501" s="28"/>
      <c r="U501" s="28"/>
      <c r="V501" s="28"/>
      <c r="W501" s="28"/>
      <c r="X501" s="28"/>
      <c r="Y501" s="28"/>
      <c r="Z501" s="28"/>
      <c r="AA501" s="28"/>
      <c r="AB501" s="28"/>
      <c r="AC501" s="28"/>
    </row>
    <row r="502" spans="1:29" ht="13">
      <c r="A502" s="28"/>
      <c r="B502" s="28"/>
      <c r="C502" s="28"/>
      <c r="D502" s="28"/>
      <c r="E502" s="28"/>
      <c r="F502" s="28"/>
      <c r="G502" s="28"/>
      <c r="H502" s="28"/>
      <c r="I502" s="28"/>
      <c r="J502" s="28"/>
      <c r="K502" s="28"/>
      <c r="L502" s="28"/>
      <c r="M502" s="28"/>
      <c r="N502" s="28"/>
      <c r="O502" s="28"/>
      <c r="P502" s="28"/>
      <c r="Q502" s="28"/>
      <c r="R502" s="28"/>
      <c r="S502" s="28"/>
      <c r="T502" s="28"/>
      <c r="U502" s="28"/>
      <c r="V502" s="28"/>
      <c r="W502" s="28"/>
      <c r="X502" s="28"/>
      <c r="Y502" s="28"/>
      <c r="Z502" s="28"/>
      <c r="AA502" s="28"/>
      <c r="AB502" s="28"/>
      <c r="AC502" s="28"/>
    </row>
    <row r="503" spans="1:29" ht="13">
      <c r="A503" s="28"/>
      <c r="B503" s="28"/>
      <c r="C503" s="28"/>
      <c r="D503" s="28"/>
      <c r="E503" s="28"/>
      <c r="F503" s="28"/>
      <c r="G503" s="28"/>
      <c r="H503" s="28"/>
      <c r="I503" s="28"/>
      <c r="J503" s="28"/>
      <c r="K503" s="28"/>
      <c r="L503" s="28"/>
      <c r="M503" s="28"/>
      <c r="N503" s="28"/>
      <c r="O503" s="28"/>
      <c r="P503" s="28"/>
      <c r="Q503" s="28"/>
      <c r="R503" s="28"/>
      <c r="S503" s="28"/>
      <c r="T503" s="28"/>
      <c r="U503" s="28"/>
      <c r="V503" s="28"/>
      <c r="W503" s="28"/>
      <c r="X503" s="28"/>
      <c r="Y503" s="28"/>
      <c r="Z503" s="28"/>
      <c r="AA503" s="28"/>
      <c r="AB503" s="28"/>
      <c r="AC503" s="28"/>
    </row>
    <row r="504" spans="1:29" ht="13">
      <c r="A504" s="28"/>
      <c r="B504" s="28"/>
      <c r="C504" s="28"/>
      <c r="D504" s="28"/>
      <c r="E504" s="28"/>
      <c r="F504" s="28"/>
      <c r="G504" s="28"/>
      <c r="H504" s="28"/>
      <c r="I504" s="28"/>
      <c r="J504" s="28"/>
      <c r="K504" s="28"/>
      <c r="L504" s="28"/>
      <c r="M504" s="28"/>
      <c r="N504" s="28"/>
      <c r="O504" s="28"/>
      <c r="P504" s="28"/>
      <c r="Q504" s="28"/>
      <c r="R504" s="28"/>
      <c r="S504" s="28"/>
      <c r="T504" s="28"/>
      <c r="U504" s="28"/>
      <c r="V504" s="28"/>
      <c r="W504" s="28"/>
      <c r="X504" s="28"/>
      <c r="Y504" s="28"/>
      <c r="Z504" s="28"/>
      <c r="AA504" s="28"/>
      <c r="AB504" s="28"/>
      <c r="AC504" s="28"/>
    </row>
    <row r="505" spans="1:29" ht="13">
      <c r="A505" s="28"/>
      <c r="B505" s="28"/>
      <c r="C505" s="28"/>
      <c r="D505" s="28"/>
      <c r="E505" s="28"/>
      <c r="F505" s="28"/>
      <c r="G505" s="28"/>
      <c r="H505" s="28"/>
      <c r="I505" s="28"/>
      <c r="J505" s="28"/>
      <c r="K505" s="28"/>
      <c r="L505" s="28"/>
      <c r="M505" s="28"/>
      <c r="N505" s="28"/>
      <c r="O505" s="28"/>
      <c r="P505" s="28"/>
      <c r="Q505" s="28"/>
      <c r="R505" s="28"/>
      <c r="S505" s="28"/>
      <c r="T505" s="28"/>
      <c r="U505" s="28"/>
      <c r="V505" s="28"/>
      <c r="W505" s="28"/>
      <c r="X505" s="28"/>
      <c r="Y505" s="28"/>
      <c r="Z505" s="28"/>
      <c r="AA505" s="28"/>
      <c r="AB505" s="28"/>
      <c r="AC505" s="28"/>
    </row>
    <row r="506" spans="1:29" ht="13">
      <c r="A506" s="28"/>
      <c r="B506" s="28"/>
      <c r="C506" s="28"/>
      <c r="D506" s="28"/>
      <c r="E506" s="28"/>
      <c r="F506" s="28"/>
      <c r="G506" s="28"/>
      <c r="H506" s="28"/>
      <c r="I506" s="28"/>
      <c r="J506" s="28"/>
      <c r="K506" s="28"/>
      <c r="L506" s="28"/>
      <c r="M506" s="28"/>
      <c r="N506" s="28"/>
      <c r="O506" s="28"/>
      <c r="P506" s="28"/>
      <c r="Q506" s="28"/>
      <c r="R506" s="28"/>
      <c r="S506" s="28"/>
      <c r="T506" s="28"/>
      <c r="U506" s="28"/>
      <c r="V506" s="28"/>
      <c r="W506" s="28"/>
      <c r="X506" s="28"/>
      <c r="Y506" s="28"/>
      <c r="Z506" s="28"/>
      <c r="AA506" s="28"/>
      <c r="AB506" s="28"/>
      <c r="AC506" s="28"/>
    </row>
    <row r="507" spans="1:29" ht="13">
      <c r="A507" s="28"/>
      <c r="B507" s="28"/>
      <c r="C507" s="28"/>
      <c r="D507" s="28"/>
      <c r="E507" s="28"/>
      <c r="F507" s="28"/>
      <c r="G507" s="28"/>
      <c r="H507" s="28"/>
      <c r="I507" s="28"/>
      <c r="J507" s="28"/>
      <c r="K507" s="28"/>
      <c r="L507" s="28"/>
      <c r="M507" s="28"/>
      <c r="N507" s="28"/>
      <c r="O507" s="28"/>
      <c r="P507" s="28"/>
      <c r="Q507" s="28"/>
      <c r="R507" s="28"/>
      <c r="S507" s="28"/>
      <c r="T507" s="28"/>
      <c r="U507" s="28"/>
      <c r="V507" s="28"/>
      <c r="W507" s="28"/>
      <c r="X507" s="28"/>
      <c r="Y507" s="28"/>
      <c r="Z507" s="28"/>
      <c r="AA507" s="28"/>
      <c r="AB507" s="28"/>
      <c r="AC507" s="28"/>
    </row>
    <row r="508" spans="1:29" ht="13">
      <c r="A508" s="28"/>
      <c r="B508" s="28"/>
      <c r="C508" s="28"/>
      <c r="D508" s="28"/>
      <c r="E508" s="28"/>
      <c r="F508" s="28"/>
      <c r="G508" s="28"/>
      <c r="H508" s="28"/>
      <c r="I508" s="28"/>
      <c r="J508" s="28"/>
      <c r="K508" s="28"/>
      <c r="L508" s="28"/>
      <c r="M508" s="28"/>
      <c r="N508" s="28"/>
      <c r="O508" s="28"/>
      <c r="P508" s="28"/>
      <c r="Q508" s="28"/>
      <c r="R508" s="28"/>
      <c r="S508" s="28"/>
      <c r="T508" s="28"/>
      <c r="U508" s="28"/>
      <c r="V508" s="28"/>
      <c r="W508" s="28"/>
      <c r="X508" s="28"/>
      <c r="Y508" s="28"/>
      <c r="Z508" s="28"/>
      <c r="AA508" s="28"/>
      <c r="AB508" s="28"/>
      <c r="AC508" s="28"/>
    </row>
    <row r="509" spans="1:29" ht="13">
      <c r="A509" s="28"/>
      <c r="B509" s="28"/>
      <c r="C509" s="28"/>
      <c r="D509" s="28"/>
      <c r="E509" s="28"/>
      <c r="F509" s="28"/>
      <c r="G509" s="28"/>
      <c r="H509" s="28"/>
      <c r="I509" s="28"/>
      <c r="J509" s="28"/>
      <c r="K509" s="28"/>
      <c r="L509" s="28"/>
      <c r="M509" s="28"/>
      <c r="N509" s="28"/>
      <c r="O509" s="28"/>
      <c r="P509" s="28"/>
      <c r="Q509" s="28"/>
      <c r="R509" s="28"/>
      <c r="S509" s="28"/>
      <c r="T509" s="28"/>
      <c r="U509" s="28"/>
      <c r="V509" s="28"/>
      <c r="W509" s="28"/>
      <c r="X509" s="28"/>
      <c r="Y509" s="28"/>
      <c r="Z509" s="28"/>
      <c r="AA509" s="28"/>
      <c r="AB509" s="28"/>
      <c r="AC509" s="28"/>
    </row>
    <row r="510" spans="1:29" ht="13">
      <c r="A510" s="28"/>
      <c r="B510" s="28"/>
      <c r="C510" s="28"/>
      <c r="D510" s="28"/>
      <c r="E510" s="28"/>
      <c r="F510" s="28"/>
      <c r="G510" s="28"/>
      <c r="H510" s="28"/>
      <c r="I510" s="28"/>
      <c r="J510" s="28"/>
      <c r="K510" s="28"/>
      <c r="L510" s="28"/>
      <c r="M510" s="28"/>
      <c r="N510" s="28"/>
      <c r="O510" s="28"/>
      <c r="P510" s="28"/>
      <c r="Q510" s="28"/>
      <c r="R510" s="28"/>
      <c r="S510" s="28"/>
      <c r="T510" s="28"/>
      <c r="U510" s="28"/>
      <c r="V510" s="28"/>
      <c r="W510" s="28"/>
      <c r="X510" s="28"/>
      <c r="Y510" s="28"/>
      <c r="Z510" s="28"/>
      <c r="AA510" s="28"/>
      <c r="AB510" s="28"/>
      <c r="AC510" s="28"/>
    </row>
    <row r="511" spans="1:29" ht="13">
      <c r="A511" s="28"/>
      <c r="B511" s="28"/>
      <c r="C511" s="28"/>
      <c r="D511" s="28"/>
      <c r="E511" s="28"/>
      <c r="F511" s="28"/>
      <c r="G511" s="28"/>
      <c r="H511" s="28"/>
      <c r="I511" s="28"/>
      <c r="J511" s="28"/>
      <c r="K511" s="28"/>
      <c r="L511" s="28"/>
      <c r="M511" s="28"/>
      <c r="N511" s="28"/>
      <c r="O511" s="28"/>
      <c r="P511" s="28"/>
      <c r="Q511" s="28"/>
      <c r="R511" s="28"/>
      <c r="S511" s="28"/>
      <c r="T511" s="28"/>
      <c r="U511" s="28"/>
      <c r="V511" s="28"/>
      <c r="W511" s="28"/>
      <c r="X511" s="28"/>
      <c r="Y511" s="28"/>
      <c r="Z511" s="28"/>
      <c r="AA511" s="28"/>
      <c r="AB511" s="28"/>
      <c r="AC511" s="28"/>
    </row>
    <row r="512" spans="1:29" ht="13">
      <c r="A512" s="28"/>
      <c r="B512" s="28"/>
      <c r="C512" s="28"/>
      <c r="D512" s="28"/>
      <c r="E512" s="28"/>
      <c r="F512" s="28"/>
      <c r="G512" s="28"/>
      <c r="H512" s="28"/>
      <c r="I512" s="28"/>
      <c r="J512" s="28"/>
      <c r="K512" s="28"/>
      <c r="L512" s="28"/>
      <c r="M512" s="28"/>
      <c r="N512" s="28"/>
      <c r="O512" s="28"/>
      <c r="P512" s="28"/>
      <c r="Q512" s="28"/>
      <c r="R512" s="28"/>
      <c r="S512" s="28"/>
      <c r="T512" s="28"/>
      <c r="U512" s="28"/>
      <c r="V512" s="28"/>
      <c r="W512" s="28"/>
      <c r="X512" s="28"/>
      <c r="Y512" s="28"/>
      <c r="Z512" s="28"/>
      <c r="AA512" s="28"/>
      <c r="AB512" s="28"/>
      <c r="AC512" s="28"/>
    </row>
    <row r="513" spans="1:29" ht="13">
      <c r="A513" s="28"/>
      <c r="B513" s="28"/>
      <c r="C513" s="28"/>
      <c r="D513" s="28"/>
      <c r="E513" s="28"/>
      <c r="F513" s="28"/>
      <c r="G513" s="28"/>
      <c r="H513" s="28"/>
      <c r="I513" s="28"/>
      <c r="J513" s="28"/>
      <c r="K513" s="28"/>
      <c r="L513" s="28"/>
      <c r="M513" s="28"/>
      <c r="N513" s="28"/>
      <c r="O513" s="28"/>
      <c r="P513" s="28"/>
      <c r="Q513" s="28"/>
      <c r="R513" s="28"/>
      <c r="S513" s="28"/>
      <c r="T513" s="28"/>
      <c r="U513" s="28"/>
      <c r="V513" s="28"/>
      <c r="W513" s="28"/>
      <c r="X513" s="28"/>
      <c r="Y513" s="28"/>
      <c r="Z513" s="28"/>
      <c r="AA513" s="28"/>
      <c r="AB513" s="28"/>
      <c r="AC513" s="28"/>
    </row>
    <row r="514" spans="1:29" ht="13">
      <c r="A514" s="28"/>
      <c r="B514" s="28"/>
      <c r="C514" s="28"/>
      <c r="D514" s="28"/>
      <c r="E514" s="28"/>
      <c r="F514" s="28"/>
      <c r="G514" s="28"/>
      <c r="H514" s="28"/>
      <c r="I514" s="28"/>
      <c r="J514" s="28"/>
      <c r="K514" s="28"/>
      <c r="L514" s="28"/>
      <c r="M514" s="28"/>
      <c r="N514" s="28"/>
      <c r="O514" s="28"/>
      <c r="P514" s="28"/>
      <c r="Q514" s="28"/>
      <c r="R514" s="28"/>
      <c r="S514" s="28"/>
      <c r="T514" s="28"/>
      <c r="U514" s="28"/>
      <c r="V514" s="28"/>
      <c r="W514" s="28"/>
      <c r="X514" s="28"/>
      <c r="Y514" s="28"/>
      <c r="Z514" s="28"/>
      <c r="AA514" s="28"/>
      <c r="AB514" s="28"/>
      <c r="AC514" s="28"/>
    </row>
    <row r="515" spans="1:29" ht="13">
      <c r="A515" s="28"/>
      <c r="B515" s="28"/>
      <c r="C515" s="28"/>
      <c r="D515" s="28"/>
      <c r="E515" s="28"/>
      <c r="F515" s="28"/>
      <c r="G515" s="28"/>
      <c r="H515" s="28"/>
      <c r="I515" s="28"/>
      <c r="J515" s="28"/>
      <c r="K515" s="28"/>
      <c r="L515" s="28"/>
      <c r="M515" s="28"/>
      <c r="N515" s="28"/>
      <c r="O515" s="28"/>
      <c r="P515" s="28"/>
      <c r="Q515" s="28"/>
      <c r="R515" s="28"/>
      <c r="S515" s="28"/>
      <c r="T515" s="28"/>
      <c r="U515" s="28"/>
      <c r="V515" s="28"/>
      <c r="W515" s="28"/>
      <c r="X515" s="28"/>
      <c r="Y515" s="28"/>
      <c r="Z515" s="28"/>
      <c r="AA515" s="28"/>
      <c r="AB515" s="28"/>
      <c r="AC515" s="28"/>
    </row>
    <row r="516" spans="1:29" ht="13">
      <c r="A516" s="28"/>
      <c r="B516" s="28"/>
      <c r="C516" s="28"/>
      <c r="D516" s="28"/>
      <c r="E516" s="28"/>
      <c r="F516" s="28"/>
      <c r="G516" s="28"/>
      <c r="H516" s="28"/>
      <c r="I516" s="28"/>
      <c r="J516" s="28"/>
      <c r="K516" s="28"/>
      <c r="L516" s="28"/>
      <c r="M516" s="28"/>
      <c r="N516" s="28"/>
      <c r="O516" s="28"/>
      <c r="P516" s="28"/>
      <c r="Q516" s="28"/>
      <c r="R516" s="28"/>
      <c r="S516" s="28"/>
      <c r="T516" s="28"/>
      <c r="U516" s="28"/>
      <c r="V516" s="28"/>
      <c r="W516" s="28"/>
      <c r="X516" s="28"/>
      <c r="Y516" s="28"/>
      <c r="Z516" s="28"/>
      <c r="AA516" s="28"/>
      <c r="AB516" s="28"/>
      <c r="AC516" s="28"/>
    </row>
    <row r="517" spans="1:29" ht="13">
      <c r="A517" s="28"/>
      <c r="B517" s="28"/>
      <c r="C517" s="28"/>
      <c r="D517" s="28"/>
      <c r="E517" s="28"/>
      <c r="F517" s="28"/>
      <c r="G517" s="28"/>
      <c r="H517" s="28"/>
      <c r="I517" s="28"/>
      <c r="J517" s="28"/>
      <c r="K517" s="28"/>
      <c r="L517" s="28"/>
      <c r="M517" s="28"/>
      <c r="N517" s="28"/>
      <c r="O517" s="28"/>
      <c r="P517" s="28"/>
      <c r="Q517" s="28"/>
      <c r="R517" s="28"/>
      <c r="S517" s="28"/>
      <c r="T517" s="28"/>
      <c r="U517" s="28"/>
      <c r="V517" s="28"/>
      <c r="W517" s="28"/>
      <c r="X517" s="28"/>
      <c r="Y517" s="28"/>
      <c r="Z517" s="28"/>
      <c r="AA517" s="28"/>
      <c r="AB517" s="28"/>
      <c r="AC517" s="28"/>
    </row>
    <row r="518" spans="1:29" ht="13">
      <c r="A518" s="28"/>
      <c r="B518" s="28"/>
      <c r="C518" s="28"/>
      <c r="D518" s="28"/>
      <c r="E518" s="28"/>
      <c r="F518" s="28"/>
      <c r="G518" s="28"/>
      <c r="H518" s="28"/>
      <c r="I518" s="28"/>
      <c r="J518" s="28"/>
      <c r="K518" s="28"/>
      <c r="L518" s="28"/>
      <c r="M518" s="28"/>
      <c r="N518" s="28"/>
      <c r="O518" s="28"/>
      <c r="P518" s="28"/>
      <c r="Q518" s="28"/>
      <c r="R518" s="28"/>
      <c r="S518" s="28"/>
      <c r="T518" s="28"/>
      <c r="U518" s="28"/>
      <c r="V518" s="28"/>
      <c r="W518" s="28"/>
      <c r="X518" s="28"/>
      <c r="Y518" s="28"/>
      <c r="Z518" s="28"/>
      <c r="AA518" s="28"/>
      <c r="AB518" s="28"/>
      <c r="AC518" s="28"/>
    </row>
    <row r="519" spans="1:29" ht="13">
      <c r="A519" s="28"/>
      <c r="B519" s="28"/>
      <c r="C519" s="28"/>
      <c r="D519" s="28"/>
      <c r="E519" s="28"/>
      <c r="F519" s="28"/>
      <c r="G519" s="28"/>
      <c r="H519" s="28"/>
      <c r="I519" s="28"/>
      <c r="J519" s="28"/>
      <c r="K519" s="28"/>
      <c r="L519" s="28"/>
      <c r="M519" s="28"/>
      <c r="N519" s="28"/>
      <c r="O519" s="28"/>
      <c r="P519" s="28"/>
      <c r="Q519" s="28"/>
      <c r="R519" s="28"/>
      <c r="S519" s="28"/>
      <c r="T519" s="28"/>
      <c r="U519" s="28"/>
      <c r="V519" s="28"/>
      <c r="W519" s="28"/>
      <c r="X519" s="28"/>
      <c r="Y519" s="28"/>
      <c r="Z519" s="28"/>
      <c r="AA519" s="28"/>
      <c r="AB519" s="28"/>
      <c r="AC519" s="28"/>
    </row>
    <row r="520" spans="1:29" ht="13">
      <c r="A520" s="28"/>
      <c r="B520" s="28"/>
      <c r="C520" s="28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28"/>
      <c r="AC520" s="28"/>
    </row>
    <row r="521" spans="1:29" ht="13">
      <c r="A521" s="28"/>
      <c r="B521" s="28"/>
      <c r="C521" s="28"/>
      <c r="D521" s="28"/>
      <c r="E521" s="28"/>
      <c r="F521" s="28"/>
      <c r="G521" s="28"/>
      <c r="H521" s="28"/>
      <c r="I521" s="28"/>
      <c r="J521" s="28"/>
      <c r="K521" s="28"/>
      <c r="L521" s="28"/>
      <c r="M521" s="28"/>
      <c r="N521" s="28"/>
      <c r="O521" s="28"/>
      <c r="P521" s="28"/>
      <c r="Q521" s="28"/>
      <c r="R521" s="28"/>
      <c r="S521" s="28"/>
      <c r="T521" s="28"/>
      <c r="U521" s="28"/>
      <c r="V521" s="28"/>
      <c r="W521" s="28"/>
      <c r="X521" s="28"/>
      <c r="Y521" s="28"/>
      <c r="Z521" s="28"/>
      <c r="AA521" s="28"/>
      <c r="AB521" s="28"/>
      <c r="AC521" s="28"/>
    </row>
    <row r="522" spans="1:29" ht="13">
      <c r="A522" s="28"/>
      <c r="B522" s="28"/>
      <c r="C522" s="28"/>
      <c r="D522" s="28"/>
      <c r="E522" s="28"/>
      <c r="F522" s="28"/>
      <c r="G522" s="28"/>
      <c r="H522" s="28"/>
      <c r="I522" s="28"/>
      <c r="J522" s="28"/>
      <c r="K522" s="28"/>
      <c r="L522" s="28"/>
      <c r="M522" s="28"/>
      <c r="N522" s="28"/>
      <c r="O522" s="28"/>
      <c r="P522" s="28"/>
      <c r="Q522" s="28"/>
      <c r="R522" s="28"/>
      <c r="S522" s="28"/>
      <c r="T522" s="28"/>
      <c r="U522" s="28"/>
      <c r="V522" s="28"/>
      <c r="W522" s="28"/>
      <c r="X522" s="28"/>
      <c r="Y522" s="28"/>
      <c r="Z522" s="28"/>
      <c r="AA522" s="28"/>
      <c r="AB522" s="28"/>
      <c r="AC522" s="28"/>
    </row>
    <row r="523" spans="1:29" ht="13">
      <c r="A523" s="28"/>
      <c r="B523" s="28"/>
      <c r="C523" s="28"/>
      <c r="D523" s="28"/>
      <c r="E523" s="28"/>
      <c r="F523" s="28"/>
      <c r="G523" s="28"/>
      <c r="H523" s="28"/>
      <c r="I523" s="28"/>
      <c r="J523" s="28"/>
      <c r="K523" s="28"/>
      <c r="L523" s="28"/>
      <c r="M523" s="28"/>
      <c r="N523" s="28"/>
      <c r="O523" s="28"/>
      <c r="P523" s="28"/>
      <c r="Q523" s="28"/>
      <c r="R523" s="28"/>
      <c r="S523" s="28"/>
      <c r="T523" s="28"/>
      <c r="U523" s="28"/>
      <c r="V523" s="28"/>
      <c r="W523" s="28"/>
      <c r="X523" s="28"/>
      <c r="Y523" s="28"/>
      <c r="Z523" s="28"/>
      <c r="AA523" s="28"/>
      <c r="AB523" s="28"/>
      <c r="AC523" s="28"/>
    </row>
    <row r="524" spans="1:29" ht="13">
      <c r="A524" s="28"/>
      <c r="B524" s="28"/>
      <c r="C524" s="28"/>
      <c r="D524" s="28"/>
      <c r="E524" s="28"/>
      <c r="F524" s="28"/>
      <c r="G524" s="28"/>
      <c r="H524" s="28"/>
      <c r="I524" s="28"/>
      <c r="J524" s="28"/>
      <c r="K524" s="28"/>
      <c r="L524" s="28"/>
      <c r="M524" s="28"/>
      <c r="N524" s="28"/>
      <c r="O524" s="28"/>
      <c r="P524" s="28"/>
      <c r="Q524" s="28"/>
      <c r="R524" s="28"/>
      <c r="S524" s="28"/>
      <c r="T524" s="28"/>
      <c r="U524" s="28"/>
      <c r="V524" s="28"/>
      <c r="W524" s="28"/>
      <c r="X524" s="28"/>
      <c r="Y524" s="28"/>
      <c r="Z524" s="28"/>
      <c r="AA524" s="28"/>
      <c r="AB524" s="28"/>
      <c r="AC524" s="28"/>
    </row>
    <row r="525" spans="1:29" ht="13">
      <c r="A525" s="28"/>
      <c r="B525" s="28"/>
      <c r="C525" s="28"/>
      <c r="D525" s="28"/>
      <c r="E525" s="28"/>
      <c r="F525" s="28"/>
      <c r="G525" s="28"/>
      <c r="H525" s="28"/>
      <c r="I525" s="28"/>
      <c r="J525" s="28"/>
      <c r="K525" s="28"/>
      <c r="L525" s="28"/>
      <c r="M525" s="28"/>
      <c r="N525" s="28"/>
      <c r="O525" s="28"/>
      <c r="P525" s="28"/>
      <c r="Q525" s="28"/>
      <c r="R525" s="28"/>
      <c r="S525" s="28"/>
      <c r="T525" s="28"/>
      <c r="U525" s="28"/>
      <c r="V525" s="28"/>
      <c r="W525" s="28"/>
      <c r="X525" s="28"/>
      <c r="Y525" s="28"/>
      <c r="Z525" s="28"/>
      <c r="AA525" s="28"/>
      <c r="AB525" s="28"/>
      <c r="AC525" s="28"/>
    </row>
    <row r="526" spans="1:29" ht="13">
      <c r="A526" s="28"/>
      <c r="B526" s="28"/>
      <c r="C526" s="28"/>
      <c r="D526" s="28"/>
      <c r="E526" s="28"/>
      <c r="F526" s="28"/>
      <c r="G526" s="28"/>
      <c r="H526" s="28"/>
      <c r="I526" s="28"/>
      <c r="J526" s="28"/>
      <c r="K526" s="28"/>
      <c r="L526" s="28"/>
      <c r="M526" s="28"/>
      <c r="N526" s="28"/>
      <c r="O526" s="28"/>
      <c r="P526" s="28"/>
      <c r="Q526" s="28"/>
      <c r="R526" s="28"/>
      <c r="S526" s="28"/>
      <c r="T526" s="28"/>
      <c r="U526" s="28"/>
      <c r="V526" s="28"/>
      <c r="W526" s="28"/>
      <c r="X526" s="28"/>
      <c r="Y526" s="28"/>
      <c r="Z526" s="28"/>
      <c r="AA526" s="28"/>
      <c r="AB526" s="28"/>
      <c r="AC526" s="28"/>
    </row>
    <row r="527" spans="1:29" ht="13">
      <c r="A527" s="28"/>
      <c r="B527" s="28"/>
      <c r="C527" s="28"/>
      <c r="D527" s="28"/>
      <c r="E527" s="28"/>
      <c r="F527" s="28"/>
      <c r="G527" s="28"/>
      <c r="H527" s="28"/>
      <c r="I527" s="28"/>
      <c r="J527" s="28"/>
      <c r="K527" s="28"/>
      <c r="L527" s="28"/>
      <c r="M527" s="28"/>
      <c r="N527" s="28"/>
      <c r="O527" s="28"/>
      <c r="P527" s="28"/>
      <c r="Q527" s="28"/>
      <c r="R527" s="28"/>
      <c r="S527" s="28"/>
      <c r="T527" s="28"/>
      <c r="U527" s="28"/>
      <c r="V527" s="28"/>
      <c r="W527" s="28"/>
      <c r="X527" s="28"/>
      <c r="Y527" s="28"/>
      <c r="Z527" s="28"/>
      <c r="AA527" s="28"/>
      <c r="AB527" s="28"/>
      <c r="AC527" s="28"/>
    </row>
    <row r="528" spans="1:29" ht="13">
      <c r="A528" s="28"/>
      <c r="B528" s="28"/>
      <c r="C528" s="28"/>
      <c r="D528" s="28"/>
      <c r="E528" s="28"/>
      <c r="F528" s="28"/>
      <c r="G528" s="28"/>
      <c r="H528" s="28"/>
      <c r="I528" s="28"/>
      <c r="J528" s="28"/>
      <c r="K528" s="28"/>
      <c r="L528" s="28"/>
      <c r="M528" s="28"/>
      <c r="N528" s="28"/>
      <c r="O528" s="28"/>
      <c r="P528" s="28"/>
      <c r="Q528" s="28"/>
      <c r="R528" s="28"/>
      <c r="S528" s="28"/>
      <c r="T528" s="28"/>
      <c r="U528" s="28"/>
      <c r="V528" s="28"/>
      <c r="W528" s="28"/>
      <c r="X528" s="28"/>
      <c r="Y528" s="28"/>
      <c r="Z528" s="28"/>
      <c r="AA528" s="28"/>
      <c r="AB528" s="28"/>
      <c r="AC528" s="28"/>
    </row>
    <row r="529" spans="1:29" ht="13">
      <c r="A529" s="28"/>
      <c r="B529" s="28"/>
      <c r="C529" s="28"/>
      <c r="D529" s="28"/>
      <c r="E529" s="28"/>
      <c r="F529" s="28"/>
      <c r="G529" s="28"/>
      <c r="H529" s="28"/>
      <c r="I529" s="28"/>
      <c r="J529" s="28"/>
      <c r="K529" s="28"/>
      <c r="L529" s="28"/>
      <c r="M529" s="28"/>
      <c r="N529" s="28"/>
      <c r="O529" s="28"/>
      <c r="P529" s="28"/>
      <c r="Q529" s="28"/>
      <c r="R529" s="28"/>
      <c r="S529" s="28"/>
      <c r="T529" s="28"/>
      <c r="U529" s="28"/>
      <c r="V529" s="28"/>
      <c r="W529" s="28"/>
      <c r="X529" s="28"/>
      <c r="Y529" s="28"/>
      <c r="Z529" s="28"/>
      <c r="AA529" s="28"/>
      <c r="AB529" s="28"/>
      <c r="AC529" s="28"/>
    </row>
    <row r="530" spans="1:29" ht="13">
      <c r="A530" s="28"/>
      <c r="B530" s="28"/>
      <c r="C530" s="28"/>
      <c r="D530" s="28"/>
      <c r="E530" s="28"/>
      <c r="F530" s="28"/>
      <c r="G530" s="28"/>
      <c r="H530" s="28"/>
      <c r="I530" s="28"/>
      <c r="J530" s="28"/>
      <c r="K530" s="28"/>
      <c r="L530" s="28"/>
      <c r="M530" s="28"/>
      <c r="N530" s="28"/>
      <c r="O530" s="28"/>
      <c r="P530" s="28"/>
      <c r="Q530" s="28"/>
      <c r="R530" s="28"/>
      <c r="S530" s="28"/>
      <c r="T530" s="28"/>
      <c r="U530" s="28"/>
      <c r="V530" s="28"/>
      <c r="W530" s="28"/>
      <c r="X530" s="28"/>
      <c r="Y530" s="28"/>
      <c r="Z530" s="28"/>
      <c r="AA530" s="28"/>
      <c r="AB530" s="28"/>
      <c r="AC530" s="28"/>
    </row>
    <row r="531" spans="1:29" ht="13">
      <c r="A531" s="28"/>
      <c r="B531" s="28"/>
      <c r="C531" s="28"/>
      <c r="D531" s="28"/>
      <c r="E531" s="28"/>
      <c r="F531" s="28"/>
      <c r="G531" s="28"/>
      <c r="H531" s="28"/>
      <c r="I531" s="28"/>
      <c r="J531" s="28"/>
      <c r="K531" s="28"/>
      <c r="L531" s="28"/>
      <c r="M531" s="28"/>
      <c r="N531" s="28"/>
      <c r="O531" s="28"/>
      <c r="P531" s="28"/>
      <c r="Q531" s="28"/>
      <c r="R531" s="28"/>
      <c r="S531" s="28"/>
      <c r="T531" s="28"/>
      <c r="U531" s="28"/>
      <c r="V531" s="28"/>
      <c r="W531" s="28"/>
      <c r="X531" s="28"/>
      <c r="Y531" s="28"/>
      <c r="Z531" s="28"/>
      <c r="AA531" s="28"/>
      <c r="AB531" s="28"/>
      <c r="AC531" s="28"/>
    </row>
    <row r="532" spans="1:29" ht="13">
      <c r="A532" s="28"/>
      <c r="B532" s="28"/>
      <c r="C532" s="28"/>
      <c r="D532" s="28"/>
      <c r="E532" s="28"/>
      <c r="F532" s="28"/>
      <c r="G532" s="28"/>
      <c r="H532" s="28"/>
      <c r="I532" s="28"/>
      <c r="J532" s="28"/>
      <c r="K532" s="28"/>
      <c r="L532" s="28"/>
      <c r="M532" s="28"/>
      <c r="N532" s="28"/>
      <c r="O532" s="28"/>
      <c r="P532" s="28"/>
      <c r="Q532" s="28"/>
      <c r="R532" s="28"/>
      <c r="S532" s="28"/>
      <c r="T532" s="28"/>
      <c r="U532" s="28"/>
      <c r="V532" s="28"/>
      <c r="W532" s="28"/>
      <c r="X532" s="28"/>
      <c r="Y532" s="28"/>
      <c r="Z532" s="28"/>
      <c r="AA532" s="28"/>
      <c r="AB532" s="28"/>
      <c r="AC532" s="28"/>
    </row>
    <row r="533" spans="1:29" ht="13">
      <c r="A533" s="28"/>
      <c r="B533" s="28"/>
      <c r="C533" s="28"/>
      <c r="D533" s="28"/>
      <c r="E533" s="28"/>
      <c r="F533" s="28"/>
      <c r="G533" s="28"/>
      <c r="H533" s="28"/>
      <c r="I533" s="28"/>
      <c r="J533" s="28"/>
      <c r="K533" s="28"/>
      <c r="L533" s="28"/>
      <c r="M533" s="28"/>
      <c r="N533" s="28"/>
      <c r="O533" s="28"/>
      <c r="P533" s="28"/>
      <c r="Q533" s="28"/>
      <c r="R533" s="28"/>
      <c r="S533" s="28"/>
      <c r="T533" s="28"/>
      <c r="U533" s="28"/>
      <c r="V533" s="28"/>
      <c r="W533" s="28"/>
      <c r="X533" s="28"/>
      <c r="Y533" s="28"/>
      <c r="Z533" s="28"/>
      <c r="AA533" s="28"/>
      <c r="AB533" s="28"/>
      <c r="AC533" s="28"/>
    </row>
    <row r="534" spans="1:29" ht="13">
      <c r="A534" s="28"/>
      <c r="B534" s="28"/>
      <c r="C534" s="28"/>
      <c r="D534" s="28"/>
      <c r="E534" s="28"/>
      <c r="F534" s="28"/>
      <c r="G534" s="28"/>
      <c r="H534" s="28"/>
      <c r="I534" s="28"/>
      <c r="J534" s="28"/>
      <c r="K534" s="28"/>
      <c r="L534" s="28"/>
      <c r="M534" s="28"/>
      <c r="N534" s="28"/>
      <c r="O534" s="28"/>
      <c r="P534" s="28"/>
      <c r="Q534" s="28"/>
      <c r="R534" s="28"/>
      <c r="S534" s="28"/>
      <c r="T534" s="28"/>
      <c r="U534" s="28"/>
      <c r="V534" s="28"/>
      <c r="W534" s="28"/>
      <c r="X534" s="28"/>
      <c r="Y534" s="28"/>
      <c r="Z534" s="28"/>
      <c r="AA534" s="28"/>
      <c r="AB534" s="28"/>
      <c r="AC534" s="28"/>
    </row>
    <row r="535" spans="1:29" ht="13">
      <c r="A535" s="28"/>
      <c r="B535" s="28"/>
      <c r="C535" s="28"/>
      <c r="D535" s="28"/>
      <c r="E535" s="28"/>
      <c r="F535" s="28"/>
      <c r="G535" s="28"/>
      <c r="H535" s="28"/>
      <c r="I535" s="28"/>
      <c r="J535" s="28"/>
      <c r="K535" s="28"/>
      <c r="L535" s="28"/>
      <c r="M535" s="28"/>
      <c r="N535" s="28"/>
      <c r="O535" s="28"/>
      <c r="P535" s="28"/>
      <c r="Q535" s="28"/>
      <c r="R535" s="28"/>
      <c r="S535" s="28"/>
      <c r="T535" s="28"/>
      <c r="U535" s="28"/>
      <c r="V535" s="28"/>
      <c r="W535" s="28"/>
      <c r="X535" s="28"/>
      <c r="Y535" s="28"/>
      <c r="Z535" s="28"/>
      <c r="AA535" s="28"/>
      <c r="AB535" s="28"/>
      <c r="AC535" s="28"/>
    </row>
    <row r="536" spans="1:29" ht="13">
      <c r="A536" s="28"/>
      <c r="B536" s="28"/>
      <c r="C536" s="28"/>
      <c r="D536" s="28"/>
      <c r="E536" s="28"/>
      <c r="F536" s="28"/>
      <c r="G536" s="28"/>
      <c r="H536" s="28"/>
      <c r="I536" s="28"/>
      <c r="J536" s="28"/>
      <c r="K536" s="28"/>
      <c r="L536" s="28"/>
      <c r="M536" s="28"/>
      <c r="N536" s="28"/>
      <c r="O536" s="28"/>
      <c r="P536" s="28"/>
      <c r="Q536" s="28"/>
      <c r="R536" s="28"/>
      <c r="S536" s="28"/>
      <c r="T536" s="28"/>
      <c r="U536" s="28"/>
      <c r="V536" s="28"/>
      <c r="W536" s="28"/>
      <c r="X536" s="28"/>
      <c r="Y536" s="28"/>
      <c r="Z536" s="28"/>
      <c r="AA536" s="28"/>
      <c r="AB536" s="28"/>
      <c r="AC536" s="28"/>
    </row>
    <row r="537" spans="1:29" ht="13">
      <c r="A537" s="28"/>
      <c r="B537" s="28"/>
      <c r="C537" s="28"/>
      <c r="D537" s="28"/>
      <c r="E537" s="28"/>
      <c r="F537" s="28"/>
      <c r="G537" s="28"/>
      <c r="H537" s="28"/>
      <c r="I537" s="28"/>
      <c r="J537" s="28"/>
      <c r="K537" s="28"/>
      <c r="L537" s="28"/>
      <c r="M537" s="28"/>
      <c r="N537" s="28"/>
      <c r="O537" s="28"/>
      <c r="P537" s="28"/>
      <c r="Q537" s="28"/>
      <c r="R537" s="28"/>
      <c r="S537" s="28"/>
      <c r="T537" s="28"/>
      <c r="U537" s="28"/>
      <c r="V537" s="28"/>
      <c r="W537" s="28"/>
      <c r="X537" s="28"/>
      <c r="Y537" s="28"/>
      <c r="Z537" s="28"/>
      <c r="AA537" s="28"/>
      <c r="AB537" s="28"/>
      <c r="AC537" s="28"/>
    </row>
    <row r="538" spans="1:29" ht="13">
      <c r="A538" s="28"/>
      <c r="B538" s="28"/>
      <c r="C538" s="28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28"/>
    </row>
    <row r="539" spans="1:29" ht="13">
      <c r="A539" s="28"/>
      <c r="B539" s="28"/>
      <c r="C539" s="28"/>
      <c r="D539" s="28"/>
      <c r="E539" s="28"/>
      <c r="F539" s="28"/>
      <c r="G539" s="28"/>
      <c r="H539" s="28"/>
      <c r="I539" s="28"/>
      <c r="J539" s="28"/>
      <c r="K539" s="28"/>
      <c r="L539" s="28"/>
      <c r="M539" s="28"/>
      <c r="N539" s="28"/>
      <c r="O539" s="28"/>
      <c r="P539" s="28"/>
      <c r="Q539" s="28"/>
      <c r="R539" s="28"/>
      <c r="S539" s="28"/>
      <c r="T539" s="28"/>
      <c r="U539" s="28"/>
      <c r="V539" s="28"/>
      <c r="W539" s="28"/>
      <c r="X539" s="28"/>
      <c r="Y539" s="28"/>
      <c r="Z539" s="28"/>
      <c r="AA539" s="28"/>
      <c r="AB539" s="28"/>
      <c r="AC539" s="28"/>
    </row>
    <row r="540" spans="1:29" ht="13">
      <c r="A540" s="28"/>
      <c r="B540" s="28"/>
      <c r="C540" s="28"/>
      <c r="D540" s="28"/>
      <c r="E540" s="28"/>
      <c r="F540" s="28"/>
      <c r="G540" s="28"/>
      <c r="H540" s="28"/>
      <c r="I540" s="28"/>
      <c r="J540" s="28"/>
      <c r="K540" s="28"/>
      <c r="L540" s="28"/>
      <c r="M540" s="28"/>
      <c r="N540" s="28"/>
      <c r="O540" s="28"/>
      <c r="P540" s="28"/>
      <c r="Q540" s="28"/>
      <c r="R540" s="28"/>
      <c r="S540" s="28"/>
      <c r="T540" s="28"/>
      <c r="U540" s="28"/>
      <c r="V540" s="28"/>
      <c r="W540" s="28"/>
      <c r="X540" s="28"/>
      <c r="Y540" s="28"/>
      <c r="Z540" s="28"/>
      <c r="AA540" s="28"/>
      <c r="AB540" s="28"/>
      <c r="AC540" s="28"/>
    </row>
    <row r="541" spans="1:29" ht="13">
      <c r="A541" s="28"/>
      <c r="B541" s="28"/>
      <c r="C541" s="28"/>
      <c r="D541" s="28"/>
      <c r="E541" s="28"/>
      <c r="F541" s="28"/>
      <c r="G541" s="28"/>
      <c r="H541" s="28"/>
      <c r="I541" s="28"/>
      <c r="J541" s="28"/>
      <c r="K541" s="28"/>
      <c r="L541" s="28"/>
      <c r="M541" s="28"/>
      <c r="N541" s="28"/>
      <c r="O541" s="28"/>
      <c r="P541" s="28"/>
      <c r="Q541" s="28"/>
      <c r="R541" s="28"/>
      <c r="S541" s="28"/>
      <c r="T541" s="28"/>
      <c r="U541" s="28"/>
      <c r="V541" s="28"/>
      <c r="W541" s="28"/>
      <c r="X541" s="28"/>
      <c r="Y541" s="28"/>
      <c r="Z541" s="28"/>
      <c r="AA541" s="28"/>
      <c r="AB541" s="28"/>
      <c r="AC541" s="28"/>
    </row>
    <row r="542" spans="1:29" ht="13">
      <c r="A542" s="28"/>
      <c r="B542" s="28"/>
      <c r="C542" s="28"/>
      <c r="D542" s="28"/>
      <c r="E542" s="28"/>
      <c r="F542" s="28"/>
      <c r="G542" s="28"/>
      <c r="H542" s="28"/>
      <c r="I542" s="28"/>
      <c r="J542" s="28"/>
      <c r="K542" s="28"/>
      <c r="L542" s="28"/>
      <c r="M542" s="28"/>
      <c r="N542" s="28"/>
      <c r="O542" s="28"/>
      <c r="P542" s="28"/>
      <c r="Q542" s="28"/>
      <c r="R542" s="28"/>
      <c r="S542" s="28"/>
      <c r="T542" s="28"/>
      <c r="U542" s="28"/>
      <c r="V542" s="28"/>
      <c r="W542" s="28"/>
      <c r="X542" s="28"/>
      <c r="Y542" s="28"/>
      <c r="Z542" s="28"/>
      <c r="AA542" s="28"/>
      <c r="AB542" s="28"/>
      <c r="AC542" s="28"/>
    </row>
    <row r="543" spans="1:29" ht="13">
      <c r="A543" s="28"/>
      <c r="B543" s="28"/>
      <c r="C543" s="28"/>
      <c r="D543" s="28"/>
      <c r="E543" s="28"/>
      <c r="F543" s="28"/>
      <c r="G543" s="28"/>
      <c r="H543" s="28"/>
      <c r="I543" s="28"/>
      <c r="J543" s="28"/>
      <c r="K543" s="28"/>
      <c r="L543" s="28"/>
      <c r="M543" s="28"/>
      <c r="N543" s="28"/>
      <c r="O543" s="28"/>
      <c r="P543" s="28"/>
      <c r="Q543" s="28"/>
      <c r="R543" s="28"/>
      <c r="S543" s="28"/>
      <c r="T543" s="28"/>
      <c r="U543" s="28"/>
      <c r="V543" s="28"/>
      <c r="W543" s="28"/>
      <c r="X543" s="28"/>
      <c r="Y543" s="28"/>
      <c r="Z543" s="28"/>
      <c r="AA543" s="28"/>
      <c r="AB543" s="28"/>
      <c r="AC543" s="28"/>
    </row>
    <row r="544" spans="1:29" ht="13">
      <c r="A544" s="28"/>
      <c r="B544" s="28"/>
      <c r="C544" s="28"/>
      <c r="D544" s="28"/>
      <c r="E544" s="28"/>
      <c r="F544" s="28"/>
      <c r="G544" s="28"/>
      <c r="H544" s="28"/>
      <c r="I544" s="28"/>
      <c r="J544" s="28"/>
      <c r="K544" s="28"/>
      <c r="L544" s="28"/>
      <c r="M544" s="28"/>
      <c r="N544" s="28"/>
      <c r="O544" s="28"/>
      <c r="P544" s="28"/>
      <c r="Q544" s="28"/>
      <c r="R544" s="28"/>
      <c r="S544" s="28"/>
      <c r="T544" s="28"/>
      <c r="U544" s="28"/>
      <c r="V544" s="28"/>
      <c r="W544" s="28"/>
      <c r="X544" s="28"/>
      <c r="Y544" s="28"/>
      <c r="Z544" s="28"/>
      <c r="AA544" s="28"/>
      <c r="AB544" s="28"/>
      <c r="AC544" s="28"/>
    </row>
    <row r="545" spans="1:29" ht="13">
      <c r="A545" s="28"/>
      <c r="B545" s="28"/>
      <c r="C545" s="28"/>
      <c r="D545" s="28"/>
      <c r="E545" s="28"/>
      <c r="F545" s="28"/>
      <c r="G545" s="28"/>
      <c r="H545" s="28"/>
      <c r="I545" s="28"/>
      <c r="J545" s="28"/>
      <c r="K545" s="28"/>
      <c r="L545" s="28"/>
      <c r="M545" s="28"/>
      <c r="N545" s="28"/>
      <c r="O545" s="28"/>
      <c r="P545" s="28"/>
      <c r="Q545" s="28"/>
      <c r="R545" s="28"/>
      <c r="S545" s="28"/>
      <c r="T545" s="28"/>
      <c r="U545" s="28"/>
      <c r="V545" s="28"/>
      <c r="W545" s="28"/>
      <c r="X545" s="28"/>
      <c r="Y545" s="28"/>
      <c r="Z545" s="28"/>
      <c r="AA545" s="28"/>
      <c r="AB545" s="28"/>
      <c r="AC545" s="28"/>
    </row>
    <row r="546" spans="1:29" ht="13">
      <c r="A546" s="28"/>
      <c r="B546" s="28"/>
      <c r="C546" s="28"/>
      <c r="D546" s="28"/>
      <c r="E546" s="28"/>
      <c r="F546" s="28"/>
      <c r="G546" s="28"/>
      <c r="H546" s="28"/>
      <c r="I546" s="28"/>
      <c r="J546" s="28"/>
      <c r="K546" s="28"/>
      <c r="L546" s="28"/>
      <c r="M546" s="28"/>
      <c r="N546" s="28"/>
      <c r="O546" s="28"/>
      <c r="P546" s="28"/>
      <c r="Q546" s="28"/>
      <c r="R546" s="28"/>
      <c r="S546" s="28"/>
      <c r="T546" s="28"/>
      <c r="U546" s="28"/>
      <c r="V546" s="28"/>
      <c r="W546" s="28"/>
      <c r="X546" s="28"/>
      <c r="Y546" s="28"/>
      <c r="Z546" s="28"/>
      <c r="AA546" s="28"/>
      <c r="AB546" s="28"/>
      <c r="AC546" s="28"/>
    </row>
    <row r="547" spans="1:29" ht="13">
      <c r="A547" s="28"/>
      <c r="B547" s="28"/>
      <c r="C547" s="28"/>
      <c r="D547" s="28"/>
      <c r="E547" s="28"/>
      <c r="F547" s="28"/>
      <c r="G547" s="28"/>
      <c r="H547" s="28"/>
      <c r="I547" s="28"/>
      <c r="J547" s="28"/>
      <c r="K547" s="28"/>
      <c r="L547" s="28"/>
      <c r="M547" s="28"/>
      <c r="N547" s="28"/>
      <c r="O547" s="28"/>
      <c r="P547" s="28"/>
      <c r="Q547" s="28"/>
      <c r="R547" s="28"/>
      <c r="S547" s="28"/>
      <c r="T547" s="28"/>
      <c r="U547" s="28"/>
      <c r="V547" s="28"/>
      <c r="W547" s="28"/>
      <c r="X547" s="28"/>
      <c r="Y547" s="28"/>
      <c r="Z547" s="28"/>
      <c r="AA547" s="28"/>
      <c r="AB547" s="28"/>
      <c r="AC547" s="28"/>
    </row>
    <row r="548" spans="1:29" ht="13">
      <c r="A548" s="28"/>
      <c r="B548" s="28"/>
      <c r="C548" s="28"/>
      <c r="D548" s="28"/>
      <c r="E548" s="28"/>
      <c r="F548" s="28"/>
      <c r="G548" s="28"/>
      <c r="H548" s="28"/>
      <c r="I548" s="28"/>
      <c r="J548" s="28"/>
      <c r="K548" s="28"/>
      <c r="L548" s="28"/>
      <c r="M548" s="28"/>
      <c r="N548" s="28"/>
      <c r="O548" s="28"/>
      <c r="P548" s="28"/>
      <c r="Q548" s="28"/>
      <c r="R548" s="28"/>
      <c r="S548" s="28"/>
      <c r="T548" s="28"/>
      <c r="U548" s="28"/>
      <c r="V548" s="28"/>
      <c r="W548" s="28"/>
      <c r="X548" s="28"/>
      <c r="Y548" s="28"/>
      <c r="Z548" s="28"/>
      <c r="AA548" s="28"/>
      <c r="AB548" s="28"/>
      <c r="AC548" s="28"/>
    </row>
    <row r="549" spans="1:29" ht="13">
      <c r="A549" s="28"/>
      <c r="B549" s="28"/>
      <c r="C549" s="28"/>
      <c r="D549" s="28"/>
      <c r="E549" s="28"/>
      <c r="F549" s="28"/>
      <c r="G549" s="28"/>
      <c r="H549" s="28"/>
      <c r="I549" s="28"/>
      <c r="J549" s="28"/>
      <c r="K549" s="28"/>
      <c r="L549" s="28"/>
      <c r="M549" s="28"/>
      <c r="N549" s="28"/>
      <c r="O549" s="28"/>
      <c r="P549" s="28"/>
      <c r="Q549" s="28"/>
      <c r="R549" s="28"/>
      <c r="S549" s="28"/>
      <c r="T549" s="28"/>
      <c r="U549" s="28"/>
      <c r="V549" s="28"/>
      <c r="W549" s="28"/>
      <c r="X549" s="28"/>
      <c r="Y549" s="28"/>
      <c r="Z549" s="28"/>
      <c r="AA549" s="28"/>
      <c r="AB549" s="28"/>
      <c r="AC549" s="28"/>
    </row>
    <row r="550" spans="1:29" ht="13">
      <c r="A550" s="28"/>
      <c r="B550" s="28"/>
      <c r="C550" s="28"/>
      <c r="D550" s="28"/>
      <c r="E550" s="28"/>
      <c r="F550" s="28"/>
      <c r="G550" s="28"/>
      <c r="H550" s="28"/>
      <c r="I550" s="28"/>
      <c r="J550" s="28"/>
      <c r="K550" s="28"/>
      <c r="L550" s="28"/>
      <c r="M550" s="28"/>
      <c r="N550" s="28"/>
      <c r="O550" s="28"/>
      <c r="P550" s="28"/>
      <c r="Q550" s="28"/>
      <c r="R550" s="28"/>
      <c r="S550" s="28"/>
      <c r="T550" s="28"/>
      <c r="U550" s="28"/>
      <c r="V550" s="28"/>
      <c r="W550" s="28"/>
      <c r="X550" s="28"/>
      <c r="Y550" s="28"/>
      <c r="Z550" s="28"/>
      <c r="AA550" s="28"/>
      <c r="AB550" s="28"/>
      <c r="AC550" s="28"/>
    </row>
    <row r="551" spans="1:29" ht="13">
      <c r="A551" s="28"/>
      <c r="B551" s="28"/>
      <c r="C551" s="28"/>
      <c r="D551" s="28"/>
      <c r="E551" s="28"/>
      <c r="F551" s="28"/>
      <c r="G551" s="28"/>
      <c r="H551" s="28"/>
      <c r="I551" s="28"/>
      <c r="J551" s="28"/>
      <c r="K551" s="28"/>
      <c r="L551" s="28"/>
      <c r="M551" s="28"/>
      <c r="N551" s="28"/>
      <c r="O551" s="28"/>
      <c r="P551" s="28"/>
      <c r="Q551" s="28"/>
      <c r="R551" s="28"/>
      <c r="S551" s="28"/>
      <c r="T551" s="28"/>
      <c r="U551" s="28"/>
      <c r="V551" s="28"/>
      <c r="W551" s="28"/>
      <c r="X551" s="28"/>
      <c r="Y551" s="28"/>
      <c r="Z551" s="28"/>
      <c r="AA551" s="28"/>
      <c r="AB551" s="28"/>
      <c r="AC551" s="28"/>
    </row>
    <row r="552" spans="1:29" ht="13">
      <c r="A552" s="28"/>
      <c r="B552" s="28"/>
      <c r="C552" s="28"/>
      <c r="D552" s="28"/>
      <c r="E552" s="28"/>
      <c r="F552" s="28"/>
      <c r="G552" s="28"/>
      <c r="H552" s="28"/>
      <c r="I552" s="28"/>
      <c r="J552" s="28"/>
      <c r="K552" s="28"/>
      <c r="L552" s="28"/>
      <c r="M552" s="28"/>
      <c r="N552" s="28"/>
      <c r="O552" s="28"/>
      <c r="P552" s="28"/>
      <c r="Q552" s="28"/>
      <c r="R552" s="28"/>
      <c r="S552" s="28"/>
      <c r="T552" s="28"/>
      <c r="U552" s="28"/>
      <c r="V552" s="28"/>
      <c r="W552" s="28"/>
      <c r="X552" s="28"/>
      <c r="Y552" s="28"/>
      <c r="Z552" s="28"/>
      <c r="AA552" s="28"/>
      <c r="AB552" s="28"/>
      <c r="AC552" s="28"/>
    </row>
    <row r="553" spans="1:29" ht="13">
      <c r="A553" s="28"/>
      <c r="B553" s="28"/>
      <c r="C553" s="28"/>
      <c r="D553" s="28"/>
      <c r="E553" s="28"/>
      <c r="F553" s="28"/>
      <c r="G553" s="28"/>
      <c r="H553" s="28"/>
      <c r="I553" s="28"/>
      <c r="J553" s="28"/>
      <c r="K553" s="28"/>
      <c r="L553" s="28"/>
      <c r="M553" s="28"/>
      <c r="N553" s="28"/>
      <c r="O553" s="28"/>
      <c r="P553" s="28"/>
      <c r="Q553" s="28"/>
      <c r="R553" s="28"/>
      <c r="S553" s="28"/>
      <c r="T553" s="28"/>
      <c r="U553" s="28"/>
      <c r="V553" s="28"/>
      <c r="W553" s="28"/>
      <c r="X553" s="28"/>
      <c r="Y553" s="28"/>
      <c r="Z553" s="28"/>
      <c r="AA553" s="28"/>
      <c r="AB553" s="28"/>
      <c r="AC553" s="28"/>
    </row>
    <row r="554" spans="1:29" ht="13">
      <c r="A554" s="28"/>
      <c r="B554" s="28"/>
      <c r="C554" s="28"/>
      <c r="D554" s="28"/>
      <c r="E554" s="28"/>
      <c r="F554" s="28"/>
      <c r="G554" s="28"/>
      <c r="H554" s="28"/>
      <c r="I554" s="28"/>
      <c r="J554" s="28"/>
      <c r="K554" s="28"/>
      <c r="L554" s="28"/>
      <c r="M554" s="28"/>
      <c r="N554" s="28"/>
      <c r="O554" s="28"/>
      <c r="P554" s="28"/>
      <c r="Q554" s="28"/>
      <c r="R554" s="28"/>
      <c r="S554" s="28"/>
      <c r="T554" s="28"/>
      <c r="U554" s="28"/>
      <c r="V554" s="28"/>
      <c r="W554" s="28"/>
      <c r="X554" s="28"/>
      <c r="Y554" s="28"/>
      <c r="Z554" s="28"/>
      <c r="AA554" s="28"/>
      <c r="AB554" s="28"/>
      <c r="AC554" s="28"/>
    </row>
    <row r="555" spans="1:29" ht="13">
      <c r="A555" s="28"/>
      <c r="B555" s="28"/>
      <c r="C555" s="28"/>
      <c r="D555" s="28"/>
      <c r="E555" s="28"/>
      <c r="F555" s="28"/>
      <c r="G555" s="28"/>
      <c r="H555" s="28"/>
      <c r="I555" s="28"/>
      <c r="J555" s="28"/>
      <c r="K555" s="28"/>
      <c r="L555" s="28"/>
      <c r="M555" s="28"/>
      <c r="N555" s="28"/>
      <c r="O555" s="28"/>
      <c r="P555" s="28"/>
      <c r="Q555" s="28"/>
      <c r="R555" s="28"/>
      <c r="S555" s="28"/>
      <c r="T555" s="28"/>
      <c r="U555" s="28"/>
      <c r="V555" s="28"/>
      <c r="W555" s="28"/>
      <c r="X555" s="28"/>
      <c r="Y555" s="28"/>
      <c r="Z555" s="28"/>
      <c r="AA555" s="28"/>
      <c r="AB555" s="28"/>
      <c r="AC555" s="28"/>
    </row>
    <row r="556" spans="1:29" ht="13">
      <c r="A556" s="28"/>
      <c r="B556" s="28"/>
      <c r="C556" s="28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28"/>
    </row>
    <row r="557" spans="1:29" ht="13">
      <c r="A557" s="28"/>
      <c r="B557" s="28"/>
      <c r="C557" s="28"/>
      <c r="D557" s="28"/>
      <c r="E557" s="28"/>
      <c r="F557" s="28"/>
      <c r="G557" s="28"/>
      <c r="H557" s="28"/>
      <c r="I557" s="28"/>
      <c r="J557" s="28"/>
      <c r="K557" s="28"/>
      <c r="L557" s="28"/>
      <c r="M557" s="28"/>
      <c r="N557" s="28"/>
      <c r="O557" s="28"/>
      <c r="P557" s="28"/>
      <c r="Q557" s="28"/>
      <c r="R557" s="28"/>
      <c r="S557" s="28"/>
      <c r="T557" s="28"/>
      <c r="U557" s="28"/>
      <c r="V557" s="28"/>
      <c r="W557" s="28"/>
      <c r="X557" s="28"/>
      <c r="Y557" s="28"/>
      <c r="Z557" s="28"/>
      <c r="AA557" s="28"/>
      <c r="AB557" s="28"/>
      <c r="AC557" s="28"/>
    </row>
    <row r="558" spans="1:29" ht="13">
      <c r="A558" s="28"/>
      <c r="B558" s="28"/>
      <c r="C558" s="28"/>
      <c r="D558" s="28"/>
      <c r="E558" s="28"/>
      <c r="F558" s="28"/>
      <c r="G558" s="28"/>
      <c r="H558" s="28"/>
      <c r="I558" s="28"/>
      <c r="J558" s="28"/>
      <c r="K558" s="28"/>
      <c r="L558" s="28"/>
      <c r="M558" s="28"/>
      <c r="N558" s="28"/>
      <c r="O558" s="28"/>
      <c r="P558" s="28"/>
      <c r="Q558" s="28"/>
      <c r="R558" s="28"/>
      <c r="S558" s="28"/>
      <c r="T558" s="28"/>
      <c r="U558" s="28"/>
      <c r="V558" s="28"/>
      <c r="W558" s="28"/>
      <c r="X558" s="28"/>
      <c r="Y558" s="28"/>
      <c r="Z558" s="28"/>
      <c r="AA558" s="28"/>
      <c r="AB558" s="28"/>
      <c r="AC558" s="28"/>
    </row>
    <row r="559" spans="1:29" ht="13">
      <c r="A559" s="28"/>
      <c r="B559" s="28"/>
      <c r="C559" s="28"/>
      <c r="D559" s="28"/>
      <c r="E559" s="28"/>
      <c r="F559" s="28"/>
      <c r="G559" s="28"/>
      <c r="H559" s="28"/>
      <c r="I559" s="28"/>
      <c r="J559" s="28"/>
      <c r="K559" s="28"/>
      <c r="L559" s="28"/>
      <c r="M559" s="28"/>
      <c r="N559" s="28"/>
      <c r="O559" s="28"/>
      <c r="P559" s="28"/>
      <c r="Q559" s="28"/>
      <c r="R559" s="28"/>
      <c r="S559" s="28"/>
      <c r="T559" s="28"/>
      <c r="U559" s="28"/>
      <c r="V559" s="28"/>
      <c r="W559" s="28"/>
      <c r="X559" s="28"/>
      <c r="Y559" s="28"/>
      <c r="Z559" s="28"/>
      <c r="AA559" s="28"/>
      <c r="AB559" s="28"/>
      <c r="AC559" s="28"/>
    </row>
    <row r="560" spans="1:29" ht="13">
      <c r="A560" s="28"/>
      <c r="B560" s="28"/>
      <c r="C560" s="28"/>
      <c r="D560" s="28"/>
      <c r="E560" s="28"/>
      <c r="F560" s="28"/>
      <c r="G560" s="28"/>
      <c r="H560" s="28"/>
      <c r="I560" s="28"/>
      <c r="J560" s="28"/>
      <c r="K560" s="28"/>
      <c r="L560" s="28"/>
      <c r="M560" s="28"/>
      <c r="N560" s="28"/>
      <c r="O560" s="28"/>
      <c r="P560" s="28"/>
      <c r="Q560" s="28"/>
      <c r="R560" s="28"/>
      <c r="S560" s="28"/>
      <c r="T560" s="28"/>
      <c r="U560" s="28"/>
      <c r="V560" s="28"/>
      <c r="W560" s="28"/>
      <c r="X560" s="28"/>
      <c r="Y560" s="28"/>
      <c r="Z560" s="28"/>
      <c r="AA560" s="28"/>
      <c r="AB560" s="28"/>
      <c r="AC560" s="28"/>
    </row>
    <row r="561" spans="1:29" ht="13">
      <c r="A561" s="28"/>
      <c r="B561" s="28"/>
      <c r="C561" s="28"/>
      <c r="D561" s="28"/>
      <c r="E561" s="28"/>
      <c r="F561" s="28"/>
      <c r="G561" s="28"/>
      <c r="H561" s="28"/>
      <c r="I561" s="28"/>
      <c r="J561" s="28"/>
      <c r="K561" s="28"/>
      <c r="L561" s="28"/>
      <c r="M561" s="28"/>
      <c r="N561" s="28"/>
      <c r="O561" s="28"/>
      <c r="P561" s="28"/>
      <c r="Q561" s="28"/>
      <c r="R561" s="28"/>
      <c r="S561" s="28"/>
      <c r="T561" s="28"/>
      <c r="U561" s="28"/>
      <c r="V561" s="28"/>
      <c r="W561" s="28"/>
      <c r="X561" s="28"/>
      <c r="Y561" s="28"/>
      <c r="Z561" s="28"/>
      <c r="AA561" s="28"/>
      <c r="AB561" s="28"/>
      <c r="AC561" s="28"/>
    </row>
    <row r="562" spans="1:29" ht="13">
      <c r="A562" s="28"/>
      <c r="B562" s="28"/>
      <c r="C562" s="28"/>
      <c r="D562" s="28"/>
      <c r="E562" s="28"/>
      <c r="F562" s="28"/>
      <c r="G562" s="28"/>
      <c r="H562" s="28"/>
      <c r="I562" s="28"/>
      <c r="J562" s="28"/>
      <c r="K562" s="28"/>
      <c r="L562" s="28"/>
      <c r="M562" s="28"/>
      <c r="N562" s="28"/>
      <c r="O562" s="28"/>
      <c r="P562" s="28"/>
      <c r="Q562" s="28"/>
      <c r="R562" s="28"/>
      <c r="S562" s="28"/>
      <c r="T562" s="28"/>
      <c r="U562" s="28"/>
      <c r="V562" s="28"/>
      <c r="W562" s="28"/>
      <c r="X562" s="28"/>
      <c r="Y562" s="28"/>
      <c r="Z562" s="28"/>
      <c r="AA562" s="28"/>
      <c r="AB562" s="28"/>
      <c r="AC562" s="28"/>
    </row>
    <row r="563" spans="1:29" ht="13">
      <c r="A563" s="28"/>
      <c r="B563" s="28"/>
      <c r="C563" s="28"/>
      <c r="D563" s="28"/>
      <c r="E563" s="28"/>
      <c r="F563" s="28"/>
      <c r="G563" s="28"/>
      <c r="H563" s="28"/>
      <c r="I563" s="28"/>
      <c r="J563" s="28"/>
      <c r="K563" s="28"/>
      <c r="L563" s="28"/>
      <c r="M563" s="28"/>
      <c r="N563" s="28"/>
      <c r="O563" s="28"/>
      <c r="P563" s="28"/>
      <c r="Q563" s="28"/>
      <c r="R563" s="28"/>
      <c r="S563" s="28"/>
      <c r="T563" s="28"/>
      <c r="U563" s="28"/>
      <c r="V563" s="28"/>
      <c r="W563" s="28"/>
      <c r="X563" s="28"/>
      <c r="Y563" s="28"/>
      <c r="Z563" s="28"/>
      <c r="AA563" s="28"/>
      <c r="AB563" s="28"/>
      <c r="AC563" s="28"/>
    </row>
    <row r="564" spans="1:29" ht="13">
      <c r="A564" s="28"/>
      <c r="B564" s="28"/>
      <c r="C564" s="28"/>
      <c r="D564" s="28"/>
      <c r="E564" s="28"/>
      <c r="F564" s="28"/>
      <c r="G564" s="28"/>
      <c r="H564" s="28"/>
      <c r="I564" s="28"/>
      <c r="J564" s="28"/>
      <c r="K564" s="28"/>
      <c r="L564" s="28"/>
      <c r="M564" s="28"/>
      <c r="N564" s="28"/>
      <c r="O564" s="28"/>
      <c r="P564" s="28"/>
      <c r="Q564" s="28"/>
      <c r="R564" s="28"/>
      <c r="S564" s="28"/>
      <c r="T564" s="28"/>
      <c r="U564" s="28"/>
      <c r="V564" s="28"/>
      <c r="W564" s="28"/>
      <c r="X564" s="28"/>
      <c r="Y564" s="28"/>
      <c r="Z564" s="28"/>
      <c r="AA564" s="28"/>
      <c r="AB564" s="28"/>
      <c r="AC564" s="28"/>
    </row>
    <row r="565" spans="1:29" ht="13">
      <c r="A565" s="28"/>
      <c r="B565" s="28"/>
      <c r="C565" s="28"/>
      <c r="D565" s="28"/>
      <c r="E565" s="28"/>
      <c r="F565" s="28"/>
      <c r="G565" s="28"/>
      <c r="H565" s="28"/>
      <c r="I565" s="28"/>
      <c r="J565" s="28"/>
      <c r="K565" s="28"/>
      <c r="L565" s="28"/>
      <c r="M565" s="28"/>
      <c r="N565" s="28"/>
      <c r="O565" s="28"/>
      <c r="P565" s="28"/>
      <c r="Q565" s="28"/>
      <c r="R565" s="28"/>
      <c r="S565" s="28"/>
      <c r="T565" s="28"/>
      <c r="U565" s="28"/>
      <c r="V565" s="28"/>
      <c r="W565" s="28"/>
      <c r="X565" s="28"/>
      <c r="Y565" s="28"/>
      <c r="Z565" s="28"/>
      <c r="AA565" s="28"/>
      <c r="AB565" s="28"/>
      <c r="AC565" s="28"/>
    </row>
    <row r="566" spans="1:29" ht="13">
      <c r="A566" s="28"/>
      <c r="B566" s="28"/>
      <c r="C566" s="28"/>
      <c r="D566" s="28"/>
      <c r="E566" s="28"/>
      <c r="F566" s="28"/>
      <c r="G566" s="28"/>
      <c r="H566" s="28"/>
      <c r="I566" s="28"/>
      <c r="J566" s="28"/>
      <c r="K566" s="28"/>
      <c r="L566" s="28"/>
      <c r="M566" s="28"/>
      <c r="N566" s="28"/>
      <c r="O566" s="28"/>
      <c r="P566" s="28"/>
      <c r="Q566" s="28"/>
      <c r="R566" s="28"/>
      <c r="S566" s="28"/>
      <c r="T566" s="28"/>
      <c r="U566" s="28"/>
      <c r="V566" s="28"/>
      <c r="W566" s="28"/>
      <c r="X566" s="28"/>
      <c r="Y566" s="28"/>
      <c r="Z566" s="28"/>
      <c r="AA566" s="28"/>
      <c r="AB566" s="28"/>
      <c r="AC566" s="28"/>
    </row>
    <row r="567" spans="1:29" ht="13">
      <c r="A567" s="28"/>
      <c r="B567" s="28"/>
      <c r="C567" s="28"/>
      <c r="D567" s="28"/>
      <c r="E567" s="28"/>
      <c r="F567" s="28"/>
      <c r="G567" s="28"/>
      <c r="H567" s="28"/>
      <c r="I567" s="28"/>
      <c r="J567" s="28"/>
      <c r="K567" s="28"/>
      <c r="L567" s="28"/>
      <c r="M567" s="28"/>
      <c r="N567" s="28"/>
      <c r="O567" s="28"/>
      <c r="P567" s="28"/>
      <c r="Q567" s="28"/>
      <c r="R567" s="28"/>
      <c r="S567" s="28"/>
      <c r="T567" s="28"/>
      <c r="U567" s="28"/>
      <c r="V567" s="28"/>
      <c r="W567" s="28"/>
      <c r="X567" s="28"/>
      <c r="Y567" s="28"/>
      <c r="Z567" s="28"/>
      <c r="AA567" s="28"/>
      <c r="AB567" s="28"/>
      <c r="AC567" s="28"/>
    </row>
    <row r="568" spans="1:29" ht="13">
      <c r="A568" s="28"/>
      <c r="B568" s="28"/>
      <c r="C568" s="28"/>
      <c r="D568" s="28"/>
      <c r="E568" s="28"/>
      <c r="F568" s="28"/>
      <c r="G568" s="28"/>
      <c r="H568" s="28"/>
      <c r="I568" s="28"/>
      <c r="J568" s="28"/>
      <c r="K568" s="28"/>
      <c r="L568" s="28"/>
      <c r="M568" s="28"/>
      <c r="N568" s="28"/>
      <c r="O568" s="28"/>
      <c r="P568" s="28"/>
      <c r="Q568" s="28"/>
      <c r="R568" s="28"/>
      <c r="S568" s="28"/>
      <c r="T568" s="28"/>
      <c r="U568" s="28"/>
      <c r="V568" s="28"/>
      <c r="W568" s="28"/>
      <c r="X568" s="28"/>
      <c r="Y568" s="28"/>
      <c r="Z568" s="28"/>
      <c r="AA568" s="28"/>
      <c r="AB568" s="28"/>
      <c r="AC568" s="28"/>
    </row>
    <row r="569" spans="1:29" ht="13">
      <c r="A569" s="28"/>
      <c r="B569" s="28"/>
      <c r="C569" s="28"/>
      <c r="D569" s="28"/>
      <c r="E569" s="28"/>
      <c r="F569" s="28"/>
      <c r="G569" s="28"/>
      <c r="H569" s="28"/>
      <c r="I569" s="28"/>
      <c r="J569" s="28"/>
      <c r="K569" s="28"/>
      <c r="L569" s="28"/>
      <c r="M569" s="28"/>
      <c r="N569" s="28"/>
      <c r="O569" s="28"/>
      <c r="P569" s="28"/>
      <c r="Q569" s="28"/>
      <c r="R569" s="28"/>
      <c r="S569" s="28"/>
      <c r="T569" s="28"/>
      <c r="U569" s="28"/>
      <c r="V569" s="28"/>
      <c r="W569" s="28"/>
      <c r="X569" s="28"/>
      <c r="Y569" s="28"/>
      <c r="Z569" s="28"/>
      <c r="AA569" s="28"/>
      <c r="AB569" s="28"/>
      <c r="AC569" s="28"/>
    </row>
    <row r="570" spans="1:29" ht="13">
      <c r="A570" s="28"/>
      <c r="B570" s="28"/>
      <c r="C570" s="28"/>
      <c r="D570" s="28"/>
      <c r="E570" s="28"/>
      <c r="F570" s="28"/>
      <c r="G570" s="28"/>
      <c r="H570" s="28"/>
      <c r="I570" s="28"/>
      <c r="J570" s="28"/>
      <c r="K570" s="28"/>
      <c r="L570" s="28"/>
      <c r="M570" s="28"/>
      <c r="N570" s="28"/>
      <c r="O570" s="28"/>
      <c r="P570" s="28"/>
      <c r="Q570" s="28"/>
      <c r="R570" s="28"/>
      <c r="S570" s="28"/>
      <c r="T570" s="28"/>
      <c r="U570" s="28"/>
      <c r="V570" s="28"/>
      <c r="W570" s="28"/>
      <c r="X570" s="28"/>
      <c r="Y570" s="28"/>
      <c r="Z570" s="28"/>
      <c r="AA570" s="28"/>
      <c r="AB570" s="28"/>
      <c r="AC570" s="28"/>
    </row>
    <row r="571" spans="1:29" ht="13">
      <c r="A571" s="28"/>
      <c r="B571" s="28"/>
      <c r="C571" s="28"/>
      <c r="D571" s="28"/>
      <c r="E571" s="28"/>
      <c r="F571" s="28"/>
      <c r="G571" s="28"/>
      <c r="H571" s="28"/>
      <c r="I571" s="28"/>
      <c r="J571" s="28"/>
      <c r="K571" s="28"/>
      <c r="L571" s="28"/>
      <c r="M571" s="28"/>
      <c r="N571" s="28"/>
      <c r="O571" s="28"/>
      <c r="P571" s="28"/>
      <c r="Q571" s="28"/>
      <c r="R571" s="28"/>
      <c r="S571" s="28"/>
      <c r="T571" s="28"/>
      <c r="U571" s="28"/>
      <c r="V571" s="28"/>
      <c r="W571" s="28"/>
      <c r="X571" s="28"/>
      <c r="Y571" s="28"/>
      <c r="Z571" s="28"/>
      <c r="AA571" s="28"/>
      <c r="AB571" s="28"/>
      <c r="AC571" s="28"/>
    </row>
    <row r="572" spans="1:29" ht="13">
      <c r="A572" s="28"/>
      <c r="B572" s="28"/>
      <c r="C572" s="28"/>
      <c r="D572" s="28"/>
      <c r="E572" s="28"/>
      <c r="F572" s="28"/>
      <c r="G572" s="28"/>
      <c r="H572" s="28"/>
      <c r="I572" s="28"/>
      <c r="J572" s="28"/>
      <c r="K572" s="28"/>
      <c r="L572" s="28"/>
      <c r="M572" s="28"/>
      <c r="N572" s="28"/>
      <c r="O572" s="28"/>
      <c r="P572" s="28"/>
      <c r="Q572" s="28"/>
      <c r="R572" s="28"/>
      <c r="S572" s="28"/>
      <c r="T572" s="28"/>
      <c r="U572" s="28"/>
      <c r="V572" s="28"/>
      <c r="W572" s="28"/>
      <c r="X572" s="28"/>
      <c r="Y572" s="28"/>
      <c r="Z572" s="28"/>
      <c r="AA572" s="28"/>
      <c r="AB572" s="28"/>
      <c r="AC572" s="28"/>
    </row>
    <row r="573" spans="1:29" ht="13">
      <c r="A573" s="28"/>
      <c r="B573" s="28"/>
      <c r="C573" s="28"/>
      <c r="D573" s="28"/>
      <c r="E573" s="28"/>
      <c r="F573" s="28"/>
      <c r="G573" s="28"/>
      <c r="H573" s="28"/>
      <c r="I573" s="28"/>
      <c r="J573" s="28"/>
      <c r="K573" s="28"/>
      <c r="L573" s="28"/>
      <c r="M573" s="28"/>
      <c r="N573" s="28"/>
      <c r="O573" s="28"/>
      <c r="P573" s="28"/>
      <c r="Q573" s="28"/>
      <c r="R573" s="28"/>
      <c r="S573" s="28"/>
      <c r="T573" s="28"/>
      <c r="U573" s="28"/>
      <c r="V573" s="28"/>
      <c r="W573" s="28"/>
      <c r="X573" s="28"/>
      <c r="Y573" s="28"/>
      <c r="Z573" s="28"/>
      <c r="AA573" s="28"/>
      <c r="AB573" s="28"/>
      <c r="AC573" s="28"/>
    </row>
    <row r="574" spans="1:29" ht="13">
      <c r="A574" s="28"/>
      <c r="B574" s="28"/>
      <c r="C574" s="28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28"/>
      <c r="AC574" s="28"/>
    </row>
    <row r="575" spans="1:29" ht="13">
      <c r="A575" s="28"/>
      <c r="B575" s="28"/>
      <c r="C575" s="28"/>
      <c r="D575" s="28"/>
      <c r="E575" s="28"/>
      <c r="F575" s="28"/>
      <c r="G575" s="28"/>
      <c r="H575" s="28"/>
      <c r="I575" s="28"/>
      <c r="J575" s="28"/>
      <c r="K575" s="28"/>
      <c r="L575" s="28"/>
      <c r="M575" s="28"/>
      <c r="N575" s="28"/>
      <c r="O575" s="28"/>
      <c r="P575" s="28"/>
      <c r="Q575" s="28"/>
      <c r="R575" s="28"/>
      <c r="S575" s="28"/>
      <c r="T575" s="28"/>
      <c r="U575" s="28"/>
      <c r="V575" s="28"/>
      <c r="W575" s="28"/>
      <c r="X575" s="28"/>
      <c r="Y575" s="28"/>
      <c r="Z575" s="28"/>
      <c r="AA575" s="28"/>
      <c r="AB575" s="28"/>
      <c r="AC575" s="28"/>
    </row>
    <row r="576" spans="1:29" ht="13">
      <c r="A576" s="28"/>
      <c r="B576" s="28"/>
      <c r="C576" s="28"/>
      <c r="D576" s="28"/>
      <c r="E576" s="28"/>
      <c r="F576" s="28"/>
      <c r="G576" s="28"/>
      <c r="H576" s="28"/>
      <c r="I576" s="28"/>
      <c r="J576" s="28"/>
      <c r="K576" s="28"/>
      <c r="L576" s="28"/>
      <c r="M576" s="28"/>
      <c r="N576" s="28"/>
      <c r="O576" s="28"/>
      <c r="P576" s="28"/>
      <c r="Q576" s="28"/>
      <c r="R576" s="28"/>
      <c r="S576" s="28"/>
      <c r="T576" s="28"/>
      <c r="U576" s="28"/>
      <c r="V576" s="28"/>
      <c r="W576" s="28"/>
      <c r="X576" s="28"/>
      <c r="Y576" s="28"/>
      <c r="Z576" s="28"/>
      <c r="AA576" s="28"/>
      <c r="AB576" s="28"/>
      <c r="AC576" s="28"/>
    </row>
    <row r="577" spans="1:29" ht="13">
      <c r="A577" s="28"/>
      <c r="B577" s="28"/>
      <c r="C577" s="28"/>
      <c r="D577" s="28"/>
      <c r="E577" s="28"/>
      <c r="F577" s="28"/>
      <c r="G577" s="28"/>
      <c r="H577" s="28"/>
      <c r="I577" s="28"/>
      <c r="J577" s="28"/>
      <c r="K577" s="28"/>
      <c r="L577" s="28"/>
      <c r="M577" s="28"/>
      <c r="N577" s="28"/>
      <c r="O577" s="28"/>
      <c r="P577" s="28"/>
      <c r="Q577" s="28"/>
      <c r="R577" s="28"/>
      <c r="S577" s="28"/>
      <c r="T577" s="28"/>
      <c r="U577" s="28"/>
      <c r="V577" s="28"/>
      <c r="W577" s="28"/>
      <c r="X577" s="28"/>
      <c r="Y577" s="28"/>
      <c r="Z577" s="28"/>
      <c r="AA577" s="28"/>
      <c r="AB577" s="28"/>
      <c r="AC577" s="28"/>
    </row>
    <row r="578" spans="1:29" ht="13">
      <c r="A578" s="28"/>
      <c r="B578" s="28"/>
      <c r="C578" s="28"/>
      <c r="D578" s="28"/>
      <c r="E578" s="28"/>
      <c r="F578" s="28"/>
      <c r="G578" s="28"/>
      <c r="H578" s="28"/>
      <c r="I578" s="28"/>
      <c r="J578" s="28"/>
      <c r="K578" s="28"/>
      <c r="L578" s="28"/>
      <c r="M578" s="28"/>
      <c r="N578" s="28"/>
      <c r="O578" s="28"/>
      <c r="P578" s="28"/>
      <c r="Q578" s="28"/>
      <c r="R578" s="28"/>
      <c r="S578" s="28"/>
      <c r="T578" s="28"/>
      <c r="U578" s="28"/>
      <c r="V578" s="28"/>
      <c r="W578" s="28"/>
      <c r="X578" s="28"/>
      <c r="Y578" s="28"/>
      <c r="Z578" s="28"/>
      <c r="AA578" s="28"/>
      <c r="AB578" s="28"/>
      <c r="AC578" s="28"/>
    </row>
    <row r="579" spans="1:29" ht="13">
      <c r="A579" s="28"/>
      <c r="B579" s="28"/>
      <c r="C579" s="28"/>
      <c r="D579" s="28"/>
      <c r="E579" s="28"/>
      <c r="F579" s="28"/>
      <c r="G579" s="28"/>
      <c r="H579" s="28"/>
      <c r="I579" s="28"/>
      <c r="J579" s="28"/>
      <c r="K579" s="28"/>
      <c r="L579" s="28"/>
      <c r="M579" s="28"/>
      <c r="N579" s="28"/>
      <c r="O579" s="28"/>
      <c r="P579" s="28"/>
      <c r="Q579" s="28"/>
      <c r="R579" s="28"/>
      <c r="S579" s="28"/>
      <c r="T579" s="28"/>
      <c r="U579" s="28"/>
      <c r="V579" s="28"/>
      <c r="W579" s="28"/>
      <c r="X579" s="28"/>
      <c r="Y579" s="28"/>
      <c r="Z579" s="28"/>
      <c r="AA579" s="28"/>
      <c r="AB579" s="28"/>
      <c r="AC579" s="28"/>
    </row>
    <row r="580" spans="1:29" ht="13">
      <c r="A580" s="28"/>
      <c r="B580" s="28"/>
      <c r="C580" s="28"/>
      <c r="D580" s="28"/>
      <c r="E580" s="28"/>
      <c r="F580" s="28"/>
      <c r="G580" s="28"/>
      <c r="H580" s="28"/>
      <c r="I580" s="28"/>
      <c r="J580" s="28"/>
      <c r="K580" s="28"/>
      <c r="L580" s="28"/>
      <c r="M580" s="28"/>
      <c r="N580" s="28"/>
      <c r="O580" s="28"/>
      <c r="P580" s="28"/>
      <c r="Q580" s="28"/>
      <c r="R580" s="28"/>
      <c r="S580" s="28"/>
      <c r="T580" s="28"/>
      <c r="U580" s="28"/>
      <c r="V580" s="28"/>
      <c r="W580" s="28"/>
      <c r="X580" s="28"/>
      <c r="Y580" s="28"/>
      <c r="Z580" s="28"/>
      <c r="AA580" s="28"/>
      <c r="AB580" s="28"/>
      <c r="AC580" s="28"/>
    </row>
    <row r="581" spans="1:29" ht="13">
      <c r="A581" s="28"/>
      <c r="B581" s="28"/>
      <c r="C581" s="28"/>
      <c r="D581" s="28"/>
      <c r="E581" s="28"/>
      <c r="F581" s="28"/>
      <c r="G581" s="28"/>
      <c r="H581" s="28"/>
      <c r="I581" s="28"/>
      <c r="J581" s="28"/>
      <c r="K581" s="28"/>
      <c r="L581" s="28"/>
      <c r="M581" s="28"/>
      <c r="N581" s="28"/>
      <c r="O581" s="28"/>
      <c r="P581" s="28"/>
      <c r="Q581" s="28"/>
      <c r="R581" s="28"/>
      <c r="S581" s="28"/>
      <c r="T581" s="28"/>
      <c r="U581" s="28"/>
      <c r="V581" s="28"/>
      <c r="W581" s="28"/>
      <c r="X581" s="28"/>
      <c r="Y581" s="28"/>
      <c r="Z581" s="28"/>
      <c r="AA581" s="28"/>
      <c r="AB581" s="28"/>
      <c r="AC581" s="28"/>
    </row>
    <row r="582" spans="1:29" ht="13">
      <c r="A582" s="28"/>
      <c r="B582" s="28"/>
      <c r="C582" s="28"/>
      <c r="D582" s="28"/>
      <c r="E582" s="28"/>
      <c r="F582" s="28"/>
      <c r="G582" s="28"/>
      <c r="H582" s="28"/>
      <c r="I582" s="28"/>
      <c r="J582" s="28"/>
      <c r="K582" s="28"/>
      <c r="L582" s="28"/>
      <c r="M582" s="28"/>
      <c r="N582" s="28"/>
      <c r="O582" s="28"/>
      <c r="P582" s="28"/>
      <c r="Q582" s="28"/>
      <c r="R582" s="28"/>
      <c r="S582" s="28"/>
      <c r="T582" s="28"/>
      <c r="U582" s="28"/>
      <c r="V582" s="28"/>
      <c r="W582" s="28"/>
      <c r="X582" s="28"/>
      <c r="Y582" s="28"/>
      <c r="Z582" s="28"/>
      <c r="AA582" s="28"/>
      <c r="AB582" s="28"/>
      <c r="AC582" s="28"/>
    </row>
    <row r="583" spans="1:29" ht="13">
      <c r="A583" s="28"/>
      <c r="B583" s="28"/>
      <c r="C583" s="28"/>
      <c r="D583" s="28"/>
      <c r="E583" s="28"/>
      <c r="F583" s="28"/>
      <c r="G583" s="28"/>
      <c r="H583" s="28"/>
      <c r="I583" s="28"/>
      <c r="J583" s="28"/>
      <c r="K583" s="28"/>
      <c r="L583" s="28"/>
      <c r="M583" s="28"/>
      <c r="N583" s="28"/>
      <c r="O583" s="28"/>
      <c r="P583" s="28"/>
      <c r="Q583" s="28"/>
      <c r="R583" s="28"/>
      <c r="S583" s="28"/>
      <c r="T583" s="28"/>
      <c r="U583" s="28"/>
      <c r="V583" s="28"/>
      <c r="W583" s="28"/>
      <c r="X583" s="28"/>
      <c r="Y583" s="28"/>
      <c r="Z583" s="28"/>
      <c r="AA583" s="28"/>
      <c r="AB583" s="28"/>
      <c r="AC583" s="28"/>
    </row>
    <row r="584" spans="1:29" ht="13">
      <c r="A584" s="28"/>
      <c r="B584" s="28"/>
      <c r="C584" s="28"/>
      <c r="D584" s="28"/>
      <c r="E584" s="28"/>
      <c r="F584" s="28"/>
      <c r="G584" s="28"/>
      <c r="H584" s="28"/>
      <c r="I584" s="28"/>
      <c r="J584" s="28"/>
      <c r="K584" s="28"/>
      <c r="L584" s="28"/>
      <c r="M584" s="28"/>
      <c r="N584" s="28"/>
      <c r="O584" s="28"/>
      <c r="P584" s="28"/>
      <c r="Q584" s="28"/>
      <c r="R584" s="28"/>
      <c r="S584" s="28"/>
      <c r="T584" s="28"/>
      <c r="U584" s="28"/>
      <c r="V584" s="28"/>
      <c r="W584" s="28"/>
      <c r="X584" s="28"/>
      <c r="Y584" s="28"/>
      <c r="Z584" s="28"/>
      <c r="AA584" s="28"/>
      <c r="AB584" s="28"/>
      <c r="AC584" s="28"/>
    </row>
    <row r="585" spans="1:29" ht="13">
      <c r="A585" s="28"/>
      <c r="B585" s="28"/>
      <c r="C585" s="28"/>
      <c r="D585" s="28"/>
      <c r="E585" s="28"/>
      <c r="F585" s="28"/>
      <c r="G585" s="28"/>
      <c r="H585" s="28"/>
      <c r="I585" s="28"/>
      <c r="J585" s="28"/>
      <c r="K585" s="28"/>
      <c r="L585" s="28"/>
      <c r="M585" s="28"/>
      <c r="N585" s="28"/>
      <c r="O585" s="28"/>
      <c r="P585" s="28"/>
      <c r="Q585" s="28"/>
      <c r="R585" s="28"/>
      <c r="S585" s="28"/>
      <c r="T585" s="28"/>
      <c r="U585" s="28"/>
      <c r="V585" s="28"/>
      <c r="W585" s="28"/>
      <c r="X585" s="28"/>
      <c r="Y585" s="28"/>
      <c r="Z585" s="28"/>
      <c r="AA585" s="28"/>
      <c r="AB585" s="28"/>
      <c r="AC585" s="28"/>
    </row>
    <row r="586" spans="1:29" ht="13">
      <c r="A586" s="28"/>
      <c r="B586" s="28"/>
      <c r="C586" s="28"/>
      <c r="D586" s="28"/>
      <c r="E586" s="28"/>
      <c r="F586" s="28"/>
      <c r="G586" s="28"/>
      <c r="H586" s="28"/>
      <c r="I586" s="28"/>
      <c r="J586" s="28"/>
      <c r="K586" s="28"/>
      <c r="L586" s="28"/>
      <c r="M586" s="28"/>
      <c r="N586" s="28"/>
      <c r="O586" s="28"/>
      <c r="P586" s="28"/>
      <c r="Q586" s="28"/>
      <c r="R586" s="28"/>
      <c r="S586" s="28"/>
      <c r="T586" s="28"/>
      <c r="U586" s="28"/>
      <c r="V586" s="28"/>
      <c r="W586" s="28"/>
      <c r="X586" s="28"/>
      <c r="Y586" s="28"/>
      <c r="Z586" s="28"/>
      <c r="AA586" s="28"/>
      <c r="AB586" s="28"/>
      <c r="AC586" s="28"/>
    </row>
    <row r="587" spans="1:29" ht="13">
      <c r="A587" s="28"/>
      <c r="B587" s="28"/>
      <c r="C587" s="28"/>
      <c r="D587" s="28"/>
      <c r="E587" s="28"/>
      <c r="F587" s="28"/>
      <c r="G587" s="28"/>
      <c r="H587" s="28"/>
      <c r="I587" s="28"/>
      <c r="J587" s="28"/>
      <c r="K587" s="28"/>
      <c r="L587" s="28"/>
      <c r="M587" s="28"/>
      <c r="N587" s="28"/>
      <c r="O587" s="28"/>
      <c r="P587" s="28"/>
      <c r="Q587" s="28"/>
      <c r="R587" s="28"/>
      <c r="S587" s="28"/>
      <c r="T587" s="28"/>
      <c r="U587" s="28"/>
      <c r="V587" s="28"/>
      <c r="W587" s="28"/>
      <c r="X587" s="28"/>
      <c r="Y587" s="28"/>
      <c r="Z587" s="28"/>
      <c r="AA587" s="28"/>
      <c r="AB587" s="28"/>
      <c r="AC587" s="28"/>
    </row>
    <row r="588" spans="1:29" ht="13">
      <c r="A588" s="28"/>
      <c r="B588" s="28"/>
      <c r="C588" s="28"/>
      <c r="D588" s="28"/>
      <c r="E588" s="28"/>
      <c r="F588" s="28"/>
      <c r="G588" s="28"/>
      <c r="H588" s="28"/>
      <c r="I588" s="28"/>
      <c r="J588" s="28"/>
      <c r="K588" s="28"/>
      <c r="L588" s="28"/>
      <c r="M588" s="28"/>
      <c r="N588" s="28"/>
      <c r="O588" s="28"/>
      <c r="P588" s="28"/>
      <c r="Q588" s="28"/>
      <c r="R588" s="28"/>
      <c r="S588" s="28"/>
      <c r="T588" s="28"/>
      <c r="U588" s="28"/>
      <c r="V588" s="28"/>
      <c r="W588" s="28"/>
      <c r="X588" s="28"/>
      <c r="Y588" s="28"/>
      <c r="Z588" s="28"/>
      <c r="AA588" s="28"/>
      <c r="AB588" s="28"/>
      <c r="AC588" s="28"/>
    </row>
    <row r="589" spans="1:29" ht="13">
      <c r="A589" s="28"/>
      <c r="B589" s="28"/>
      <c r="C589" s="28"/>
      <c r="D589" s="28"/>
      <c r="E589" s="28"/>
      <c r="F589" s="28"/>
      <c r="G589" s="28"/>
      <c r="H589" s="28"/>
      <c r="I589" s="28"/>
      <c r="J589" s="28"/>
      <c r="K589" s="28"/>
      <c r="L589" s="28"/>
      <c r="M589" s="28"/>
      <c r="N589" s="28"/>
      <c r="O589" s="28"/>
      <c r="P589" s="28"/>
      <c r="Q589" s="28"/>
      <c r="R589" s="28"/>
      <c r="S589" s="28"/>
      <c r="T589" s="28"/>
      <c r="U589" s="28"/>
      <c r="V589" s="28"/>
      <c r="W589" s="28"/>
      <c r="X589" s="28"/>
      <c r="Y589" s="28"/>
      <c r="Z589" s="28"/>
      <c r="AA589" s="28"/>
      <c r="AB589" s="28"/>
      <c r="AC589" s="28"/>
    </row>
    <row r="590" spans="1:29" ht="13">
      <c r="A590" s="28"/>
      <c r="B590" s="28"/>
      <c r="C590" s="28"/>
      <c r="D590" s="28"/>
      <c r="E590" s="28"/>
      <c r="F590" s="28"/>
      <c r="G590" s="28"/>
      <c r="H590" s="28"/>
      <c r="I590" s="28"/>
      <c r="J590" s="28"/>
      <c r="K590" s="28"/>
      <c r="L590" s="28"/>
      <c r="M590" s="28"/>
      <c r="N590" s="28"/>
      <c r="O590" s="28"/>
      <c r="P590" s="28"/>
      <c r="Q590" s="28"/>
      <c r="R590" s="28"/>
      <c r="S590" s="28"/>
      <c r="T590" s="28"/>
      <c r="U590" s="28"/>
      <c r="V590" s="28"/>
      <c r="W590" s="28"/>
      <c r="X590" s="28"/>
      <c r="Y590" s="28"/>
      <c r="Z590" s="28"/>
      <c r="AA590" s="28"/>
      <c r="AB590" s="28"/>
      <c r="AC590" s="28"/>
    </row>
    <row r="591" spans="1:29" ht="13">
      <c r="A591" s="28"/>
      <c r="B591" s="28"/>
      <c r="C591" s="28"/>
      <c r="D591" s="28"/>
      <c r="E591" s="28"/>
      <c r="F591" s="28"/>
      <c r="G591" s="28"/>
      <c r="H591" s="28"/>
      <c r="I591" s="28"/>
      <c r="J591" s="28"/>
      <c r="K591" s="28"/>
      <c r="L591" s="28"/>
      <c r="M591" s="28"/>
      <c r="N591" s="28"/>
      <c r="O591" s="28"/>
      <c r="P591" s="28"/>
      <c r="Q591" s="28"/>
      <c r="R591" s="28"/>
      <c r="S591" s="28"/>
      <c r="T591" s="28"/>
      <c r="U591" s="28"/>
      <c r="V591" s="28"/>
      <c r="W591" s="28"/>
      <c r="X591" s="28"/>
      <c r="Y591" s="28"/>
      <c r="Z591" s="28"/>
      <c r="AA591" s="28"/>
      <c r="AB591" s="28"/>
      <c r="AC591" s="28"/>
    </row>
    <row r="592" spans="1:29" ht="13">
      <c r="A592" s="28"/>
      <c r="B592" s="28"/>
      <c r="C592" s="28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28"/>
      <c r="Z592" s="28"/>
      <c r="AA592" s="28"/>
      <c r="AB592" s="28"/>
      <c r="AC592" s="28"/>
    </row>
    <row r="593" spans="1:29" ht="13">
      <c r="A593" s="28"/>
      <c r="B593" s="28"/>
      <c r="C593" s="28"/>
      <c r="D593" s="28"/>
      <c r="E593" s="28"/>
      <c r="F593" s="28"/>
      <c r="G593" s="28"/>
      <c r="H593" s="28"/>
      <c r="I593" s="28"/>
      <c r="J593" s="28"/>
      <c r="K593" s="28"/>
      <c r="L593" s="28"/>
      <c r="M593" s="28"/>
      <c r="N593" s="28"/>
      <c r="O593" s="28"/>
      <c r="P593" s="28"/>
      <c r="Q593" s="28"/>
      <c r="R593" s="28"/>
      <c r="S593" s="28"/>
      <c r="T593" s="28"/>
      <c r="U593" s="28"/>
      <c r="V593" s="28"/>
      <c r="W593" s="28"/>
      <c r="X593" s="28"/>
      <c r="Y593" s="28"/>
      <c r="Z593" s="28"/>
      <c r="AA593" s="28"/>
      <c r="AB593" s="28"/>
      <c r="AC593" s="28"/>
    </row>
    <row r="594" spans="1:29" ht="13">
      <c r="A594" s="28"/>
      <c r="B594" s="28"/>
      <c r="C594" s="28"/>
      <c r="D594" s="28"/>
      <c r="E594" s="28"/>
      <c r="F594" s="28"/>
      <c r="G594" s="28"/>
      <c r="H594" s="28"/>
      <c r="I594" s="28"/>
      <c r="J594" s="28"/>
      <c r="K594" s="28"/>
      <c r="L594" s="28"/>
      <c r="M594" s="28"/>
      <c r="N594" s="28"/>
      <c r="O594" s="28"/>
      <c r="P594" s="28"/>
      <c r="Q594" s="28"/>
      <c r="R594" s="28"/>
      <c r="S594" s="28"/>
      <c r="T594" s="28"/>
      <c r="U594" s="28"/>
      <c r="V594" s="28"/>
      <c r="W594" s="28"/>
      <c r="X594" s="28"/>
      <c r="Y594" s="28"/>
      <c r="Z594" s="28"/>
      <c r="AA594" s="28"/>
      <c r="AB594" s="28"/>
      <c r="AC594" s="28"/>
    </row>
    <row r="595" spans="1:29" ht="13">
      <c r="A595" s="28"/>
      <c r="B595" s="28"/>
      <c r="C595" s="28"/>
      <c r="D595" s="28"/>
      <c r="E595" s="28"/>
      <c r="F595" s="28"/>
      <c r="G595" s="28"/>
      <c r="H595" s="28"/>
      <c r="I595" s="28"/>
      <c r="J595" s="28"/>
      <c r="K595" s="28"/>
      <c r="L595" s="28"/>
      <c r="M595" s="28"/>
      <c r="N595" s="28"/>
      <c r="O595" s="28"/>
      <c r="P595" s="28"/>
      <c r="Q595" s="28"/>
      <c r="R595" s="28"/>
      <c r="S595" s="28"/>
      <c r="T595" s="28"/>
      <c r="U595" s="28"/>
      <c r="V595" s="28"/>
      <c r="W595" s="28"/>
      <c r="X595" s="28"/>
      <c r="Y595" s="28"/>
      <c r="Z595" s="28"/>
      <c r="AA595" s="28"/>
      <c r="AB595" s="28"/>
      <c r="AC595" s="28"/>
    </row>
    <row r="596" spans="1:29" ht="13">
      <c r="A596" s="28"/>
      <c r="B596" s="28"/>
      <c r="C596" s="28"/>
      <c r="D596" s="28"/>
      <c r="E596" s="28"/>
      <c r="F596" s="28"/>
      <c r="G596" s="28"/>
      <c r="H596" s="28"/>
      <c r="I596" s="28"/>
      <c r="J596" s="28"/>
      <c r="K596" s="28"/>
      <c r="L596" s="28"/>
      <c r="M596" s="28"/>
      <c r="N596" s="28"/>
      <c r="O596" s="28"/>
      <c r="P596" s="28"/>
      <c r="Q596" s="28"/>
      <c r="R596" s="28"/>
      <c r="S596" s="28"/>
      <c r="T596" s="28"/>
      <c r="U596" s="28"/>
      <c r="V596" s="28"/>
      <c r="W596" s="28"/>
      <c r="X596" s="28"/>
      <c r="Y596" s="28"/>
      <c r="Z596" s="28"/>
      <c r="AA596" s="28"/>
      <c r="AB596" s="28"/>
      <c r="AC596" s="28"/>
    </row>
    <row r="597" spans="1:29" ht="13">
      <c r="A597" s="28"/>
      <c r="B597" s="28"/>
      <c r="C597" s="28"/>
      <c r="D597" s="28"/>
      <c r="E597" s="28"/>
      <c r="F597" s="28"/>
      <c r="G597" s="28"/>
      <c r="H597" s="28"/>
      <c r="I597" s="28"/>
      <c r="J597" s="28"/>
      <c r="K597" s="28"/>
      <c r="L597" s="28"/>
      <c r="M597" s="28"/>
      <c r="N597" s="28"/>
      <c r="O597" s="28"/>
      <c r="P597" s="28"/>
      <c r="Q597" s="28"/>
      <c r="R597" s="28"/>
      <c r="S597" s="28"/>
      <c r="T597" s="28"/>
      <c r="U597" s="28"/>
      <c r="V597" s="28"/>
      <c r="W597" s="28"/>
      <c r="X597" s="28"/>
      <c r="Y597" s="28"/>
      <c r="Z597" s="28"/>
      <c r="AA597" s="28"/>
      <c r="AB597" s="28"/>
      <c r="AC597" s="28"/>
    </row>
    <row r="598" spans="1:29" ht="13">
      <c r="A598" s="28"/>
      <c r="B598" s="28"/>
      <c r="C598" s="28"/>
      <c r="D598" s="28"/>
      <c r="E598" s="28"/>
      <c r="F598" s="28"/>
      <c r="G598" s="28"/>
      <c r="H598" s="28"/>
      <c r="I598" s="28"/>
      <c r="J598" s="28"/>
      <c r="K598" s="28"/>
      <c r="L598" s="28"/>
      <c r="M598" s="28"/>
      <c r="N598" s="28"/>
      <c r="O598" s="28"/>
      <c r="P598" s="28"/>
      <c r="Q598" s="28"/>
      <c r="R598" s="28"/>
      <c r="S598" s="28"/>
      <c r="T598" s="28"/>
      <c r="U598" s="28"/>
      <c r="V598" s="28"/>
      <c r="W598" s="28"/>
      <c r="X598" s="28"/>
      <c r="Y598" s="28"/>
      <c r="Z598" s="28"/>
      <c r="AA598" s="28"/>
      <c r="AB598" s="28"/>
      <c r="AC598" s="28"/>
    </row>
    <row r="599" spans="1:29" ht="13">
      <c r="A599" s="28"/>
      <c r="B599" s="28"/>
      <c r="C599" s="28"/>
      <c r="D599" s="28"/>
      <c r="E599" s="28"/>
      <c r="F599" s="28"/>
      <c r="G599" s="28"/>
      <c r="H599" s="28"/>
      <c r="I599" s="28"/>
      <c r="J599" s="28"/>
      <c r="K599" s="28"/>
      <c r="L599" s="28"/>
      <c r="M599" s="28"/>
      <c r="N599" s="28"/>
      <c r="O599" s="28"/>
      <c r="P599" s="28"/>
      <c r="Q599" s="28"/>
      <c r="R599" s="28"/>
      <c r="S599" s="28"/>
      <c r="T599" s="28"/>
      <c r="U599" s="28"/>
      <c r="V599" s="28"/>
      <c r="W599" s="28"/>
      <c r="X599" s="28"/>
      <c r="Y599" s="28"/>
      <c r="Z599" s="28"/>
      <c r="AA599" s="28"/>
      <c r="AB599" s="28"/>
      <c r="AC599" s="28"/>
    </row>
    <row r="600" spans="1:29" ht="13">
      <c r="A600" s="28"/>
      <c r="B600" s="28"/>
      <c r="C600" s="28"/>
      <c r="D600" s="28"/>
      <c r="E600" s="28"/>
      <c r="F600" s="28"/>
      <c r="G600" s="28"/>
      <c r="H600" s="28"/>
      <c r="I600" s="28"/>
      <c r="J600" s="28"/>
      <c r="K600" s="28"/>
      <c r="L600" s="28"/>
      <c r="M600" s="28"/>
      <c r="N600" s="28"/>
      <c r="O600" s="28"/>
      <c r="P600" s="28"/>
      <c r="Q600" s="28"/>
      <c r="R600" s="28"/>
      <c r="S600" s="28"/>
      <c r="T600" s="28"/>
      <c r="U600" s="28"/>
      <c r="V600" s="28"/>
      <c r="W600" s="28"/>
      <c r="X600" s="28"/>
      <c r="Y600" s="28"/>
      <c r="Z600" s="28"/>
      <c r="AA600" s="28"/>
      <c r="AB600" s="28"/>
      <c r="AC600" s="28"/>
    </row>
    <row r="601" spans="1:29" ht="13">
      <c r="A601" s="28"/>
      <c r="B601" s="28"/>
      <c r="C601" s="28"/>
      <c r="D601" s="28"/>
      <c r="E601" s="28"/>
      <c r="F601" s="28"/>
      <c r="G601" s="28"/>
      <c r="H601" s="28"/>
      <c r="I601" s="28"/>
      <c r="J601" s="28"/>
      <c r="K601" s="28"/>
      <c r="L601" s="28"/>
      <c r="M601" s="28"/>
      <c r="N601" s="28"/>
      <c r="O601" s="28"/>
      <c r="P601" s="28"/>
      <c r="Q601" s="28"/>
      <c r="R601" s="28"/>
      <c r="S601" s="28"/>
      <c r="T601" s="28"/>
      <c r="U601" s="28"/>
      <c r="V601" s="28"/>
      <c r="W601" s="28"/>
      <c r="X601" s="28"/>
      <c r="Y601" s="28"/>
      <c r="Z601" s="28"/>
      <c r="AA601" s="28"/>
      <c r="AB601" s="28"/>
      <c r="AC601" s="28"/>
    </row>
    <row r="602" spans="1:29" ht="13">
      <c r="A602" s="28"/>
      <c r="B602" s="28"/>
      <c r="C602" s="28"/>
      <c r="D602" s="28"/>
      <c r="E602" s="28"/>
      <c r="F602" s="28"/>
      <c r="G602" s="28"/>
      <c r="H602" s="28"/>
      <c r="I602" s="28"/>
      <c r="J602" s="28"/>
      <c r="K602" s="28"/>
      <c r="L602" s="28"/>
      <c r="M602" s="28"/>
      <c r="N602" s="28"/>
      <c r="O602" s="28"/>
      <c r="P602" s="28"/>
      <c r="Q602" s="28"/>
      <c r="R602" s="28"/>
      <c r="S602" s="28"/>
      <c r="T602" s="28"/>
      <c r="U602" s="28"/>
      <c r="V602" s="28"/>
      <c r="W602" s="28"/>
      <c r="X602" s="28"/>
      <c r="Y602" s="28"/>
      <c r="Z602" s="28"/>
      <c r="AA602" s="28"/>
      <c r="AB602" s="28"/>
      <c r="AC602" s="28"/>
    </row>
    <row r="603" spans="1:29" ht="13">
      <c r="A603" s="28"/>
      <c r="B603" s="28"/>
      <c r="C603" s="28"/>
      <c r="D603" s="28"/>
      <c r="E603" s="28"/>
      <c r="F603" s="28"/>
      <c r="G603" s="28"/>
      <c r="H603" s="28"/>
      <c r="I603" s="28"/>
      <c r="J603" s="28"/>
      <c r="K603" s="28"/>
      <c r="L603" s="28"/>
      <c r="M603" s="28"/>
      <c r="N603" s="28"/>
      <c r="O603" s="28"/>
      <c r="P603" s="28"/>
      <c r="Q603" s="28"/>
      <c r="R603" s="28"/>
      <c r="S603" s="28"/>
      <c r="T603" s="28"/>
      <c r="U603" s="28"/>
      <c r="V603" s="28"/>
      <c r="W603" s="28"/>
      <c r="X603" s="28"/>
      <c r="Y603" s="28"/>
      <c r="Z603" s="28"/>
      <c r="AA603" s="28"/>
      <c r="AB603" s="28"/>
      <c r="AC603" s="28"/>
    </row>
    <row r="604" spans="1:29" ht="13">
      <c r="A604" s="28"/>
      <c r="B604" s="28"/>
      <c r="C604" s="28"/>
      <c r="D604" s="28"/>
      <c r="E604" s="28"/>
      <c r="F604" s="28"/>
      <c r="G604" s="28"/>
      <c r="H604" s="28"/>
      <c r="I604" s="28"/>
      <c r="J604" s="28"/>
      <c r="K604" s="28"/>
      <c r="L604" s="28"/>
      <c r="M604" s="28"/>
      <c r="N604" s="28"/>
      <c r="O604" s="28"/>
      <c r="P604" s="28"/>
      <c r="Q604" s="28"/>
      <c r="R604" s="28"/>
      <c r="S604" s="28"/>
      <c r="T604" s="28"/>
      <c r="U604" s="28"/>
      <c r="V604" s="28"/>
      <c r="W604" s="28"/>
      <c r="X604" s="28"/>
      <c r="Y604" s="28"/>
      <c r="Z604" s="28"/>
      <c r="AA604" s="28"/>
      <c r="AB604" s="28"/>
      <c r="AC604" s="28"/>
    </row>
    <row r="605" spans="1:29" ht="13">
      <c r="A605" s="28"/>
      <c r="B605" s="28"/>
      <c r="C605" s="28"/>
      <c r="D605" s="28"/>
      <c r="E605" s="28"/>
      <c r="F605" s="28"/>
      <c r="G605" s="28"/>
      <c r="H605" s="28"/>
      <c r="I605" s="28"/>
      <c r="J605" s="28"/>
      <c r="K605" s="28"/>
      <c r="L605" s="28"/>
      <c r="M605" s="28"/>
      <c r="N605" s="28"/>
      <c r="O605" s="28"/>
      <c r="P605" s="28"/>
      <c r="Q605" s="28"/>
      <c r="R605" s="28"/>
      <c r="S605" s="28"/>
      <c r="T605" s="28"/>
      <c r="U605" s="28"/>
      <c r="V605" s="28"/>
      <c r="W605" s="28"/>
      <c r="X605" s="28"/>
      <c r="Y605" s="28"/>
      <c r="Z605" s="28"/>
      <c r="AA605" s="28"/>
      <c r="AB605" s="28"/>
      <c r="AC605" s="28"/>
    </row>
    <row r="606" spans="1:29" ht="13">
      <c r="A606" s="28"/>
      <c r="B606" s="28"/>
      <c r="C606" s="28"/>
      <c r="D606" s="28"/>
      <c r="E606" s="28"/>
      <c r="F606" s="28"/>
      <c r="G606" s="28"/>
      <c r="H606" s="28"/>
      <c r="I606" s="28"/>
      <c r="J606" s="28"/>
      <c r="K606" s="28"/>
      <c r="L606" s="28"/>
      <c r="M606" s="28"/>
      <c r="N606" s="28"/>
      <c r="O606" s="28"/>
      <c r="P606" s="28"/>
      <c r="Q606" s="28"/>
      <c r="R606" s="28"/>
      <c r="S606" s="28"/>
      <c r="T606" s="28"/>
      <c r="U606" s="28"/>
      <c r="V606" s="28"/>
      <c r="W606" s="28"/>
      <c r="X606" s="28"/>
      <c r="Y606" s="28"/>
      <c r="Z606" s="28"/>
      <c r="AA606" s="28"/>
      <c r="AB606" s="28"/>
      <c r="AC606" s="28"/>
    </row>
    <row r="607" spans="1:29" ht="13">
      <c r="A607" s="28"/>
      <c r="B607" s="28"/>
      <c r="C607" s="28"/>
      <c r="D607" s="28"/>
      <c r="E607" s="28"/>
      <c r="F607" s="28"/>
      <c r="G607" s="28"/>
      <c r="H607" s="28"/>
      <c r="I607" s="28"/>
      <c r="J607" s="28"/>
      <c r="K607" s="28"/>
      <c r="L607" s="28"/>
      <c r="M607" s="28"/>
      <c r="N607" s="28"/>
      <c r="O607" s="28"/>
      <c r="P607" s="28"/>
      <c r="Q607" s="28"/>
      <c r="R607" s="28"/>
      <c r="S607" s="28"/>
      <c r="T607" s="28"/>
      <c r="U607" s="28"/>
      <c r="V607" s="28"/>
      <c r="W607" s="28"/>
      <c r="X607" s="28"/>
      <c r="Y607" s="28"/>
      <c r="Z607" s="28"/>
      <c r="AA607" s="28"/>
      <c r="AB607" s="28"/>
      <c r="AC607" s="28"/>
    </row>
    <row r="608" spans="1:29" ht="13">
      <c r="A608" s="28"/>
      <c r="B608" s="28"/>
      <c r="C608" s="28"/>
      <c r="D608" s="28"/>
      <c r="E608" s="28"/>
      <c r="F608" s="28"/>
      <c r="G608" s="28"/>
      <c r="H608" s="28"/>
      <c r="I608" s="28"/>
      <c r="J608" s="28"/>
      <c r="K608" s="28"/>
      <c r="L608" s="28"/>
      <c r="M608" s="28"/>
      <c r="N608" s="28"/>
      <c r="O608" s="28"/>
      <c r="P608" s="28"/>
      <c r="Q608" s="28"/>
      <c r="R608" s="28"/>
      <c r="S608" s="28"/>
      <c r="T608" s="28"/>
      <c r="U608" s="28"/>
      <c r="V608" s="28"/>
      <c r="W608" s="28"/>
      <c r="X608" s="28"/>
      <c r="Y608" s="28"/>
      <c r="Z608" s="28"/>
      <c r="AA608" s="28"/>
      <c r="AB608" s="28"/>
      <c r="AC608" s="28"/>
    </row>
    <row r="609" spans="1:29" ht="13">
      <c r="A609" s="28"/>
      <c r="B609" s="28"/>
      <c r="C609" s="28"/>
      <c r="D609" s="28"/>
      <c r="E609" s="28"/>
      <c r="F609" s="28"/>
      <c r="G609" s="28"/>
      <c r="H609" s="28"/>
      <c r="I609" s="28"/>
      <c r="J609" s="28"/>
      <c r="K609" s="28"/>
      <c r="L609" s="28"/>
      <c r="M609" s="28"/>
      <c r="N609" s="28"/>
      <c r="O609" s="28"/>
      <c r="P609" s="28"/>
      <c r="Q609" s="28"/>
      <c r="R609" s="28"/>
      <c r="S609" s="28"/>
      <c r="T609" s="28"/>
      <c r="U609" s="28"/>
      <c r="V609" s="28"/>
      <c r="W609" s="28"/>
      <c r="X609" s="28"/>
      <c r="Y609" s="28"/>
      <c r="Z609" s="28"/>
      <c r="AA609" s="28"/>
      <c r="AB609" s="28"/>
      <c r="AC609" s="28"/>
    </row>
    <row r="610" spans="1:29" ht="13">
      <c r="A610" s="28"/>
      <c r="B610" s="28"/>
      <c r="C610" s="28"/>
      <c r="D610" s="28"/>
      <c r="E610" s="28"/>
      <c r="F610" s="28"/>
      <c r="G610" s="28"/>
      <c r="H610" s="28"/>
      <c r="I610" s="28"/>
      <c r="J610" s="28"/>
      <c r="K610" s="28"/>
      <c r="L610" s="28"/>
      <c r="M610" s="28"/>
      <c r="N610" s="28"/>
      <c r="O610" s="28"/>
      <c r="P610" s="28"/>
      <c r="Q610" s="28"/>
      <c r="R610" s="28"/>
      <c r="S610" s="28"/>
      <c r="T610" s="28"/>
      <c r="U610" s="28"/>
      <c r="V610" s="28"/>
      <c r="W610" s="28"/>
      <c r="X610" s="28"/>
      <c r="Y610" s="28"/>
      <c r="Z610" s="28"/>
      <c r="AA610" s="28"/>
      <c r="AB610" s="28"/>
      <c r="AC610" s="28"/>
    </row>
    <row r="611" spans="1:29" ht="13">
      <c r="A611" s="28"/>
      <c r="B611" s="28"/>
      <c r="C611" s="28"/>
      <c r="D611" s="28"/>
      <c r="E611" s="28"/>
      <c r="F611" s="28"/>
      <c r="G611" s="28"/>
      <c r="H611" s="28"/>
      <c r="I611" s="28"/>
      <c r="J611" s="28"/>
      <c r="K611" s="28"/>
      <c r="L611" s="28"/>
      <c r="M611" s="28"/>
      <c r="N611" s="28"/>
      <c r="O611" s="28"/>
      <c r="P611" s="28"/>
      <c r="Q611" s="28"/>
      <c r="R611" s="28"/>
      <c r="S611" s="28"/>
      <c r="T611" s="28"/>
      <c r="U611" s="28"/>
      <c r="V611" s="28"/>
      <c r="W611" s="28"/>
      <c r="X611" s="28"/>
      <c r="Y611" s="28"/>
      <c r="Z611" s="28"/>
      <c r="AA611" s="28"/>
      <c r="AB611" s="28"/>
      <c r="AC611" s="28"/>
    </row>
    <row r="612" spans="1:29" ht="13">
      <c r="A612" s="28"/>
      <c r="B612" s="28"/>
      <c r="C612" s="28"/>
      <c r="D612" s="28"/>
      <c r="E612" s="28"/>
      <c r="F612" s="28"/>
      <c r="G612" s="28"/>
      <c r="H612" s="28"/>
      <c r="I612" s="28"/>
      <c r="J612" s="28"/>
      <c r="K612" s="28"/>
      <c r="L612" s="28"/>
      <c r="M612" s="28"/>
      <c r="N612" s="28"/>
      <c r="O612" s="28"/>
      <c r="P612" s="28"/>
      <c r="Q612" s="28"/>
      <c r="R612" s="28"/>
      <c r="S612" s="28"/>
      <c r="T612" s="28"/>
      <c r="U612" s="28"/>
      <c r="V612" s="28"/>
      <c r="W612" s="28"/>
      <c r="X612" s="28"/>
      <c r="Y612" s="28"/>
      <c r="Z612" s="28"/>
      <c r="AA612" s="28"/>
      <c r="AB612" s="28"/>
      <c r="AC612" s="28"/>
    </row>
    <row r="613" spans="1:29" ht="13">
      <c r="A613" s="28"/>
      <c r="B613" s="28"/>
      <c r="C613" s="28"/>
      <c r="D613" s="28"/>
      <c r="E613" s="28"/>
      <c r="F613" s="28"/>
      <c r="G613" s="28"/>
      <c r="H613" s="28"/>
      <c r="I613" s="28"/>
      <c r="J613" s="28"/>
      <c r="K613" s="28"/>
      <c r="L613" s="28"/>
      <c r="M613" s="28"/>
      <c r="N613" s="28"/>
      <c r="O613" s="28"/>
      <c r="P613" s="28"/>
      <c r="Q613" s="28"/>
      <c r="R613" s="28"/>
      <c r="S613" s="28"/>
      <c r="T613" s="28"/>
      <c r="U613" s="28"/>
      <c r="V613" s="28"/>
      <c r="W613" s="28"/>
      <c r="X613" s="28"/>
      <c r="Y613" s="28"/>
      <c r="Z613" s="28"/>
      <c r="AA613" s="28"/>
      <c r="AB613" s="28"/>
      <c r="AC613" s="28"/>
    </row>
    <row r="614" spans="1:29" ht="13">
      <c r="A614" s="28"/>
      <c r="B614" s="28"/>
      <c r="C614" s="28"/>
      <c r="D614" s="28"/>
      <c r="E614" s="28"/>
      <c r="F614" s="28"/>
      <c r="G614" s="28"/>
      <c r="H614" s="28"/>
      <c r="I614" s="28"/>
      <c r="J614" s="28"/>
      <c r="K614" s="28"/>
      <c r="L614" s="28"/>
      <c r="M614" s="28"/>
      <c r="N614" s="28"/>
      <c r="O614" s="28"/>
      <c r="P614" s="28"/>
      <c r="Q614" s="28"/>
      <c r="R614" s="28"/>
      <c r="S614" s="28"/>
      <c r="T614" s="28"/>
      <c r="U614" s="28"/>
      <c r="V614" s="28"/>
      <c r="W614" s="28"/>
      <c r="X614" s="28"/>
      <c r="Y614" s="28"/>
      <c r="Z614" s="28"/>
      <c r="AA614" s="28"/>
      <c r="AB614" s="28"/>
      <c r="AC614" s="28"/>
    </row>
    <row r="615" spans="1:29" ht="13">
      <c r="A615" s="28"/>
      <c r="B615" s="28"/>
      <c r="C615" s="28"/>
      <c r="D615" s="28"/>
      <c r="E615" s="28"/>
      <c r="F615" s="28"/>
      <c r="G615" s="28"/>
      <c r="H615" s="28"/>
      <c r="I615" s="28"/>
      <c r="J615" s="28"/>
      <c r="K615" s="28"/>
      <c r="L615" s="28"/>
      <c r="M615" s="28"/>
      <c r="N615" s="28"/>
      <c r="O615" s="28"/>
      <c r="P615" s="28"/>
      <c r="Q615" s="28"/>
      <c r="R615" s="28"/>
      <c r="S615" s="28"/>
      <c r="T615" s="28"/>
      <c r="U615" s="28"/>
      <c r="V615" s="28"/>
      <c r="W615" s="28"/>
      <c r="X615" s="28"/>
      <c r="Y615" s="28"/>
      <c r="Z615" s="28"/>
      <c r="AA615" s="28"/>
      <c r="AB615" s="28"/>
      <c r="AC615" s="28"/>
    </row>
    <row r="616" spans="1:29" ht="13">
      <c r="A616" s="28"/>
      <c r="B616" s="28"/>
      <c r="C616" s="28"/>
      <c r="D616" s="28"/>
      <c r="E616" s="28"/>
      <c r="F616" s="28"/>
      <c r="G616" s="28"/>
      <c r="H616" s="28"/>
      <c r="I616" s="28"/>
      <c r="J616" s="28"/>
      <c r="K616" s="28"/>
      <c r="L616" s="28"/>
      <c r="M616" s="28"/>
      <c r="N616" s="28"/>
      <c r="O616" s="28"/>
      <c r="P616" s="28"/>
      <c r="Q616" s="28"/>
      <c r="R616" s="28"/>
      <c r="S616" s="28"/>
      <c r="T616" s="28"/>
      <c r="U616" s="28"/>
      <c r="V616" s="28"/>
      <c r="W616" s="28"/>
      <c r="X616" s="28"/>
      <c r="Y616" s="28"/>
      <c r="Z616" s="28"/>
      <c r="AA616" s="28"/>
      <c r="AB616" s="28"/>
      <c r="AC616" s="28"/>
    </row>
    <row r="617" spans="1:29" ht="13">
      <c r="A617" s="28"/>
      <c r="B617" s="28"/>
      <c r="C617" s="28"/>
      <c r="D617" s="28"/>
      <c r="E617" s="28"/>
      <c r="F617" s="28"/>
      <c r="G617" s="28"/>
      <c r="H617" s="28"/>
      <c r="I617" s="28"/>
      <c r="J617" s="28"/>
      <c r="K617" s="28"/>
      <c r="L617" s="28"/>
      <c r="M617" s="28"/>
      <c r="N617" s="28"/>
      <c r="O617" s="28"/>
      <c r="P617" s="28"/>
      <c r="Q617" s="28"/>
      <c r="R617" s="28"/>
      <c r="S617" s="28"/>
      <c r="T617" s="28"/>
      <c r="U617" s="28"/>
      <c r="V617" s="28"/>
      <c r="W617" s="28"/>
      <c r="X617" s="28"/>
      <c r="Y617" s="28"/>
      <c r="Z617" s="28"/>
      <c r="AA617" s="28"/>
      <c r="AB617" s="28"/>
      <c r="AC617" s="28"/>
    </row>
    <row r="618" spans="1:29" ht="13">
      <c r="A618" s="28"/>
      <c r="B618" s="28"/>
      <c r="C618" s="28"/>
      <c r="D618" s="28"/>
      <c r="E618" s="28"/>
      <c r="F618" s="28"/>
      <c r="G618" s="28"/>
      <c r="H618" s="28"/>
      <c r="I618" s="28"/>
      <c r="J618" s="28"/>
      <c r="K618" s="28"/>
      <c r="L618" s="28"/>
      <c r="M618" s="28"/>
      <c r="N618" s="28"/>
      <c r="O618" s="28"/>
      <c r="P618" s="28"/>
      <c r="Q618" s="28"/>
      <c r="R618" s="28"/>
      <c r="S618" s="28"/>
      <c r="T618" s="28"/>
      <c r="U618" s="28"/>
      <c r="V618" s="28"/>
      <c r="W618" s="28"/>
      <c r="X618" s="28"/>
      <c r="Y618" s="28"/>
      <c r="Z618" s="28"/>
      <c r="AA618" s="28"/>
      <c r="AB618" s="28"/>
      <c r="AC618" s="28"/>
    </row>
    <row r="619" spans="1:29" ht="13">
      <c r="A619" s="28"/>
      <c r="B619" s="28"/>
      <c r="C619" s="28"/>
      <c r="D619" s="28"/>
      <c r="E619" s="28"/>
      <c r="F619" s="28"/>
      <c r="G619" s="28"/>
      <c r="H619" s="28"/>
      <c r="I619" s="28"/>
      <c r="J619" s="28"/>
      <c r="K619" s="28"/>
      <c r="L619" s="28"/>
      <c r="M619" s="28"/>
      <c r="N619" s="28"/>
      <c r="O619" s="28"/>
      <c r="P619" s="28"/>
      <c r="Q619" s="28"/>
      <c r="R619" s="28"/>
      <c r="S619" s="28"/>
      <c r="T619" s="28"/>
      <c r="U619" s="28"/>
      <c r="V619" s="28"/>
      <c r="W619" s="28"/>
      <c r="X619" s="28"/>
      <c r="Y619" s="28"/>
      <c r="Z619" s="28"/>
      <c r="AA619" s="28"/>
      <c r="AB619" s="28"/>
      <c r="AC619" s="28"/>
    </row>
    <row r="620" spans="1:29" ht="13">
      <c r="A620" s="28"/>
      <c r="B620" s="28"/>
      <c r="C620" s="28"/>
      <c r="D620" s="28"/>
      <c r="E620" s="28"/>
      <c r="F620" s="28"/>
      <c r="G620" s="28"/>
      <c r="H620" s="28"/>
      <c r="I620" s="28"/>
      <c r="J620" s="28"/>
      <c r="K620" s="28"/>
      <c r="L620" s="28"/>
      <c r="M620" s="28"/>
      <c r="N620" s="28"/>
      <c r="O620" s="28"/>
      <c r="P620" s="28"/>
      <c r="Q620" s="28"/>
      <c r="R620" s="28"/>
      <c r="S620" s="28"/>
      <c r="T620" s="28"/>
      <c r="U620" s="28"/>
      <c r="V620" s="28"/>
      <c r="W620" s="28"/>
      <c r="X620" s="28"/>
      <c r="Y620" s="28"/>
      <c r="Z620" s="28"/>
      <c r="AA620" s="28"/>
      <c r="AB620" s="28"/>
      <c r="AC620" s="28"/>
    </row>
    <row r="621" spans="1:29" ht="13">
      <c r="A621" s="28"/>
      <c r="B621" s="28"/>
      <c r="C621" s="28"/>
      <c r="D621" s="28"/>
      <c r="E621" s="28"/>
      <c r="F621" s="28"/>
      <c r="G621" s="28"/>
      <c r="H621" s="28"/>
      <c r="I621" s="28"/>
      <c r="J621" s="28"/>
      <c r="K621" s="28"/>
      <c r="L621" s="28"/>
      <c r="M621" s="28"/>
      <c r="N621" s="28"/>
      <c r="O621" s="28"/>
      <c r="P621" s="28"/>
      <c r="Q621" s="28"/>
      <c r="R621" s="28"/>
      <c r="S621" s="28"/>
      <c r="T621" s="28"/>
      <c r="U621" s="28"/>
      <c r="V621" s="28"/>
      <c r="W621" s="28"/>
      <c r="X621" s="28"/>
      <c r="Y621" s="28"/>
      <c r="Z621" s="28"/>
      <c r="AA621" s="28"/>
      <c r="AB621" s="28"/>
      <c r="AC621" s="28"/>
    </row>
    <row r="622" spans="1:29" ht="13">
      <c r="A622" s="28"/>
      <c r="B622" s="28"/>
      <c r="C622" s="28"/>
      <c r="D622" s="28"/>
      <c r="E622" s="28"/>
      <c r="F622" s="28"/>
      <c r="G622" s="28"/>
      <c r="H622" s="28"/>
      <c r="I622" s="28"/>
      <c r="J622" s="28"/>
      <c r="K622" s="28"/>
      <c r="L622" s="28"/>
      <c r="M622" s="28"/>
      <c r="N622" s="28"/>
      <c r="O622" s="28"/>
      <c r="P622" s="28"/>
      <c r="Q622" s="28"/>
      <c r="R622" s="28"/>
      <c r="S622" s="28"/>
      <c r="T622" s="28"/>
      <c r="U622" s="28"/>
      <c r="V622" s="28"/>
      <c r="W622" s="28"/>
      <c r="X622" s="28"/>
      <c r="Y622" s="28"/>
      <c r="Z622" s="28"/>
      <c r="AA622" s="28"/>
      <c r="AB622" s="28"/>
      <c r="AC622" s="28"/>
    </row>
    <row r="623" spans="1:29" ht="13">
      <c r="A623" s="28"/>
      <c r="B623" s="28"/>
      <c r="C623" s="28"/>
      <c r="D623" s="28"/>
      <c r="E623" s="28"/>
      <c r="F623" s="28"/>
      <c r="G623" s="28"/>
      <c r="H623" s="28"/>
      <c r="I623" s="28"/>
      <c r="J623" s="28"/>
      <c r="K623" s="28"/>
      <c r="L623" s="28"/>
      <c r="M623" s="28"/>
      <c r="N623" s="28"/>
      <c r="O623" s="28"/>
      <c r="P623" s="28"/>
      <c r="Q623" s="28"/>
      <c r="R623" s="28"/>
      <c r="S623" s="28"/>
      <c r="T623" s="28"/>
      <c r="U623" s="28"/>
      <c r="V623" s="28"/>
      <c r="W623" s="28"/>
      <c r="X623" s="28"/>
      <c r="Y623" s="28"/>
      <c r="Z623" s="28"/>
      <c r="AA623" s="28"/>
      <c r="AB623" s="28"/>
      <c r="AC623" s="28"/>
    </row>
    <row r="624" spans="1:29" ht="13">
      <c r="A624" s="28"/>
      <c r="B624" s="28"/>
      <c r="C624" s="28"/>
      <c r="D624" s="28"/>
      <c r="E624" s="28"/>
      <c r="F624" s="28"/>
      <c r="G624" s="28"/>
      <c r="H624" s="28"/>
      <c r="I624" s="28"/>
      <c r="J624" s="28"/>
      <c r="K624" s="28"/>
      <c r="L624" s="28"/>
      <c r="M624" s="28"/>
      <c r="N624" s="28"/>
      <c r="O624" s="28"/>
      <c r="P624" s="28"/>
      <c r="Q624" s="28"/>
      <c r="R624" s="28"/>
      <c r="S624" s="28"/>
      <c r="T624" s="28"/>
      <c r="U624" s="28"/>
      <c r="V624" s="28"/>
      <c r="W624" s="28"/>
      <c r="X624" s="28"/>
      <c r="Y624" s="28"/>
      <c r="Z624" s="28"/>
      <c r="AA624" s="28"/>
      <c r="AB624" s="28"/>
      <c r="AC624" s="28"/>
    </row>
    <row r="625" spans="1:29" ht="13">
      <c r="A625" s="28"/>
      <c r="B625" s="28"/>
      <c r="C625" s="28"/>
      <c r="D625" s="28"/>
      <c r="E625" s="28"/>
      <c r="F625" s="28"/>
      <c r="G625" s="28"/>
      <c r="H625" s="28"/>
      <c r="I625" s="28"/>
      <c r="J625" s="28"/>
      <c r="K625" s="28"/>
      <c r="L625" s="28"/>
      <c r="M625" s="28"/>
      <c r="N625" s="28"/>
      <c r="O625" s="28"/>
      <c r="P625" s="28"/>
      <c r="Q625" s="28"/>
      <c r="R625" s="28"/>
      <c r="S625" s="28"/>
      <c r="T625" s="28"/>
      <c r="U625" s="28"/>
      <c r="V625" s="28"/>
      <c r="W625" s="28"/>
      <c r="X625" s="28"/>
      <c r="Y625" s="28"/>
      <c r="Z625" s="28"/>
      <c r="AA625" s="28"/>
      <c r="AB625" s="28"/>
      <c r="AC625" s="28"/>
    </row>
    <row r="626" spans="1:29" ht="13">
      <c r="A626" s="28"/>
      <c r="B626" s="28"/>
      <c r="C626" s="28"/>
      <c r="D626" s="28"/>
      <c r="E626" s="28"/>
      <c r="F626" s="28"/>
      <c r="G626" s="28"/>
      <c r="H626" s="28"/>
      <c r="I626" s="28"/>
      <c r="J626" s="28"/>
      <c r="K626" s="28"/>
      <c r="L626" s="28"/>
      <c r="M626" s="28"/>
      <c r="N626" s="28"/>
      <c r="O626" s="28"/>
      <c r="P626" s="28"/>
      <c r="Q626" s="28"/>
      <c r="R626" s="28"/>
      <c r="S626" s="28"/>
      <c r="T626" s="28"/>
      <c r="U626" s="28"/>
      <c r="V626" s="28"/>
      <c r="W626" s="28"/>
      <c r="X626" s="28"/>
      <c r="Y626" s="28"/>
      <c r="Z626" s="28"/>
      <c r="AA626" s="28"/>
      <c r="AB626" s="28"/>
      <c r="AC626" s="28"/>
    </row>
    <row r="627" spans="1:29" ht="13">
      <c r="A627" s="28"/>
      <c r="B627" s="28"/>
      <c r="C627" s="28"/>
      <c r="D627" s="28"/>
      <c r="E627" s="28"/>
      <c r="F627" s="28"/>
      <c r="G627" s="28"/>
      <c r="H627" s="28"/>
      <c r="I627" s="28"/>
      <c r="J627" s="28"/>
      <c r="K627" s="28"/>
      <c r="L627" s="28"/>
      <c r="M627" s="28"/>
      <c r="N627" s="28"/>
      <c r="O627" s="28"/>
      <c r="P627" s="28"/>
      <c r="Q627" s="28"/>
      <c r="R627" s="28"/>
      <c r="S627" s="28"/>
      <c r="T627" s="28"/>
      <c r="U627" s="28"/>
      <c r="V627" s="28"/>
      <c r="W627" s="28"/>
      <c r="X627" s="28"/>
      <c r="Y627" s="28"/>
      <c r="Z627" s="28"/>
      <c r="AA627" s="28"/>
      <c r="AB627" s="28"/>
      <c r="AC627" s="28"/>
    </row>
    <row r="628" spans="1:29" ht="13">
      <c r="A628" s="28"/>
      <c r="B628" s="28"/>
      <c r="C628" s="28"/>
      <c r="D628" s="28"/>
      <c r="E628" s="28"/>
      <c r="F628" s="28"/>
      <c r="G628" s="28"/>
      <c r="H628" s="28"/>
      <c r="I628" s="28"/>
      <c r="J628" s="28"/>
      <c r="K628" s="28"/>
      <c r="L628" s="28"/>
      <c r="M628" s="28"/>
      <c r="N628" s="28"/>
      <c r="O628" s="28"/>
      <c r="P628" s="28"/>
      <c r="Q628" s="28"/>
      <c r="R628" s="28"/>
      <c r="S628" s="28"/>
      <c r="T628" s="28"/>
      <c r="U628" s="28"/>
      <c r="V628" s="28"/>
      <c r="W628" s="28"/>
      <c r="X628" s="28"/>
      <c r="Y628" s="28"/>
      <c r="Z628" s="28"/>
      <c r="AA628" s="28"/>
      <c r="AB628" s="28"/>
      <c r="AC628" s="28"/>
    </row>
    <row r="629" spans="1:29" ht="13">
      <c r="A629" s="28"/>
      <c r="B629" s="28"/>
      <c r="C629" s="28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28"/>
    </row>
    <row r="630" spans="1:29" ht="13">
      <c r="A630" s="28"/>
      <c r="B630" s="28"/>
      <c r="C630" s="28"/>
      <c r="D630" s="28"/>
      <c r="E630" s="28"/>
      <c r="F630" s="28"/>
      <c r="G630" s="28"/>
      <c r="H630" s="28"/>
      <c r="I630" s="28"/>
      <c r="J630" s="28"/>
      <c r="K630" s="28"/>
      <c r="L630" s="28"/>
      <c r="M630" s="28"/>
      <c r="N630" s="28"/>
      <c r="O630" s="28"/>
      <c r="P630" s="28"/>
      <c r="Q630" s="28"/>
      <c r="R630" s="28"/>
      <c r="S630" s="28"/>
      <c r="T630" s="28"/>
      <c r="U630" s="28"/>
      <c r="V630" s="28"/>
      <c r="W630" s="28"/>
      <c r="X630" s="28"/>
      <c r="Y630" s="28"/>
      <c r="Z630" s="28"/>
      <c r="AA630" s="28"/>
      <c r="AB630" s="28"/>
      <c r="AC630" s="28"/>
    </row>
    <row r="631" spans="1:29" ht="13">
      <c r="A631" s="28"/>
      <c r="B631" s="28"/>
      <c r="C631" s="28"/>
      <c r="D631" s="28"/>
      <c r="E631" s="28"/>
      <c r="F631" s="28"/>
      <c r="G631" s="28"/>
      <c r="H631" s="28"/>
      <c r="I631" s="28"/>
      <c r="J631" s="28"/>
      <c r="K631" s="28"/>
      <c r="L631" s="28"/>
      <c r="M631" s="28"/>
      <c r="N631" s="28"/>
      <c r="O631" s="28"/>
      <c r="P631" s="28"/>
      <c r="Q631" s="28"/>
      <c r="R631" s="28"/>
      <c r="S631" s="28"/>
      <c r="T631" s="28"/>
      <c r="U631" s="28"/>
      <c r="V631" s="28"/>
      <c r="W631" s="28"/>
      <c r="X631" s="28"/>
      <c r="Y631" s="28"/>
      <c r="Z631" s="28"/>
      <c r="AA631" s="28"/>
      <c r="AB631" s="28"/>
      <c r="AC631" s="28"/>
    </row>
    <row r="632" spans="1:29" ht="13">
      <c r="A632" s="28"/>
      <c r="B632" s="28"/>
      <c r="C632" s="28"/>
      <c r="D632" s="28"/>
      <c r="E632" s="28"/>
      <c r="F632" s="28"/>
      <c r="G632" s="28"/>
      <c r="H632" s="28"/>
      <c r="I632" s="28"/>
      <c r="J632" s="28"/>
      <c r="K632" s="28"/>
      <c r="L632" s="28"/>
      <c r="M632" s="28"/>
      <c r="N632" s="28"/>
      <c r="O632" s="28"/>
      <c r="P632" s="28"/>
      <c r="Q632" s="28"/>
      <c r="R632" s="28"/>
      <c r="S632" s="28"/>
      <c r="T632" s="28"/>
      <c r="U632" s="28"/>
      <c r="V632" s="28"/>
      <c r="W632" s="28"/>
      <c r="X632" s="28"/>
      <c r="Y632" s="28"/>
      <c r="Z632" s="28"/>
      <c r="AA632" s="28"/>
      <c r="AB632" s="28"/>
      <c r="AC632" s="28"/>
    </row>
    <row r="633" spans="1:29" ht="13">
      <c r="A633" s="28"/>
      <c r="B633" s="28"/>
      <c r="C633" s="28"/>
      <c r="D633" s="28"/>
      <c r="E633" s="28"/>
      <c r="F633" s="28"/>
      <c r="G633" s="28"/>
      <c r="H633" s="28"/>
      <c r="I633" s="28"/>
      <c r="J633" s="28"/>
      <c r="K633" s="28"/>
      <c r="L633" s="28"/>
      <c r="M633" s="28"/>
      <c r="N633" s="28"/>
      <c r="O633" s="28"/>
      <c r="P633" s="28"/>
      <c r="Q633" s="28"/>
      <c r="R633" s="28"/>
      <c r="S633" s="28"/>
      <c r="T633" s="28"/>
      <c r="U633" s="28"/>
      <c r="V633" s="28"/>
      <c r="W633" s="28"/>
      <c r="X633" s="28"/>
      <c r="Y633" s="28"/>
      <c r="Z633" s="28"/>
      <c r="AA633" s="28"/>
      <c r="AB633" s="28"/>
      <c r="AC633" s="28"/>
    </row>
    <row r="634" spans="1:29" ht="13">
      <c r="A634" s="28"/>
      <c r="B634" s="28"/>
      <c r="C634" s="28"/>
      <c r="D634" s="28"/>
      <c r="E634" s="28"/>
      <c r="F634" s="28"/>
      <c r="G634" s="28"/>
      <c r="H634" s="28"/>
      <c r="I634" s="28"/>
      <c r="J634" s="28"/>
      <c r="K634" s="28"/>
      <c r="L634" s="28"/>
      <c r="M634" s="28"/>
      <c r="N634" s="28"/>
      <c r="O634" s="28"/>
      <c r="P634" s="28"/>
      <c r="Q634" s="28"/>
      <c r="R634" s="28"/>
      <c r="S634" s="28"/>
      <c r="T634" s="28"/>
      <c r="U634" s="28"/>
      <c r="V634" s="28"/>
      <c r="W634" s="28"/>
      <c r="X634" s="28"/>
      <c r="Y634" s="28"/>
      <c r="Z634" s="28"/>
      <c r="AA634" s="28"/>
      <c r="AB634" s="28"/>
      <c r="AC634" s="28"/>
    </row>
    <row r="635" spans="1:29" ht="13">
      <c r="A635" s="28"/>
      <c r="B635" s="28"/>
      <c r="C635" s="28"/>
      <c r="D635" s="28"/>
      <c r="E635" s="28"/>
      <c r="F635" s="28"/>
      <c r="G635" s="28"/>
      <c r="H635" s="28"/>
      <c r="I635" s="28"/>
      <c r="J635" s="28"/>
      <c r="K635" s="28"/>
      <c r="L635" s="28"/>
      <c r="M635" s="28"/>
      <c r="N635" s="28"/>
      <c r="O635" s="28"/>
      <c r="P635" s="28"/>
      <c r="Q635" s="28"/>
      <c r="R635" s="28"/>
      <c r="S635" s="28"/>
      <c r="T635" s="28"/>
      <c r="U635" s="28"/>
      <c r="V635" s="28"/>
      <c r="W635" s="28"/>
      <c r="X635" s="28"/>
      <c r="Y635" s="28"/>
      <c r="Z635" s="28"/>
      <c r="AA635" s="28"/>
      <c r="AB635" s="28"/>
      <c r="AC635" s="28"/>
    </row>
    <row r="636" spans="1:29" ht="13">
      <c r="A636" s="28"/>
      <c r="B636" s="28"/>
      <c r="C636" s="28"/>
      <c r="D636" s="28"/>
      <c r="E636" s="28"/>
      <c r="F636" s="28"/>
      <c r="G636" s="28"/>
      <c r="H636" s="28"/>
      <c r="I636" s="28"/>
      <c r="J636" s="28"/>
      <c r="K636" s="28"/>
      <c r="L636" s="28"/>
      <c r="M636" s="28"/>
      <c r="N636" s="28"/>
      <c r="O636" s="28"/>
      <c r="P636" s="28"/>
      <c r="Q636" s="28"/>
      <c r="R636" s="28"/>
      <c r="S636" s="28"/>
      <c r="T636" s="28"/>
      <c r="U636" s="28"/>
      <c r="V636" s="28"/>
      <c r="W636" s="28"/>
      <c r="X636" s="28"/>
      <c r="Y636" s="28"/>
      <c r="Z636" s="28"/>
      <c r="AA636" s="28"/>
      <c r="AB636" s="28"/>
      <c r="AC636" s="28"/>
    </row>
    <row r="637" spans="1:29" ht="13">
      <c r="A637" s="28"/>
      <c r="B637" s="28"/>
      <c r="C637" s="28"/>
      <c r="D637" s="28"/>
      <c r="E637" s="28"/>
      <c r="F637" s="28"/>
      <c r="G637" s="28"/>
      <c r="H637" s="28"/>
      <c r="I637" s="28"/>
      <c r="J637" s="28"/>
      <c r="K637" s="28"/>
      <c r="L637" s="28"/>
      <c r="M637" s="28"/>
      <c r="N637" s="28"/>
      <c r="O637" s="28"/>
      <c r="P637" s="28"/>
      <c r="Q637" s="28"/>
      <c r="R637" s="28"/>
      <c r="S637" s="28"/>
      <c r="T637" s="28"/>
      <c r="U637" s="28"/>
      <c r="V637" s="28"/>
      <c r="W637" s="28"/>
      <c r="X637" s="28"/>
      <c r="Y637" s="28"/>
      <c r="Z637" s="28"/>
      <c r="AA637" s="28"/>
      <c r="AB637" s="28"/>
      <c r="AC637" s="28"/>
    </row>
    <row r="638" spans="1:29" ht="13">
      <c r="A638" s="28"/>
      <c r="B638" s="28"/>
      <c r="C638" s="28"/>
      <c r="D638" s="28"/>
      <c r="E638" s="28"/>
      <c r="F638" s="28"/>
      <c r="G638" s="28"/>
      <c r="H638" s="28"/>
      <c r="I638" s="28"/>
      <c r="J638" s="28"/>
      <c r="K638" s="28"/>
      <c r="L638" s="28"/>
      <c r="M638" s="28"/>
      <c r="N638" s="28"/>
      <c r="O638" s="28"/>
      <c r="P638" s="28"/>
      <c r="Q638" s="28"/>
      <c r="R638" s="28"/>
      <c r="S638" s="28"/>
      <c r="T638" s="28"/>
      <c r="U638" s="28"/>
      <c r="V638" s="28"/>
      <c r="W638" s="28"/>
      <c r="X638" s="28"/>
      <c r="Y638" s="28"/>
      <c r="Z638" s="28"/>
      <c r="AA638" s="28"/>
      <c r="AB638" s="28"/>
      <c r="AC638" s="28"/>
    </row>
    <row r="639" spans="1:29" ht="13">
      <c r="A639" s="28"/>
      <c r="B639" s="28"/>
      <c r="C639" s="28"/>
      <c r="D639" s="28"/>
      <c r="E639" s="28"/>
      <c r="F639" s="28"/>
      <c r="G639" s="28"/>
      <c r="H639" s="28"/>
      <c r="I639" s="28"/>
      <c r="J639" s="28"/>
      <c r="K639" s="28"/>
      <c r="L639" s="28"/>
      <c r="M639" s="28"/>
      <c r="N639" s="28"/>
      <c r="O639" s="28"/>
      <c r="P639" s="28"/>
      <c r="Q639" s="28"/>
      <c r="R639" s="28"/>
      <c r="S639" s="28"/>
      <c r="T639" s="28"/>
      <c r="U639" s="28"/>
      <c r="V639" s="28"/>
      <c r="W639" s="28"/>
      <c r="X639" s="28"/>
      <c r="Y639" s="28"/>
      <c r="Z639" s="28"/>
      <c r="AA639" s="28"/>
      <c r="AB639" s="28"/>
      <c r="AC639" s="28"/>
    </row>
    <row r="640" spans="1:29" ht="13">
      <c r="A640" s="28"/>
      <c r="B640" s="28"/>
      <c r="C640" s="28"/>
      <c r="D640" s="28"/>
      <c r="E640" s="28"/>
      <c r="F640" s="28"/>
      <c r="G640" s="28"/>
      <c r="H640" s="28"/>
      <c r="I640" s="28"/>
      <c r="J640" s="28"/>
      <c r="K640" s="28"/>
      <c r="L640" s="28"/>
      <c r="M640" s="28"/>
      <c r="N640" s="28"/>
      <c r="O640" s="28"/>
      <c r="P640" s="28"/>
      <c r="Q640" s="28"/>
      <c r="R640" s="28"/>
      <c r="S640" s="28"/>
      <c r="T640" s="28"/>
      <c r="U640" s="28"/>
      <c r="V640" s="28"/>
      <c r="W640" s="28"/>
      <c r="X640" s="28"/>
      <c r="Y640" s="28"/>
      <c r="Z640" s="28"/>
      <c r="AA640" s="28"/>
      <c r="AB640" s="28"/>
      <c r="AC640" s="28"/>
    </row>
    <row r="641" spans="1:29" ht="13">
      <c r="A641" s="28"/>
      <c r="B641" s="28"/>
      <c r="C641" s="28"/>
      <c r="D641" s="28"/>
      <c r="E641" s="28"/>
      <c r="F641" s="28"/>
      <c r="G641" s="28"/>
      <c r="H641" s="28"/>
      <c r="I641" s="28"/>
      <c r="J641" s="28"/>
      <c r="K641" s="28"/>
      <c r="L641" s="28"/>
      <c r="M641" s="28"/>
      <c r="N641" s="28"/>
      <c r="O641" s="28"/>
      <c r="P641" s="28"/>
      <c r="Q641" s="28"/>
      <c r="R641" s="28"/>
      <c r="S641" s="28"/>
      <c r="T641" s="28"/>
      <c r="U641" s="28"/>
      <c r="V641" s="28"/>
      <c r="W641" s="28"/>
      <c r="X641" s="28"/>
      <c r="Y641" s="28"/>
      <c r="Z641" s="28"/>
      <c r="AA641" s="28"/>
      <c r="AB641" s="28"/>
      <c r="AC641" s="28"/>
    </row>
    <row r="642" spans="1:29" ht="13">
      <c r="A642" s="28"/>
      <c r="B642" s="28"/>
      <c r="C642" s="28"/>
      <c r="D642" s="28"/>
      <c r="E642" s="28"/>
      <c r="F642" s="28"/>
      <c r="G642" s="28"/>
      <c r="H642" s="28"/>
      <c r="I642" s="28"/>
      <c r="J642" s="28"/>
      <c r="K642" s="28"/>
      <c r="L642" s="28"/>
      <c r="M642" s="28"/>
      <c r="N642" s="28"/>
      <c r="O642" s="28"/>
      <c r="P642" s="28"/>
      <c r="Q642" s="28"/>
      <c r="R642" s="28"/>
      <c r="S642" s="28"/>
      <c r="T642" s="28"/>
      <c r="U642" s="28"/>
      <c r="V642" s="28"/>
      <c r="W642" s="28"/>
      <c r="X642" s="28"/>
      <c r="Y642" s="28"/>
      <c r="Z642" s="28"/>
      <c r="AA642" s="28"/>
      <c r="AB642" s="28"/>
      <c r="AC642" s="28"/>
    </row>
    <row r="643" spans="1:29" ht="13">
      <c r="A643" s="28"/>
      <c r="B643" s="28"/>
      <c r="C643" s="28"/>
      <c r="D643" s="28"/>
      <c r="E643" s="28"/>
      <c r="F643" s="28"/>
      <c r="G643" s="28"/>
      <c r="H643" s="28"/>
      <c r="I643" s="28"/>
      <c r="J643" s="28"/>
      <c r="K643" s="28"/>
      <c r="L643" s="28"/>
      <c r="M643" s="28"/>
      <c r="N643" s="28"/>
      <c r="O643" s="28"/>
      <c r="P643" s="28"/>
      <c r="Q643" s="28"/>
      <c r="R643" s="28"/>
      <c r="S643" s="28"/>
      <c r="T643" s="28"/>
      <c r="U643" s="28"/>
      <c r="V643" s="28"/>
      <c r="W643" s="28"/>
      <c r="X643" s="28"/>
      <c r="Y643" s="28"/>
      <c r="Z643" s="28"/>
      <c r="AA643" s="28"/>
      <c r="AB643" s="28"/>
      <c r="AC643" s="28"/>
    </row>
    <row r="644" spans="1:29" ht="13">
      <c r="A644" s="28"/>
      <c r="B644" s="28"/>
      <c r="C644" s="28"/>
      <c r="D644" s="28"/>
      <c r="E644" s="28"/>
      <c r="F644" s="28"/>
      <c r="G644" s="28"/>
      <c r="H644" s="28"/>
      <c r="I644" s="28"/>
      <c r="J644" s="28"/>
      <c r="K644" s="28"/>
      <c r="L644" s="28"/>
      <c r="M644" s="28"/>
      <c r="N644" s="28"/>
      <c r="O644" s="28"/>
      <c r="P644" s="28"/>
      <c r="Q644" s="28"/>
      <c r="R644" s="28"/>
      <c r="S644" s="28"/>
      <c r="T644" s="28"/>
      <c r="U644" s="28"/>
      <c r="V644" s="28"/>
      <c r="W644" s="28"/>
      <c r="X644" s="28"/>
      <c r="Y644" s="28"/>
      <c r="Z644" s="28"/>
      <c r="AA644" s="28"/>
      <c r="AB644" s="28"/>
      <c r="AC644" s="28"/>
    </row>
    <row r="645" spans="1:29" ht="13">
      <c r="A645" s="28"/>
      <c r="B645" s="28"/>
      <c r="C645" s="28"/>
      <c r="D645" s="28"/>
      <c r="E645" s="28"/>
      <c r="F645" s="28"/>
      <c r="G645" s="28"/>
      <c r="H645" s="28"/>
      <c r="I645" s="28"/>
      <c r="J645" s="28"/>
      <c r="K645" s="28"/>
      <c r="L645" s="28"/>
      <c r="M645" s="28"/>
      <c r="N645" s="28"/>
      <c r="O645" s="28"/>
      <c r="P645" s="28"/>
      <c r="Q645" s="28"/>
      <c r="R645" s="28"/>
      <c r="S645" s="28"/>
      <c r="T645" s="28"/>
      <c r="U645" s="28"/>
      <c r="V645" s="28"/>
      <c r="W645" s="28"/>
      <c r="X645" s="28"/>
      <c r="Y645" s="28"/>
      <c r="Z645" s="28"/>
      <c r="AA645" s="28"/>
      <c r="AB645" s="28"/>
      <c r="AC645" s="28"/>
    </row>
    <row r="646" spans="1:29" ht="13">
      <c r="A646" s="28"/>
      <c r="B646" s="28"/>
      <c r="C646" s="28"/>
      <c r="D646" s="28"/>
      <c r="E646" s="28"/>
      <c r="F646" s="28"/>
      <c r="G646" s="28"/>
      <c r="H646" s="28"/>
      <c r="I646" s="28"/>
      <c r="J646" s="28"/>
      <c r="K646" s="28"/>
      <c r="L646" s="28"/>
      <c r="M646" s="28"/>
      <c r="N646" s="28"/>
      <c r="O646" s="28"/>
      <c r="P646" s="28"/>
      <c r="Q646" s="28"/>
      <c r="R646" s="28"/>
      <c r="S646" s="28"/>
      <c r="T646" s="28"/>
      <c r="U646" s="28"/>
      <c r="V646" s="28"/>
      <c r="W646" s="28"/>
      <c r="X646" s="28"/>
      <c r="Y646" s="28"/>
      <c r="Z646" s="28"/>
      <c r="AA646" s="28"/>
      <c r="AB646" s="28"/>
      <c r="AC646" s="28"/>
    </row>
    <row r="647" spans="1:29" ht="13">
      <c r="A647" s="28"/>
      <c r="B647" s="28"/>
      <c r="C647" s="28"/>
      <c r="D647" s="28"/>
      <c r="E647" s="28"/>
      <c r="F647" s="28"/>
      <c r="G647" s="28"/>
      <c r="H647" s="28"/>
      <c r="I647" s="28"/>
      <c r="J647" s="28"/>
      <c r="K647" s="28"/>
      <c r="L647" s="28"/>
      <c r="M647" s="28"/>
      <c r="N647" s="28"/>
      <c r="O647" s="28"/>
      <c r="P647" s="28"/>
      <c r="Q647" s="28"/>
      <c r="R647" s="28"/>
      <c r="S647" s="28"/>
      <c r="T647" s="28"/>
      <c r="U647" s="28"/>
      <c r="V647" s="28"/>
      <c r="W647" s="28"/>
      <c r="X647" s="28"/>
      <c r="Y647" s="28"/>
      <c r="Z647" s="28"/>
      <c r="AA647" s="28"/>
      <c r="AB647" s="28"/>
      <c r="AC647" s="28"/>
    </row>
    <row r="648" spans="1:29" ht="13">
      <c r="A648" s="28"/>
      <c r="B648" s="28"/>
      <c r="C648" s="28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28"/>
      <c r="AB648" s="28"/>
      <c r="AC648" s="28"/>
    </row>
    <row r="649" spans="1:29" ht="13">
      <c r="A649" s="28"/>
      <c r="B649" s="28"/>
      <c r="C649" s="28"/>
      <c r="D649" s="28"/>
      <c r="E649" s="28"/>
      <c r="F649" s="28"/>
      <c r="G649" s="28"/>
      <c r="H649" s="28"/>
      <c r="I649" s="28"/>
      <c r="J649" s="28"/>
      <c r="K649" s="28"/>
      <c r="L649" s="28"/>
      <c r="M649" s="28"/>
      <c r="N649" s="28"/>
      <c r="O649" s="28"/>
      <c r="P649" s="28"/>
      <c r="Q649" s="28"/>
      <c r="R649" s="28"/>
      <c r="S649" s="28"/>
      <c r="T649" s="28"/>
      <c r="U649" s="28"/>
      <c r="V649" s="28"/>
      <c r="W649" s="28"/>
      <c r="X649" s="28"/>
      <c r="Y649" s="28"/>
      <c r="Z649" s="28"/>
      <c r="AA649" s="28"/>
      <c r="AB649" s="28"/>
      <c r="AC649" s="28"/>
    </row>
    <row r="650" spans="1:29" ht="13">
      <c r="A650" s="28"/>
      <c r="B650" s="28"/>
      <c r="C650" s="28"/>
      <c r="D650" s="28"/>
      <c r="E650" s="28"/>
      <c r="F650" s="28"/>
      <c r="G650" s="28"/>
      <c r="H650" s="28"/>
      <c r="I650" s="28"/>
      <c r="J650" s="28"/>
      <c r="K650" s="28"/>
      <c r="L650" s="28"/>
      <c r="M650" s="28"/>
      <c r="N650" s="28"/>
      <c r="O650" s="28"/>
      <c r="P650" s="28"/>
      <c r="Q650" s="28"/>
      <c r="R650" s="28"/>
      <c r="S650" s="28"/>
      <c r="T650" s="28"/>
      <c r="U650" s="28"/>
      <c r="V650" s="28"/>
      <c r="W650" s="28"/>
      <c r="X650" s="28"/>
      <c r="Y650" s="28"/>
      <c r="Z650" s="28"/>
      <c r="AA650" s="28"/>
      <c r="AB650" s="28"/>
      <c r="AC650" s="28"/>
    </row>
    <row r="651" spans="1:29" ht="13">
      <c r="A651" s="28"/>
      <c r="B651" s="28"/>
      <c r="C651" s="28"/>
      <c r="D651" s="28"/>
      <c r="E651" s="28"/>
      <c r="F651" s="28"/>
      <c r="G651" s="28"/>
      <c r="H651" s="28"/>
      <c r="I651" s="28"/>
      <c r="J651" s="28"/>
      <c r="K651" s="28"/>
      <c r="L651" s="28"/>
      <c r="M651" s="28"/>
      <c r="N651" s="28"/>
      <c r="O651" s="28"/>
      <c r="P651" s="28"/>
      <c r="Q651" s="28"/>
      <c r="R651" s="28"/>
      <c r="S651" s="28"/>
      <c r="T651" s="28"/>
      <c r="U651" s="28"/>
      <c r="V651" s="28"/>
      <c r="W651" s="28"/>
      <c r="X651" s="28"/>
      <c r="Y651" s="28"/>
      <c r="Z651" s="28"/>
      <c r="AA651" s="28"/>
      <c r="AB651" s="28"/>
      <c r="AC651" s="28"/>
    </row>
    <row r="652" spans="1:29" ht="13">
      <c r="A652" s="28"/>
      <c r="B652" s="28"/>
      <c r="C652" s="28"/>
      <c r="D652" s="28"/>
      <c r="E652" s="28"/>
      <c r="F652" s="28"/>
      <c r="G652" s="28"/>
      <c r="H652" s="28"/>
      <c r="I652" s="28"/>
      <c r="J652" s="28"/>
      <c r="K652" s="28"/>
      <c r="L652" s="28"/>
      <c r="M652" s="28"/>
      <c r="N652" s="28"/>
      <c r="O652" s="28"/>
      <c r="P652" s="28"/>
      <c r="Q652" s="28"/>
      <c r="R652" s="28"/>
      <c r="S652" s="28"/>
      <c r="T652" s="28"/>
      <c r="U652" s="28"/>
      <c r="V652" s="28"/>
      <c r="W652" s="28"/>
      <c r="X652" s="28"/>
      <c r="Y652" s="28"/>
      <c r="Z652" s="28"/>
      <c r="AA652" s="28"/>
      <c r="AB652" s="28"/>
      <c r="AC652" s="28"/>
    </row>
    <row r="653" spans="1:29" ht="13">
      <c r="A653" s="28"/>
      <c r="B653" s="28"/>
      <c r="C653" s="28"/>
      <c r="D653" s="28"/>
      <c r="E653" s="28"/>
      <c r="F653" s="28"/>
      <c r="G653" s="28"/>
      <c r="H653" s="28"/>
      <c r="I653" s="28"/>
      <c r="J653" s="28"/>
      <c r="K653" s="28"/>
      <c r="L653" s="28"/>
      <c r="M653" s="28"/>
      <c r="N653" s="28"/>
      <c r="O653" s="28"/>
      <c r="P653" s="28"/>
      <c r="Q653" s="28"/>
      <c r="R653" s="28"/>
      <c r="S653" s="28"/>
      <c r="T653" s="28"/>
      <c r="U653" s="28"/>
      <c r="V653" s="28"/>
      <c r="W653" s="28"/>
      <c r="X653" s="28"/>
      <c r="Y653" s="28"/>
      <c r="Z653" s="28"/>
      <c r="AA653" s="28"/>
      <c r="AB653" s="28"/>
      <c r="AC653" s="28"/>
    </row>
    <row r="654" spans="1:29" ht="13">
      <c r="A654" s="28"/>
      <c r="B654" s="28"/>
      <c r="C654" s="28"/>
      <c r="D654" s="28"/>
      <c r="E654" s="28"/>
      <c r="F654" s="28"/>
      <c r="G654" s="28"/>
      <c r="H654" s="28"/>
      <c r="I654" s="28"/>
      <c r="J654" s="28"/>
      <c r="K654" s="28"/>
      <c r="L654" s="28"/>
      <c r="M654" s="28"/>
      <c r="N654" s="28"/>
      <c r="O654" s="28"/>
      <c r="P654" s="28"/>
      <c r="Q654" s="28"/>
      <c r="R654" s="28"/>
      <c r="S654" s="28"/>
      <c r="T654" s="28"/>
      <c r="U654" s="28"/>
      <c r="V654" s="28"/>
      <c r="W654" s="28"/>
      <c r="X654" s="28"/>
      <c r="Y654" s="28"/>
      <c r="Z654" s="28"/>
      <c r="AA654" s="28"/>
      <c r="AB654" s="28"/>
      <c r="AC654" s="28"/>
    </row>
    <row r="655" spans="1:29" ht="13">
      <c r="A655" s="28"/>
      <c r="B655" s="28"/>
      <c r="C655" s="28"/>
      <c r="D655" s="28"/>
      <c r="E655" s="28"/>
      <c r="F655" s="28"/>
      <c r="G655" s="28"/>
      <c r="H655" s="28"/>
      <c r="I655" s="28"/>
      <c r="J655" s="28"/>
      <c r="K655" s="28"/>
      <c r="L655" s="28"/>
      <c r="M655" s="28"/>
      <c r="N655" s="28"/>
      <c r="O655" s="28"/>
      <c r="P655" s="28"/>
      <c r="Q655" s="28"/>
      <c r="R655" s="28"/>
      <c r="S655" s="28"/>
      <c r="T655" s="28"/>
      <c r="U655" s="28"/>
      <c r="V655" s="28"/>
      <c r="W655" s="28"/>
      <c r="X655" s="28"/>
      <c r="Y655" s="28"/>
      <c r="Z655" s="28"/>
      <c r="AA655" s="28"/>
      <c r="AB655" s="28"/>
      <c r="AC655" s="28"/>
    </row>
    <row r="656" spans="1:29" ht="13">
      <c r="A656" s="28"/>
      <c r="B656" s="28"/>
      <c r="C656" s="28"/>
      <c r="D656" s="28"/>
      <c r="E656" s="28"/>
      <c r="F656" s="28"/>
      <c r="G656" s="28"/>
      <c r="H656" s="28"/>
      <c r="I656" s="28"/>
      <c r="J656" s="28"/>
      <c r="K656" s="28"/>
      <c r="L656" s="28"/>
      <c r="M656" s="28"/>
      <c r="N656" s="28"/>
      <c r="O656" s="28"/>
      <c r="P656" s="28"/>
      <c r="Q656" s="28"/>
      <c r="R656" s="28"/>
      <c r="S656" s="28"/>
      <c r="T656" s="28"/>
      <c r="U656" s="28"/>
      <c r="V656" s="28"/>
      <c r="W656" s="28"/>
      <c r="X656" s="28"/>
      <c r="Y656" s="28"/>
      <c r="Z656" s="28"/>
      <c r="AA656" s="28"/>
      <c r="AB656" s="28"/>
      <c r="AC656" s="28"/>
    </row>
    <row r="657" spans="1:29" ht="13">
      <c r="A657" s="28"/>
      <c r="B657" s="28"/>
      <c r="C657" s="28"/>
      <c r="D657" s="28"/>
      <c r="E657" s="28"/>
      <c r="F657" s="28"/>
      <c r="G657" s="28"/>
      <c r="H657" s="28"/>
      <c r="I657" s="28"/>
      <c r="J657" s="28"/>
      <c r="K657" s="28"/>
      <c r="L657" s="28"/>
      <c r="M657" s="28"/>
      <c r="N657" s="28"/>
      <c r="O657" s="28"/>
      <c r="P657" s="28"/>
      <c r="Q657" s="28"/>
      <c r="R657" s="28"/>
      <c r="S657" s="28"/>
      <c r="T657" s="28"/>
      <c r="U657" s="28"/>
      <c r="V657" s="28"/>
      <c r="W657" s="28"/>
      <c r="X657" s="28"/>
      <c r="Y657" s="28"/>
      <c r="Z657" s="28"/>
      <c r="AA657" s="28"/>
      <c r="AB657" s="28"/>
      <c r="AC657" s="28"/>
    </row>
    <row r="658" spans="1:29" ht="13">
      <c r="A658" s="28"/>
      <c r="B658" s="28"/>
      <c r="C658" s="28"/>
      <c r="D658" s="28"/>
      <c r="E658" s="28"/>
      <c r="F658" s="28"/>
      <c r="G658" s="28"/>
      <c r="H658" s="28"/>
      <c r="I658" s="28"/>
      <c r="J658" s="28"/>
      <c r="K658" s="28"/>
      <c r="L658" s="28"/>
      <c r="M658" s="28"/>
      <c r="N658" s="28"/>
      <c r="O658" s="28"/>
      <c r="P658" s="28"/>
      <c r="Q658" s="28"/>
      <c r="R658" s="28"/>
      <c r="S658" s="28"/>
      <c r="T658" s="28"/>
      <c r="U658" s="28"/>
      <c r="V658" s="28"/>
      <c r="W658" s="28"/>
      <c r="X658" s="28"/>
      <c r="Y658" s="28"/>
      <c r="Z658" s="28"/>
      <c r="AA658" s="28"/>
      <c r="AB658" s="28"/>
      <c r="AC658" s="28"/>
    </row>
    <row r="659" spans="1:29" ht="13">
      <c r="A659" s="28"/>
      <c r="B659" s="28"/>
      <c r="C659" s="28"/>
      <c r="D659" s="28"/>
      <c r="E659" s="28"/>
      <c r="F659" s="28"/>
      <c r="G659" s="28"/>
      <c r="H659" s="28"/>
      <c r="I659" s="28"/>
      <c r="J659" s="28"/>
      <c r="K659" s="28"/>
      <c r="L659" s="28"/>
      <c r="M659" s="28"/>
      <c r="N659" s="28"/>
      <c r="O659" s="28"/>
      <c r="P659" s="28"/>
      <c r="Q659" s="28"/>
      <c r="R659" s="28"/>
      <c r="S659" s="28"/>
      <c r="T659" s="28"/>
      <c r="U659" s="28"/>
      <c r="V659" s="28"/>
      <c r="W659" s="28"/>
      <c r="X659" s="28"/>
      <c r="Y659" s="28"/>
      <c r="Z659" s="28"/>
      <c r="AA659" s="28"/>
      <c r="AB659" s="28"/>
      <c r="AC659" s="28"/>
    </row>
    <row r="660" spans="1:29" ht="13">
      <c r="A660" s="28"/>
      <c r="B660" s="28"/>
      <c r="C660" s="28"/>
      <c r="D660" s="28"/>
      <c r="E660" s="28"/>
      <c r="F660" s="28"/>
      <c r="G660" s="28"/>
      <c r="H660" s="28"/>
      <c r="I660" s="28"/>
      <c r="J660" s="28"/>
      <c r="K660" s="28"/>
      <c r="L660" s="28"/>
      <c r="M660" s="28"/>
      <c r="N660" s="28"/>
      <c r="O660" s="28"/>
      <c r="P660" s="28"/>
      <c r="Q660" s="28"/>
      <c r="R660" s="28"/>
      <c r="S660" s="28"/>
      <c r="T660" s="28"/>
      <c r="U660" s="28"/>
      <c r="V660" s="28"/>
      <c r="W660" s="28"/>
      <c r="X660" s="28"/>
      <c r="Y660" s="28"/>
      <c r="Z660" s="28"/>
      <c r="AA660" s="28"/>
      <c r="AB660" s="28"/>
      <c r="AC660" s="28"/>
    </row>
    <row r="661" spans="1:29" ht="13">
      <c r="A661" s="28"/>
      <c r="B661" s="28"/>
      <c r="C661" s="28"/>
      <c r="D661" s="28"/>
      <c r="E661" s="28"/>
      <c r="F661" s="28"/>
      <c r="G661" s="28"/>
      <c r="H661" s="28"/>
      <c r="I661" s="28"/>
      <c r="J661" s="28"/>
      <c r="K661" s="28"/>
      <c r="L661" s="28"/>
      <c r="M661" s="28"/>
      <c r="N661" s="28"/>
      <c r="O661" s="28"/>
      <c r="P661" s="28"/>
      <c r="Q661" s="28"/>
      <c r="R661" s="28"/>
      <c r="S661" s="28"/>
      <c r="T661" s="28"/>
      <c r="U661" s="28"/>
      <c r="V661" s="28"/>
      <c r="W661" s="28"/>
      <c r="X661" s="28"/>
      <c r="Y661" s="28"/>
      <c r="Z661" s="28"/>
      <c r="AA661" s="28"/>
      <c r="AB661" s="28"/>
      <c r="AC661" s="28"/>
    </row>
    <row r="662" spans="1:29" ht="13">
      <c r="A662" s="28"/>
      <c r="B662" s="28"/>
      <c r="C662" s="28"/>
      <c r="D662" s="28"/>
      <c r="E662" s="28"/>
      <c r="F662" s="28"/>
      <c r="G662" s="28"/>
      <c r="H662" s="28"/>
      <c r="I662" s="28"/>
      <c r="J662" s="28"/>
      <c r="K662" s="28"/>
      <c r="L662" s="28"/>
      <c r="M662" s="28"/>
      <c r="N662" s="28"/>
      <c r="O662" s="28"/>
      <c r="P662" s="28"/>
      <c r="Q662" s="28"/>
      <c r="R662" s="28"/>
      <c r="S662" s="28"/>
      <c r="T662" s="28"/>
      <c r="U662" s="28"/>
      <c r="V662" s="28"/>
      <c r="W662" s="28"/>
      <c r="X662" s="28"/>
      <c r="Y662" s="28"/>
      <c r="Z662" s="28"/>
      <c r="AA662" s="28"/>
      <c r="AB662" s="28"/>
      <c r="AC662" s="28"/>
    </row>
    <row r="663" spans="1:29" ht="13">
      <c r="A663" s="28"/>
      <c r="B663" s="28"/>
      <c r="C663" s="28"/>
      <c r="D663" s="28"/>
      <c r="E663" s="28"/>
      <c r="F663" s="28"/>
      <c r="G663" s="28"/>
      <c r="H663" s="28"/>
      <c r="I663" s="28"/>
      <c r="J663" s="28"/>
      <c r="K663" s="28"/>
      <c r="L663" s="28"/>
      <c r="M663" s="28"/>
      <c r="N663" s="28"/>
      <c r="O663" s="28"/>
      <c r="P663" s="28"/>
      <c r="Q663" s="28"/>
      <c r="R663" s="28"/>
      <c r="S663" s="28"/>
      <c r="T663" s="28"/>
      <c r="U663" s="28"/>
      <c r="V663" s="28"/>
      <c r="W663" s="28"/>
      <c r="X663" s="28"/>
      <c r="Y663" s="28"/>
      <c r="Z663" s="28"/>
      <c r="AA663" s="28"/>
      <c r="AB663" s="28"/>
      <c r="AC663" s="28"/>
    </row>
    <row r="664" spans="1:29" ht="13">
      <c r="A664" s="28"/>
      <c r="B664" s="28"/>
      <c r="C664" s="28"/>
      <c r="D664" s="28"/>
      <c r="E664" s="28"/>
      <c r="F664" s="28"/>
      <c r="G664" s="28"/>
      <c r="H664" s="28"/>
      <c r="I664" s="28"/>
      <c r="J664" s="28"/>
      <c r="K664" s="28"/>
      <c r="L664" s="28"/>
      <c r="M664" s="28"/>
      <c r="N664" s="28"/>
      <c r="O664" s="28"/>
      <c r="P664" s="28"/>
      <c r="Q664" s="28"/>
      <c r="R664" s="28"/>
      <c r="S664" s="28"/>
      <c r="T664" s="28"/>
      <c r="U664" s="28"/>
      <c r="V664" s="28"/>
      <c r="W664" s="28"/>
      <c r="X664" s="28"/>
      <c r="Y664" s="28"/>
      <c r="Z664" s="28"/>
      <c r="AA664" s="28"/>
      <c r="AB664" s="28"/>
      <c r="AC664" s="28"/>
    </row>
    <row r="665" spans="1:29" ht="13">
      <c r="A665" s="28"/>
      <c r="B665" s="28"/>
      <c r="C665" s="28"/>
      <c r="D665" s="28"/>
      <c r="E665" s="28"/>
      <c r="F665" s="28"/>
      <c r="G665" s="28"/>
      <c r="H665" s="28"/>
      <c r="I665" s="28"/>
      <c r="J665" s="28"/>
      <c r="K665" s="28"/>
      <c r="L665" s="28"/>
      <c r="M665" s="28"/>
      <c r="N665" s="28"/>
      <c r="O665" s="28"/>
      <c r="P665" s="28"/>
      <c r="Q665" s="28"/>
      <c r="R665" s="28"/>
      <c r="S665" s="28"/>
      <c r="T665" s="28"/>
      <c r="U665" s="28"/>
      <c r="V665" s="28"/>
      <c r="W665" s="28"/>
      <c r="X665" s="28"/>
      <c r="Y665" s="28"/>
      <c r="Z665" s="28"/>
      <c r="AA665" s="28"/>
      <c r="AB665" s="28"/>
      <c r="AC665" s="28"/>
    </row>
    <row r="666" spans="1:29" ht="13">
      <c r="A666" s="28"/>
      <c r="B666" s="28"/>
      <c r="C666" s="28"/>
      <c r="D666" s="28"/>
      <c r="E666" s="28"/>
      <c r="F666" s="28"/>
      <c r="G666" s="28"/>
      <c r="H666" s="28"/>
      <c r="I666" s="28"/>
      <c r="J666" s="28"/>
      <c r="K666" s="28"/>
      <c r="L666" s="28"/>
      <c r="M666" s="28"/>
      <c r="N666" s="28"/>
      <c r="O666" s="28"/>
      <c r="P666" s="28"/>
      <c r="Q666" s="28"/>
      <c r="R666" s="28"/>
      <c r="S666" s="28"/>
      <c r="T666" s="28"/>
      <c r="U666" s="28"/>
      <c r="V666" s="28"/>
      <c r="W666" s="28"/>
      <c r="X666" s="28"/>
      <c r="Y666" s="28"/>
      <c r="Z666" s="28"/>
      <c r="AA666" s="28"/>
      <c r="AB666" s="28"/>
      <c r="AC666" s="28"/>
    </row>
    <row r="667" spans="1:29" ht="13">
      <c r="A667" s="28"/>
      <c r="B667" s="28"/>
      <c r="C667" s="28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28"/>
      <c r="AC667" s="28"/>
    </row>
    <row r="668" spans="1:29" ht="13">
      <c r="A668" s="28"/>
      <c r="B668" s="28"/>
      <c r="C668" s="28"/>
      <c r="D668" s="28"/>
      <c r="E668" s="28"/>
      <c r="F668" s="28"/>
      <c r="G668" s="28"/>
      <c r="H668" s="28"/>
      <c r="I668" s="28"/>
      <c r="J668" s="28"/>
      <c r="K668" s="28"/>
      <c r="L668" s="28"/>
      <c r="M668" s="28"/>
      <c r="N668" s="28"/>
      <c r="O668" s="28"/>
      <c r="P668" s="28"/>
      <c r="Q668" s="28"/>
      <c r="R668" s="28"/>
      <c r="S668" s="28"/>
      <c r="T668" s="28"/>
      <c r="U668" s="28"/>
      <c r="V668" s="28"/>
      <c r="W668" s="28"/>
      <c r="X668" s="28"/>
      <c r="Y668" s="28"/>
      <c r="Z668" s="28"/>
      <c r="AA668" s="28"/>
      <c r="AB668" s="28"/>
      <c r="AC668" s="28"/>
    </row>
    <row r="669" spans="1:29" ht="13">
      <c r="A669" s="28"/>
      <c r="B669" s="28"/>
      <c r="C669" s="28"/>
      <c r="D669" s="28"/>
      <c r="E669" s="28"/>
      <c r="F669" s="28"/>
      <c r="G669" s="28"/>
      <c r="H669" s="28"/>
      <c r="I669" s="28"/>
      <c r="J669" s="28"/>
      <c r="K669" s="28"/>
      <c r="L669" s="28"/>
      <c r="M669" s="28"/>
      <c r="N669" s="28"/>
      <c r="O669" s="28"/>
      <c r="P669" s="28"/>
      <c r="Q669" s="28"/>
      <c r="R669" s="28"/>
      <c r="S669" s="28"/>
      <c r="T669" s="28"/>
      <c r="U669" s="28"/>
      <c r="V669" s="28"/>
      <c r="W669" s="28"/>
      <c r="X669" s="28"/>
      <c r="Y669" s="28"/>
      <c r="Z669" s="28"/>
      <c r="AA669" s="28"/>
      <c r="AB669" s="28"/>
      <c r="AC669" s="28"/>
    </row>
    <row r="670" spans="1:29" ht="13">
      <c r="A670" s="28"/>
      <c r="B670" s="28"/>
      <c r="C670" s="28"/>
      <c r="D670" s="28"/>
      <c r="E670" s="28"/>
      <c r="F670" s="28"/>
      <c r="G670" s="28"/>
      <c r="H670" s="28"/>
      <c r="I670" s="28"/>
      <c r="J670" s="28"/>
      <c r="K670" s="28"/>
      <c r="L670" s="28"/>
      <c r="M670" s="28"/>
      <c r="N670" s="28"/>
      <c r="O670" s="28"/>
      <c r="P670" s="28"/>
      <c r="Q670" s="28"/>
      <c r="R670" s="28"/>
      <c r="S670" s="28"/>
      <c r="T670" s="28"/>
      <c r="U670" s="28"/>
      <c r="V670" s="28"/>
      <c r="W670" s="28"/>
      <c r="X670" s="28"/>
      <c r="Y670" s="28"/>
      <c r="Z670" s="28"/>
      <c r="AA670" s="28"/>
      <c r="AB670" s="28"/>
      <c r="AC670" s="28"/>
    </row>
    <row r="671" spans="1:29" ht="13">
      <c r="A671" s="28"/>
      <c r="B671" s="28"/>
      <c r="C671" s="28"/>
      <c r="D671" s="28"/>
      <c r="E671" s="28"/>
      <c r="F671" s="28"/>
      <c r="G671" s="28"/>
      <c r="H671" s="28"/>
      <c r="I671" s="28"/>
      <c r="J671" s="28"/>
      <c r="K671" s="28"/>
      <c r="L671" s="28"/>
      <c r="M671" s="28"/>
      <c r="N671" s="28"/>
      <c r="O671" s="28"/>
      <c r="P671" s="28"/>
      <c r="Q671" s="28"/>
      <c r="R671" s="28"/>
      <c r="S671" s="28"/>
      <c r="T671" s="28"/>
      <c r="U671" s="28"/>
      <c r="V671" s="28"/>
      <c r="W671" s="28"/>
      <c r="X671" s="28"/>
      <c r="Y671" s="28"/>
      <c r="Z671" s="28"/>
      <c r="AA671" s="28"/>
      <c r="AB671" s="28"/>
      <c r="AC671" s="28"/>
    </row>
    <row r="672" spans="1:29" ht="13">
      <c r="A672" s="28"/>
      <c r="B672" s="28"/>
      <c r="C672" s="28"/>
      <c r="D672" s="28"/>
      <c r="E672" s="28"/>
      <c r="F672" s="28"/>
      <c r="G672" s="28"/>
      <c r="H672" s="28"/>
      <c r="I672" s="28"/>
      <c r="J672" s="28"/>
      <c r="K672" s="28"/>
      <c r="L672" s="28"/>
      <c r="M672" s="28"/>
      <c r="N672" s="28"/>
      <c r="O672" s="28"/>
      <c r="P672" s="28"/>
      <c r="Q672" s="28"/>
      <c r="R672" s="28"/>
      <c r="S672" s="28"/>
      <c r="T672" s="28"/>
      <c r="U672" s="28"/>
      <c r="V672" s="28"/>
      <c r="W672" s="28"/>
      <c r="X672" s="28"/>
      <c r="Y672" s="28"/>
      <c r="Z672" s="28"/>
      <c r="AA672" s="28"/>
      <c r="AB672" s="28"/>
      <c r="AC672" s="28"/>
    </row>
    <row r="673" spans="1:29" ht="13">
      <c r="A673" s="28"/>
      <c r="B673" s="28"/>
      <c r="C673" s="28"/>
      <c r="D673" s="28"/>
      <c r="E673" s="28"/>
      <c r="F673" s="28"/>
      <c r="G673" s="28"/>
      <c r="H673" s="28"/>
      <c r="I673" s="28"/>
      <c r="J673" s="28"/>
      <c r="K673" s="28"/>
      <c r="L673" s="28"/>
      <c r="M673" s="28"/>
      <c r="N673" s="28"/>
      <c r="O673" s="28"/>
      <c r="P673" s="28"/>
      <c r="Q673" s="28"/>
      <c r="R673" s="28"/>
      <c r="S673" s="28"/>
      <c r="T673" s="28"/>
      <c r="U673" s="28"/>
      <c r="V673" s="28"/>
      <c r="W673" s="28"/>
      <c r="X673" s="28"/>
      <c r="Y673" s="28"/>
      <c r="Z673" s="28"/>
      <c r="AA673" s="28"/>
      <c r="AB673" s="28"/>
      <c r="AC673" s="28"/>
    </row>
    <row r="674" spans="1:29" ht="13">
      <c r="A674" s="28"/>
      <c r="B674" s="28"/>
      <c r="C674" s="28"/>
      <c r="D674" s="28"/>
      <c r="E674" s="28"/>
      <c r="F674" s="28"/>
      <c r="G674" s="28"/>
      <c r="H674" s="28"/>
      <c r="I674" s="28"/>
      <c r="J674" s="28"/>
      <c r="K674" s="28"/>
      <c r="L674" s="28"/>
      <c r="M674" s="28"/>
      <c r="N674" s="28"/>
      <c r="O674" s="28"/>
      <c r="P674" s="28"/>
      <c r="Q674" s="28"/>
      <c r="R674" s="28"/>
      <c r="S674" s="28"/>
      <c r="T674" s="28"/>
      <c r="U674" s="28"/>
      <c r="V674" s="28"/>
      <c r="W674" s="28"/>
      <c r="X674" s="28"/>
      <c r="Y674" s="28"/>
      <c r="Z674" s="28"/>
      <c r="AA674" s="28"/>
      <c r="AB674" s="28"/>
      <c r="AC674" s="28"/>
    </row>
    <row r="675" spans="1:29" ht="13">
      <c r="A675" s="28"/>
      <c r="B675" s="28"/>
      <c r="C675" s="28"/>
      <c r="D675" s="28"/>
      <c r="E675" s="28"/>
      <c r="F675" s="28"/>
      <c r="G675" s="28"/>
      <c r="H675" s="28"/>
      <c r="I675" s="28"/>
      <c r="J675" s="28"/>
      <c r="K675" s="28"/>
      <c r="L675" s="28"/>
      <c r="M675" s="28"/>
      <c r="N675" s="28"/>
      <c r="O675" s="28"/>
      <c r="P675" s="28"/>
      <c r="Q675" s="28"/>
      <c r="R675" s="28"/>
      <c r="S675" s="28"/>
      <c r="T675" s="28"/>
      <c r="U675" s="28"/>
      <c r="V675" s="28"/>
      <c r="W675" s="28"/>
      <c r="X675" s="28"/>
      <c r="Y675" s="28"/>
      <c r="Z675" s="28"/>
      <c r="AA675" s="28"/>
      <c r="AB675" s="28"/>
      <c r="AC675" s="28"/>
    </row>
    <row r="676" spans="1:29" ht="13">
      <c r="A676" s="28"/>
      <c r="B676" s="28"/>
      <c r="C676" s="28"/>
      <c r="D676" s="28"/>
      <c r="E676" s="28"/>
      <c r="F676" s="28"/>
      <c r="G676" s="28"/>
      <c r="H676" s="28"/>
      <c r="I676" s="28"/>
      <c r="J676" s="28"/>
      <c r="K676" s="28"/>
      <c r="L676" s="28"/>
      <c r="M676" s="28"/>
      <c r="N676" s="28"/>
      <c r="O676" s="28"/>
      <c r="P676" s="28"/>
      <c r="Q676" s="28"/>
      <c r="R676" s="28"/>
      <c r="S676" s="28"/>
      <c r="T676" s="28"/>
      <c r="U676" s="28"/>
      <c r="V676" s="28"/>
      <c r="W676" s="28"/>
      <c r="X676" s="28"/>
      <c r="Y676" s="28"/>
      <c r="Z676" s="28"/>
      <c r="AA676" s="28"/>
      <c r="AB676" s="28"/>
      <c r="AC676" s="28"/>
    </row>
    <row r="677" spans="1:29" ht="13">
      <c r="A677" s="28"/>
      <c r="B677" s="28"/>
      <c r="C677" s="28"/>
      <c r="D677" s="28"/>
      <c r="E677" s="28"/>
      <c r="F677" s="28"/>
      <c r="G677" s="28"/>
      <c r="H677" s="28"/>
      <c r="I677" s="28"/>
      <c r="J677" s="28"/>
      <c r="K677" s="28"/>
      <c r="L677" s="28"/>
      <c r="M677" s="28"/>
      <c r="N677" s="28"/>
      <c r="O677" s="28"/>
      <c r="P677" s="28"/>
      <c r="Q677" s="28"/>
      <c r="R677" s="28"/>
      <c r="S677" s="28"/>
      <c r="T677" s="28"/>
      <c r="U677" s="28"/>
      <c r="V677" s="28"/>
      <c r="W677" s="28"/>
      <c r="X677" s="28"/>
      <c r="Y677" s="28"/>
      <c r="Z677" s="28"/>
      <c r="AA677" s="28"/>
      <c r="AB677" s="28"/>
      <c r="AC677" s="28"/>
    </row>
    <row r="678" spans="1:29" ht="13">
      <c r="A678" s="28"/>
      <c r="B678" s="28"/>
      <c r="C678" s="28"/>
      <c r="D678" s="28"/>
      <c r="E678" s="28"/>
      <c r="F678" s="28"/>
      <c r="G678" s="28"/>
      <c r="H678" s="28"/>
      <c r="I678" s="28"/>
      <c r="J678" s="28"/>
      <c r="K678" s="28"/>
      <c r="L678" s="28"/>
      <c r="M678" s="28"/>
      <c r="N678" s="28"/>
      <c r="O678" s="28"/>
      <c r="P678" s="28"/>
      <c r="Q678" s="28"/>
      <c r="R678" s="28"/>
      <c r="S678" s="28"/>
      <c r="T678" s="28"/>
      <c r="U678" s="28"/>
      <c r="V678" s="28"/>
      <c r="W678" s="28"/>
      <c r="X678" s="28"/>
      <c r="Y678" s="28"/>
      <c r="Z678" s="28"/>
      <c r="AA678" s="28"/>
      <c r="AB678" s="28"/>
      <c r="AC678" s="28"/>
    </row>
    <row r="679" spans="1:29" ht="13">
      <c r="A679" s="28"/>
      <c r="B679" s="28"/>
      <c r="C679" s="28"/>
      <c r="D679" s="28"/>
      <c r="E679" s="28"/>
      <c r="F679" s="28"/>
      <c r="G679" s="28"/>
      <c r="H679" s="28"/>
      <c r="I679" s="28"/>
      <c r="J679" s="28"/>
      <c r="K679" s="28"/>
      <c r="L679" s="28"/>
      <c r="M679" s="28"/>
      <c r="N679" s="28"/>
      <c r="O679" s="28"/>
      <c r="P679" s="28"/>
      <c r="Q679" s="28"/>
      <c r="R679" s="28"/>
      <c r="S679" s="28"/>
      <c r="T679" s="28"/>
      <c r="U679" s="28"/>
      <c r="V679" s="28"/>
      <c r="W679" s="28"/>
      <c r="X679" s="28"/>
      <c r="Y679" s="28"/>
      <c r="Z679" s="28"/>
      <c r="AA679" s="28"/>
      <c r="AB679" s="28"/>
      <c r="AC679" s="28"/>
    </row>
    <row r="680" spans="1:29" ht="13">
      <c r="A680" s="28"/>
      <c r="B680" s="28"/>
      <c r="C680" s="28"/>
      <c r="D680" s="28"/>
      <c r="E680" s="28"/>
      <c r="F680" s="28"/>
      <c r="G680" s="28"/>
      <c r="H680" s="28"/>
      <c r="I680" s="28"/>
      <c r="J680" s="28"/>
      <c r="K680" s="28"/>
      <c r="L680" s="28"/>
      <c r="M680" s="28"/>
      <c r="N680" s="28"/>
      <c r="O680" s="28"/>
      <c r="P680" s="28"/>
      <c r="Q680" s="28"/>
      <c r="R680" s="28"/>
      <c r="S680" s="28"/>
      <c r="T680" s="28"/>
      <c r="U680" s="28"/>
      <c r="V680" s="28"/>
      <c r="W680" s="28"/>
      <c r="X680" s="28"/>
      <c r="Y680" s="28"/>
      <c r="Z680" s="28"/>
      <c r="AA680" s="28"/>
      <c r="AB680" s="28"/>
      <c r="AC680" s="28"/>
    </row>
    <row r="681" spans="1:29" ht="13">
      <c r="A681" s="28"/>
      <c r="B681" s="28"/>
      <c r="C681" s="28"/>
      <c r="D681" s="28"/>
      <c r="E681" s="28"/>
      <c r="F681" s="28"/>
      <c r="G681" s="28"/>
      <c r="H681" s="28"/>
      <c r="I681" s="28"/>
      <c r="J681" s="28"/>
      <c r="K681" s="28"/>
      <c r="L681" s="28"/>
      <c r="M681" s="28"/>
      <c r="N681" s="28"/>
      <c r="O681" s="28"/>
      <c r="P681" s="28"/>
      <c r="Q681" s="28"/>
      <c r="R681" s="28"/>
      <c r="S681" s="28"/>
      <c r="T681" s="28"/>
      <c r="U681" s="28"/>
      <c r="V681" s="28"/>
      <c r="W681" s="28"/>
      <c r="X681" s="28"/>
      <c r="Y681" s="28"/>
      <c r="Z681" s="28"/>
      <c r="AA681" s="28"/>
      <c r="AB681" s="28"/>
      <c r="AC681" s="28"/>
    </row>
    <row r="682" spans="1:29" ht="13">
      <c r="A682" s="28"/>
      <c r="B682" s="28"/>
      <c r="C682" s="28"/>
      <c r="D682" s="28"/>
      <c r="E682" s="28"/>
      <c r="F682" s="28"/>
      <c r="G682" s="28"/>
      <c r="H682" s="28"/>
      <c r="I682" s="28"/>
      <c r="J682" s="28"/>
      <c r="K682" s="28"/>
      <c r="L682" s="28"/>
      <c r="M682" s="28"/>
      <c r="N682" s="28"/>
      <c r="O682" s="28"/>
      <c r="P682" s="28"/>
      <c r="Q682" s="28"/>
      <c r="R682" s="28"/>
      <c r="S682" s="28"/>
      <c r="T682" s="28"/>
      <c r="U682" s="28"/>
      <c r="V682" s="28"/>
      <c r="W682" s="28"/>
      <c r="X682" s="28"/>
      <c r="Y682" s="28"/>
      <c r="Z682" s="28"/>
      <c r="AA682" s="28"/>
      <c r="AB682" s="28"/>
      <c r="AC682" s="28"/>
    </row>
    <row r="683" spans="1:29" ht="13">
      <c r="A683" s="28"/>
      <c r="B683" s="28"/>
      <c r="C683" s="28"/>
      <c r="D683" s="28"/>
      <c r="E683" s="28"/>
      <c r="F683" s="28"/>
      <c r="G683" s="28"/>
      <c r="H683" s="28"/>
      <c r="I683" s="28"/>
      <c r="J683" s="28"/>
      <c r="K683" s="28"/>
      <c r="L683" s="28"/>
      <c r="M683" s="28"/>
      <c r="N683" s="28"/>
      <c r="O683" s="28"/>
      <c r="P683" s="28"/>
      <c r="Q683" s="28"/>
      <c r="R683" s="28"/>
      <c r="S683" s="28"/>
      <c r="T683" s="28"/>
      <c r="U683" s="28"/>
      <c r="V683" s="28"/>
      <c r="W683" s="28"/>
      <c r="X683" s="28"/>
      <c r="Y683" s="28"/>
      <c r="Z683" s="28"/>
      <c r="AA683" s="28"/>
      <c r="AB683" s="28"/>
      <c r="AC683" s="28"/>
    </row>
    <row r="684" spans="1:29" ht="13">
      <c r="A684" s="28"/>
      <c r="B684" s="28"/>
      <c r="C684" s="28"/>
      <c r="D684" s="28"/>
      <c r="E684" s="28"/>
      <c r="F684" s="28"/>
      <c r="G684" s="28"/>
      <c r="H684" s="28"/>
      <c r="I684" s="28"/>
      <c r="J684" s="28"/>
      <c r="K684" s="28"/>
      <c r="L684" s="28"/>
      <c r="M684" s="28"/>
      <c r="N684" s="28"/>
      <c r="O684" s="28"/>
      <c r="P684" s="28"/>
      <c r="Q684" s="28"/>
      <c r="R684" s="28"/>
      <c r="S684" s="28"/>
      <c r="T684" s="28"/>
      <c r="U684" s="28"/>
      <c r="V684" s="28"/>
      <c r="W684" s="28"/>
      <c r="X684" s="28"/>
      <c r="Y684" s="28"/>
      <c r="Z684" s="28"/>
      <c r="AA684" s="28"/>
      <c r="AB684" s="28"/>
      <c r="AC684" s="28"/>
    </row>
    <row r="685" spans="1:29" ht="13">
      <c r="A685" s="28"/>
      <c r="B685" s="28"/>
      <c r="C685" s="28"/>
      <c r="D685" s="28"/>
      <c r="E685" s="28"/>
      <c r="F685" s="28"/>
      <c r="G685" s="28"/>
      <c r="H685" s="28"/>
      <c r="I685" s="28"/>
      <c r="J685" s="28"/>
      <c r="K685" s="28"/>
      <c r="L685" s="28"/>
      <c r="M685" s="28"/>
      <c r="N685" s="28"/>
      <c r="O685" s="28"/>
      <c r="P685" s="28"/>
      <c r="Q685" s="28"/>
      <c r="R685" s="28"/>
      <c r="S685" s="28"/>
      <c r="T685" s="28"/>
      <c r="U685" s="28"/>
      <c r="V685" s="28"/>
      <c r="W685" s="28"/>
      <c r="X685" s="28"/>
      <c r="Y685" s="28"/>
      <c r="Z685" s="28"/>
      <c r="AA685" s="28"/>
      <c r="AB685" s="28"/>
      <c r="AC685" s="28"/>
    </row>
    <row r="686" spans="1:29" ht="13">
      <c r="A686" s="28"/>
      <c r="B686" s="28"/>
      <c r="C686" s="28"/>
      <c r="D686" s="28"/>
      <c r="E686" s="28"/>
      <c r="F686" s="28"/>
      <c r="G686" s="28"/>
      <c r="H686" s="28"/>
      <c r="I686" s="28"/>
      <c r="J686" s="28"/>
      <c r="K686" s="28"/>
      <c r="L686" s="28"/>
      <c r="M686" s="28"/>
      <c r="N686" s="28"/>
      <c r="O686" s="28"/>
      <c r="P686" s="28"/>
      <c r="Q686" s="28"/>
      <c r="R686" s="28"/>
      <c r="S686" s="28"/>
      <c r="T686" s="28"/>
      <c r="U686" s="28"/>
      <c r="V686" s="28"/>
      <c r="W686" s="28"/>
      <c r="X686" s="28"/>
      <c r="Y686" s="28"/>
      <c r="Z686" s="28"/>
      <c r="AA686" s="28"/>
      <c r="AB686" s="28"/>
      <c r="AC686" s="28"/>
    </row>
    <row r="687" spans="1:29" ht="13">
      <c r="A687" s="28"/>
      <c r="B687" s="28"/>
      <c r="C687" s="28"/>
      <c r="D687" s="28"/>
      <c r="E687" s="28"/>
      <c r="F687" s="28"/>
      <c r="G687" s="28"/>
      <c r="H687" s="28"/>
      <c r="I687" s="28"/>
      <c r="J687" s="28"/>
      <c r="K687" s="28"/>
      <c r="L687" s="28"/>
      <c r="M687" s="28"/>
      <c r="N687" s="28"/>
      <c r="O687" s="28"/>
      <c r="P687" s="28"/>
      <c r="Q687" s="28"/>
      <c r="R687" s="28"/>
      <c r="S687" s="28"/>
      <c r="T687" s="28"/>
      <c r="U687" s="28"/>
      <c r="V687" s="28"/>
      <c r="W687" s="28"/>
      <c r="X687" s="28"/>
      <c r="Y687" s="28"/>
      <c r="Z687" s="28"/>
      <c r="AA687" s="28"/>
      <c r="AB687" s="28"/>
      <c r="AC687" s="28"/>
    </row>
    <row r="688" spans="1:29" ht="13">
      <c r="A688" s="28"/>
      <c r="B688" s="28"/>
      <c r="C688" s="28"/>
      <c r="D688" s="28"/>
      <c r="E688" s="28"/>
      <c r="F688" s="28"/>
      <c r="G688" s="28"/>
      <c r="H688" s="28"/>
      <c r="I688" s="28"/>
      <c r="J688" s="28"/>
      <c r="K688" s="28"/>
      <c r="L688" s="28"/>
      <c r="M688" s="28"/>
      <c r="N688" s="28"/>
      <c r="O688" s="28"/>
      <c r="P688" s="28"/>
      <c r="Q688" s="28"/>
      <c r="R688" s="28"/>
      <c r="S688" s="28"/>
      <c r="T688" s="28"/>
      <c r="U688" s="28"/>
      <c r="V688" s="28"/>
      <c r="W688" s="28"/>
      <c r="X688" s="28"/>
      <c r="Y688" s="28"/>
      <c r="Z688" s="28"/>
      <c r="AA688" s="28"/>
      <c r="AB688" s="28"/>
      <c r="AC688" s="28"/>
    </row>
    <row r="689" spans="1:29" ht="13">
      <c r="A689" s="28"/>
      <c r="B689" s="28"/>
      <c r="C689" s="28"/>
      <c r="D689" s="28"/>
      <c r="E689" s="28"/>
      <c r="F689" s="28"/>
      <c r="G689" s="28"/>
      <c r="H689" s="28"/>
      <c r="I689" s="28"/>
      <c r="J689" s="28"/>
      <c r="K689" s="28"/>
      <c r="L689" s="28"/>
      <c r="M689" s="28"/>
      <c r="N689" s="28"/>
      <c r="O689" s="28"/>
      <c r="P689" s="28"/>
      <c r="Q689" s="28"/>
      <c r="R689" s="28"/>
      <c r="S689" s="28"/>
      <c r="T689" s="28"/>
      <c r="U689" s="28"/>
      <c r="V689" s="28"/>
      <c r="W689" s="28"/>
      <c r="X689" s="28"/>
      <c r="Y689" s="28"/>
      <c r="Z689" s="28"/>
      <c r="AA689" s="28"/>
      <c r="AB689" s="28"/>
      <c r="AC689" s="28"/>
    </row>
    <row r="690" spans="1:29" ht="13">
      <c r="A690" s="28"/>
      <c r="B690" s="28"/>
      <c r="C690" s="28"/>
      <c r="D690" s="28"/>
      <c r="E690" s="28"/>
      <c r="F690" s="28"/>
      <c r="G690" s="28"/>
      <c r="H690" s="28"/>
      <c r="I690" s="28"/>
      <c r="J690" s="28"/>
      <c r="K690" s="28"/>
      <c r="L690" s="28"/>
      <c r="M690" s="28"/>
      <c r="N690" s="28"/>
      <c r="O690" s="28"/>
      <c r="P690" s="28"/>
      <c r="Q690" s="28"/>
      <c r="R690" s="28"/>
      <c r="S690" s="28"/>
      <c r="T690" s="28"/>
      <c r="U690" s="28"/>
      <c r="V690" s="28"/>
      <c r="W690" s="28"/>
      <c r="X690" s="28"/>
      <c r="Y690" s="28"/>
      <c r="Z690" s="28"/>
      <c r="AA690" s="28"/>
      <c r="AB690" s="28"/>
      <c r="AC690" s="28"/>
    </row>
    <row r="691" spans="1:29" ht="13">
      <c r="A691" s="28"/>
      <c r="B691" s="28"/>
      <c r="C691" s="28"/>
      <c r="D691" s="28"/>
      <c r="E691" s="28"/>
      <c r="F691" s="28"/>
      <c r="G691" s="28"/>
      <c r="H691" s="28"/>
      <c r="I691" s="28"/>
      <c r="J691" s="28"/>
      <c r="K691" s="28"/>
      <c r="L691" s="28"/>
      <c r="M691" s="28"/>
      <c r="N691" s="28"/>
      <c r="O691" s="28"/>
      <c r="P691" s="28"/>
      <c r="Q691" s="28"/>
      <c r="R691" s="28"/>
      <c r="S691" s="28"/>
      <c r="T691" s="28"/>
      <c r="U691" s="28"/>
      <c r="V691" s="28"/>
      <c r="W691" s="28"/>
      <c r="X691" s="28"/>
      <c r="Y691" s="28"/>
      <c r="Z691" s="28"/>
      <c r="AA691" s="28"/>
      <c r="AB691" s="28"/>
      <c r="AC691" s="28"/>
    </row>
    <row r="692" spans="1:29" ht="13">
      <c r="A692" s="28"/>
      <c r="B692" s="28"/>
      <c r="C692" s="28"/>
      <c r="D692" s="28"/>
      <c r="E692" s="28"/>
      <c r="F692" s="28"/>
      <c r="G692" s="28"/>
      <c r="H692" s="28"/>
      <c r="I692" s="28"/>
      <c r="J692" s="28"/>
      <c r="K692" s="28"/>
      <c r="L692" s="28"/>
      <c r="M692" s="28"/>
      <c r="N692" s="28"/>
      <c r="O692" s="28"/>
      <c r="P692" s="28"/>
      <c r="Q692" s="28"/>
      <c r="R692" s="28"/>
      <c r="S692" s="28"/>
      <c r="T692" s="28"/>
      <c r="U692" s="28"/>
      <c r="V692" s="28"/>
      <c r="W692" s="28"/>
      <c r="X692" s="28"/>
      <c r="Y692" s="28"/>
      <c r="Z692" s="28"/>
      <c r="AA692" s="28"/>
      <c r="AB692" s="28"/>
      <c r="AC692" s="28"/>
    </row>
    <row r="693" spans="1:29" ht="13">
      <c r="A693" s="28"/>
      <c r="B693" s="28"/>
      <c r="C693" s="28"/>
      <c r="D693" s="28"/>
      <c r="E693" s="28"/>
      <c r="F693" s="28"/>
      <c r="G693" s="28"/>
      <c r="H693" s="28"/>
      <c r="I693" s="28"/>
      <c r="J693" s="28"/>
      <c r="K693" s="28"/>
      <c r="L693" s="28"/>
      <c r="M693" s="28"/>
      <c r="N693" s="28"/>
      <c r="O693" s="28"/>
      <c r="P693" s="28"/>
      <c r="Q693" s="28"/>
      <c r="R693" s="28"/>
      <c r="S693" s="28"/>
      <c r="T693" s="28"/>
      <c r="U693" s="28"/>
      <c r="V693" s="28"/>
      <c r="W693" s="28"/>
      <c r="X693" s="28"/>
      <c r="Y693" s="28"/>
      <c r="Z693" s="28"/>
      <c r="AA693" s="28"/>
      <c r="AB693" s="28"/>
      <c r="AC693" s="28"/>
    </row>
    <row r="694" spans="1:29" ht="13">
      <c r="A694" s="28"/>
      <c r="B694" s="28"/>
      <c r="C694" s="28"/>
      <c r="D694" s="28"/>
      <c r="E694" s="28"/>
      <c r="F694" s="28"/>
      <c r="G694" s="28"/>
      <c r="H694" s="28"/>
      <c r="I694" s="28"/>
      <c r="J694" s="28"/>
      <c r="K694" s="28"/>
      <c r="L694" s="28"/>
      <c r="M694" s="28"/>
      <c r="N694" s="28"/>
      <c r="O694" s="28"/>
      <c r="P694" s="28"/>
      <c r="Q694" s="28"/>
      <c r="R694" s="28"/>
      <c r="S694" s="28"/>
      <c r="T694" s="28"/>
      <c r="U694" s="28"/>
      <c r="V694" s="28"/>
      <c r="W694" s="28"/>
      <c r="X694" s="28"/>
      <c r="Y694" s="28"/>
      <c r="Z694" s="28"/>
      <c r="AA694" s="28"/>
      <c r="AB694" s="28"/>
      <c r="AC694" s="28"/>
    </row>
    <row r="695" spans="1:29" ht="13">
      <c r="A695" s="28"/>
      <c r="B695" s="28"/>
      <c r="C695" s="28"/>
      <c r="D695" s="28"/>
      <c r="E695" s="28"/>
      <c r="F695" s="28"/>
      <c r="G695" s="28"/>
      <c r="H695" s="28"/>
      <c r="I695" s="28"/>
      <c r="J695" s="28"/>
      <c r="K695" s="28"/>
      <c r="L695" s="28"/>
      <c r="M695" s="28"/>
      <c r="N695" s="28"/>
      <c r="O695" s="28"/>
      <c r="P695" s="28"/>
      <c r="Q695" s="28"/>
      <c r="R695" s="28"/>
      <c r="S695" s="28"/>
      <c r="T695" s="28"/>
      <c r="U695" s="28"/>
      <c r="V695" s="28"/>
      <c r="W695" s="28"/>
      <c r="X695" s="28"/>
      <c r="Y695" s="28"/>
      <c r="Z695" s="28"/>
      <c r="AA695" s="28"/>
      <c r="AB695" s="28"/>
      <c r="AC695" s="28"/>
    </row>
    <row r="696" spans="1:29" ht="13">
      <c r="A696" s="28"/>
      <c r="B696" s="28"/>
      <c r="C696" s="28"/>
      <c r="D696" s="28"/>
      <c r="E696" s="28"/>
      <c r="F696" s="28"/>
      <c r="G696" s="28"/>
      <c r="H696" s="28"/>
      <c r="I696" s="28"/>
      <c r="J696" s="28"/>
      <c r="K696" s="28"/>
      <c r="L696" s="28"/>
      <c r="M696" s="28"/>
      <c r="N696" s="28"/>
      <c r="O696" s="28"/>
      <c r="P696" s="28"/>
      <c r="Q696" s="28"/>
      <c r="R696" s="28"/>
      <c r="S696" s="28"/>
      <c r="T696" s="28"/>
      <c r="U696" s="28"/>
      <c r="V696" s="28"/>
      <c r="W696" s="28"/>
      <c r="X696" s="28"/>
      <c r="Y696" s="28"/>
      <c r="Z696" s="28"/>
      <c r="AA696" s="28"/>
      <c r="AB696" s="28"/>
      <c r="AC696" s="28"/>
    </row>
    <row r="697" spans="1:29" ht="13">
      <c r="A697" s="28"/>
      <c r="B697" s="28"/>
      <c r="C697" s="28"/>
      <c r="D697" s="28"/>
      <c r="E697" s="28"/>
      <c r="F697" s="28"/>
      <c r="G697" s="28"/>
      <c r="H697" s="28"/>
      <c r="I697" s="28"/>
      <c r="J697" s="28"/>
      <c r="K697" s="28"/>
      <c r="L697" s="28"/>
      <c r="M697" s="28"/>
      <c r="N697" s="28"/>
      <c r="O697" s="28"/>
      <c r="P697" s="28"/>
      <c r="Q697" s="28"/>
      <c r="R697" s="28"/>
      <c r="S697" s="28"/>
      <c r="T697" s="28"/>
      <c r="U697" s="28"/>
      <c r="V697" s="28"/>
      <c r="W697" s="28"/>
      <c r="X697" s="28"/>
      <c r="Y697" s="28"/>
      <c r="Z697" s="28"/>
      <c r="AA697" s="28"/>
      <c r="AB697" s="28"/>
      <c r="AC697" s="28"/>
    </row>
    <row r="698" spans="1:29" ht="13">
      <c r="A698" s="28"/>
      <c r="B698" s="28"/>
      <c r="C698" s="28"/>
      <c r="D698" s="28"/>
      <c r="E698" s="28"/>
      <c r="F698" s="28"/>
      <c r="G698" s="28"/>
      <c r="H698" s="28"/>
      <c r="I698" s="28"/>
      <c r="J698" s="28"/>
      <c r="K698" s="28"/>
      <c r="L698" s="28"/>
      <c r="M698" s="28"/>
      <c r="N698" s="28"/>
      <c r="O698" s="28"/>
      <c r="P698" s="28"/>
      <c r="Q698" s="28"/>
      <c r="R698" s="28"/>
      <c r="S698" s="28"/>
      <c r="T698" s="28"/>
      <c r="U698" s="28"/>
      <c r="V698" s="28"/>
      <c r="W698" s="28"/>
      <c r="X698" s="28"/>
      <c r="Y698" s="28"/>
      <c r="Z698" s="28"/>
      <c r="AA698" s="28"/>
      <c r="AB698" s="28"/>
      <c r="AC698" s="28"/>
    </row>
    <row r="699" spans="1:29" ht="13">
      <c r="A699" s="28"/>
      <c r="B699" s="28"/>
      <c r="C699" s="28"/>
      <c r="D699" s="28"/>
      <c r="E699" s="28"/>
      <c r="F699" s="28"/>
      <c r="G699" s="28"/>
      <c r="H699" s="28"/>
      <c r="I699" s="28"/>
      <c r="J699" s="28"/>
      <c r="K699" s="28"/>
      <c r="L699" s="28"/>
      <c r="M699" s="28"/>
      <c r="N699" s="28"/>
      <c r="O699" s="28"/>
      <c r="P699" s="28"/>
      <c r="Q699" s="28"/>
      <c r="R699" s="28"/>
      <c r="S699" s="28"/>
      <c r="T699" s="28"/>
      <c r="U699" s="28"/>
      <c r="V699" s="28"/>
      <c r="W699" s="28"/>
      <c r="X699" s="28"/>
      <c r="Y699" s="28"/>
      <c r="Z699" s="28"/>
      <c r="AA699" s="28"/>
      <c r="AB699" s="28"/>
      <c r="AC699" s="28"/>
    </row>
    <row r="700" spans="1:29" ht="13">
      <c r="A700" s="28"/>
      <c r="B700" s="28"/>
      <c r="C700" s="28"/>
      <c r="D700" s="28"/>
      <c r="E700" s="28"/>
      <c r="F700" s="28"/>
      <c r="G700" s="28"/>
      <c r="H700" s="28"/>
      <c r="I700" s="28"/>
      <c r="J700" s="28"/>
      <c r="K700" s="28"/>
      <c r="L700" s="28"/>
      <c r="M700" s="28"/>
      <c r="N700" s="28"/>
      <c r="O700" s="28"/>
      <c r="P700" s="28"/>
      <c r="Q700" s="28"/>
      <c r="R700" s="28"/>
      <c r="S700" s="28"/>
      <c r="T700" s="28"/>
      <c r="U700" s="28"/>
      <c r="V700" s="28"/>
      <c r="W700" s="28"/>
      <c r="X700" s="28"/>
      <c r="Y700" s="28"/>
      <c r="Z700" s="28"/>
      <c r="AA700" s="28"/>
      <c r="AB700" s="28"/>
      <c r="AC700" s="28"/>
    </row>
    <row r="701" spans="1:29" ht="13">
      <c r="A701" s="28"/>
      <c r="B701" s="28"/>
      <c r="C701" s="28"/>
      <c r="D701" s="28"/>
      <c r="E701" s="28"/>
      <c r="F701" s="28"/>
      <c r="G701" s="28"/>
      <c r="H701" s="28"/>
      <c r="I701" s="28"/>
      <c r="J701" s="28"/>
      <c r="K701" s="28"/>
      <c r="L701" s="28"/>
      <c r="M701" s="28"/>
      <c r="N701" s="28"/>
      <c r="O701" s="28"/>
      <c r="P701" s="28"/>
      <c r="Q701" s="28"/>
      <c r="R701" s="28"/>
      <c r="S701" s="28"/>
      <c r="T701" s="28"/>
      <c r="U701" s="28"/>
      <c r="V701" s="28"/>
      <c r="W701" s="28"/>
      <c r="X701" s="28"/>
      <c r="Y701" s="28"/>
      <c r="Z701" s="28"/>
      <c r="AA701" s="28"/>
      <c r="AB701" s="28"/>
      <c r="AC701" s="28"/>
    </row>
    <row r="702" spans="1:29" ht="13">
      <c r="A702" s="28"/>
      <c r="B702" s="28"/>
      <c r="C702" s="28"/>
      <c r="D702" s="28"/>
      <c r="E702" s="28"/>
      <c r="F702" s="28"/>
      <c r="G702" s="28"/>
      <c r="H702" s="28"/>
      <c r="I702" s="28"/>
      <c r="J702" s="28"/>
      <c r="K702" s="28"/>
      <c r="L702" s="28"/>
      <c r="M702" s="28"/>
      <c r="N702" s="28"/>
      <c r="O702" s="28"/>
      <c r="P702" s="28"/>
      <c r="Q702" s="28"/>
      <c r="R702" s="28"/>
      <c r="S702" s="28"/>
      <c r="T702" s="28"/>
      <c r="U702" s="28"/>
      <c r="V702" s="28"/>
      <c r="W702" s="28"/>
      <c r="X702" s="28"/>
      <c r="Y702" s="28"/>
      <c r="Z702" s="28"/>
      <c r="AA702" s="28"/>
      <c r="AB702" s="28"/>
      <c r="AC702" s="28"/>
    </row>
    <row r="703" spans="1:29" ht="13">
      <c r="A703" s="28"/>
      <c r="B703" s="28"/>
      <c r="C703" s="28"/>
      <c r="D703" s="28"/>
      <c r="E703" s="28"/>
      <c r="F703" s="28"/>
      <c r="G703" s="28"/>
      <c r="H703" s="28"/>
      <c r="I703" s="28"/>
      <c r="J703" s="28"/>
      <c r="K703" s="28"/>
      <c r="L703" s="28"/>
      <c r="M703" s="28"/>
      <c r="N703" s="28"/>
      <c r="O703" s="28"/>
      <c r="P703" s="28"/>
      <c r="Q703" s="28"/>
      <c r="R703" s="28"/>
      <c r="S703" s="28"/>
      <c r="T703" s="28"/>
      <c r="U703" s="28"/>
      <c r="V703" s="28"/>
      <c r="W703" s="28"/>
      <c r="X703" s="28"/>
      <c r="Y703" s="28"/>
      <c r="Z703" s="28"/>
      <c r="AA703" s="28"/>
      <c r="AB703" s="28"/>
      <c r="AC703" s="28"/>
    </row>
    <row r="704" spans="1:29" ht="13">
      <c r="A704" s="28"/>
      <c r="B704" s="28"/>
      <c r="C704" s="28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28"/>
      <c r="X704" s="28"/>
      <c r="Y704" s="28"/>
      <c r="Z704" s="28"/>
      <c r="AA704" s="28"/>
      <c r="AB704" s="28"/>
      <c r="AC704" s="28"/>
    </row>
    <row r="705" spans="1:29" ht="13">
      <c r="A705" s="28"/>
      <c r="B705" s="28"/>
      <c r="C705" s="28"/>
      <c r="D705" s="28"/>
      <c r="E705" s="28"/>
      <c r="F705" s="28"/>
      <c r="G705" s="28"/>
      <c r="H705" s="28"/>
      <c r="I705" s="28"/>
      <c r="J705" s="28"/>
      <c r="K705" s="28"/>
      <c r="L705" s="28"/>
      <c r="M705" s="28"/>
      <c r="N705" s="28"/>
      <c r="O705" s="28"/>
      <c r="P705" s="28"/>
      <c r="Q705" s="28"/>
      <c r="R705" s="28"/>
      <c r="S705" s="28"/>
      <c r="T705" s="28"/>
      <c r="U705" s="28"/>
      <c r="V705" s="28"/>
      <c r="W705" s="28"/>
      <c r="X705" s="28"/>
      <c r="Y705" s="28"/>
      <c r="Z705" s="28"/>
      <c r="AA705" s="28"/>
      <c r="AB705" s="28"/>
      <c r="AC705" s="28"/>
    </row>
    <row r="706" spans="1:29" ht="13">
      <c r="A706" s="28"/>
      <c r="B706" s="28"/>
      <c r="C706" s="28"/>
      <c r="D706" s="28"/>
      <c r="E706" s="28"/>
      <c r="F706" s="28"/>
      <c r="G706" s="28"/>
      <c r="H706" s="28"/>
      <c r="I706" s="28"/>
      <c r="J706" s="28"/>
      <c r="K706" s="28"/>
      <c r="L706" s="28"/>
      <c r="M706" s="28"/>
      <c r="N706" s="28"/>
      <c r="O706" s="28"/>
      <c r="P706" s="28"/>
      <c r="Q706" s="28"/>
      <c r="R706" s="28"/>
      <c r="S706" s="28"/>
      <c r="T706" s="28"/>
      <c r="U706" s="28"/>
      <c r="V706" s="28"/>
      <c r="W706" s="28"/>
      <c r="X706" s="28"/>
      <c r="Y706" s="28"/>
      <c r="Z706" s="28"/>
      <c r="AA706" s="28"/>
      <c r="AB706" s="28"/>
      <c r="AC706" s="28"/>
    </row>
    <row r="707" spans="1:29" ht="13">
      <c r="A707" s="28"/>
      <c r="B707" s="28"/>
      <c r="C707" s="28"/>
      <c r="D707" s="28"/>
      <c r="E707" s="28"/>
      <c r="F707" s="28"/>
      <c r="G707" s="28"/>
      <c r="H707" s="28"/>
      <c r="I707" s="28"/>
      <c r="J707" s="28"/>
      <c r="K707" s="28"/>
      <c r="L707" s="28"/>
      <c r="M707" s="28"/>
      <c r="N707" s="28"/>
      <c r="O707" s="28"/>
      <c r="P707" s="28"/>
      <c r="Q707" s="28"/>
      <c r="R707" s="28"/>
      <c r="S707" s="28"/>
      <c r="T707" s="28"/>
      <c r="U707" s="28"/>
      <c r="V707" s="28"/>
      <c r="W707" s="28"/>
      <c r="X707" s="28"/>
      <c r="Y707" s="28"/>
      <c r="Z707" s="28"/>
      <c r="AA707" s="28"/>
      <c r="AB707" s="28"/>
      <c r="AC707" s="28"/>
    </row>
    <row r="708" spans="1:29" ht="13">
      <c r="A708" s="28"/>
      <c r="B708" s="28"/>
      <c r="C708" s="28"/>
      <c r="D708" s="28"/>
      <c r="E708" s="28"/>
      <c r="F708" s="28"/>
      <c r="G708" s="28"/>
      <c r="H708" s="28"/>
      <c r="I708" s="28"/>
      <c r="J708" s="28"/>
      <c r="K708" s="28"/>
      <c r="L708" s="28"/>
      <c r="M708" s="28"/>
      <c r="N708" s="28"/>
      <c r="O708" s="28"/>
      <c r="P708" s="28"/>
      <c r="Q708" s="28"/>
      <c r="R708" s="28"/>
      <c r="S708" s="28"/>
      <c r="T708" s="28"/>
      <c r="U708" s="28"/>
      <c r="V708" s="28"/>
      <c r="W708" s="28"/>
      <c r="X708" s="28"/>
      <c r="Y708" s="28"/>
      <c r="Z708" s="28"/>
      <c r="AA708" s="28"/>
      <c r="AB708" s="28"/>
      <c r="AC708" s="28"/>
    </row>
    <row r="709" spans="1:29" ht="13">
      <c r="A709" s="28"/>
      <c r="B709" s="28"/>
      <c r="C709" s="28"/>
      <c r="D709" s="28"/>
      <c r="E709" s="28"/>
      <c r="F709" s="28"/>
      <c r="G709" s="28"/>
      <c r="H709" s="28"/>
      <c r="I709" s="28"/>
      <c r="J709" s="28"/>
      <c r="K709" s="28"/>
      <c r="L709" s="28"/>
      <c r="M709" s="28"/>
      <c r="N709" s="28"/>
      <c r="O709" s="28"/>
      <c r="P709" s="28"/>
      <c r="Q709" s="28"/>
      <c r="R709" s="28"/>
      <c r="S709" s="28"/>
      <c r="T709" s="28"/>
      <c r="U709" s="28"/>
      <c r="V709" s="28"/>
      <c r="W709" s="28"/>
      <c r="X709" s="28"/>
      <c r="Y709" s="28"/>
      <c r="Z709" s="28"/>
      <c r="AA709" s="28"/>
      <c r="AB709" s="28"/>
      <c r="AC709" s="28"/>
    </row>
    <row r="710" spans="1:29" ht="13">
      <c r="A710" s="28"/>
      <c r="B710" s="28"/>
      <c r="C710" s="28"/>
      <c r="D710" s="28"/>
      <c r="E710" s="28"/>
      <c r="F710" s="28"/>
      <c r="G710" s="28"/>
      <c r="H710" s="28"/>
      <c r="I710" s="28"/>
      <c r="J710" s="28"/>
      <c r="K710" s="28"/>
      <c r="L710" s="28"/>
      <c r="M710" s="28"/>
      <c r="N710" s="28"/>
      <c r="O710" s="28"/>
      <c r="P710" s="28"/>
      <c r="Q710" s="28"/>
      <c r="R710" s="28"/>
      <c r="S710" s="28"/>
      <c r="T710" s="28"/>
      <c r="U710" s="28"/>
      <c r="V710" s="28"/>
      <c r="W710" s="28"/>
      <c r="X710" s="28"/>
      <c r="Y710" s="28"/>
      <c r="Z710" s="28"/>
      <c r="AA710" s="28"/>
      <c r="AB710" s="28"/>
      <c r="AC710" s="28"/>
    </row>
    <row r="711" spans="1:29" ht="13">
      <c r="A711" s="28"/>
      <c r="B711" s="28"/>
      <c r="C711" s="28"/>
      <c r="D711" s="28"/>
      <c r="E711" s="28"/>
      <c r="F711" s="28"/>
      <c r="G711" s="28"/>
      <c r="H711" s="28"/>
      <c r="I711" s="28"/>
      <c r="J711" s="28"/>
      <c r="K711" s="28"/>
      <c r="L711" s="28"/>
      <c r="M711" s="28"/>
      <c r="N711" s="28"/>
      <c r="O711" s="28"/>
      <c r="P711" s="28"/>
      <c r="Q711" s="28"/>
      <c r="R711" s="28"/>
      <c r="S711" s="28"/>
      <c r="T711" s="28"/>
      <c r="U711" s="28"/>
      <c r="V711" s="28"/>
      <c r="W711" s="28"/>
      <c r="X711" s="28"/>
      <c r="Y711" s="28"/>
      <c r="Z711" s="28"/>
      <c r="AA711" s="28"/>
      <c r="AB711" s="28"/>
      <c r="AC711" s="28"/>
    </row>
    <row r="712" spans="1:29" ht="13">
      <c r="A712" s="28"/>
      <c r="B712" s="28"/>
      <c r="C712" s="28"/>
      <c r="D712" s="28"/>
      <c r="E712" s="28"/>
      <c r="F712" s="28"/>
      <c r="G712" s="28"/>
      <c r="H712" s="28"/>
      <c r="I712" s="28"/>
      <c r="J712" s="28"/>
      <c r="K712" s="28"/>
      <c r="L712" s="28"/>
      <c r="M712" s="28"/>
      <c r="N712" s="28"/>
      <c r="O712" s="28"/>
      <c r="P712" s="28"/>
      <c r="Q712" s="28"/>
      <c r="R712" s="28"/>
      <c r="S712" s="28"/>
      <c r="T712" s="28"/>
      <c r="U712" s="28"/>
      <c r="V712" s="28"/>
      <c r="W712" s="28"/>
      <c r="X712" s="28"/>
      <c r="Y712" s="28"/>
      <c r="Z712" s="28"/>
      <c r="AA712" s="28"/>
      <c r="AB712" s="28"/>
      <c r="AC712" s="28"/>
    </row>
    <row r="713" spans="1:29" ht="13">
      <c r="A713" s="28"/>
      <c r="B713" s="28"/>
      <c r="C713" s="28"/>
      <c r="D713" s="28"/>
      <c r="E713" s="28"/>
      <c r="F713" s="28"/>
      <c r="G713" s="28"/>
      <c r="H713" s="28"/>
      <c r="I713" s="28"/>
      <c r="J713" s="28"/>
      <c r="K713" s="28"/>
      <c r="L713" s="28"/>
      <c r="M713" s="28"/>
      <c r="N713" s="28"/>
      <c r="O713" s="28"/>
      <c r="P713" s="28"/>
      <c r="Q713" s="28"/>
      <c r="R713" s="28"/>
      <c r="S713" s="28"/>
      <c r="T713" s="28"/>
      <c r="U713" s="28"/>
      <c r="V713" s="28"/>
      <c r="W713" s="28"/>
      <c r="X713" s="28"/>
      <c r="Y713" s="28"/>
      <c r="Z713" s="28"/>
      <c r="AA713" s="28"/>
      <c r="AB713" s="28"/>
      <c r="AC713" s="28"/>
    </row>
    <row r="714" spans="1:29" ht="13">
      <c r="A714" s="28"/>
      <c r="B714" s="28"/>
      <c r="C714" s="28"/>
      <c r="D714" s="28"/>
      <c r="E714" s="28"/>
      <c r="F714" s="28"/>
      <c r="G714" s="28"/>
      <c r="H714" s="28"/>
      <c r="I714" s="28"/>
      <c r="J714" s="28"/>
      <c r="K714" s="28"/>
      <c r="L714" s="28"/>
      <c r="M714" s="28"/>
      <c r="N714" s="28"/>
      <c r="O714" s="28"/>
      <c r="P714" s="28"/>
      <c r="Q714" s="28"/>
      <c r="R714" s="28"/>
      <c r="S714" s="28"/>
      <c r="T714" s="28"/>
      <c r="U714" s="28"/>
      <c r="V714" s="28"/>
      <c r="W714" s="28"/>
      <c r="X714" s="28"/>
      <c r="Y714" s="28"/>
      <c r="Z714" s="28"/>
      <c r="AA714" s="28"/>
      <c r="AB714" s="28"/>
      <c r="AC714" s="28"/>
    </row>
    <row r="715" spans="1:29" ht="13">
      <c r="A715" s="28"/>
      <c r="B715" s="28"/>
      <c r="C715" s="28"/>
      <c r="D715" s="28"/>
      <c r="E715" s="28"/>
      <c r="F715" s="28"/>
      <c r="G715" s="28"/>
      <c r="H715" s="28"/>
      <c r="I715" s="28"/>
      <c r="J715" s="28"/>
      <c r="K715" s="28"/>
      <c r="L715" s="28"/>
      <c r="M715" s="28"/>
      <c r="N715" s="28"/>
      <c r="O715" s="28"/>
      <c r="P715" s="28"/>
      <c r="Q715" s="28"/>
      <c r="R715" s="28"/>
      <c r="S715" s="28"/>
      <c r="T715" s="28"/>
      <c r="U715" s="28"/>
      <c r="V715" s="28"/>
      <c r="W715" s="28"/>
      <c r="X715" s="28"/>
      <c r="Y715" s="28"/>
      <c r="Z715" s="28"/>
      <c r="AA715" s="28"/>
      <c r="AB715" s="28"/>
      <c r="AC715" s="28"/>
    </row>
    <row r="716" spans="1:29" ht="13">
      <c r="A716" s="28"/>
      <c r="B716" s="28"/>
      <c r="C716" s="28"/>
      <c r="D716" s="28"/>
      <c r="E716" s="28"/>
      <c r="F716" s="28"/>
      <c r="G716" s="28"/>
      <c r="H716" s="28"/>
      <c r="I716" s="28"/>
      <c r="J716" s="28"/>
      <c r="K716" s="28"/>
      <c r="L716" s="28"/>
      <c r="M716" s="28"/>
      <c r="N716" s="28"/>
      <c r="O716" s="28"/>
      <c r="P716" s="28"/>
      <c r="Q716" s="28"/>
      <c r="R716" s="28"/>
      <c r="S716" s="28"/>
      <c r="T716" s="28"/>
      <c r="U716" s="28"/>
      <c r="V716" s="28"/>
      <c r="W716" s="28"/>
      <c r="X716" s="28"/>
      <c r="Y716" s="28"/>
      <c r="Z716" s="28"/>
      <c r="AA716" s="28"/>
      <c r="AB716" s="28"/>
      <c r="AC716" s="28"/>
    </row>
    <row r="717" spans="1:29" ht="13">
      <c r="A717" s="28"/>
      <c r="B717" s="28"/>
      <c r="C717" s="28"/>
      <c r="D717" s="28"/>
      <c r="E717" s="28"/>
      <c r="F717" s="28"/>
      <c r="G717" s="28"/>
      <c r="H717" s="28"/>
      <c r="I717" s="28"/>
      <c r="J717" s="28"/>
      <c r="K717" s="28"/>
      <c r="L717" s="28"/>
      <c r="M717" s="28"/>
      <c r="N717" s="28"/>
      <c r="O717" s="28"/>
      <c r="P717" s="28"/>
      <c r="Q717" s="28"/>
      <c r="R717" s="28"/>
      <c r="S717" s="28"/>
      <c r="T717" s="28"/>
      <c r="U717" s="28"/>
      <c r="V717" s="28"/>
      <c r="W717" s="28"/>
      <c r="X717" s="28"/>
      <c r="Y717" s="28"/>
      <c r="Z717" s="28"/>
      <c r="AA717" s="28"/>
      <c r="AB717" s="28"/>
      <c r="AC717" s="28"/>
    </row>
    <row r="718" spans="1:29" ht="13">
      <c r="A718" s="28"/>
      <c r="B718" s="28"/>
      <c r="C718" s="28"/>
      <c r="D718" s="28"/>
      <c r="E718" s="28"/>
      <c r="F718" s="28"/>
      <c r="G718" s="28"/>
      <c r="H718" s="28"/>
      <c r="I718" s="28"/>
      <c r="J718" s="28"/>
      <c r="K718" s="28"/>
      <c r="L718" s="28"/>
      <c r="M718" s="28"/>
      <c r="N718" s="28"/>
      <c r="O718" s="28"/>
      <c r="P718" s="28"/>
      <c r="Q718" s="28"/>
      <c r="R718" s="28"/>
      <c r="S718" s="28"/>
      <c r="T718" s="28"/>
      <c r="U718" s="28"/>
      <c r="V718" s="28"/>
      <c r="W718" s="28"/>
      <c r="X718" s="28"/>
      <c r="Y718" s="28"/>
      <c r="Z718" s="28"/>
      <c r="AA718" s="28"/>
      <c r="AB718" s="28"/>
      <c r="AC718" s="28"/>
    </row>
    <row r="719" spans="1:29" ht="13">
      <c r="A719" s="28"/>
      <c r="B719" s="28"/>
      <c r="C719" s="28"/>
      <c r="D719" s="28"/>
      <c r="E719" s="28"/>
      <c r="F719" s="28"/>
      <c r="G719" s="28"/>
      <c r="H719" s="28"/>
      <c r="I719" s="28"/>
      <c r="J719" s="28"/>
      <c r="K719" s="28"/>
      <c r="L719" s="28"/>
      <c r="M719" s="28"/>
      <c r="N719" s="28"/>
      <c r="O719" s="28"/>
      <c r="P719" s="28"/>
      <c r="Q719" s="28"/>
      <c r="R719" s="28"/>
      <c r="S719" s="28"/>
      <c r="T719" s="28"/>
      <c r="U719" s="28"/>
      <c r="V719" s="28"/>
      <c r="W719" s="28"/>
      <c r="X719" s="28"/>
      <c r="Y719" s="28"/>
      <c r="Z719" s="28"/>
      <c r="AA719" s="28"/>
      <c r="AB719" s="28"/>
      <c r="AC719" s="28"/>
    </row>
    <row r="720" spans="1:29" ht="13">
      <c r="A720" s="28"/>
      <c r="B720" s="28"/>
      <c r="C720" s="28"/>
      <c r="D720" s="28"/>
      <c r="E720" s="28"/>
      <c r="F720" s="28"/>
      <c r="G720" s="28"/>
      <c r="H720" s="28"/>
      <c r="I720" s="28"/>
      <c r="J720" s="28"/>
      <c r="K720" s="28"/>
      <c r="L720" s="28"/>
      <c r="M720" s="28"/>
      <c r="N720" s="28"/>
      <c r="O720" s="28"/>
      <c r="P720" s="28"/>
      <c r="Q720" s="28"/>
      <c r="R720" s="28"/>
      <c r="S720" s="28"/>
      <c r="T720" s="28"/>
      <c r="U720" s="28"/>
      <c r="V720" s="28"/>
      <c r="W720" s="28"/>
      <c r="X720" s="28"/>
      <c r="Y720" s="28"/>
      <c r="Z720" s="28"/>
      <c r="AA720" s="28"/>
      <c r="AB720" s="28"/>
      <c r="AC720" s="28"/>
    </row>
    <row r="721" spans="1:29" ht="13">
      <c r="A721" s="28"/>
      <c r="B721" s="28"/>
      <c r="C721" s="28"/>
      <c r="D721" s="28"/>
      <c r="E721" s="28"/>
      <c r="F721" s="28"/>
      <c r="G721" s="28"/>
      <c r="H721" s="28"/>
      <c r="I721" s="28"/>
      <c r="J721" s="28"/>
      <c r="K721" s="28"/>
      <c r="L721" s="28"/>
      <c r="M721" s="28"/>
      <c r="N721" s="28"/>
      <c r="O721" s="28"/>
      <c r="P721" s="28"/>
      <c r="Q721" s="28"/>
      <c r="R721" s="28"/>
      <c r="S721" s="28"/>
      <c r="T721" s="28"/>
      <c r="U721" s="28"/>
      <c r="V721" s="28"/>
      <c r="W721" s="28"/>
      <c r="X721" s="28"/>
      <c r="Y721" s="28"/>
      <c r="Z721" s="28"/>
      <c r="AA721" s="28"/>
      <c r="AB721" s="28"/>
      <c r="AC721" s="28"/>
    </row>
    <row r="722" spans="1:29" ht="13">
      <c r="A722" s="28"/>
      <c r="B722" s="28"/>
      <c r="C722" s="28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28"/>
      <c r="T722" s="28"/>
      <c r="U722" s="28"/>
      <c r="V722" s="28"/>
      <c r="W722" s="28"/>
      <c r="X722" s="28"/>
      <c r="Y722" s="28"/>
      <c r="Z722" s="28"/>
      <c r="AA722" s="28"/>
      <c r="AB722" s="28"/>
      <c r="AC722" s="28"/>
    </row>
    <row r="723" spans="1:29" ht="13">
      <c r="A723" s="28"/>
      <c r="B723" s="28"/>
      <c r="C723" s="28"/>
      <c r="D723" s="28"/>
      <c r="E723" s="28"/>
      <c r="F723" s="28"/>
      <c r="G723" s="28"/>
      <c r="H723" s="28"/>
      <c r="I723" s="28"/>
      <c r="J723" s="28"/>
      <c r="K723" s="28"/>
      <c r="L723" s="28"/>
      <c r="M723" s="28"/>
      <c r="N723" s="28"/>
      <c r="O723" s="28"/>
      <c r="P723" s="28"/>
      <c r="Q723" s="28"/>
      <c r="R723" s="28"/>
      <c r="S723" s="28"/>
      <c r="T723" s="28"/>
      <c r="U723" s="28"/>
      <c r="V723" s="28"/>
      <c r="W723" s="28"/>
      <c r="X723" s="28"/>
      <c r="Y723" s="28"/>
      <c r="Z723" s="28"/>
      <c r="AA723" s="28"/>
      <c r="AB723" s="28"/>
      <c r="AC723" s="28"/>
    </row>
    <row r="724" spans="1:29" ht="13">
      <c r="A724" s="28"/>
      <c r="B724" s="28"/>
      <c r="C724" s="28"/>
      <c r="D724" s="28"/>
      <c r="E724" s="28"/>
      <c r="F724" s="28"/>
      <c r="G724" s="28"/>
      <c r="H724" s="28"/>
      <c r="I724" s="28"/>
      <c r="J724" s="28"/>
      <c r="K724" s="28"/>
      <c r="L724" s="28"/>
      <c r="M724" s="28"/>
      <c r="N724" s="28"/>
      <c r="O724" s="28"/>
      <c r="P724" s="28"/>
      <c r="Q724" s="28"/>
      <c r="R724" s="28"/>
      <c r="S724" s="28"/>
      <c r="T724" s="28"/>
      <c r="U724" s="28"/>
      <c r="V724" s="28"/>
      <c r="W724" s="28"/>
      <c r="X724" s="28"/>
      <c r="Y724" s="28"/>
      <c r="Z724" s="28"/>
      <c r="AA724" s="28"/>
      <c r="AB724" s="28"/>
      <c r="AC724" s="28"/>
    </row>
    <row r="725" spans="1:29" ht="13">
      <c r="A725" s="28"/>
      <c r="B725" s="28"/>
      <c r="C725" s="28"/>
      <c r="D725" s="28"/>
      <c r="E725" s="28"/>
      <c r="F725" s="28"/>
      <c r="G725" s="28"/>
      <c r="H725" s="28"/>
      <c r="I725" s="28"/>
      <c r="J725" s="28"/>
      <c r="K725" s="28"/>
      <c r="L725" s="28"/>
      <c r="M725" s="28"/>
      <c r="N725" s="28"/>
      <c r="O725" s="28"/>
      <c r="P725" s="28"/>
      <c r="Q725" s="28"/>
      <c r="R725" s="28"/>
      <c r="S725" s="28"/>
      <c r="T725" s="28"/>
      <c r="U725" s="28"/>
      <c r="V725" s="28"/>
      <c r="W725" s="28"/>
      <c r="X725" s="28"/>
      <c r="Y725" s="28"/>
      <c r="Z725" s="28"/>
      <c r="AA725" s="28"/>
      <c r="AB725" s="28"/>
      <c r="AC725" s="28"/>
    </row>
    <row r="726" spans="1:29" ht="13">
      <c r="A726" s="28"/>
      <c r="B726" s="28"/>
      <c r="C726" s="28"/>
      <c r="D726" s="28"/>
      <c r="E726" s="28"/>
      <c r="F726" s="28"/>
      <c r="G726" s="28"/>
      <c r="H726" s="28"/>
      <c r="I726" s="28"/>
      <c r="J726" s="28"/>
      <c r="K726" s="28"/>
      <c r="L726" s="28"/>
      <c r="M726" s="28"/>
      <c r="N726" s="28"/>
      <c r="O726" s="28"/>
      <c r="P726" s="28"/>
      <c r="Q726" s="28"/>
      <c r="R726" s="28"/>
      <c r="S726" s="28"/>
      <c r="T726" s="28"/>
      <c r="U726" s="28"/>
      <c r="V726" s="28"/>
      <c r="W726" s="28"/>
      <c r="X726" s="28"/>
      <c r="Y726" s="28"/>
      <c r="Z726" s="28"/>
      <c r="AA726" s="28"/>
      <c r="AB726" s="28"/>
      <c r="AC726" s="28"/>
    </row>
    <row r="727" spans="1:29" ht="13">
      <c r="A727" s="28"/>
      <c r="B727" s="28"/>
      <c r="C727" s="28"/>
      <c r="D727" s="28"/>
      <c r="E727" s="28"/>
      <c r="F727" s="28"/>
      <c r="G727" s="28"/>
      <c r="H727" s="28"/>
      <c r="I727" s="28"/>
      <c r="J727" s="28"/>
      <c r="K727" s="28"/>
      <c r="L727" s="28"/>
      <c r="M727" s="28"/>
      <c r="N727" s="28"/>
      <c r="O727" s="28"/>
      <c r="P727" s="28"/>
      <c r="Q727" s="28"/>
      <c r="R727" s="28"/>
      <c r="S727" s="28"/>
      <c r="T727" s="28"/>
      <c r="U727" s="28"/>
      <c r="V727" s="28"/>
      <c r="W727" s="28"/>
      <c r="X727" s="28"/>
      <c r="Y727" s="28"/>
      <c r="Z727" s="28"/>
      <c r="AA727" s="28"/>
      <c r="AB727" s="28"/>
      <c r="AC727" s="28"/>
    </row>
    <row r="728" spans="1:29" ht="13">
      <c r="A728" s="28"/>
      <c r="B728" s="28"/>
      <c r="C728" s="28"/>
      <c r="D728" s="28"/>
      <c r="E728" s="28"/>
      <c r="F728" s="28"/>
      <c r="G728" s="28"/>
      <c r="H728" s="28"/>
      <c r="I728" s="28"/>
      <c r="J728" s="28"/>
      <c r="K728" s="28"/>
      <c r="L728" s="28"/>
      <c r="M728" s="28"/>
      <c r="N728" s="28"/>
      <c r="O728" s="28"/>
      <c r="P728" s="28"/>
      <c r="Q728" s="28"/>
      <c r="R728" s="28"/>
      <c r="S728" s="28"/>
      <c r="T728" s="28"/>
      <c r="U728" s="28"/>
      <c r="V728" s="28"/>
      <c r="W728" s="28"/>
      <c r="X728" s="28"/>
      <c r="Y728" s="28"/>
      <c r="Z728" s="28"/>
      <c r="AA728" s="28"/>
      <c r="AB728" s="28"/>
      <c r="AC728" s="28"/>
    </row>
    <row r="729" spans="1:29" ht="13">
      <c r="A729" s="28"/>
      <c r="B729" s="28"/>
      <c r="C729" s="28"/>
      <c r="D729" s="28"/>
      <c r="E729" s="28"/>
      <c r="F729" s="28"/>
      <c r="G729" s="28"/>
      <c r="H729" s="28"/>
      <c r="I729" s="28"/>
      <c r="J729" s="28"/>
      <c r="K729" s="28"/>
      <c r="L729" s="28"/>
      <c r="M729" s="28"/>
      <c r="N729" s="28"/>
      <c r="O729" s="28"/>
      <c r="P729" s="28"/>
      <c r="Q729" s="28"/>
      <c r="R729" s="28"/>
      <c r="S729" s="28"/>
      <c r="T729" s="28"/>
      <c r="U729" s="28"/>
      <c r="V729" s="28"/>
      <c r="W729" s="28"/>
      <c r="X729" s="28"/>
      <c r="Y729" s="28"/>
      <c r="Z729" s="28"/>
      <c r="AA729" s="28"/>
      <c r="AB729" s="28"/>
      <c r="AC729" s="28"/>
    </row>
    <row r="730" spans="1:29" ht="13">
      <c r="A730" s="28"/>
      <c r="B730" s="28"/>
      <c r="C730" s="28"/>
      <c r="D730" s="28"/>
      <c r="E730" s="28"/>
      <c r="F730" s="28"/>
      <c r="G730" s="28"/>
      <c r="H730" s="28"/>
      <c r="I730" s="28"/>
      <c r="J730" s="28"/>
      <c r="K730" s="28"/>
      <c r="L730" s="28"/>
      <c r="M730" s="28"/>
      <c r="N730" s="28"/>
      <c r="O730" s="28"/>
      <c r="P730" s="28"/>
      <c r="Q730" s="28"/>
      <c r="R730" s="28"/>
      <c r="S730" s="28"/>
      <c r="T730" s="28"/>
      <c r="U730" s="28"/>
      <c r="V730" s="28"/>
      <c r="W730" s="28"/>
      <c r="X730" s="28"/>
      <c r="Y730" s="28"/>
      <c r="Z730" s="28"/>
      <c r="AA730" s="28"/>
      <c r="AB730" s="28"/>
      <c r="AC730" s="28"/>
    </row>
    <row r="731" spans="1:29" ht="13">
      <c r="A731" s="28"/>
      <c r="B731" s="28"/>
      <c r="C731" s="28"/>
      <c r="D731" s="28"/>
      <c r="E731" s="28"/>
      <c r="F731" s="28"/>
      <c r="G731" s="28"/>
      <c r="H731" s="28"/>
      <c r="I731" s="28"/>
      <c r="J731" s="28"/>
      <c r="K731" s="28"/>
      <c r="L731" s="28"/>
      <c r="M731" s="28"/>
      <c r="N731" s="28"/>
      <c r="O731" s="28"/>
      <c r="P731" s="28"/>
      <c r="Q731" s="28"/>
      <c r="R731" s="28"/>
      <c r="S731" s="28"/>
      <c r="T731" s="28"/>
      <c r="U731" s="28"/>
      <c r="V731" s="28"/>
      <c r="W731" s="28"/>
      <c r="X731" s="28"/>
      <c r="Y731" s="28"/>
      <c r="Z731" s="28"/>
      <c r="AA731" s="28"/>
      <c r="AB731" s="28"/>
      <c r="AC731" s="28"/>
    </row>
    <row r="732" spans="1:29" ht="13">
      <c r="A732" s="28"/>
      <c r="B732" s="28"/>
      <c r="C732" s="28"/>
      <c r="D732" s="28"/>
      <c r="E732" s="28"/>
      <c r="F732" s="28"/>
      <c r="G732" s="28"/>
      <c r="H732" s="28"/>
      <c r="I732" s="28"/>
      <c r="J732" s="28"/>
      <c r="K732" s="28"/>
      <c r="L732" s="28"/>
      <c r="M732" s="28"/>
      <c r="N732" s="28"/>
      <c r="O732" s="28"/>
      <c r="P732" s="28"/>
      <c r="Q732" s="28"/>
      <c r="R732" s="28"/>
      <c r="S732" s="28"/>
      <c r="T732" s="28"/>
      <c r="U732" s="28"/>
      <c r="V732" s="28"/>
      <c r="W732" s="28"/>
      <c r="X732" s="28"/>
      <c r="Y732" s="28"/>
      <c r="Z732" s="28"/>
      <c r="AA732" s="28"/>
      <c r="AB732" s="28"/>
      <c r="AC732" s="28"/>
    </row>
    <row r="733" spans="1:29" ht="13">
      <c r="A733" s="28"/>
      <c r="B733" s="28"/>
      <c r="C733" s="28"/>
      <c r="D733" s="28"/>
      <c r="E733" s="28"/>
      <c r="F733" s="28"/>
      <c r="G733" s="28"/>
      <c r="H733" s="28"/>
      <c r="I733" s="28"/>
      <c r="J733" s="28"/>
      <c r="K733" s="28"/>
      <c r="L733" s="28"/>
      <c r="M733" s="28"/>
      <c r="N733" s="28"/>
      <c r="O733" s="28"/>
      <c r="P733" s="28"/>
      <c r="Q733" s="28"/>
      <c r="R733" s="28"/>
      <c r="S733" s="28"/>
      <c r="T733" s="28"/>
      <c r="U733" s="28"/>
      <c r="V733" s="28"/>
      <c r="W733" s="28"/>
      <c r="X733" s="28"/>
      <c r="Y733" s="28"/>
      <c r="Z733" s="28"/>
      <c r="AA733" s="28"/>
      <c r="AB733" s="28"/>
      <c r="AC733" s="28"/>
    </row>
    <row r="734" spans="1:29" ht="13">
      <c r="A734" s="28"/>
      <c r="B734" s="28"/>
      <c r="C734" s="28"/>
      <c r="D734" s="28"/>
      <c r="E734" s="28"/>
      <c r="F734" s="28"/>
      <c r="G734" s="28"/>
      <c r="H734" s="28"/>
      <c r="I734" s="28"/>
      <c r="J734" s="28"/>
      <c r="K734" s="28"/>
      <c r="L734" s="28"/>
      <c r="M734" s="28"/>
      <c r="N734" s="28"/>
      <c r="O734" s="28"/>
      <c r="P734" s="28"/>
      <c r="Q734" s="28"/>
      <c r="R734" s="28"/>
      <c r="S734" s="28"/>
      <c r="T734" s="28"/>
      <c r="U734" s="28"/>
      <c r="V734" s="28"/>
      <c r="W734" s="28"/>
      <c r="X734" s="28"/>
      <c r="Y734" s="28"/>
      <c r="Z734" s="28"/>
      <c r="AA734" s="28"/>
      <c r="AB734" s="28"/>
      <c r="AC734" s="28"/>
    </row>
    <row r="735" spans="1:29" ht="13">
      <c r="A735" s="28"/>
      <c r="B735" s="28"/>
      <c r="C735" s="28"/>
      <c r="D735" s="28"/>
      <c r="E735" s="28"/>
      <c r="F735" s="28"/>
      <c r="G735" s="28"/>
      <c r="H735" s="28"/>
      <c r="I735" s="28"/>
      <c r="J735" s="28"/>
      <c r="K735" s="28"/>
      <c r="L735" s="28"/>
      <c r="M735" s="28"/>
      <c r="N735" s="28"/>
      <c r="O735" s="28"/>
      <c r="P735" s="28"/>
      <c r="Q735" s="28"/>
      <c r="R735" s="28"/>
      <c r="S735" s="28"/>
      <c r="T735" s="28"/>
      <c r="U735" s="28"/>
      <c r="V735" s="28"/>
      <c r="W735" s="28"/>
      <c r="X735" s="28"/>
      <c r="Y735" s="28"/>
      <c r="Z735" s="28"/>
      <c r="AA735" s="28"/>
      <c r="AB735" s="28"/>
      <c r="AC735" s="28"/>
    </row>
    <row r="736" spans="1:29" ht="13">
      <c r="A736" s="28"/>
      <c r="B736" s="28"/>
      <c r="C736" s="28"/>
      <c r="D736" s="28"/>
      <c r="E736" s="28"/>
      <c r="F736" s="28"/>
      <c r="G736" s="28"/>
      <c r="H736" s="28"/>
      <c r="I736" s="28"/>
      <c r="J736" s="28"/>
      <c r="K736" s="28"/>
      <c r="L736" s="28"/>
      <c r="M736" s="28"/>
      <c r="N736" s="28"/>
      <c r="O736" s="28"/>
      <c r="P736" s="28"/>
      <c r="Q736" s="28"/>
      <c r="R736" s="28"/>
      <c r="S736" s="28"/>
      <c r="T736" s="28"/>
      <c r="U736" s="28"/>
      <c r="V736" s="28"/>
      <c r="W736" s="28"/>
      <c r="X736" s="28"/>
      <c r="Y736" s="28"/>
      <c r="Z736" s="28"/>
      <c r="AA736" s="28"/>
      <c r="AB736" s="28"/>
      <c r="AC736" s="28"/>
    </row>
    <row r="737" spans="1:29" ht="13">
      <c r="A737" s="28"/>
      <c r="B737" s="28"/>
      <c r="C737" s="28"/>
      <c r="D737" s="28"/>
      <c r="E737" s="28"/>
      <c r="F737" s="28"/>
      <c r="G737" s="28"/>
      <c r="H737" s="28"/>
      <c r="I737" s="28"/>
      <c r="J737" s="28"/>
      <c r="K737" s="28"/>
      <c r="L737" s="28"/>
      <c r="M737" s="28"/>
      <c r="N737" s="28"/>
      <c r="O737" s="28"/>
      <c r="P737" s="28"/>
      <c r="Q737" s="28"/>
      <c r="R737" s="28"/>
      <c r="S737" s="28"/>
      <c r="T737" s="28"/>
      <c r="U737" s="28"/>
      <c r="V737" s="28"/>
      <c r="W737" s="28"/>
      <c r="X737" s="28"/>
      <c r="Y737" s="28"/>
      <c r="Z737" s="28"/>
      <c r="AA737" s="28"/>
      <c r="AB737" s="28"/>
      <c r="AC737" s="28"/>
    </row>
    <row r="738" spans="1:29" ht="13">
      <c r="A738" s="28"/>
      <c r="B738" s="28"/>
      <c r="C738" s="28"/>
      <c r="D738" s="28"/>
      <c r="E738" s="28"/>
      <c r="F738" s="28"/>
      <c r="G738" s="28"/>
      <c r="H738" s="28"/>
      <c r="I738" s="28"/>
      <c r="J738" s="28"/>
      <c r="K738" s="28"/>
      <c r="L738" s="28"/>
      <c r="M738" s="28"/>
      <c r="N738" s="28"/>
      <c r="O738" s="28"/>
      <c r="P738" s="28"/>
      <c r="Q738" s="28"/>
      <c r="R738" s="28"/>
      <c r="S738" s="28"/>
      <c r="T738" s="28"/>
      <c r="U738" s="28"/>
      <c r="V738" s="28"/>
      <c r="W738" s="28"/>
      <c r="X738" s="28"/>
      <c r="Y738" s="28"/>
      <c r="Z738" s="28"/>
      <c r="AA738" s="28"/>
      <c r="AB738" s="28"/>
      <c r="AC738" s="28"/>
    </row>
    <row r="739" spans="1:29" ht="13">
      <c r="A739" s="28"/>
      <c r="B739" s="28"/>
      <c r="C739" s="28"/>
      <c r="D739" s="28"/>
      <c r="E739" s="28"/>
      <c r="F739" s="28"/>
      <c r="G739" s="28"/>
      <c r="H739" s="28"/>
      <c r="I739" s="28"/>
      <c r="J739" s="28"/>
      <c r="K739" s="28"/>
      <c r="L739" s="28"/>
      <c r="M739" s="28"/>
      <c r="N739" s="28"/>
      <c r="O739" s="28"/>
      <c r="P739" s="28"/>
      <c r="Q739" s="28"/>
      <c r="R739" s="28"/>
      <c r="S739" s="28"/>
      <c r="T739" s="28"/>
      <c r="U739" s="28"/>
      <c r="V739" s="28"/>
      <c r="W739" s="28"/>
      <c r="X739" s="28"/>
      <c r="Y739" s="28"/>
      <c r="Z739" s="28"/>
      <c r="AA739" s="28"/>
      <c r="AB739" s="28"/>
      <c r="AC739" s="28"/>
    </row>
    <row r="740" spans="1:29" ht="13">
      <c r="A740" s="28"/>
      <c r="B740" s="28"/>
      <c r="C740" s="28"/>
      <c r="D740" s="28"/>
      <c r="E740" s="28"/>
      <c r="F740" s="28"/>
      <c r="G740" s="28"/>
      <c r="H740" s="28"/>
      <c r="I740" s="28"/>
      <c r="J740" s="28"/>
      <c r="K740" s="28"/>
      <c r="L740" s="28"/>
      <c r="M740" s="28"/>
      <c r="N740" s="28"/>
      <c r="O740" s="28"/>
      <c r="P740" s="28"/>
      <c r="Q740" s="28"/>
      <c r="R740" s="28"/>
      <c r="S740" s="28"/>
      <c r="T740" s="28"/>
      <c r="U740" s="28"/>
      <c r="V740" s="28"/>
      <c r="W740" s="28"/>
      <c r="X740" s="28"/>
      <c r="Y740" s="28"/>
      <c r="Z740" s="28"/>
      <c r="AA740" s="28"/>
      <c r="AB740" s="28"/>
      <c r="AC740" s="28"/>
    </row>
    <row r="741" spans="1:29" ht="13">
      <c r="A741" s="28"/>
      <c r="B741" s="28"/>
      <c r="C741" s="28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28"/>
      <c r="AC741" s="28"/>
    </row>
    <row r="742" spans="1:29" ht="13">
      <c r="A742" s="28"/>
      <c r="B742" s="28"/>
      <c r="C742" s="28"/>
      <c r="D742" s="28"/>
      <c r="E742" s="28"/>
      <c r="F742" s="28"/>
      <c r="G742" s="28"/>
      <c r="H742" s="28"/>
      <c r="I742" s="28"/>
      <c r="J742" s="28"/>
      <c r="K742" s="28"/>
      <c r="L742" s="28"/>
      <c r="M742" s="28"/>
      <c r="N742" s="28"/>
      <c r="O742" s="28"/>
      <c r="P742" s="28"/>
      <c r="Q742" s="28"/>
      <c r="R742" s="28"/>
      <c r="S742" s="28"/>
      <c r="T742" s="28"/>
      <c r="U742" s="28"/>
      <c r="V742" s="28"/>
      <c r="W742" s="28"/>
      <c r="X742" s="28"/>
      <c r="Y742" s="28"/>
      <c r="Z742" s="28"/>
      <c r="AA742" s="28"/>
      <c r="AB742" s="28"/>
      <c r="AC742" s="28"/>
    </row>
    <row r="743" spans="1:29" ht="13">
      <c r="A743" s="28"/>
      <c r="B743" s="28"/>
      <c r="C743" s="28"/>
      <c r="D743" s="28"/>
      <c r="E743" s="28"/>
      <c r="F743" s="28"/>
      <c r="G743" s="28"/>
      <c r="H743" s="28"/>
      <c r="I743" s="28"/>
      <c r="J743" s="28"/>
      <c r="K743" s="28"/>
      <c r="L743" s="28"/>
      <c r="M743" s="28"/>
      <c r="N743" s="28"/>
      <c r="O743" s="28"/>
      <c r="P743" s="28"/>
      <c r="Q743" s="28"/>
      <c r="R743" s="28"/>
      <c r="S743" s="28"/>
      <c r="T743" s="28"/>
      <c r="U743" s="28"/>
      <c r="V743" s="28"/>
      <c r="W743" s="28"/>
      <c r="X743" s="28"/>
      <c r="Y743" s="28"/>
      <c r="Z743" s="28"/>
      <c r="AA743" s="28"/>
      <c r="AB743" s="28"/>
      <c r="AC743" s="28"/>
    </row>
    <row r="744" spans="1:29" ht="13">
      <c r="A744" s="28"/>
      <c r="B744" s="28"/>
      <c r="C744" s="28"/>
      <c r="D744" s="28"/>
      <c r="E744" s="28"/>
      <c r="F744" s="28"/>
      <c r="G744" s="28"/>
      <c r="H744" s="28"/>
      <c r="I744" s="28"/>
      <c r="J744" s="28"/>
      <c r="K744" s="28"/>
      <c r="L744" s="28"/>
      <c r="M744" s="28"/>
      <c r="N744" s="28"/>
      <c r="O744" s="28"/>
      <c r="P744" s="28"/>
      <c r="Q744" s="28"/>
      <c r="R744" s="28"/>
      <c r="S744" s="28"/>
      <c r="T744" s="28"/>
      <c r="U744" s="28"/>
      <c r="V744" s="28"/>
      <c r="W744" s="28"/>
      <c r="X744" s="28"/>
      <c r="Y744" s="28"/>
      <c r="Z744" s="28"/>
      <c r="AA744" s="28"/>
      <c r="AB744" s="28"/>
      <c r="AC744" s="28"/>
    </row>
    <row r="745" spans="1:29" ht="13">
      <c r="A745" s="28"/>
      <c r="B745" s="28"/>
      <c r="C745" s="28"/>
      <c r="D745" s="28"/>
      <c r="E745" s="28"/>
      <c r="F745" s="28"/>
      <c r="G745" s="28"/>
      <c r="H745" s="28"/>
      <c r="I745" s="28"/>
      <c r="J745" s="28"/>
      <c r="K745" s="28"/>
      <c r="L745" s="28"/>
      <c r="M745" s="28"/>
      <c r="N745" s="28"/>
      <c r="O745" s="28"/>
      <c r="P745" s="28"/>
      <c r="Q745" s="28"/>
      <c r="R745" s="28"/>
      <c r="S745" s="28"/>
      <c r="T745" s="28"/>
      <c r="U745" s="28"/>
      <c r="V745" s="28"/>
      <c r="W745" s="28"/>
      <c r="X745" s="28"/>
      <c r="Y745" s="28"/>
      <c r="Z745" s="28"/>
      <c r="AA745" s="28"/>
      <c r="AB745" s="28"/>
      <c r="AC745" s="28"/>
    </row>
    <row r="746" spans="1:29" ht="13">
      <c r="A746" s="28"/>
      <c r="B746" s="28"/>
      <c r="C746" s="28"/>
      <c r="D746" s="28"/>
      <c r="E746" s="28"/>
      <c r="F746" s="28"/>
      <c r="G746" s="28"/>
      <c r="H746" s="28"/>
      <c r="I746" s="28"/>
      <c r="J746" s="28"/>
      <c r="K746" s="28"/>
      <c r="L746" s="28"/>
      <c r="M746" s="28"/>
      <c r="N746" s="28"/>
      <c r="O746" s="28"/>
      <c r="P746" s="28"/>
      <c r="Q746" s="28"/>
      <c r="R746" s="28"/>
      <c r="S746" s="28"/>
      <c r="T746" s="28"/>
      <c r="U746" s="28"/>
      <c r="V746" s="28"/>
      <c r="W746" s="28"/>
      <c r="X746" s="28"/>
      <c r="Y746" s="28"/>
      <c r="Z746" s="28"/>
      <c r="AA746" s="28"/>
      <c r="AB746" s="28"/>
      <c r="AC746" s="28"/>
    </row>
    <row r="747" spans="1:29" ht="13">
      <c r="A747" s="28"/>
      <c r="B747" s="28"/>
      <c r="C747" s="28"/>
      <c r="D747" s="28"/>
      <c r="E747" s="28"/>
      <c r="F747" s="28"/>
      <c r="G747" s="28"/>
      <c r="H747" s="28"/>
      <c r="I747" s="28"/>
      <c r="J747" s="28"/>
      <c r="K747" s="28"/>
      <c r="L747" s="28"/>
      <c r="M747" s="28"/>
      <c r="N747" s="28"/>
      <c r="O747" s="28"/>
      <c r="P747" s="28"/>
      <c r="Q747" s="28"/>
      <c r="R747" s="28"/>
      <c r="S747" s="28"/>
      <c r="T747" s="28"/>
      <c r="U747" s="28"/>
      <c r="V747" s="28"/>
      <c r="W747" s="28"/>
      <c r="X747" s="28"/>
      <c r="Y747" s="28"/>
      <c r="Z747" s="28"/>
      <c r="AA747" s="28"/>
      <c r="AB747" s="28"/>
      <c r="AC747" s="28"/>
    </row>
    <row r="748" spans="1:29" ht="13">
      <c r="A748" s="28"/>
      <c r="B748" s="28"/>
      <c r="C748" s="28"/>
      <c r="D748" s="28"/>
      <c r="E748" s="28"/>
      <c r="F748" s="28"/>
      <c r="G748" s="28"/>
      <c r="H748" s="28"/>
      <c r="I748" s="28"/>
      <c r="J748" s="28"/>
      <c r="K748" s="28"/>
      <c r="L748" s="28"/>
      <c r="M748" s="28"/>
      <c r="N748" s="28"/>
      <c r="O748" s="28"/>
      <c r="P748" s="28"/>
      <c r="Q748" s="28"/>
      <c r="R748" s="28"/>
      <c r="S748" s="28"/>
      <c r="T748" s="28"/>
      <c r="U748" s="28"/>
      <c r="V748" s="28"/>
      <c r="W748" s="28"/>
      <c r="X748" s="28"/>
      <c r="Y748" s="28"/>
      <c r="Z748" s="28"/>
      <c r="AA748" s="28"/>
      <c r="AB748" s="28"/>
      <c r="AC748" s="28"/>
    </row>
    <row r="749" spans="1:29" ht="13">
      <c r="A749" s="28"/>
      <c r="B749" s="28"/>
      <c r="C749" s="28"/>
      <c r="D749" s="28"/>
      <c r="E749" s="28"/>
      <c r="F749" s="28"/>
      <c r="G749" s="28"/>
      <c r="H749" s="28"/>
      <c r="I749" s="28"/>
      <c r="J749" s="28"/>
      <c r="K749" s="28"/>
      <c r="L749" s="28"/>
      <c r="M749" s="28"/>
      <c r="N749" s="28"/>
      <c r="O749" s="28"/>
      <c r="P749" s="28"/>
      <c r="Q749" s="28"/>
      <c r="R749" s="28"/>
      <c r="S749" s="28"/>
      <c r="T749" s="28"/>
      <c r="U749" s="28"/>
      <c r="V749" s="28"/>
      <c r="W749" s="28"/>
      <c r="X749" s="28"/>
      <c r="Y749" s="28"/>
      <c r="Z749" s="28"/>
      <c r="AA749" s="28"/>
      <c r="AB749" s="28"/>
      <c r="AC749" s="28"/>
    </row>
    <row r="750" spans="1:29" ht="13">
      <c r="A750" s="28"/>
      <c r="B750" s="28"/>
      <c r="C750" s="28"/>
      <c r="D750" s="28"/>
      <c r="E750" s="28"/>
      <c r="F750" s="28"/>
      <c r="G750" s="28"/>
      <c r="H750" s="28"/>
      <c r="I750" s="28"/>
      <c r="J750" s="28"/>
      <c r="K750" s="28"/>
      <c r="L750" s="28"/>
      <c r="M750" s="28"/>
      <c r="N750" s="28"/>
      <c r="O750" s="28"/>
      <c r="P750" s="28"/>
      <c r="Q750" s="28"/>
      <c r="R750" s="28"/>
      <c r="S750" s="28"/>
      <c r="T750" s="28"/>
      <c r="U750" s="28"/>
      <c r="V750" s="28"/>
      <c r="W750" s="28"/>
      <c r="X750" s="28"/>
      <c r="Y750" s="28"/>
      <c r="Z750" s="28"/>
      <c r="AA750" s="28"/>
      <c r="AB750" s="28"/>
      <c r="AC750" s="28"/>
    </row>
    <row r="751" spans="1:29" ht="13">
      <c r="A751" s="28"/>
      <c r="B751" s="28"/>
      <c r="C751" s="28"/>
      <c r="D751" s="28"/>
      <c r="E751" s="28"/>
      <c r="F751" s="28"/>
      <c r="G751" s="28"/>
      <c r="H751" s="28"/>
      <c r="I751" s="28"/>
      <c r="J751" s="28"/>
      <c r="K751" s="28"/>
      <c r="L751" s="28"/>
      <c r="M751" s="28"/>
      <c r="N751" s="28"/>
      <c r="O751" s="28"/>
      <c r="P751" s="28"/>
      <c r="Q751" s="28"/>
      <c r="R751" s="28"/>
      <c r="S751" s="28"/>
      <c r="T751" s="28"/>
      <c r="U751" s="28"/>
      <c r="V751" s="28"/>
      <c r="W751" s="28"/>
      <c r="X751" s="28"/>
      <c r="Y751" s="28"/>
      <c r="Z751" s="28"/>
      <c r="AA751" s="28"/>
      <c r="AB751" s="28"/>
      <c r="AC751" s="28"/>
    </row>
    <row r="752" spans="1:29" ht="13">
      <c r="A752" s="28"/>
      <c r="B752" s="28"/>
      <c r="C752" s="28"/>
      <c r="D752" s="28"/>
      <c r="E752" s="28"/>
      <c r="F752" s="28"/>
      <c r="G752" s="28"/>
      <c r="H752" s="28"/>
      <c r="I752" s="28"/>
      <c r="J752" s="28"/>
      <c r="K752" s="28"/>
      <c r="L752" s="28"/>
      <c r="M752" s="28"/>
      <c r="N752" s="28"/>
      <c r="O752" s="28"/>
      <c r="P752" s="28"/>
      <c r="Q752" s="28"/>
      <c r="R752" s="28"/>
      <c r="S752" s="28"/>
      <c r="T752" s="28"/>
      <c r="U752" s="28"/>
      <c r="V752" s="28"/>
      <c r="W752" s="28"/>
      <c r="X752" s="28"/>
      <c r="Y752" s="28"/>
      <c r="Z752" s="28"/>
      <c r="AA752" s="28"/>
      <c r="AB752" s="28"/>
      <c r="AC752" s="28"/>
    </row>
    <row r="753" spans="1:29" ht="13">
      <c r="A753" s="28"/>
      <c r="B753" s="28"/>
      <c r="C753" s="28"/>
      <c r="D753" s="28"/>
      <c r="E753" s="28"/>
      <c r="F753" s="28"/>
      <c r="G753" s="28"/>
      <c r="H753" s="28"/>
      <c r="I753" s="28"/>
      <c r="J753" s="28"/>
      <c r="K753" s="28"/>
      <c r="L753" s="28"/>
      <c r="M753" s="28"/>
      <c r="N753" s="28"/>
      <c r="O753" s="28"/>
      <c r="P753" s="28"/>
      <c r="Q753" s="28"/>
      <c r="R753" s="28"/>
      <c r="S753" s="28"/>
      <c r="T753" s="28"/>
      <c r="U753" s="28"/>
      <c r="V753" s="28"/>
      <c r="W753" s="28"/>
      <c r="X753" s="28"/>
      <c r="Y753" s="28"/>
      <c r="Z753" s="28"/>
      <c r="AA753" s="28"/>
      <c r="AB753" s="28"/>
      <c r="AC753" s="28"/>
    </row>
    <row r="754" spans="1:29" ht="13">
      <c r="A754" s="28"/>
      <c r="B754" s="28"/>
      <c r="C754" s="28"/>
      <c r="D754" s="28"/>
      <c r="E754" s="28"/>
      <c r="F754" s="28"/>
      <c r="G754" s="28"/>
      <c r="H754" s="28"/>
      <c r="I754" s="28"/>
      <c r="J754" s="28"/>
      <c r="K754" s="28"/>
      <c r="L754" s="28"/>
      <c r="M754" s="28"/>
      <c r="N754" s="28"/>
      <c r="O754" s="28"/>
      <c r="P754" s="28"/>
      <c r="Q754" s="28"/>
      <c r="R754" s="28"/>
      <c r="S754" s="28"/>
      <c r="T754" s="28"/>
      <c r="U754" s="28"/>
      <c r="V754" s="28"/>
      <c r="W754" s="28"/>
      <c r="X754" s="28"/>
      <c r="Y754" s="28"/>
      <c r="Z754" s="28"/>
      <c r="AA754" s="28"/>
      <c r="AB754" s="28"/>
      <c r="AC754" s="28"/>
    </row>
    <row r="755" spans="1:29" ht="13">
      <c r="A755" s="28"/>
      <c r="B755" s="28"/>
      <c r="C755" s="28"/>
      <c r="D755" s="28"/>
      <c r="E755" s="28"/>
      <c r="F755" s="28"/>
      <c r="G755" s="28"/>
      <c r="H755" s="28"/>
      <c r="I755" s="28"/>
      <c r="J755" s="28"/>
      <c r="K755" s="28"/>
      <c r="L755" s="28"/>
      <c r="M755" s="28"/>
      <c r="N755" s="28"/>
      <c r="O755" s="28"/>
      <c r="P755" s="28"/>
      <c r="Q755" s="28"/>
      <c r="R755" s="28"/>
      <c r="S755" s="28"/>
      <c r="T755" s="28"/>
      <c r="U755" s="28"/>
      <c r="V755" s="28"/>
      <c r="W755" s="28"/>
      <c r="X755" s="28"/>
      <c r="Y755" s="28"/>
      <c r="Z755" s="28"/>
      <c r="AA755" s="28"/>
      <c r="AB755" s="28"/>
      <c r="AC755" s="28"/>
    </row>
    <row r="756" spans="1:29" ht="13">
      <c r="A756" s="28"/>
      <c r="B756" s="28"/>
      <c r="C756" s="28"/>
      <c r="D756" s="28"/>
      <c r="E756" s="28"/>
      <c r="F756" s="28"/>
      <c r="G756" s="28"/>
      <c r="H756" s="28"/>
      <c r="I756" s="28"/>
      <c r="J756" s="28"/>
      <c r="K756" s="28"/>
      <c r="L756" s="28"/>
      <c r="M756" s="28"/>
      <c r="N756" s="28"/>
      <c r="O756" s="28"/>
      <c r="P756" s="28"/>
      <c r="Q756" s="28"/>
      <c r="R756" s="28"/>
      <c r="S756" s="28"/>
      <c r="T756" s="28"/>
      <c r="U756" s="28"/>
      <c r="V756" s="28"/>
      <c r="W756" s="28"/>
      <c r="X756" s="28"/>
      <c r="Y756" s="28"/>
      <c r="Z756" s="28"/>
      <c r="AA756" s="28"/>
      <c r="AB756" s="28"/>
      <c r="AC756" s="28"/>
    </row>
    <row r="757" spans="1:29" ht="13">
      <c r="A757" s="28"/>
      <c r="B757" s="28"/>
      <c r="C757" s="28"/>
      <c r="D757" s="28"/>
      <c r="E757" s="28"/>
      <c r="F757" s="28"/>
      <c r="G757" s="28"/>
      <c r="H757" s="28"/>
      <c r="I757" s="28"/>
      <c r="J757" s="28"/>
      <c r="K757" s="28"/>
      <c r="L757" s="28"/>
      <c r="M757" s="28"/>
      <c r="N757" s="28"/>
      <c r="O757" s="28"/>
      <c r="P757" s="28"/>
      <c r="Q757" s="28"/>
      <c r="R757" s="28"/>
      <c r="S757" s="28"/>
      <c r="T757" s="28"/>
      <c r="U757" s="28"/>
      <c r="V757" s="28"/>
      <c r="W757" s="28"/>
      <c r="X757" s="28"/>
      <c r="Y757" s="28"/>
      <c r="Z757" s="28"/>
      <c r="AA757" s="28"/>
      <c r="AB757" s="28"/>
      <c r="AC757" s="28"/>
    </row>
    <row r="758" spans="1:29" ht="13">
      <c r="A758" s="28"/>
      <c r="B758" s="28"/>
      <c r="C758" s="28"/>
      <c r="D758" s="28"/>
      <c r="E758" s="28"/>
      <c r="F758" s="28"/>
      <c r="G758" s="28"/>
      <c r="H758" s="28"/>
      <c r="I758" s="28"/>
      <c r="J758" s="28"/>
      <c r="K758" s="28"/>
      <c r="L758" s="28"/>
      <c r="M758" s="28"/>
      <c r="N758" s="28"/>
      <c r="O758" s="28"/>
      <c r="P758" s="28"/>
      <c r="Q758" s="28"/>
      <c r="R758" s="28"/>
      <c r="S758" s="28"/>
      <c r="T758" s="28"/>
      <c r="U758" s="28"/>
      <c r="V758" s="28"/>
      <c r="W758" s="28"/>
      <c r="X758" s="28"/>
      <c r="Y758" s="28"/>
      <c r="Z758" s="28"/>
      <c r="AA758" s="28"/>
      <c r="AB758" s="28"/>
      <c r="AC758" s="28"/>
    </row>
    <row r="759" spans="1:29" ht="13">
      <c r="A759" s="28"/>
      <c r="B759" s="28"/>
      <c r="C759" s="28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28"/>
      <c r="AC759" s="28"/>
    </row>
    <row r="760" spans="1:29" ht="13">
      <c r="A760" s="28"/>
      <c r="B760" s="28"/>
      <c r="C760" s="28"/>
      <c r="D760" s="28"/>
      <c r="E760" s="28"/>
      <c r="F760" s="28"/>
      <c r="G760" s="28"/>
      <c r="H760" s="28"/>
      <c r="I760" s="28"/>
      <c r="J760" s="28"/>
      <c r="K760" s="28"/>
      <c r="L760" s="28"/>
      <c r="M760" s="28"/>
      <c r="N760" s="28"/>
      <c r="O760" s="28"/>
      <c r="P760" s="28"/>
      <c r="Q760" s="28"/>
      <c r="R760" s="28"/>
      <c r="S760" s="28"/>
      <c r="T760" s="28"/>
      <c r="U760" s="28"/>
      <c r="V760" s="28"/>
      <c r="W760" s="28"/>
      <c r="X760" s="28"/>
      <c r="Y760" s="28"/>
      <c r="Z760" s="28"/>
      <c r="AA760" s="28"/>
      <c r="AB760" s="28"/>
      <c r="AC760" s="28"/>
    </row>
    <row r="761" spans="1:29" ht="13">
      <c r="A761" s="28"/>
      <c r="B761" s="28"/>
      <c r="C761" s="28"/>
      <c r="D761" s="28"/>
      <c r="E761" s="28"/>
      <c r="F761" s="28"/>
      <c r="G761" s="28"/>
      <c r="H761" s="28"/>
      <c r="I761" s="28"/>
      <c r="J761" s="28"/>
      <c r="K761" s="28"/>
      <c r="L761" s="28"/>
      <c r="M761" s="28"/>
      <c r="N761" s="28"/>
      <c r="O761" s="28"/>
      <c r="P761" s="28"/>
      <c r="Q761" s="28"/>
      <c r="R761" s="28"/>
      <c r="S761" s="28"/>
      <c r="T761" s="28"/>
      <c r="U761" s="28"/>
      <c r="V761" s="28"/>
      <c r="W761" s="28"/>
      <c r="X761" s="28"/>
      <c r="Y761" s="28"/>
      <c r="Z761" s="28"/>
      <c r="AA761" s="28"/>
      <c r="AB761" s="28"/>
      <c r="AC761" s="28"/>
    </row>
    <row r="762" spans="1:29" ht="13">
      <c r="A762" s="28"/>
      <c r="B762" s="28"/>
      <c r="C762" s="28"/>
      <c r="D762" s="28"/>
      <c r="E762" s="28"/>
      <c r="F762" s="28"/>
      <c r="G762" s="28"/>
      <c r="H762" s="28"/>
      <c r="I762" s="28"/>
      <c r="J762" s="28"/>
      <c r="K762" s="28"/>
      <c r="L762" s="28"/>
      <c r="M762" s="28"/>
      <c r="N762" s="28"/>
      <c r="O762" s="28"/>
      <c r="P762" s="28"/>
      <c r="Q762" s="28"/>
      <c r="R762" s="28"/>
      <c r="S762" s="28"/>
      <c r="T762" s="28"/>
      <c r="U762" s="28"/>
      <c r="V762" s="28"/>
      <c r="W762" s="28"/>
      <c r="X762" s="28"/>
      <c r="Y762" s="28"/>
      <c r="Z762" s="28"/>
      <c r="AA762" s="28"/>
      <c r="AB762" s="28"/>
      <c r="AC762" s="28"/>
    </row>
    <row r="763" spans="1:29" ht="13">
      <c r="A763" s="28"/>
      <c r="B763" s="28"/>
      <c r="C763" s="28"/>
      <c r="D763" s="28"/>
      <c r="E763" s="28"/>
      <c r="F763" s="28"/>
      <c r="G763" s="28"/>
      <c r="H763" s="28"/>
      <c r="I763" s="28"/>
      <c r="J763" s="28"/>
      <c r="K763" s="28"/>
      <c r="L763" s="28"/>
      <c r="M763" s="28"/>
      <c r="N763" s="28"/>
      <c r="O763" s="28"/>
      <c r="P763" s="28"/>
      <c r="Q763" s="28"/>
      <c r="R763" s="28"/>
      <c r="S763" s="28"/>
      <c r="T763" s="28"/>
      <c r="U763" s="28"/>
      <c r="V763" s="28"/>
      <c r="W763" s="28"/>
      <c r="X763" s="28"/>
      <c r="Y763" s="28"/>
      <c r="Z763" s="28"/>
      <c r="AA763" s="28"/>
      <c r="AB763" s="28"/>
      <c r="AC763" s="28"/>
    </row>
    <row r="764" spans="1:29" ht="13">
      <c r="A764" s="28"/>
      <c r="B764" s="28"/>
      <c r="C764" s="28"/>
      <c r="D764" s="28"/>
      <c r="E764" s="28"/>
      <c r="F764" s="28"/>
      <c r="G764" s="28"/>
      <c r="H764" s="28"/>
      <c r="I764" s="28"/>
      <c r="J764" s="28"/>
      <c r="K764" s="28"/>
      <c r="L764" s="28"/>
      <c r="M764" s="28"/>
      <c r="N764" s="28"/>
      <c r="O764" s="28"/>
      <c r="P764" s="28"/>
      <c r="Q764" s="28"/>
      <c r="R764" s="28"/>
      <c r="S764" s="28"/>
      <c r="T764" s="28"/>
      <c r="U764" s="28"/>
      <c r="V764" s="28"/>
      <c r="W764" s="28"/>
      <c r="X764" s="28"/>
      <c r="Y764" s="28"/>
      <c r="Z764" s="28"/>
      <c r="AA764" s="28"/>
      <c r="AB764" s="28"/>
      <c r="AC764" s="28"/>
    </row>
    <row r="765" spans="1:29" ht="13">
      <c r="A765" s="28"/>
      <c r="B765" s="28"/>
      <c r="C765" s="28"/>
      <c r="D765" s="28"/>
      <c r="E765" s="28"/>
      <c r="F765" s="28"/>
      <c r="G765" s="28"/>
      <c r="H765" s="28"/>
      <c r="I765" s="28"/>
      <c r="J765" s="28"/>
      <c r="K765" s="28"/>
      <c r="L765" s="28"/>
      <c r="M765" s="28"/>
      <c r="N765" s="28"/>
      <c r="O765" s="28"/>
      <c r="P765" s="28"/>
      <c r="Q765" s="28"/>
      <c r="R765" s="28"/>
      <c r="S765" s="28"/>
      <c r="T765" s="28"/>
      <c r="U765" s="28"/>
      <c r="V765" s="28"/>
      <c r="W765" s="28"/>
      <c r="X765" s="28"/>
      <c r="Y765" s="28"/>
      <c r="Z765" s="28"/>
      <c r="AA765" s="28"/>
      <c r="AB765" s="28"/>
      <c r="AC765" s="28"/>
    </row>
    <row r="766" spans="1:29" ht="13">
      <c r="A766" s="28"/>
      <c r="B766" s="28"/>
      <c r="C766" s="28"/>
      <c r="D766" s="28"/>
      <c r="E766" s="28"/>
      <c r="F766" s="28"/>
      <c r="G766" s="28"/>
      <c r="H766" s="28"/>
      <c r="I766" s="28"/>
      <c r="J766" s="28"/>
      <c r="K766" s="28"/>
      <c r="L766" s="28"/>
      <c r="M766" s="28"/>
      <c r="N766" s="28"/>
      <c r="O766" s="28"/>
      <c r="P766" s="28"/>
      <c r="Q766" s="28"/>
      <c r="R766" s="28"/>
      <c r="S766" s="28"/>
      <c r="T766" s="28"/>
      <c r="U766" s="28"/>
      <c r="V766" s="28"/>
      <c r="W766" s="28"/>
      <c r="X766" s="28"/>
      <c r="Y766" s="28"/>
      <c r="Z766" s="28"/>
      <c r="AA766" s="28"/>
      <c r="AB766" s="28"/>
      <c r="AC766" s="28"/>
    </row>
    <row r="767" spans="1:29" ht="13">
      <c r="A767" s="28"/>
      <c r="B767" s="28"/>
      <c r="C767" s="28"/>
      <c r="D767" s="28"/>
      <c r="E767" s="28"/>
      <c r="F767" s="28"/>
      <c r="G767" s="28"/>
      <c r="H767" s="28"/>
      <c r="I767" s="28"/>
      <c r="J767" s="28"/>
      <c r="K767" s="28"/>
      <c r="L767" s="28"/>
      <c r="M767" s="28"/>
      <c r="N767" s="28"/>
      <c r="O767" s="28"/>
      <c r="P767" s="28"/>
      <c r="Q767" s="28"/>
      <c r="R767" s="28"/>
      <c r="S767" s="28"/>
      <c r="T767" s="28"/>
      <c r="U767" s="28"/>
      <c r="V767" s="28"/>
      <c r="W767" s="28"/>
      <c r="X767" s="28"/>
      <c r="Y767" s="28"/>
      <c r="Z767" s="28"/>
      <c r="AA767" s="28"/>
      <c r="AB767" s="28"/>
      <c r="AC767" s="28"/>
    </row>
    <row r="768" spans="1:29" ht="13">
      <c r="A768" s="28"/>
      <c r="B768" s="28"/>
      <c r="C768" s="28"/>
      <c r="D768" s="28"/>
      <c r="E768" s="28"/>
      <c r="F768" s="28"/>
      <c r="G768" s="28"/>
      <c r="H768" s="28"/>
      <c r="I768" s="28"/>
      <c r="J768" s="28"/>
      <c r="K768" s="28"/>
      <c r="L768" s="28"/>
      <c r="M768" s="28"/>
      <c r="N768" s="28"/>
      <c r="O768" s="28"/>
      <c r="P768" s="28"/>
      <c r="Q768" s="28"/>
      <c r="R768" s="28"/>
      <c r="S768" s="28"/>
      <c r="T768" s="28"/>
      <c r="U768" s="28"/>
      <c r="V768" s="28"/>
      <c r="W768" s="28"/>
      <c r="X768" s="28"/>
      <c r="Y768" s="28"/>
      <c r="Z768" s="28"/>
      <c r="AA768" s="28"/>
      <c r="AB768" s="28"/>
      <c r="AC768" s="28"/>
    </row>
    <row r="769" spans="1:29" ht="13">
      <c r="A769" s="28"/>
      <c r="B769" s="28"/>
      <c r="C769" s="28"/>
      <c r="D769" s="28"/>
      <c r="E769" s="28"/>
      <c r="F769" s="28"/>
      <c r="G769" s="28"/>
      <c r="H769" s="28"/>
      <c r="I769" s="28"/>
      <c r="J769" s="28"/>
      <c r="K769" s="28"/>
      <c r="L769" s="28"/>
      <c r="M769" s="28"/>
      <c r="N769" s="28"/>
      <c r="O769" s="28"/>
      <c r="P769" s="28"/>
      <c r="Q769" s="28"/>
      <c r="R769" s="28"/>
      <c r="S769" s="28"/>
      <c r="T769" s="28"/>
      <c r="U769" s="28"/>
      <c r="V769" s="28"/>
      <c r="W769" s="28"/>
      <c r="X769" s="28"/>
      <c r="Y769" s="28"/>
      <c r="Z769" s="28"/>
      <c r="AA769" s="28"/>
      <c r="AB769" s="28"/>
      <c r="AC769" s="28"/>
    </row>
    <row r="770" spans="1:29" ht="13">
      <c r="A770" s="28"/>
      <c r="B770" s="28"/>
      <c r="C770" s="28"/>
      <c r="D770" s="28"/>
      <c r="E770" s="28"/>
      <c r="F770" s="28"/>
      <c r="G770" s="28"/>
      <c r="H770" s="28"/>
      <c r="I770" s="28"/>
      <c r="J770" s="28"/>
      <c r="K770" s="28"/>
      <c r="L770" s="28"/>
      <c r="M770" s="28"/>
      <c r="N770" s="28"/>
      <c r="O770" s="28"/>
      <c r="P770" s="28"/>
      <c r="Q770" s="28"/>
      <c r="R770" s="28"/>
      <c r="S770" s="28"/>
      <c r="T770" s="28"/>
      <c r="U770" s="28"/>
      <c r="V770" s="28"/>
      <c r="W770" s="28"/>
      <c r="X770" s="28"/>
      <c r="Y770" s="28"/>
      <c r="Z770" s="28"/>
      <c r="AA770" s="28"/>
      <c r="AB770" s="28"/>
      <c r="AC770" s="28"/>
    </row>
    <row r="771" spans="1:29" ht="13">
      <c r="A771" s="28"/>
      <c r="B771" s="28"/>
      <c r="C771" s="28"/>
      <c r="D771" s="28"/>
      <c r="E771" s="28"/>
      <c r="F771" s="28"/>
      <c r="G771" s="28"/>
      <c r="H771" s="28"/>
      <c r="I771" s="28"/>
      <c r="J771" s="28"/>
      <c r="K771" s="28"/>
      <c r="L771" s="28"/>
      <c r="M771" s="28"/>
      <c r="N771" s="28"/>
      <c r="O771" s="28"/>
      <c r="P771" s="28"/>
      <c r="Q771" s="28"/>
      <c r="R771" s="28"/>
      <c r="S771" s="28"/>
      <c r="T771" s="28"/>
      <c r="U771" s="28"/>
      <c r="V771" s="28"/>
      <c r="W771" s="28"/>
      <c r="X771" s="28"/>
      <c r="Y771" s="28"/>
      <c r="Z771" s="28"/>
      <c r="AA771" s="28"/>
      <c r="AB771" s="28"/>
      <c r="AC771" s="28"/>
    </row>
    <row r="772" spans="1:29" ht="13">
      <c r="A772" s="28"/>
      <c r="B772" s="28"/>
      <c r="C772" s="28"/>
      <c r="D772" s="28"/>
      <c r="E772" s="28"/>
      <c r="F772" s="28"/>
      <c r="G772" s="28"/>
      <c r="H772" s="28"/>
      <c r="I772" s="28"/>
      <c r="J772" s="28"/>
      <c r="K772" s="28"/>
      <c r="L772" s="28"/>
      <c r="M772" s="28"/>
      <c r="N772" s="28"/>
      <c r="O772" s="28"/>
      <c r="P772" s="28"/>
      <c r="Q772" s="28"/>
      <c r="R772" s="28"/>
      <c r="S772" s="28"/>
      <c r="T772" s="28"/>
      <c r="U772" s="28"/>
      <c r="V772" s="28"/>
      <c r="W772" s="28"/>
      <c r="X772" s="28"/>
      <c r="Y772" s="28"/>
      <c r="Z772" s="28"/>
      <c r="AA772" s="28"/>
      <c r="AB772" s="28"/>
      <c r="AC772" s="28"/>
    </row>
    <row r="773" spans="1:29" ht="13">
      <c r="A773" s="28"/>
      <c r="B773" s="28"/>
      <c r="C773" s="28"/>
      <c r="D773" s="28"/>
      <c r="E773" s="28"/>
      <c r="F773" s="28"/>
      <c r="G773" s="28"/>
      <c r="H773" s="28"/>
      <c r="I773" s="28"/>
      <c r="J773" s="28"/>
      <c r="K773" s="28"/>
      <c r="L773" s="28"/>
      <c r="M773" s="28"/>
      <c r="N773" s="28"/>
      <c r="O773" s="28"/>
      <c r="P773" s="28"/>
      <c r="Q773" s="28"/>
      <c r="R773" s="28"/>
      <c r="S773" s="28"/>
      <c r="T773" s="28"/>
      <c r="U773" s="28"/>
      <c r="V773" s="28"/>
      <c r="W773" s="28"/>
      <c r="X773" s="28"/>
      <c r="Y773" s="28"/>
      <c r="Z773" s="28"/>
      <c r="AA773" s="28"/>
      <c r="AB773" s="28"/>
      <c r="AC773" s="28"/>
    </row>
    <row r="774" spans="1:29" ht="13">
      <c r="A774" s="28"/>
      <c r="B774" s="28"/>
      <c r="C774" s="28"/>
      <c r="D774" s="28"/>
      <c r="E774" s="28"/>
      <c r="F774" s="28"/>
      <c r="G774" s="28"/>
      <c r="H774" s="28"/>
      <c r="I774" s="28"/>
      <c r="J774" s="28"/>
      <c r="K774" s="28"/>
      <c r="L774" s="28"/>
      <c r="M774" s="28"/>
      <c r="N774" s="28"/>
      <c r="O774" s="28"/>
      <c r="P774" s="28"/>
      <c r="Q774" s="28"/>
      <c r="R774" s="28"/>
      <c r="S774" s="28"/>
      <c r="T774" s="28"/>
      <c r="U774" s="28"/>
      <c r="V774" s="28"/>
      <c r="W774" s="28"/>
      <c r="X774" s="28"/>
      <c r="Y774" s="28"/>
      <c r="Z774" s="28"/>
      <c r="AA774" s="28"/>
      <c r="AB774" s="28"/>
      <c r="AC774" s="28"/>
    </row>
    <row r="775" spans="1:29" ht="13">
      <c r="A775" s="28"/>
      <c r="B775" s="28"/>
      <c r="C775" s="28"/>
      <c r="D775" s="28"/>
      <c r="E775" s="28"/>
      <c r="F775" s="28"/>
      <c r="G775" s="28"/>
      <c r="H775" s="28"/>
      <c r="I775" s="28"/>
      <c r="J775" s="28"/>
      <c r="K775" s="28"/>
      <c r="L775" s="28"/>
      <c r="M775" s="28"/>
      <c r="N775" s="28"/>
      <c r="O775" s="28"/>
      <c r="P775" s="28"/>
      <c r="Q775" s="28"/>
      <c r="R775" s="28"/>
      <c r="S775" s="28"/>
      <c r="T775" s="28"/>
      <c r="U775" s="28"/>
      <c r="V775" s="28"/>
      <c r="W775" s="28"/>
      <c r="X775" s="28"/>
      <c r="Y775" s="28"/>
      <c r="Z775" s="28"/>
      <c r="AA775" s="28"/>
      <c r="AB775" s="28"/>
      <c r="AC775" s="28"/>
    </row>
    <row r="776" spans="1:29" ht="13">
      <c r="A776" s="28"/>
      <c r="B776" s="28"/>
      <c r="C776" s="28"/>
      <c r="D776" s="28"/>
      <c r="E776" s="28"/>
      <c r="F776" s="28"/>
      <c r="G776" s="28"/>
      <c r="H776" s="28"/>
      <c r="I776" s="28"/>
      <c r="J776" s="28"/>
      <c r="K776" s="28"/>
      <c r="L776" s="28"/>
      <c r="M776" s="28"/>
      <c r="N776" s="28"/>
      <c r="O776" s="28"/>
      <c r="P776" s="28"/>
      <c r="Q776" s="28"/>
      <c r="R776" s="28"/>
      <c r="S776" s="28"/>
      <c r="T776" s="28"/>
      <c r="U776" s="28"/>
      <c r="V776" s="28"/>
      <c r="W776" s="28"/>
      <c r="X776" s="28"/>
      <c r="Y776" s="28"/>
      <c r="Z776" s="28"/>
      <c r="AA776" s="28"/>
      <c r="AB776" s="28"/>
      <c r="AC776" s="28"/>
    </row>
    <row r="777" spans="1:29" ht="13">
      <c r="A777" s="28"/>
      <c r="B777" s="28"/>
      <c r="C777" s="28"/>
      <c r="D777" s="28"/>
      <c r="E777" s="28"/>
      <c r="F777" s="28"/>
      <c r="G777" s="28"/>
      <c r="H777" s="28"/>
      <c r="I777" s="28"/>
      <c r="J777" s="28"/>
      <c r="K777" s="28"/>
      <c r="L777" s="28"/>
      <c r="M777" s="28"/>
      <c r="N777" s="28"/>
      <c r="O777" s="28"/>
      <c r="P777" s="28"/>
      <c r="Q777" s="28"/>
      <c r="R777" s="28"/>
      <c r="S777" s="28"/>
      <c r="T777" s="28"/>
      <c r="U777" s="28"/>
      <c r="V777" s="28"/>
      <c r="W777" s="28"/>
      <c r="X777" s="28"/>
      <c r="Y777" s="28"/>
      <c r="Z777" s="28"/>
      <c r="AA777" s="28"/>
      <c r="AB777" s="28"/>
      <c r="AC777" s="28"/>
    </row>
    <row r="778" spans="1:29" ht="13">
      <c r="A778" s="28"/>
      <c r="B778" s="28"/>
      <c r="C778" s="28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28"/>
      <c r="AC778" s="28"/>
    </row>
    <row r="779" spans="1:29" ht="13">
      <c r="A779" s="28"/>
      <c r="B779" s="28"/>
      <c r="C779" s="28"/>
      <c r="D779" s="28"/>
      <c r="E779" s="28"/>
      <c r="F779" s="28"/>
      <c r="G779" s="28"/>
      <c r="H779" s="28"/>
      <c r="I779" s="28"/>
      <c r="J779" s="28"/>
      <c r="K779" s="28"/>
      <c r="L779" s="28"/>
      <c r="M779" s="28"/>
      <c r="N779" s="28"/>
      <c r="O779" s="28"/>
      <c r="P779" s="28"/>
      <c r="Q779" s="28"/>
      <c r="R779" s="28"/>
      <c r="S779" s="28"/>
      <c r="T779" s="28"/>
      <c r="U779" s="28"/>
      <c r="V779" s="28"/>
      <c r="W779" s="28"/>
      <c r="X779" s="28"/>
      <c r="Y779" s="28"/>
      <c r="Z779" s="28"/>
      <c r="AA779" s="28"/>
      <c r="AB779" s="28"/>
      <c r="AC779" s="28"/>
    </row>
    <row r="780" spans="1:29" ht="13">
      <c r="A780" s="28"/>
      <c r="B780" s="28"/>
      <c r="C780" s="28"/>
      <c r="D780" s="28"/>
      <c r="E780" s="28"/>
      <c r="F780" s="28"/>
      <c r="G780" s="28"/>
      <c r="H780" s="28"/>
      <c r="I780" s="28"/>
      <c r="J780" s="28"/>
      <c r="K780" s="28"/>
      <c r="L780" s="28"/>
      <c r="M780" s="28"/>
      <c r="N780" s="28"/>
      <c r="O780" s="28"/>
      <c r="P780" s="28"/>
      <c r="Q780" s="28"/>
      <c r="R780" s="28"/>
      <c r="S780" s="28"/>
      <c r="T780" s="28"/>
      <c r="U780" s="28"/>
      <c r="V780" s="28"/>
      <c r="W780" s="28"/>
      <c r="X780" s="28"/>
      <c r="Y780" s="28"/>
      <c r="Z780" s="28"/>
      <c r="AA780" s="28"/>
      <c r="AB780" s="28"/>
      <c r="AC780" s="28"/>
    </row>
    <row r="781" spans="1:29" ht="13">
      <c r="A781" s="28"/>
      <c r="B781" s="28"/>
      <c r="C781" s="28"/>
      <c r="D781" s="28"/>
      <c r="E781" s="28"/>
      <c r="F781" s="28"/>
      <c r="G781" s="28"/>
      <c r="H781" s="28"/>
      <c r="I781" s="28"/>
      <c r="J781" s="28"/>
      <c r="K781" s="28"/>
      <c r="L781" s="28"/>
      <c r="M781" s="28"/>
      <c r="N781" s="28"/>
      <c r="O781" s="28"/>
      <c r="P781" s="28"/>
      <c r="Q781" s="28"/>
      <c r="R781" s="28"/>
      <c r="S781" s="28"/>
      <c r="T781" s="28"/>
      <c r="U781" s="28"/>
      <c r="V781" s="28"/>
      <c r="W781" s="28"/>
      <c r="X781" s="28"/>
      <c r="Y781" s="28"/>
      <c r="Z781" s="28"/>
      <c r="AA781" s="28"/>
      <c r="AB781" s="28"/>
      <c r="AC781" s="28"/>
    </row>
    <row r="782" spans="1:29" ht="13">
      <c r="A782" s="28"/>
      <c r="B782" s="28"/>
      <c r="C782" s="28"/>
      <c r="D782" s="28"/>
      <c r="E782" s="28"/>
      <c r="F782" s="28"/>
      <c r="G782" s="28"/>
      <c r="H782" s="28"/>
      <c r="I782" s="28"/>
      <c r="J782" s="28"/>
      <c r="K782" s="28"/>
      <c r="L782" s="28"/>
      <c r="M782" s="28"/>
      <c r="N782" s="28"/>
      <c r="O782" s="28"/>
      <c r="P782" s="28"/>
      <c r="Q782" s="28"/>
      <c r="R782" s="28"/>
      <c r="S782" s="28"/>
      <c r="T782" s="28"/>
      <c r="U782" s="28"/>
      <c r="V782" s="28"/>
      <c r="W782" s="28"/>
      <c r="X782" s="28"/>
      <c r="Y782" s="28"/>
      <c r="Z782" s="28"/>
      <c r="AA782" s="28"/>
      <c r="AB782" s="28"/>
      <c r="AC782" s="28"/>
    </row>
    <row r="783" spans="1:29" ht="13">
      <c r="A783" s="28"/>
      <c r="B783" s="28"/>
      <c r="C783" s="28"/>
      <c r="D783" s="28"/>
      <c r="E783" s="28"/>
      <c r="F783" s="28"/>
      <c r="G783" s="28"/>
      <c r="H783" s="28"/>
      <c r="I783" s="28"/>
      <c r="J783" s="28"/>
      <c r="K783" s="28"/>
      <c r="L783" s="28"/>
      <c r="M783" s="28"/>
      <c r="N783" s="28"/>
      <c r="O783" s="28"/>
      <c r="P783" s="28"/>
      <c r="Q783" s="28"/>
      <c r="R783" s="28"/>
      <c r="S783" s="28"/>
      <c r="T783" s="28"/>
      <c r="U783" s="28"/>
      <c r="V783" s="28"/>
      <c r="W783" s="28"/>
      <c r="X783" s="28"/>
      <c r="Y783" s="28"/>
      <c r="Z783" s="28"/>
      <c r="AA783" s="28"/>
      <c r="AB783" s="28"/>
      <c r="AC783" s="28"/>
    </row>
    <row r="784" spans="1:29" ht="13">
      <c r="A784" s="28"/>
      <c r="B784" s="28"/>
      <c r="C784" s="28"/>
      <c r="D784" s="28"/>
      <c r="E784" s="28"/>
      <c r="F784" s="28"/>
      <c r="G784" s="28"/>
      <c r="H784" s="28"/>
      <c r="I784" s="28"/>
      <c r="J784" s="28"/>
      <c r="K784" s="28"/>
      <c r="L784" s="28"/>
      <c r="M784" s="28"/>
      <c r="N784" s="28"/>
      <c r="O784" s="28"/>
      <c r="P784" s="28"/>
      <c r="Q784" s="28"/>
      <c r="R784" s="28"/>
      <c r="S784" s="28"/>
      <c r="T784" s="28"/>
      <c r="U784" s="28"/>
      <c r="V784" s="28"/>
      <c r="W784" s="28"/>
      <c r="X784" s="28"/>
      <c r="Y784" s="28"/>
      <c r="Z784" s="28"/>
      <c r="AA784" s="28"/>
      <c r="AB784" s="28"/>
      <c r="AC784" s="28"/>
    </row>
    <row r="785" spans="1:29" ht="13">
      <c r="A785" s="28"/>
      <c r="B785" s="28"/>
      <c r="C785" s="28"/>
      <c r="D785" s="28"/>
      <c r="E785" s="28"/>
      <c r="F785" s="28"/>
      <c r="G785" s="28"/>
      <c r="H785" s="28"/>
      <c r="I785" s="28"/>
      <c r="J785" s="28"/>
      <c r="K785" s="28"/>
      <c r="L785" s="28"/>
      <c r="M785" s="28"/>
      <c r="N785" s="28"/>
      <c r="O785" s="28"/>
      <c r="P785" s="28"/>
      <c r="Q785" s="28"/>
      <c r="R785" s="28"/>
      <c r="S785" s="28"/>
      <c r="T785" s="28"/>
      <c r="U785" s="28"/>
      <c r="V785" s="28"/>
      <c r="W785" s="28"/>
      <c r="X785" s="28"/>
      <c r="Y785" s="28"/>
      <c r="Z785" s="28"/>
      <c r="AA785" s="28"/>
      <c r="AB785" s="28"/>
      <c r="AC785" s="28"/>
    </row>
    <row r="786" spans="1:29" ht="13">
      <c r="A786" s="28"/>
      <c r="B786" s="28"/>
      <c r="C786" s="28"/>
      <c r="D786" s="28"/>
      <c r="E786" s="28"/>
      <c r="F786" s="28"/>
      <c r="G786" s="28"/>
      <c r="H786" s="28"/>
      <c r="I786" s="28"/>
      <c r="J786" s="28"/>
      <c r="K786" s="28"/>
      <c r="L786" s="28"/>
      <c r="M786" s="28"/>
      <c r="N786" s="28"/>
      <c r="O786" s="28"/>
      <c r="P786" s="28"/>
      <c r="Q786" s="28"/>
      <c r="R786" s="28"/>
      <c r="S786" s="28"/>
      <c r="T786" s="28"/>
      <c r="U786" s="28"/>
      <c r="V786" s="28"/>
      <c r="W786" s="28"/>
      <c r="X786" s="28"/>
      <c r="Y786" s="28"/>
      <c r="Z786" s="28"/>
      <c r="AA786" s="28"/>
      <c r="AB786" s="28"/>
      <c r="AC786" s="28"/>
    </row>
    <row r="787" spans="1:29" ht="13">
      <c r="A787" s="28"/>
      <c r="B787" s="28"/>
      <c r="C787" s="28"/>
      <c r="D787" s="28"/>
      <c r="E787" s="28"/>
      <c r="F787" s="28"/>
      <c r="G787" s="28"/>
      <c r="H787" s="28"/>
      <c r="I787" s="28"/>
      <c r="J787" s="28"/>
      <c r="K787" s="28"/>
      <c r="L787" s="28"/>
      <c r="M787" s="28"/>
      <c r="N787" s="28"/>
      <c r="O787" s="28"/>
      <c r="P787" s="28"/>
      <c r="Q787" s="28"/>
      <c r="R787" s="28"/>
      <c r="S787" s="28"/>
      <c r="T787" s="28"/>
      <c r="U787" s="28"/>
      <c r="V787" s="28"/>
      <c r="W787" s="28"/>
      <c r="X787" s="28"/>
      <c r="Y787" s="28"/>
      <c r="Z787" s="28"/>
      <c r="AA787" s="28"/>
      <c r="AB787" s="28"/>
      <c r="AC787" s="28"/>
    </row>
    <row r="788" spans="1:29" ht="13">
      <c r="A788" s="28"/>
      <c r="B788" s="28"/>
      <c r="C788" s="28"/>
      <c r="D788" s="28"/>
      <c r="E788" s="28"/>
      <c r="F788" s="28"/>
      <c r="G788" s="28"/>
      <c r="H788" s="28"/>
      <c r="I788" s="28"/>
      <c r="J788" s="28"/>
      <c r="K788" s="28"/>
      <c r="L788" s="28"/>
      <c r="M788" s="28"/>
      <c r="N788" s="28"/>
      <c r="O788" s="28"/>
      <c r="P788" s="28"/>
      <c r="Q788" s="28"/>
      <c r="R788" s="28"/>
      <c r="S788" s="28"/>
      <c r="T788" s="28"/>
      <c r="U788" s="28"/>
      <c r="V788" s="28"/>
      <c r="W788" s="28"/>
      <c r="X788" s="28"/>
      <c r="Y788" s="28"/>
      <c r="Z788" s="28"/>
      <c r="AA788" s="28"/>
      <c r="AB788" s="28"/>
      <c r="AC788" s="28"/>
    </row>
    <row r="789" spans="1:29" ht="13">
      <c r="A789" s="28"/>
      <c r="B789" s="28"/>
      <c r="C789" s="28"/>
      <c r="D789" s="28"/>
      <c r="E789" s="28"/>
      <c r="F789" s="28"/>
      <c r="G789" s="28"/>
      <c r="H789" s="28"/>
      <c r="I789" s="28"/>
      <c r="J789" s="28"/>
      <c r="K789" s="28"/>
      <c r="L789" s="28"/>
      <c r="M789" s="28"/>
      <c r="N789" s="28"/>
      <c r="O789" s="28"/>
      <c r="P789" s="28"/>
      <c r="Q789" s="28"/>
      <c r="R789" s="28"/>
      <c r="S789" s="28"/>
      <c r="T789" s="28"/>
      <c r="U789" s="28"/>
      <c r="V789" s="28"/>
      <c r="W789" s="28"/>
      <c r="X789" s="28"/>
      <c r="Y789" s="28"/>
      <c r="Z789" s="28"/>
      <c r="AA789" s="28"/>
      <c r="AB789" s="28"/>
      <c r="AC789" s="28"/>
    </row>
    <row r="790" spans="1:29" ht="13">
      <c r="A790" s="28"/>
      <c r="B790" s="28"/>
      <c r="C790" s="28"/>
      <c r="D790" s="28"/>
      <c r="E790" s="28"/>
      <c r="F790" s="28"/>
      <c r="G790" s="28"/>
      <c r="H790" s="28"/>
      <c r="I790" s="28"/>
      <c r="J790" s="28"/>
      <c r="K790" s="28"/>
      <c r="L790" s="28"/>
      <c r="M790" s="28"/>
      <c r="N790" s="28"/>
      <c r="O790" s="28"/>
      <c r="P790" s="28"/>
      <c r="Q790" s="28"/>
      <c r="R790" s="28"/>
      <c r="S790" s="28"/>
      <c r="T790" s="28"/>
      <c r="U790" s="28"/>
      <c r="V790" s="28"/>
      <c r="W790" s="28"/>
      <c r="X790" s="28"/>
      <c r="Y790" s="28"/>
      <c r="Z790" s="28"/>
      <c r="AA790" s="28"/>
      <c r="AB790" s="28"/>
      <c r="AC790" s="28"/>
    </row>
    <row r="791" spans="1:29" ht="13">
      <c r="A791" s="28"/>
      <c r="B791" s="28"/>
      <c r="C791" s="28"/>
      <c r="D791" s="28"/>
      <c r="E791" s="28"/>
      <c r="F791" s="28"/>
      <c r="G791" s="28"/>
      <c r="H791" s="28"/>
      <c r="I791" s="28"/>
      <c r="J791" s="28"/>
      <c r="K791" s="28"/>
      <c r="L791" s="28"/>
      <c r="M791" s="28"/>
      <c r="N791" s="28"/>
      <c r="O791" s="28"/>
      <c r="P791" s="28"/>
      <c r="Q791" s="28"/>
      <c r="R791" s="28"/>
      <c r="S791" s="28"/>
      <c r="T791" s="28"/>
      <c r="U791" s="28"/>
      <c r="V791" s="28"/>
      <c r="W791" s="28"/>
      <c r="X791" s="28"/>
      <c r="Y791" s="28"/>
      <c r="Z791" s="28"/>
      <c r="AA791" s="28"/>
      <c r="AB791" s="28"/>
      <c r="AC791" s="28"/>
    </row>
    <row r="792" spans="1:29" ht="13">
      <c r="A792" s="28"/>
      <c r="B792" s="28"/>
      <c r="C792" s="28"/>
      <c r="D792" s="28"/>
      <c r="E792" s="28"/>
      <c r="F792" s="28"/>
      <c r="G792" s="28"/>
      <c r="H792" s="28"/>
      <c r="I792" s="28"/>
      <c r="J792" s="28"/>
      <c r="K792" s="28"/>
      <c r="L792" s="28"/>
      <c r="M792" s="28"/>
      <c r="N792" s="28"/>
      <c r="O792" s="28"/>
      <c r="P792" s="28"/>
      <c r="Q792" s="28"/>
      <c r="R792" s="28"/>
      <c r="S792" s="28"/>
      <c r="T792" s="28"/>
      <c r="U792" s="28"/>
      <c r="V792" s="28"/>
      <c r="W792" s="28"/>
      <c r="X792" s="28"/>
      <c r="Y792" s="28"/>
      <c r="Z792" s="28"/>
      <c r="AA792" s="28"/>
      <c r="AB792" s="28"/>
      <c r="AC792" s="28"/>
    </row>
    <row r="793" spans="1:29" ht="13">
      <c r="A793" s="28"/>
      <c r="B793" s="28"/>
      <c r="C793" s="28"/>
      <c r="D793" s="28"/>
      <c r="E793" s="28"/>
      <c r="F793" s="28"/>
      <c r="G793" s="28"/>
      <c r="H793" s="28"/>
      <c r="I793" s="28"/>
      <c r="J793" s="28"/>
      <c r="K793" s="28"/>
      <c r="L793" s="28"/>
      <c r="M793" s="28"/>
      <c r="N793" s="28"/>
      <c r="O793" s="28"/>
      <c r="P793" s="28"/>
      <c r="Q793" s="28"/>
      <c r="R793" s="28"/>
      <c r="S793" s="28"/>
      <c r="T793" s="28"/>
      <c r="U793" s="28"/>
      <c r="V793" s="28"/>
      <c r="W793" s="28"/>
      <c r="X793" s="28"/>
      <c r="Y793" s="28"/>
      <c r="Z793" s="28"/>
      <c r="AA793" s="28"/>
      <c r="AB793" s="28"/>
      <c r="AC793" s="28"/>
    </row>
    <row r="794" spans="1:29" ht="13">
      <c r="A794" s="28"/>
      <c r="B794" s="28"/>
      <c r="C794" s="28"/>
      <c r="D794" s="28"/>
      <c r="E794" s="28"/>
      <c r="F794" s="28"/>
      <c r="G794" s="28"/>
      <c r="H794" s="28"/>
      <c r="I794" s="28"/>
      <c r="J794" s="28"/>
      <c r="K794" s="28"/>
      <c r="L794" s="28"/>
      <c r="M794" s="28"/>
      <c r="N794" s="28"/>
      <c r="O794" s="28"/>
      <c r="P794" s="28"/>
      <c r="Q794" s="28"/>
      <c r="R794" s="28"/>
      <c r="S794" s="28"/>
      <c r="T794" s="28"/>
      <c r="U794" s="28"/>
      <c r="V794" s="28"/>
      <c r="W794" s="28"/>
      <c r="X794" s="28"/>
      <c r="Y794" s="28"/>
      <c r="Z794" s="28"/>
      <c r="AA794" s="28"/>
      <c r="AB794" s="28"/>
      <c r="AC794" s="28"/>
    </row>
    <row r="795" spans="1:29" ht="13">
      <c r="A795" s="28"/>
      <c r="B795" s="28"/>
      <c r="C795" s="28"/>
      <c r="D795" s="28"/>
      <c r="E795" s="28"/>
      <c r="F795" s="28"/>
      <c r="G795" s="28"/>
      <c r="H795" s="28"/>
      <c r="I795" s="28"/>
      <c r="J795" s="28"/>
      <c r="K795" s="28"/>
      <c r="L795" s="28"/>
      <c r="M795" s="28"/>
      <c r="N795" s="28"/>
      <c r="O795" s="28"/>
      <c r="P795" s="28"/>
      <c r="Q795" s="28"/>
      <c r="R795" s="28"/>
      <c r="S795" s="28"/>
      <c r="T795" s="28"/>
      <c r="U795" s="28"/>
      <c r="V795" s="28"/>
      <c r="W795" s="28"/>
      <c r="X795" s="28"/>
      <c r="Y795" s="28"/>
      <c r="Z795" s="28"/>
      <c r="AA795" s="28"/>
      <c r="AB795" s="28"/>
      <c r="AC795" s="28"/>
    </row>
    <row r="796" spans="1:29" ht="13">
      <c r="A796" s="28"/>
      <c r="B796" s="28"/>
      <c r="C796" s="28"/>
      <c r="D796" s="28"/>
      <c r="E796" s="28"/>
      <c r="F796" s="28"/>
      <c r="G796" s="28"/>
      <c r="H796" s="28"/>
      <c r="I796" s="28"/>
      <c r="J796" s="28"/>
      <c r="K796" s="28"/>
      <c r="L796" s="28"/>
      <c r="M796" s="28"/>
      <c r="N796" s="28"/>
      <c r="O796" s="28"/>
      <c r="P796" s="28"/>
      <c r="Q796" s="28"/>
      <c r="R796" s="28"/>
      <c r="S796" s="28"/>
      <c r="T796" s="28"/>
      <c r="U796" s="28"/>
      <c r="V796" s="28"/>
      <c r="W796" s="28"/>
      <c r="X796" s="28"/>
      <c r="Y796" s="28"/>
      <c r="Z796" s="28"/>
      <c r="AA796" s="28"/>
      <c r="AB796" s="28"/>
      <c r="AC796" s="28"/>
    </row>
    <row r="797" spans="1:29" ht="13">
      <c r="A797" s="28"/>
      <c r="B797" s="28"/>
      <c r="C797" s="28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28"/>
      <c r="Y797" s="28"/>
      <c r="Z797" s="28"/>
      <c r="AA797" s="28"/>
      <c r="AB797" s="28"/>
      <c r="AC797" s="28"/>
    </row>
    <row r="798" spans="1:29" ht="13">
      <c r="A798" s="28"/>
      <c r="B798" s="28"/>
      <c r="C798" s="28"/>
      <c r="D798" s="28"/>
      <c r="E798" s="28"/>
      <c r="F798" s="28"/>
      <c r="G798" s="28"/>
      <c r="H798" s="28"/>
      <c r="I798" s="28"/>
      <c r="J798" s="28"/>
      <c r="K798" s="28"/>
      <c r="L798" s="28"/>
      <c r="M798" s="28"/>
      <c r="N798" s="28"/>
      <c r="O798" s="28"/>
      <c r="P798" s="28"/>
      <c r="Q798" s="28"/>
      <c r="R798" s="28"/>
      <c r="S798" s="28"/>
      <c r="T798" s="28"/>
      <c r="U798" s="28"/>
      <c r="V798" s="28"/>
      <c r="W798" s="28"/>
      <c r="X798" s="28"/>
      <c r="Y798" s="28"/>
      <c r="Z798" s="28"/>
      <c r="AA798" s="28"/>
      <c r="AB798" s="28"/>
      <c r="AC798" s="28"/>
    </row>
    <row r="799" spans="1:29" ht="13">
      <c r="A799" s="28"/>
      <c r="B799" s="28"/>
      <c r="C799" s="28"/>
      <c r="D799" s="28"/>
      <c r="E799" s="28"/>
      <c r="F799" s="28"/>
      <c r="G799" s="28"/>
      <c r="H799" s="28"/>
      <c r="I799" s="28"/>
      <c r="J799" s="28"/>
      <c r="K799" s="28"/>
      <c r="L799" s="28"/>
      <c r="M799" s="28"/>
      <c r="N799" s="28"/>
      <c r="O799" s="28"/>
      <c r="P799" s="28"/>
      <c r="Q799" s="28"/>
      <c r="R799" s="28"/>
      <c r="S799" s="28"/>
      <c r="T799" s="28"/>
      <c r="U799" s="28"/>
      <c r="V799" s="28"/>
      <c r="W799" s="28"/>
      <c r="X799" s="28"/>
      <c r="Y799" s="28"/>
      <c r="Z799" s="28"/>
      <c r="AA799" s="28"/>
      <c r="AB799" s="28"/>
      <c r="AC799" s="28"/>
    </row>
    <row r="800" spans="1:29" ht="13">
      <c r="A800" s="28"/>
      <c r="B800" s="28"/>
      <c r="C800" s="28"/>
      <c r="D800" s="28"/>
      <c r="E800" s="28"/>
      <c r="F800" s="28"/>
      <c r="G800" s="28"/>
      <c r="H800" s="28"/>
      <c r="I800" s="28"/>
      <c r="J800" s="28"/>
      <c r="K800" s="28"/>
      <c r="L800" s="28"/>
      <c r="M800" s="28"/>
      <c r="N800" s="28"/>
      <c r="O800" s="28"/>
      <c r="P800" s="28"/>
      <c r="Q800" s="28"/>
      <c r="R800" s="28"/>
      <c r="S800" s="28"/>
      <c r="T800" s="28"/>
      <c r="U800" s="28"/>
      <c r="V800" s="28"/>
      <c r="W800" s="28"/>
      <c r="X800" s="28"/>
      <c r="Y800" s="28"/>
      <c r="Z800" s="28"/>
      <c r="AA800" s="28"/>
      <c r="AB800" s="28"/>
      <c r="AC800" s="28"/>
    </row>
    <row r="801" spans="1:29" ht="13">
      <c r="A801" s="28"/>
      <c r="B801" s="28"/>
      <c r="C801" s="28"/>
      <c r="D801" s="28"/>
      <c r="E801" s="28"/>
      <c r="F801" s="28"/>
      <c r="G801" s="28"/>
      <c r="H801" s="28"/>
      <c r="I801" s="28"/>
      <c r="J801" s="28"/>
      <c r="K801" s="28"/>
      <c r="L801" s="28"/>
      <c r="M801" s="28"/>
      <c r="N801" s="28"/>
      <c r="O801" s="28"/>
      <c r="P801" s="28"/>
      <c r="Q801" s="28"/>
      <c r="R801" s="28"/>
      <c r="S801" s="28"/>
      <c r="T801" s="28"/>
      <c r="U801" s="28"/>
      <c r="V801" s="28"/>
      <c r="W801" s="28"/>
      <c r="X801" s="28"/>
      <c r="Y801" s="28"/>
      <c r="Z801" s="28"/>
      <c r="AA801" s="28"/>
      <c r="AB801" s="28"/>
      <c r="AC801" s="28"/>
    </row>
    <row r="802" spans="1:29" ht="13">
      <c r="A802" s="28"/>
      <c r="B802" s="28"/>
      <c r="C802" s="28"/>
      <c r="D802" s="28"/>
      <c r="E802" s="28"/>
      <c r="F802" s="28"/>
      <c r="G802" s="28"/>
      <c r="H802" s="28"/>
      <c r="I802" s="28"/>
      <c r="J802" s="28"/>
      <c r="K802" s="28"/>
      <c r="L802" s="28"/>
      <c r="M802" s="28"/>
      <c r="N802" s="28"/>
      <c r="O802" s="28"/>
      <c r="P802" s="28"/>
      <c r="Q802" s="28"/>
      <c r="R802" s="28"/>
      <c r="S802" s="28"/>
      <c r="T802" s="28"/>
      <c r="U802" s="28"/>
      <c r="V802" s="28"/>
      <c r="W802" s="28"/>
      <c r="X802" s="28"/>
      <c r="Y802" s="28"/>
      <c r="Z802" s="28"/>
      <c r="AA802" s="28"/>
      <c r="AB802" s="28"/>
      <c r="AC802" s="28"/>
    </row>
    <row r="803" spans="1:29" ht="13">
      <c r="A803" s="28"/>
      <c r="B803" s="28"/>
      <c r="C803" s="28"/>
      <c r="D803" s="28"/>
      <c r="E803" s="28"/>
      <c r="F803" s="28"/>
      <c r="G803" s="28"/>
      <c r="H803" s="28"/>
      <c r="I803" s="28"/>
      <c r="J803" s="28"/>
      <c r="K803" s="28"/>
      <c r="L803" s="28"/>
      <c r="M803" s="28"/>
      <c r="N803" s="28"/>
      <c r="O803" s="28"/>
      <c r="P803" s="28"/>
      <c r="Q803" s="28"/>
      <c r="R803" s="28"/>
      <c r="S803" s="28"/>
      <c r="T803" s="28"/>
      <c r="U803" s="28"/>
      <c r="V803" s="28"/>
      <c r="W803" s="28"/>
      <c r="X803" s="28"/>
      <c r="Y803" s="28"/>
      <c r="Z803" s="28"/>
      <c r="AA803" s="28"/>
      <c r="AB803" s="28"/>
      <c r="AC803" s="28"/>
    </row>
    <row r="804" spans="1:29" ht="13">
      <c r="A804" s="28"/>
      <c r="B804" s="28"/>
      <c r="C804" s="28"/>
      <c r="D804" s="28"/>
      <c r="E804" s="28"/>
      <c r="F804" s="28"/>
      <c r="G804" s="28"/>
      <c r="H804" s="28"/>
      <c r="I804" s="28"/>
      <c r="J804" s="28"/>
      <c r="K804" s="28"/>
      <c r="L804" s="28"/>
      <c r="M804" s="28"/>
      <c r="N804" s="28"/>
      <c r="O804" s="28"/>
      <c r="P804" s="28"/>
      <c r="Q804" s="28"/>
      <c r="R804" s="28"/>
      <c r="S804" s="28"/>
      <c r="T804" s="28"/>
      <c r="U804" s="28"/>
      <c r="V804" s="28"/>
      <c r="W804" s="28"/>
      <c r="X804" s="28"/>
      <c r="Y804" s="28"/>
      <c r="Z804" s="28"/>
      <c r="AA804" s="28"/>
      <c r="AB804" s="28"/>
      <c r="AC804" s="28"/>
    </row>
    <row r="805" spans="1:29" ht="13">
      <c r="A805" s="28"/>
      <c r="B805" s="28"/>
      <c r="C805" s="28"/>
      <c r="D805" s="28"/>
      <c r="E805" s="28"/>
      <c r="F805" s="28"/>
      <c r="G805" s="28"/>
      <c r="H805" s="28"/>
      <c r="I805" s="28"/>
      <c r="J805" s="28"/>
      <c r="K805" s="28"/>
      <c r="L805" s="28"/>
      <c r="M805" s="28"/>
      <c r="N805" s="28"/>
      <c r="O805" s="28"/>
      <c r="P805" s="28"/>
      <c r="Q805" s="28"/>
      <c r="R805" s="28"/>
      <c r="S805" s="28"/>
      <c r="T805" s="28"/>
      <c r="U805" s="28"/>
      <c r="V805" s="28"/>
      <c r="W805" s="28"/>
      <c r="X805" s="28"/>
      <c r="Y805" s="28"/>
      <c r="Z805" s="28"/>
      <c r="AA805" s="28"/>
      <c r="AB805" s="28"/>
      <c r="AC805" s="28"/>
    </row>
    <row r="806" spans="1:29" ht="13">
      <c r="A806" s="28"/>
      <c r="B806" s="28"/>
      <c r="C806" s="28"/>
      <c r="D806" s="28"/>
      <c r="E806" s="28"/>
      <c r="F806" s="28"/>
      <c r="G806" s="28"/>
      <c r="H806" s="28"/>
      <c r="I806" s="28"/>
      <c r="J806" s="28"/>
      <c r="K806" s="28"/>
      <c r="L806" s="28"/>
      <c r="M806" s="28"/>
      <c r="N806" s="28"/>
      <c r="O806" s="28"/>
      <c r="P806" s="28"/>
      <c r="Q806" s="28"/>
      <c r="R806" s="28"/>
      <c r="S806" s="28"/>
      <c r="T806" s="28"/>
      <c r="U806" s="28"/>
      <c r="V806" s="28"/>
      <c r="W806" s="28"/>
      <c r="X806" s="28"/>
      <c r="Y806" s="28"/>
      <c r="Z806" s="28"/>
      <c r="AA806" s="28"/>
      <c r="AB806" s="28"/>
      <c r="AC806" s="28"/>
    </row>
    <row r="807" spans="1:29" ht="13">
      <c r="A807" s="28"/>
      <c r="B807" s="28"/>
      <c r="C807" s="28"/>
      <c r="D807" s="28"/>
      <c r="E807" s="28"/>
      <c r="F807" s="28"/>
      <c r="G807" s="28"/>
      <c r="H807" s="28"/>
      <c r="I807" s="28"/>
      <c r="J807" s="28"/>
      <c r="K807" s="28"/>
      <c r="L807" s="28"/>
      <c r="M807" s="28"/>
      <c r="N807" s="28"/>
      <c r="O807" s="28"/>
      <c r="P807" s="28"/>
      <c r="Q807" s="28"/>
      <c r="R807" s="28"/>
      <c r="S807" s="28"/>
      <c r="T807" s="28"/>
      <c r="U807" s="28"/>
      <c r="V807" s="28"/>
      <c r="W807" s="28"/>
      <c r="X807" s="28"/>
      <c r="Y807" s="28"/>
      <c r="Z807" s="28"/>
      <c r="AA807" s="28"/>
      <c r="AB807" s="28"/>
      <c r="AC807" s="28"/>
    </row>
    <row r="808" spans="1:29" ht="13">
      <c r="A808" s="28"/>
      <c r="B808" s="28"/>
      <c r="C808" s="28"/>
      <c r="D808" s="28"/>
      <c r="E808" s="28"/>
      <c r="F808" s="28"/>
      <c r="G808" s="28"/>
      <c r="H808" s="28"/>
      <c r="I808" s="28"/>
      <c r="J808" s="28"/>
      <c r="K808" s="28"/>
      <c r="L808" s="28"/>
      <c r="M808" s="28"/>
      <c r="N808" s="28"/>
      <c r="O808" s="28"/>
      <c r="P808" s="28"/>
      <c r="Q808" s="28"/>
      <c r="R808" s="28"/>
      <c r="S808" s="28"/>
      <c r="T808" s="28"/>
      <c r="U808" s="28"/>
      <c r="V808" s="28"/>
      <c r="W808" s="28"/>
      <c r="X808" s="28"/>
      <c r="Y808" s="28"/>
      <c r="Z808" s="28"/>
      <c r="AA808" s="28"/>
      <c r="AB808" s="28"/>
      <c r="AC808" s="28"/>
    </row>
    <row r="809" spans="1:29" ht="13">
      <c r="A809" s="28"/>
      <c r="B809" s="28"/>
      <c r="C809" s="28"/>
      <c r="D809" s="28"/>
      <c r="E809" s="28"/>
      <c r="F809" s="28"/>
      <c r="G809" s="28"/>
      <c r="H809" s="28"/>
      <c r="I809" s="28"/>
      <c r="J809" s="28"/>
      <c r="K809" s="28"/>
      <c r="L809" s="28"/>
      <c r="M809" s="28"/>
      <c r="N809" s="28"/>
      <c r="O809" s="28"/>
      <c r="P809" s="28"/>
      <c r="Q809" s="28"/>
      <c r="R809" s="28"/>
      <c r="S809" s="28"/>
      <c r="T809" s="28"/>
      <c r="U809" s="28"/>
      <c r="V809" s="28"/>
      <c r="W809" s="28"/>
      <c r="X809" s="28"/>
      <c r="Y809" s="28"/>
      <c r="Z809" s="28"/>
      <c r="AA809" s="28"/>
      <c r="AB809" s="28"/>
      <c r="AC809" s="28"/>
    </row>
    <row r="810" spans="1:29" ht="13">
      <c r="A810" s="28"/>
      <c r="B810" s="28"/>
      <c r="C810" s="28"/>
      <c r="D810" s="28"/>
      <c r="E810" s="28"/>
      <c r="F810" s="28"/>
      <c r="G810" s="28"/>
      <c r="H810" s="28"/>
      <c r="I810" s="28"/>
      <c r="J810" s="28"/>
      <c r="K810" s="28"/>
      <c r="L810" s="28"/>
      <c r="M810" s="28"/>
      <c r="N810" s="28"/>
      <c r="O810" s="28"/>
      <c r="P810" s="28"/>
      <c r="Q810" s="28"/>
      <c r="R810" s="28"/>
      <c r="S810" s="28"/>
      <c r="T810" s="28"/>
      <c r="U810" s="28"/>
      <c r="V810" s="28"/>
      <c r="W810" s="28"/>
      <c r="X810" s="28"/>
      <c r="Y810" s="28"/>
      <c r="Z810" s="28"/>
      <c r="AA810" s="28"/>
      <c r="AB810" s="28"/>
      <c r="AC810" s="28"/>
    </row>
    <row r="811" spans="1:29" ht="13">
      <c r="A811" s="28"/>
      <c r="B811" s="28"/>
      <c r="C811" s="28"/>
      <c r="D811" s="28"/>
      <c r="E811" s="28"/>
      <c r="F811" s="28"/>
      <c r="G811" s="28"/>
      <c r="H811" s="28"/>
      <c r="I811" s="28"/>
      <c r="J811" s="28"/>
      <c r="K811" s="28"/>
      <c r="L811" s="28"/>
      <c r="M811" s="28"/>
      <c r="N811" s="28"/>
      <c r="O811" s="28"/>
      <c r="P811" s="28"/>
      <c r="Q811" s="28"/>
      <c r="R811" s="28"/>
      <c r="S811" s="28"/>
      <c r="T811" s="28"/>
      <c r="U811" s="28"/>
      <c r="V811" s="28"/>
      <c r="W811" s="28"/>
      <c r="X811" s="28"/>
      <c r="Y811" s="28"/>
      <c r="Z811" s="28"/>
      <c r="AA811" s="28"/>
      <c r="AB811" s="28"/>
      <c r="AC811" s="28"/>
    </row>
    <row r="812" spans="1:29" ht="13">
      <c r="A812" s="28"/>
      <c r="B812" s="28"/>
      <c r="C812" s="28"/>
      <c r="D812" s="28"/>
      <c r="E812" s="28"/>
      <c r="F812" s="28"/>
      <c r="G812" s="28"/>
      <c r="H812" s="28"/>
      <c r="I812" s="28"/>
      <c r="J812" s="28"/>
      <c r="K812" s="28"/>
      <c r="L812" s="28"/>
      <c r="M812" s="28"/>
      <c r="N812" s="28"/>
      <c r="O812" s="28"/>
      <c r="P812" s="28"/>
      <c r="Q812" s="28"/>
      <c r="R812" s="28"/>
      <c r="S812" s="28"/>
      <c r="T812" s="28"/>
      <c r="U812" s="28"/>
      <c r="V812" s="28"/>
      <c r="W812" s="28"/>
      <c r="X812" s="28"/>
      <c r="Y812" s="28"/>
      <c r="Z812" s="28"/>
      <c r="AA812" s="28"/>
      <c r="AB812" s="28"/>
      <c r="AC812" s="28"/>
    </row>
    <row r="813" spans="1:29" ht="13">
      <c r="A813" s="28"/>
      <c r="B813" s="28"/>
      <c r="C813" s="28"/>
      <c r="D813" s="28"/>
      <c r="E813" s="28"/>
      <c r="F813" s="28"/>
      <c r="G813" s="28"/>
      <c r="H813" s="28"/>
      <c r="I813" s="28"/>
      <c r="J813" s="28"/>
      <c r="K813" s="28"/>
      <c r="L813" s="28"/>
      <c r="M813" s="28"/>
      <c r="N813" s="28"/>
      <c r="O813" s="28"/>
      <c r="P813" s="28"/>
      <c r="Q813" s="28"/>
      <c r="R813" s="28"/>
      <c r="S813" s="28"/>
      <c r="T813" s="28"/>
      <c r="U813" s="28"/>
      <c r="V813" s="28"/>
      <c r="W813" s="28"/>
      <c r="X813" s="28"/>
      <c r="Y813" s="28"/>
      <c r="Z813" s="28"/>
      <c r="AA813" s="28"/>
      <c r="AB813" s="28"/>
      <c r="AC813" s="28"/>
    </row>
    <row r="814" spans="1:29" ht="13">
      <c r="A814" s="28"/>
      <c r="B814" s="28"/>
      <c r="C814" s="28"/>
      <c r="D814" s="28"/>
      <c r="E814" s="28"/>
      <c r="F814" s="28"/>
      <c r="G814" s="28"/>
      <c r="H814" s="28"/>
      <c r="I814" s="28"/>
      <c r="J814" s="28"/>
      <c r="K814" s="28"/>
      <c r="L814" s="28"/>
      <c r="M814" s="28"/>
      <c r="N814" s="28"/>
      <c r="O814" s="28"/>
      <c r="P814" s="28"/>
      <c r="Q814" s="28"/>
      <c r="R814" s="28"/>
      <c r="S814" s="28"/>
      <c r="T814" s="28"/>
      <c r="U814" s="28"/>
      <c r="V814" s="28"/>
      <c r="W814" s="28"/>
      <c r="X814" s="28"/>
      <c r="Y814" s="28"/>
      <c r="Z814" s="28"/>
      <c r="AA814" s="28"/>
      <c r="AB814" s="28"/>
      <c r="AC814" s="28"/>
    </row>
    <row r="815" spans="1:29" ht="13">
      <c r="A815" s="28"/>
      <c r="B815" s="28"/>
      <c r="C815" s="28"/>
      <c r="D815" s="28"/>
      <c r="E815" s="28"/>
      <c r="F815" s="28"/>
      <c r="G815" s="28"/>
      <c r="H815" s="28"/>
      <c r="I815" s="28"/>
      <c r="J815" s="28"/>
      <c r="K815" s="28"/>
      <c r="L815" s="28"/>
      <c r="M815" s="28"/>
      <c r="N815" s="28"/>
      <c r="O815" s="28"/>
      <c r="P815" s="28"/>
      <c r="Q815" s="28"/>
      <c r="R815" s="28"/>
      <c r="S815" s="28"/>
      <c r="T815" s="28"/>
      <c r="U815" s="28"/>
      <c r="V815" s="28"/>
      <c r="W815" s="28"/>
      <c r="X815" s="28"/>
      <c r="Y815" s="28"/>
      <c r="Z815" s="28"/>
      <c r="AA815" s="28"/>
      <c r="AB815" s="28"/>
      <c r="AC815" s="28"/>
    </row>
    <row r="816" spans="1:29" ht="13">
      <c r="A816" s="28"/>
      <c r="B816" s="28"/>
      <c r="C816" s="28"/>
      <c r="D816" s="28"/>
      <c r="E816" s="28"/>
      <c r="F816" s="28"/>
      <c r="G816" s="28"/>
      <c r="H816" s="28"/>
      <c r="I816" s="28"/>
      <c r="J816" s="28"/>
      <c r="K816" s="28"/>
      <c r="L816" s="28"/>
      <c r="M816" s="28"/>
      <c r="N816" s="28"/>
      <c r="O816" s="28"/>
      <c r="P816" s="28"/>
      <c r="Q816" s="28"/>
      <c r="R816" s="28"/>
      <c r="S816" s="28"/>
      <c r="T816" s="28"/>
      <c r="U816" s="28"/>
      <c r="V816" s="28"/>
      <c r="W816" s="28"/>
      <c r="X816" s="28"/>
      <c r="Y816" s="28"/>
      <c r="Z816" s="28"/>
      <c r="AA816" s="28"/>
      <c r="AB816" s="28"/>
      <c r="AC816" s="28"/>
    </row>
    <row r="817" spans="1:29" ht="13">
      <c r="A817" s="28"/>
      <c r="B817" s="28"/>
      <c r="C817" s="28"/>
      <c r="D817" s="28"/>
      <c r="E817" s="28"/>
      <c r="F817" s="28"/>
      <c r="G817" s="28"/>
      <c r="H817" s="28"/>
      <c r="I817" s="28"/>
      <c r="J817" s="28"/>
      <c r="K817" s="28"/>
      <c r="L817" s="28"/>
      <c r="M817" s="28"/>
      <c r="N817" s="28"/>
      <c r="O817" s="28"/>
      <c r="P817" s="28"/>
      <c r="Q817" s="28"/>
      <c r="R817" s="28"/>
      <c r="S817" s="28"/>
      <c r="T817" s="28"/>
      <c r="U817" s="28"/>
      <c r="V817" s="28"/>
      <c r="W817" s="28"/>
      <c r="X817" s="28"/>
      <c r="Y817" s="28"/>
      <c r="Z817" s="28"/>
      <c r="AA817" s="28"/>
      <c r="AB817" s="28"/>
      <c r="AC817" s="28"/>
    </row>
    <row r="818" spans="1:29" ht="13">
      <c r="A818" s="28"/>
      <c r="B818" s="28"/>
      <c r="C818" s="28"/>
      <c r="D818" s="28"/>
      <c r="E818" s="28"/>
      <c r="F818" s="28"/>
      <c r="G818" s="28"/>
      <c r="H818" s="28"/>
      <c r="I818" s="28"/>
      <c r="J818" s="28"/>
      <c r="K818" s="28"/>
      <c r="L818" s="28"/>
      <c r="M818" s="28"/>
      <c r="N818" s="28"/>
      <c r="O818" s="28"/>
      <c r="P818" s="28"/>
      <c r="Q818" s="28"/>
      <c r="R818" s="28"/>
      <c r="S818" s="28"/>
      <c r="T818" s="28"/>
      <c r="U818" s="28"/>
      <c r="V818" s="28"/>
      <c r="W818" s="28"/>
      <c r="X818" s="28"/>
      <c r="Y818" s="28"/>
      <c r="Z818" s="28"/>
      <c r="AA818" s="28"/>
      <c r="AB818" s="28"/>
      <c r="AC818" s="28"/>
    </row>
    <row r="819" spans="1:29" ht="13">
      <c r="A819" s="28"/>
      <c r="B819" s="28"/>
      <c r="C819" s="28"/>
      <c r="D819" s="28"/>
      <c r="E819" s="28"/>
      <c r="F819" s="28"/>
      <c r="G819" s="28"/>
      <c r="H819" s="28"/>
      <c r="I819" s="28"/>
      <c r="J819" s="28"/>
      <c r="K819" s="28"/>
      <c r="L819" s="28"/>
      <c r="M819" s="28"/>
      <c r="N819" s="28"/>
      <c r="O819" s="28"/>
      <c r="P819" s="28"/>
      <c r="Q819" s="28"/>
      <c r="R819" s="28"/>
      <c r="S819" s="28"/>
      <c r="T819" s="28"/>
      <c r="U819" s="28"/>
      <c r="V819" s="28"/>
      <c r="W819" s="28"/>
      <c r="X819" s="28"/>
      <c r="Y819" s="28"/>
      <c r="Z819" s="28"/>
      <c r="AA819" s="28"/>
      <c r="AB819" s="28"/>
      <c r="AC819" s="28"/>
    </row>
    <row r="820" spans="1:29" ht="13">
      <c r="A820" s="28"/>
      <c r="B820" s="28"/>
      <c r="C820" s="28"/>
      <c r="D820" s="28"/>
      <c r="E820" s="28"/>
      <c r="F820" s="28"/>
      <c r="G820" s="28"/>
      <c r="H820" s="28"/>
      <c r="I820" s="28"/>
      <c r="J820" s="28"/>
      <c r="K820" s="28"/>
      <c r="L820" s="28"/>
      <c r="M820" s="28"/>
      <c r="N820" s="28"/>
      <c r="O820" s="28"/>
      <c r="P820" s="28"/>
      <c r="Q820" s="28"/>
      <c r="R820" s="28"/>
      <c r="S820" s="28"/>
      <c r="T820" s="28"/>
      <c r="U820" s="28"/>
      <c r="V820" s="28"/>
      <c r="W820" s="28"/>
      <c r="X820" s="28"/>
      <c r="Y820" s="28"/>
      <c r="Z820" s="28"/>
      <c r="AA820" s="28"/>
      <c r="AB820" s="28"/>
      <c r="AC820" s="28"/>
    </row>
    <row r="821" spans="1:29" ht="13">
      <c r="A821" s="28"/>
      <c r="B821" s="28"/>
      <c r="C821" s="28"/>
      <c r="D821" s="28"/>
      <c r="E821" s="28"/>
      <c r="F821" s="28"/>
      <c r="G821" s="28"/>
      <c r="H821" s="28"/>
      <c r="I821" s="28"/>
      <c r="J821" s="28"/>
      <c r="K821" s="28"/>
      <c r="L821" s="28"/>
      <c r="M821" s="28"/>
      <c r="N821" s="28"/>
      <c r="O821" s="28"/>
      <c r="P821" s="28"/>
      <c r="Q821" s="28"/>
      <c r="R821" s="28"/>
      <c r="S821" s="28"/>
      <c r="T821" s="28"/>
      <c r="U821" s="28"/>
      <c r="V821" s="28"/>
      <c r="W821" s="28"/>
      <c r="X821" s="28"/>
      <c r="Y821" s="28"/>
      <c r="Z821" s="28"/>
      <c r="AA821" s="28"/>
      <c r="AB821" s="28"/>
      <c r="AC821" s="28"/>
    </row>
    <row r="822" spans="1:29" ht="13">
      <c r="A822" s="28"/>
      <c r="B822" s="28"/>
      <c r="C822" s="28"/>
      <c r="D822" s="28"/>
      <c r="E822" s="28"/>
      <c r="F822" s="28"/>
      <c r="G822" s="28"/>
      <c r="H822" s="28"/>
      <c r="I822" s="28"/>
      <c r="J822" s="28"/>
      <c r="K822" s="28"/>
      <c r="L822" s="28"/>
      <c r="M822" s="28"/>
      <c r="N822" s="28"/>
      <c r="O822" s="28"/>
      <c r="P822" s="28"/>
      <c r="Q822" s="28"/>
      <c r="R822" s="28"/>
      <c r="S822" s="28"/>
      <c r="T822" s="28"/>
      <c r="U822" s="28"/>
      <c r="V822" s="28"/>
      <c r="W822" s="28"/>
      <c r="X822" s="28"/>
      <c r="Y822" s="28"/>
      <c r="Z822" s="28"/>
      <c r="AA822" s="28"/>
      <c r="AB822" s="28"/>
      <c r="AC822" s="28"/>
    </row>
    <row r="823" spans="1:29" ht="13">
      <c r="A823" s="28"/>
      <c r="B823" s="28"/>
      <c r="C823" s="28"/>
      <c r="D823" s="28"/>
      <c r="E823" s="28"/>
      <c r="F823" s="28"/>
      <c r="G823" s="28"/>
      <c r="H823" s="28"/>
      <c r="I823" s="28"/>
      <c r="J823" s="28"/>
      <c r="K823" s="28"/>
      <c r="L823" s="28"/>
      <c r="M823" s="28"/>
      <c r="N823" s="28"/>
      <c r="O823" s="28"/>
      <c r="P823" s="28"/>
      <c r="Q823" s="28"/>
      <c r="R823" s="28"/>
      <c r="S823" s="28"/>
      <c r="T823" s="28"/>
      <c r="U823" s="28"/>
      <c r="V823" s="28"/>
      <c r="W823" s="28"/>
      <c r="X823" s="28"/>
      <c r="Y823" s="28"/>
      <c r="Z823" s="28"/>
      <c r="AA823" s="28"/>
      <c r="AB823" s="28"/>
      <c r="AC823" s="28"/>
    </row>
    <row r="824" spans="1:29" ht="13">
      <c r="A824" s="28"/>
      <c r="B824" s="28"/>
      <c r="C824" s="28"/>
      <c r="D824" s="28"/>
      <c r="E824" s="28"/>
      <c r="F824" s="28"/>
      <c r="G824" s="28"/>
      <c r="H824" s="28"/>
      <c r="I824" s="28"/>
      <c r="J824" s="28"/>
      <c r="K824" s="28"/>
      <c r="L824" s="28"/>
      <c r="M824" s="28"/>
      <c r="N824" s="28"/>
      <c r="O824" s="28"/>
      <c r="P824" s="28"/>
      <c r="Q824" s="28"/>
      <c r="R824" s="28"/>
      <c r="S824" s="28"/>
      <c r="T824" s="28"/>
      <c r="U824" s="28"/>
      <c r="V824" s="28"/>
      <c r="W824" s="28"/>
      <c r="X824" s="28"/>
      <c r="Y824" s="28"/>
      <c r="Z824" s="28"/>
      <c r="AA824" s="28"/>
      <c r="AB824" s="28"/>
      <c r="AC824" s="28"/>
    </row>
    <row r="825" spans="1:29" ht="13">
      <c r="A825" s="28"/>
      <c r="B825" s="28"/>
      <c r="C825" s="28"/>
      <c r="D825" s="28"/>
      <c r="E825" s="28"/>
      <c r="F825" s="28"/>
      <c r="G825" s="28"/>
      <c r="H825" s="28"/>
      <c r="I825" s="28"/>
      <c r="J825" s="28"/>
      <c r="K825" s="28"/>
      <c r="L825" s="28"/>
      <c r="M825" s="28"/>
      <c r="N825" s="28"/>
      <c r="O825" s="28"/>
      <c r="P825" s="28"/>
      <c r="Q825" s="28"/>
      <c r="R825" s="28"/>
      <c r="S825" s="28"/>
      <c r="T825" s="28"/>
      <c r="U825" s="28"/>
      <c r="V825" s="28"/>
      <c r="W825" s="28"/>
      <c r="X825" s="28"/>
      <c r="Y825" s="28"/>
      <c r="Z825" s="28"/>
      <c r="AA825" s="28"/>
      <c r="AB825" s="28"/>
      <c r="AC825" s="28"/>
    </row>
    <row r="826" spans="1:29" ht="13">
      <c r="A826" s="28"/>
      <c r="B826" s="28"/>
      <c r="C826" s="28"/>
      <c r="D826" s="28"/>
      <c r="E826" s="28"/>
      <c r="F826" s="28"/>
      <c r="G826" s="28"/>
      <c r="H826" s="28"/>
      <c r="I826" s="28"/>
      <c r="J826" s="28"/>
      <c r="K826" s="28"/>
      <c r="L826" s="28"/>
      <c r="M826" s="28"/>
      <c r="N826" s="28"/>
      <c r="O826" s="28"/>
      <c r="P826" s="28"/>
      <c r="Q826" s="28"/>
      <c r="R826" s="28"/>
      <c r="S826" s="28"/>
      <c r="T826" s="28"/>
      <c r="U826" s="28"/>
      <c r="V826" s="28"/>
      <c r="W826" s="28"/>
      <c r="X826" s="28"/>
      <c r="Y826" s="28"/>
      <c r="Z826" s="28"/>
      <c r="AA826" s="28"/>
      <c r="AB826" s="28"/>
      <c r="AC826" s="28"/>
    </row>
    <row r="827" spans="1:29" ht="13">
      <c r="A827" s="28"/>
      <c r="B827" s="28"/>
      <c r="C827" s="28"/>
      <c r="D827" s="28"/>
      <c r="E827" s="28"/>
      <c r="F827" s="28"/>
      <c r="G827" s="28"/>
      <c r="H827" s="28"/>
      <c r="I827" s="28"/>
      <c r="J827" s="28"/>
      <c r="K827" s="28"/>
      <c r="L827" s="28"/>
      <c r="M827" s="28"/>
      <c r="N827" s="28"/>
      <c r="O827" s="28"/>
      <c r="P827" s="28"/>
      <c r="Q827" s="28"/>
      <c r="R827" s="28"/>
      <c r="S827" s="28"/>
      <c r="T827" s="28"/>
      <c r="U827" s="28"/>
      <c r="V827" s="28"/>
      <c r="W827" s="28"/>
      <c r="X827" s="28"/>
      <c r="Y827" s="28"/>
      <c r="Z827" s="28"/>
      <c r="AA827" s="28"/>
      <c r="AB827" s="28"/>
      <c r="AC827" s="28"/>
    </row>
    <row r="828" spans="1:29" ht="13">
      <c r="A828" s="28"/>
      <c r="B828" s="28"/>
      <c r="C828" s="28"/>
      <c r="D828" s="28"/>
      <c r="E828" s="28"/>
      <c r="F828" s="28"/>
      <c r="G828" s="28"/>
      <c r="H828" s="28"/>
      <c r="I828" s="28"/>
      <c r="J828" s="28"/>
      <c r="K828" s="28"/>
      <c r="L828" s="28"/>
      <c r="M828" s="28"/>
      <c r="N828" s="28"/>
      <c r="O828" s="28"/>
      <c r="P828" s="28"/>
      <c r="Q828" s="28"/>
      <c r="R828" s="28"/>
      <c r="S828" s="28"/>
      <c r="T828" s="28"/>
      <c r="U828" s="28"/>
      <c r="V828" s="28"/>
      <c r="W828" s="28"/>
      <c r="X828" s="28"/>
      <c r="Y828" s="28"/>
      <c r="Z828" s="28"/>
      <c r="AA828" s="28"/>
      <c r="AB828" s="28"/>
      <c r="AC828" s="28"/>
    </row>
    <row r="829" spans="1:29" ht="13">
      <c r="A829" s="28"/>
      <c r="B829" s="28"/>
      <c r="C829" s="28"/>
      <c r="D829" s="28"/>
      <c r="E829" s="28"/>
      <c r="F829" s="28"/>
      <c r="G829" s="28"/>
      <c r="H829" s="28"/>
      <c r="I829" s="28"/>
      <c r="J829" s="28"/>
      <c r="K829" s="28"/>
      <c r="L829" s="28"/>
      <c r="M829" s="28"/>
      <c r="N829" s="28"/>
      <c r="O829" s="28"/>
      <c r="P829" s="28"/>
      <c r="Q829" s="28"/>
      <c r="R829" s="28"/>
      <c r="S829" s="28"/>
      <c r="T829" s="28"/>
      <c r="U829" s="28"/>
      <c r="V829" s="28"/>
      <c r="W829" s="28"/>
      <c r="X829" s="28"/>
      <c r="Y829" s="28"/>
      <c r="Z829" s="28"/>
      <c r="AA829" s="28"/>
      <c r="AB829" s="28"/>
      <c r="AC829" s="28"/>
    </row>
    <row r="830" spans="1:29" ht="13">
      <c r="A830" s="28"/>
      <c r="B830" s="28"/>
      <c r="C830" s="28"/>
      <c r="D830" s="28"/>
      <c r="E830" s="28"/>
      <c r="F830" s="28"/>
      <c r="G830" s="28"/>
      <c r="H830" s="28"/>
      <c r="I830" s="28"/>
      <c r="J830" s="28"/>
      <c r="K830" s="28"/>
      <c r="L830" s="28"/>
      <c r="M830" s="28"/>
      <c r="N830" s="28"/>
      <c r="O830" s="28"/>
      <c r="P830" s="28"/>
      <c r="Q830" s="28"/>
      <c r="R830" s="28"/>
      <c r="S830" s="28"/>
      <c r="T830" s="28"/>
      <c r="U830" s="28"/>
      <c r="V830" s="28"/>
      <c r="W830" s="28"/>
      <c r="X830" s="28"/>
      <c r="Y830" s="28"/>
      <c r="Z830" s="28"/>
      <c r="AA830" s="28"/>
      <c r="AB830" s="28"/>
      <c r="AC830" s="28"/>
    </row>
    <row r="831" spans="1:29" ht="13">
      <c r="A831" s="28"/>
      <c r="B831" s="28"/>
      <c r="C831" s="28"/>
      <c r="D831" s="28"/>
      <c r="E831" s="28"/>
      <c r="F831" s="28"/>
      <c r="G831" s="28"/>
      <c r="H831" s="28"/>
      <c r="I831" s="28"/>
      <c r="J831" s="28"/>
      <c r="K831" s="28"/>
      <c r="L831" s="28"/>
      <c r="M831" s="28"/>
      <c r="N831" s="28"/>
      <c r="O831" s="28"/>
      <c r="P831" s="28"/>
      <c r="Q831" s="28"/>
      <c r="R831" s="28"/>
      <c r="S831" s="28"/>
      <c r="T831" s="28"/>
      <c r="U831" s="28"/>
      <c r="V831" s="28"/>
      <c r="W831" s="28"/>
      <c r="X831" s="28"/>
      <c r="Y831" s="28"/>
      <c r="Z831" s="28"/>
      <c r="AA831" s="28"/>
      <c r="AB831" s="28"/>
      <c r="AC831" s="28"/>
    </row>
    <row r="832" spans="1:29" ht="13">
      <c r="A832" s="28"/>
      <c r="B832" s="28"/>
      <c r="C832" s="28"/>
      <c r="D832" s="28"/>
      <c r="E832" s="28"/>
      <c r="F832" s="28"/>
      <c r="G832" s="28"/>
      <c r="H832" s="28"/>
      <c r="I832" s="28"/>
      <c r="J832" s="28"/>
      <c r="K832" s="28"/>
      <c r="L832" s="28"/>
      <c r="M832" s="28"/>
      <c r="N832" s="28"/>
      <c r="O832" s="28"/>
      <c r="P832" s="28"/>
      <c r="Q832" s="28"/>
      <c r="R832" s="28"/>
      <c r="S832" s="28"/>
      <c r="T832" s="28"/>
      <c r="U832" s="28"/>
      <c r="V832" s="28"/>
      <c r="W832" s="28"/>
      <c r="X832" s="28"/>
      <c r="Y832" s="28"/>
      <c r="Z832" s="28"/>
      <c r="AA832" s="28"/>
      <c r="AB832" s="28"/>
      <c r="AC832" s="28"/>
    </row>
    <row r="833" spans="1:29" ht="13">
      <c r="A833" s="28"/>
      <c r="B833" s="28"/>
      <c r="C833" s="28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28"/>
      <c r="AA833" s="28"/>
      <c r="AB833" s="28"/>
      <c r="AC833" s="28"/>
    </row>
    <row r="834" spans="1:29" ht="13">
      <c r="A834" s="28"/>
      <c r="B834" s="28"/>
      <c r="C834" s="28"/>
      <c r="D834" s="28"/>
      <c r="E834" s="28"/>
      <c r="F834" s="28"/>
      <c r="G834" s="28"/>
      <c r="H834" s="28"/>
      <c r="I834" s="28"/>
      <c r="J834" s="28"/>
      <c r="K834" s="28"/>
      <c r="L834" s="28"/>
      <c r="M834" s="28"/>
      <c r="N834" s="28"/>
      <c r="O834" s="28"/>
      <c r="P834" s="28"/>
      <c r="Q834" s="28"/>
      <c r="R834" s="28"/>
      <c r="S834" s="28"/>
      <c r="T834" s="28"/>
      <c r="U834" s="28"/>
      <c r="V834" s="28"/>
      <c r="W834" s="28"/>
      <c r="X834" s="28"/>
      <c r="Y834" s="28"/>
      <c r="Z834" s="28"/>
      <c r="AA834" s="28"/>
      <c r="AB834" s="28"/>
      <c r="AC834" s="28"/>
    </row>
    <row r="835" spans="1:29" ht="13">
      <c r="A835" s="28"/>
      <c r="B835" s="28"/>
      <c r="C835" s="28"/>
      <c r="D835" s="28"/>
      <c r="E835" s="28"/>
      <c r="F835" s="28"/>
      <c r="G835" s="28"/>
      <c r="H835" s="28"/>
      <c r="I835" s="28"/>
      <c r="J835" s="28"/>
      <c r="K835" s="28"/>
      <c r="L835" s="28"/>
      <c r="M835" s="28"/>
      <c r="N835" s="28"/>
      <c r="O835" s="28"/>
      <c r="P835" s="28"/>
      <c r="Q835" s="28"/>
      <c r="R835" s="28"/>
      <c r="S835" s="28"/>
      <c r="T835" s="28"/>
      <c r="U835" s="28"/>
      <c r="V835" s="28"/>
      <c r="W835" s="28"/>
      <c r="X835" s="28"/>
      <c r="Y835" s="28"/>
      <c r="Z835" s="28"/>
      <c r="AA835" s="28"/>
      <c r="AB835" s="28"/>
      <c r="AC835" s="28"/>
    </row>
    <row r="836" spans="1:29" ht="13">
      <c r="A836" s="28"/>
      <c r="B836" s="28"/>
      <c r="C836" s="28"/>
      <c r="D836" s="28"/>
      <c r="E836" s="28"/>
      <c r="F836" s="28"/>
      <c r="G836" s="28"/>
      <c r="H836" s="28"/>
      <c r="I836" s="28"/>
      <c r="J836" s="28"/>
      <c r="K836" s="28"/>
      <c r="L836" s="28"/>
      <c r="M836" s="28"/>
      <c r="N836" s="28"/>
      <c r="O836" s="28"/>
      <c r="P836" s="28"/>
      <c r="Q836" s="28"/>
      <c r="R836" s="28"/>
      <c r="S836" s="28"/>
      <c r="T836" s="28"/>
      <c r="U836" s="28"/>
      <c r="V836" s="28"/>
      <c r="W836" s="28"/>
      <c r="X836" s="28"/>
      <c r="Y836" s="28"/>
      <c r="Z836" s="28"/>
      <c r="AA836" s="28"/>
      <c r="AB836" s="28"/>
      <c r="AC836" s="28"/>
    </row>
    <row r="837" spans="1:29" ht="13">
      <c r="A837" s="28"/>
      <c r="B837" s="28"/>
      <c r="C837" s="28"/>
      <c r="D837" s="28"/>
      <c r="E837" s="28"/>
      <c r="F837" s="28"/>
      <c r="G837" s="28"/>
      <c r="H837" s="28"/>
      <c r="I837" s="28"/>
      <c r="J837" s="28"/>
      <c r="K837" s="28"/>
      <c r="L837" s="28"/>
      <c r="M837" s="28"/>
      <c r="N837" s="28"/>
      <c r="O837" s="28"/>
      <c r="P837" s="28"/>
      <c r="Q837" s="28"/>
      <c r="R837" s="28"/>
      <c r="S837" s="28"/>
      <c r="T837" s="28"/>
      <c r="U837" s="28"/>
      <c r="V837" s="28"/>
      <c r="W837" s="28"/>
      <c r="X837" s="28"/>
      <c r="Y837" s="28"/>
      <c r="Z837" s="28"/>
      <c r="AA837" s="28"/>
      <c r="AB837" s="28"/>
      <c r="AC837" s="28"/>
    </row>
    <row r="838" spans="1:29" ht="13">
      <c r="A838" s="28"/>
      <c r="B838" s="28"/>
      <c r="C838" s="28"/>
      <c r="D838" s="28"/>
      <c r="E838" s="28"/>
      <c r="F838" s="28"/>
      <c r="G838" s="28"/>
      <c r="H838" s="28"/>
      <c r="I838" s="28"/>
      <c r="J838" s="28"/>
      <c r="K838" s="28"/>
      <c r="L838" s="28"/>
      <c r="M838" s="28"/>
      <c r="N838" s="28"/>
      <c r="O838" s="28"/>
      <c r="P838" s="28"/>
      <c r="Q838" s="28"/>
      <c r="R838" s="28"/>
      <c r="S838" s="28"/>
      <c r="T838" s="28"/>
      <c r="U838" s="28"/>
      <c r="V838" s="28"/>
      <c r="W838" s="28"/>
      <c r="X838" s="28"/>
      <c r="Y838" s="28"/>
      <c r="Z838" s="28"/>
      <c r="AA838" s="28"/>
      <c r="AB838" s="28"/>
      <c r="AC838" s="28"/>
    </row>
    <row r="839" spans="1:29" ht="13">
      <c r="A839" s="28"/>
      <c r="B839" s="28"/>
      <c r="C839" s="28"/>
      <c r="D839" s="28"/>
      <c r="E839" s="28"/>
      <c r="F839" s="28"/>
      <c r="G839" s="28"/>
      <c r="H839" s="28"/>
      <c r="I839" s="28"/>
      <c r="J839" s="28"/>
      <c r="K839" s="28"/>
      <c r="L839" s="28"/>
      <c r="M839" s="28"/>
      <c r="N839" s="28"/>
      <c r="O839" s="28"/>
      <c r="P839" s="28"/>
      <c r="Q839" s="28"/>
      <c r="R839" s="28"/>
      <c r="S839" s="28"/>
      <c r="T839" s="28"/>
      <c r="U839" s="28"/>
      <c r="V839" s="28"/>
      <c r="W839" s="28"/>
      <c r="X839" s="28"/>
      <c r="Y839" s="28"/>
      <c r="Z839" s="28"/>
      <c r="AA839" s="28"/>
      <c r="AB839" s="28"/>
      <c r="AC839" s="28"/>
    </row>
    <row r="840" spans="1:29" ht="13">
      <c r="A840" s="28"/>
      <c r="B840" s="28"/>
      <c r="C840" s="28"/>
      <c r="D840" s="28"/>
      <c r="E840" s="28"/>
      <c r="F840" s="28"/>
      <c r="G840" s="28"/>
      <c r="H840" s="28"/>
      <c r="I840" s="28"/>
      <c r="J840" s="28"/>
      <c r="K840" s="28"/>
      <c r="L840" s="28"/>
      <c r="M840" s="28"/>
      <c r="N840" s="28"/>
      <c r="O840" s="28"/>
      <c r="P840" s="28"/>
      <c r="Q840" s="28"/>
      <c r="R840" s="28"/>
      <c r="S840" s="28"/>
      <c r="T840" s="28"/>
      <c r="U840" s="28"/>
      <c r="V840" s="28"/>
      <c r="W840" s="28"/>
      <c r="X840" s="28"/>
      <c r="Y840" s="28"/>
      <c r="Z840" s="28"/>
      <c r="AA840" s="28"/>
      <c r="AB840" s="28"/>
      <c r="AC840" s="28"/>
    </row>
    <row r="841" spans="1:29" ht="13">
      <c r="A841" s="28"/>
      <c r="B841" s="28"/>
      <c r="C841" s="28"/>
      <c r="D841" s="28"/>
      <c r="E841" s="28"/>
      <c r="F841" s="28"/>
      <c r="G841" s="28"/>
      <c r="H841" s="28"/>
      <c r="I841" s="28"/>
      <c r="J841" s="28"/>
      <c r="K841" s="28"/>
      <c r="L841" s="28"/>
      <c r="M841" s="28"/>
      <c r="N841" s="28"/>
      <c r="O841" s="28"/>
      <c r="P841" s="28"/>
      <c r="Q841" s="28"/>
      <c r="R841" s="28"/>
      <c r="S841" s="28"/>
      <c r="T841" s="28"/>
      <c r="U841" s="28"/>
      <c r="V841" s="28"/>
      <c r="W841" s="28"/>
      <c r="X841" s="28"/>
      <c r="Y841" s="28"/>
      <c r="Z841" s="28"/>
      <c r="AA841" s="28"/>
      <c r="AB841" s="28"/>
      <c r="AC841" s="28"/>
    </row>
    <row r="842" spans="1:29" ht="13">
      <c r="A842" s="28"/>
      <c r="B842" s="28"/>
      <c r="C842" s="28"/>
      <c r="D842" s="28"/>
      <c r="E842" s="28"/>
      <c r="F842" s="28"/>
      <c r="G842" s="28"/>
      <c r="H842" s="28"/>
      <c r="I842" s="28"/>
      <c r="J842" s="28"/>
      <c r="K842" s="28"/>
      <c r="L842" s="28"/>
      <c r="M842" s="28"/>
      <c r="N842" s="28"/>
      <c r="O842" s="28"/>
      <c r="P842" s="28"/>
      <c r="Q842" s="28"/>
      <c r="R842" s="28"/>
      <c r="S842" s="28"/>
      <c r="T842" s="28"/>
      <c r="U842" s="28"/>
      <c r="V842" s="28"/>
      <c r="W842" s="28"/>
      <c r="X842" s="28"/>
      <c r="Y842" s="28"/>
      <c r="Z842" s="28"/>
      <c r="AA842" s="28"/>
      <c r="AB842" s="28"/>
      <c r="AC842" s="28"/>
    </row>
    <row r="843" spans="1:29" ht="13">
      <c r="A843" s="28"/>
      <c r="B843" s="28"/>
      <c r="C843" s="28"/>
      <c r="D843" s="28"/>
      <c r="E843" s="28"/>
      <c r="F843" s="28"/>
      <c r="G843" s="28"/>
      <c r="H843" s="28"/>
      <c r="I843" s="28"/>
      <c r="J843" s="28"/>
      <c r="K843" s="28"/>
      <c r="L843" s="28"/>
      <c r="M843" s="28"/>
      <c r="N843" s="28"/>
      <c r="O843" s="28"/>
      <c r="P843" s="28"/>
      <c r="Q843" s="28"/>
      <c r="R843" s="28"/>
      <c r="S843" s="28"/>
      <c r="T843" s="28"/>
      <c r="U843" s="28"/>
      <c r="V843" s="28"/>
      <c r="W843" s="28"/>
      <c r="X843" s="28"/>
      <c r="Y843" s="28"/>
      <c r="Z843" s="28"/>
      <c r="AA843" s="28"/>
      <c r="AB843" s="28"/>
      <c r="AC843" s="28"/>
    </row>
    <row r="844" spans="1:29" ht="13">
      <c r="A844" s="28"/>
      <c r="B844" s="28"/>
      <c r="C844" s="28"/>
      <c r="D844" s="28"/>
      <c r="E844" s="28"/>
      <c r="F844" s="28"/>
      <c r="G844" s="28"/>
      <c r="H844" s="28"/>
      <c r="I844" s="28"/>
      <c r="J844" s="28"/>
      <c r="K844" s="28"/>
      <c r="L844" s="28"/>
      <c r="M844" s="28"/>
      <c r="N844" s="28"/>
      <c r="O844" s="28"/>
      <c r="P844" s="28"/>
      <c r="Q844" s="28"/>
      <c r="R844" s="28"/>
      <c r="S844" s="28"/>
      <c r="T844" s="28"/>
      <c r="U844" s="28"/>
      <c r="V844" s="28"/>
      <c r="W844" s="28"/>
      <c r="X844" s="28"/>
      <c r="Y844" s="28"/>
      <c r="Z844" s="28"/>
      <c r="AA844" s="28"/>
      <c r="AB844" s="28"/>
      <c r="AC844" s="28"/>
    </row>
    <row r="845" spans="1:29" ht="13">
      <c r="A845" s="28"/>
      <c r="B845" s="28"/>
      <c r="C845" s="28"/>
      <c r="D845" s="28"/>
      <c r="E845" s="28"/>
      <c r="F845" s="28"/>
      <c r="G845" s="28"/>
      <c r="H845" s="28"/>
      <c r="I845" s="28"/>
      <c r="J845" s="28"/>
      <c r="K845" s="28"/>
      <c r="L845" s="28"/>
      <c r="M845" s="28"/>
      <c r="N845" s="28"/>
      <c r="O845" s="28"/>
      <c r="P845" s="28"/>
      <c r="Q845" s="28"/>
      <c r="R845" s="28"/>
      <c r="S845" s="28"/>
      <c r="T845" s="28"/>
      <c r="U845" s="28"/>
      <c r="V845" s="28"/>
      <c r="W845" s="28"/>
      <c r="X845" s="28"/>
      <c r="Y845" s="28"/>
      <c r="Z845" s="28"/>
      <c r="AA845" s="28"/>
      <c r="AB845" s="28"/>
      <c r="AC845" s="28"/>
    </row>
    <row r="846" spans="1:29" ht="13">
      <c r="A846" s="28"/>
      <c r="B846" s="28"/>
      <c r="C846" s="28"/>
      <c r="D846" s="28"/>
      <c r="E846" s="28"/>
      <c r="F846" s="28"/>
      <c r="G846" s="28"/>
      <c r="H846" s="28"/>
      <c r="I846" s="28"/>
      <c r="J846" s="28"/>
      <c r="K846" s="28"/>
      <c r="L846" s="28"/>
      <c r="M846" s="28"/>
      <c r="N846" s="28"/>
      <c r="O846" s="28"/>
      <c r="P846" s="28"/>
      <c r="Q846" s="28"/>
      <c r="R846" s="28"/>
      <c r="S846" s="28"/>
      <c r="T846" s="28"/>
      <c r="U846" s="28"/>
      <c r="V846" s="28"/>
      <c r="W846" s="28"/>
      <c r="X846" s="28"/>
      <c r="Y846" s="28"/>
      <c r="Z846" s="28"/>
      <c r="AA846" s="28"/>
      <c r="AB846" s="28"/>
      <c r="AC846" s="28"/>
    </row>
    <row r="847" spans="1:29" ht="13">
      <c r="A847" s="28"/>
      <c r="B847" s="28"/>
      <c r="C847" s="28"/>
      <c r="D847" s="28"/>
      <c r="E847" s="28"/>
      <c r="F847" s="28"/>
      <c r="G847" s="28"/>
      <c r="H847" s="28"/>
      <c r="I847" s="28"/>
      <c r="J847" s="28"/>
      <c r="K847" s="28"/>
      <c r="L847" s="28"/>
      <c r="M847" s="28"/>
      <c r="N847" s="28"/>
      <c r="O847" s="28"/>
      <c r="P847" s="28"/>
      <c r="Q847" s="28"/>
      <c r="R847" s="28"/>
      <c r="S847" s="28"/>
      <c r="T847" s="28"/>
      <c r="U847" s="28"/>
      <c r="V847" s="28"/>
      <c r="W847" s="28"/>
      <c r="X847" s="28"/>
      <c r="Y847" s="28"/>
      <c r="Z847" s="28"/>
      <c r="AA847" s="28"/>
      <c r="AB847" s="28"/>
      <c r="AC847" s="28"/>
    </row>
    <row r="848" spans="1:29" ht="13">
      <c r="A848" s="28"/>
      <c r="B848" s="28"/>
      <c r="C848" s="28"/>
      <c r="D848" s="28"/>
      <c r="E848" s="28"/>
      <c r="F848" s="28"/>
      <c r="G848" s="28"/>
      <c r="H848" s="28"/>
      <c r="I848" s="28"/>
      <c r="J848" s="28"/>
      <c r="K848" s="28"/>
      <c r="L848" s="28"/>
      <c r="M848" s="28"/>
      <c r="N848" s="28"/>
      <c r="O848" s="28"/>
      <c r="P848" s="28"/>
      <c r="Q848" s="28"/>
      <c r="R848" s="28"/>
      <c r="S848" s="28"/>
      <c r="T848" s="28"/>
      <c r="U848" s="28"/>
      <c r="V848" s="28"/>
      <c r="W848" s="28"/>
      <c r="X848" s="28"/>
      <c r="Y848" s="28"/>
      <c r="Z848" s="28"/>
      <c r="AA848" s="28"/>
      <c r="AB848" s="28"/>
      <c r="AC848" s="28"/>
    </row>
    <row r="849" spans="1:29" ht="13">
      <c r="A849" s="28"/>
      <c r="B849" s="28"/>
      <c r="C849" s="28"/>
      <c r="D849" s="28"/>
      <c r="E849" s="28"/>
      <c r="F849" s="28"/>
      <c r="G849" s="28"/>
      <c r="H849" s="28"/>
      <c r="I849" s="28"/>
      <c r="J849" s="28"/>
      <c r="K849" s="28"/>
      <c r="L849" s="28"/>
      <c r="M849" s="28"/>
      <c r="N849" s="28"/>
      <c r="O849" s="28"/>
      <c r="P849" s="28"/>
      <c r="Q849" s="28"/>
      <c r="R849" s="28"/>
      <c r="S849" s="28"/>
      <c r="T849" s="28"/>
      <c r="U849" s="28"/>
      <c r="V849" s="28"/>
      <c r="W849" s="28"/>
      <c r="X849" s="28"/>
      <c r="Y849" s="28"/>
      <c r="Z849" s="28"/>
      <c r="AA849" s="28"/>
      <c r="AB849" s="28"/>
      <c r="AC849" s="28"/>
    </row>
    <row r="850" spans="1:29" ht="13">
      <c r="A850" s="28"/>
      <c r="B850" s="28"/>
      <c r="C850" s="28"/>
      <c r="D850" s="28"/>
      <c r="E850" s="28"/>
      <c r="F850" s="28"/>
      <c r="G850" s="28"/>
      <c r="H850" s="28"/>
      <c r="I850" s="28"/>
      <c r="J850" s="28"/>
      <c r="K850" s="28"/>
      <c r="L850" s="28"/>
      <c r="M850" s="28"/>
      <c r="N850" s="28"/>
      <c r="O850" s="28"/>
      <c r="P850" s="28"/>
      <c r="Q850" s="28"/>
      <c r="R850" s="28"/>
      <c r="S850" s="28"/>
      <c r="T850" s="28"/>
      <c r="U850" s="28"/>
      <c r="V850" s="28"/>
      <c r="W850" s="28"/>
      <c r="X850" s="28"/>
      <c r="Y850" s="28"/>
      <c r="Z850" s="28"/>
      <c r="AA850" s="28"/>
      <c r="AB850" s="28"/>
      <c r="AC850" s="28"/>
    </row>
    <row r="851" spans="1:29" ht="13">
      <c r="A851" s="28"/>
      <c r="B851" s="28"/>
      <c r="C851" s="28"/>
      <c r="D851" s="28"/>
      <c r="E851" s="28"/>
      <c r="F851" s="28"/>
      <c r="G851" s="28"/>
      <c r="H851" s="28"/>
      <c r="I851" s="28"/>
      <c r="J851" s="28"/>
      <c r="K851" s="28"/>
      <c r="L851" s="28"/>
      <c r="M851" s="28"/>
      <c r="N851" s="28"/>
      <c r="O851" s="28"/>
      <c r="P851" s="28"/>
      <c r="Q851" s="28"/>
      <c r="R851" s="28"/>
      <c r="S851" s="28"/>
      <c r="T851" s="28"/>
      <c r="U851" s="28"/>
      <c r="V851" s="28"/>
      <c r="W851" s="28"/>
      <c r="X851" s="28"/>
      <c r="Y851" s="28"/>
      <c r="Z851" s="28"/>
      <c r="AA851" s="28"/>
      <c r="AB851" s="28"/>
      <c r="AC851" s="28"/>
    </row>
    <row r="852" spans="1:29" ht="13">
      <c r="A852" s="28"/>
      <c r="B852" s="28"/>
      <c r="C852" s="28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28"/>
      <c r="AC852" s="28"/>
    </row>
    <row r="853" spans="1:29" ht="13">
      <c r="A853" s="28"/>
      <c r="B853" s="28"/>
      <c r="C853" s="28"/>
      <c r="D853" s="28"/>
      <c r="E853" s="28"/>
      <c r="F853" s="28"/>
      <c r="G853" s="28"/>
      <c r="H853" s="28"/>
      <c r="I853" s="28"/>
      <c r="J853" s="28"/>
      <c r="K853" s="28"/>
      <c r="L853" s="28"/>
      <c r="M853" s="28"/>
      <c r="N853" s="28"/>
      <c r="O853" s="28"/>
      <c r="P853" s="28"/>
      <c r="Q853" s="28"/>
      <c r="R853" s="28"/>
      <c r="S853" s="28"/>
      <c r="T853" s="28"/>
      <c r="U853" s="28"/>
      <c r="V853" s="28"/>
      <c r="W853" s="28"/>
      <c r="X853" s="28"/>
      <c r="Y853" s="28"/>
      <c r="Z853" s="28"/>
      <c r="AA853" s="28"/>
      <c r="AB853" s="28"/>
      <c r="AC853" s="28"/>
    </row>
    <row r="854" spans="1:29" ht="13">
      <c r="A854" s="28"/>
      <c r="B854" s="28"/>
      <c r="C854" s="28"/>
      <c r="D854" s="28"/>
      <c r="E854" s="28"/>
      <c r="F854" s="28"/>
      <c r="G854" s="28"/>
      <c r="H854" s="28"/>
      <c r="I854" s="28"/>
      <c r="J854" s="28"/>
      <c r="K854" s="28"/>
      <c r="L854" s="28"/>
      <c r="M854" s="28"/>
      <c r="N854" s="28"/>
      <c r="O854" s="28"/>
      <c r="P854" s="28"/>
      <c r="Q854" s="28"/>
      <c r="R854" s="28"/>
      <c r="S854" s="28"/>
      <c r="T854" s="28"/>
      <c r="U854" s="28"/>
      <c r="V854" s="28"/>
      <c r="W854" s="28"/>
      <c r="X854" s="28"/>
      <c r="Y854" s="28"/>
      <c r="Z854" s="28"/>
      <c r="AA854" s="28"/>
      <c r="AB854" s="28"/>
      <c r="AC854" s="28"/>
    </row>
    <row r="855" spans="1:29" ht="13">
      <c r="A855" s="28"/>
      <c r="B855" s="28"/>
      <c r="C855" s="28"/>
      <c r="D855" s="28"/>
      <c r="E855" s="28"/>
      <c r="F855" s="28"/>
      <c r="G855" s="28"/>
      <c r="H855" s="28"/>
      <c r="I855" s="28"/>
      <c r="J855" s="28"/>
      <c r="K855" s="28"/>
      <c r="L855" s="28"/>
      <c r="M855" s="28"/>
      <c r="N855" s="28"/>
      <c r="O855" s="28"/>
      <c r="P855" s="28"/>
      <c r="Q855" s="28"/>
      <c r="R855" s="28"/>
      <c r="S855" s="28"/>
      <c r="T855" s="28"/>
      <c r="U855" s="28"/>
      <c r="V855" s="28"/>
      <c r="W855" s="28"/>
      <c r="X855" s="28"/>
      <c r="Y855" s="28"/>
      <c r="Z855" s="28"/>
      <c r="AA855" s="28"/>
      <c r="AB855" s="28"/>
      <c r="AC855" s="28"/>
    </row>
    <row r="856" spans="1:29" ht="13">
      <c r="A856" s="28"/>
      <c r="B856" s="28"/>
      <c r="C856" s="28"/>
      <c r="D856" s="28"/>
      <c r="E856" s="28"/>
      <c r="F856" s="28"/>
      <c r="G856" s="28"/>
      <c r="H856" s="28"/>
      <c r="I856" s="28"/>
      <c r="J856" s="28"/>
      <c r="K856" s="28"/>
      <c r="L856" s="28"/>
      <c r="M856" s="28"/>
      <c r="N856" s="28"/>
      <c r="O856" s="28"/>
      <c r="P856" s="28"/>
      <c r="Q856" s="28"/>
      <c r="R856" s="28"/>
      <c r="S856" s="28"/>
      <c r="T856" s="28"/>
      <c r="U856" s="28"/>
      <c r="V856" s="28"/>
      <c r="W856" s="28"/>
      <c r="X856" s="28"/>
      <c r="Y856" s="28"/>
      <c r="Z856" s="28"/>
      <c r="AA856" s="28"/>
      <c r="AB856" s="28"/>
      <c r="AC856" s="28"/>
    </row>
    <row r="857" spans="1:29" ht="13">
      <c r="A857" s="28"/>
      <c r="B857" s="28"/>
      <c r="C857" s="28"/>
      <c r="D857" s="28"/>
      <c r="E857" s="28"/>
      <c r="F857" s="28"/>
      <c r="G857" s="28"/>
      <c r="H857" s="28"/>
      <c r="I857" s="28"/>
      <c r="J857" s="28"/>
      <c r="K857" s="28"/>
      <c r="L857" s="28"/>
      <c r="M857" s="28"/>
      <c r="N857" s="28"/>
      <c r="O857" s="28"/>
      <c r="P857" s="28"/>
      <c r="Q857" s="28"/>
      <c r="R857" s="28"/>
      <c r="S857" s="28"/>
      <c r="T857" s="28"/>
      <c r="U857" s="28"/>
      <c r="V857" s="28"/>
      <c r="W857" s="28"/>
      <c r="X857" s="28"/>
      <c r="Y857" s="28"/>
      <c r="Z857" s="28"/>
      <c r="AA857" s="28"/>
      <c r="AB857" s="28"/>
      <c r="AC857" s="28"/>
    </row>
    <row r="858" spans="1:29" ht="13">
      <c r="A858" s="28"/>
      <c r="B858" s="28"/>
      <c r="C858" s="28"/>
      <c r="D858" s="28"/>
      <c r="E858" s="28"/>
      <c r="F858" s="28"/>
      <c r="G858" s="28"/>
      <c r="H858" s="28"/>
      <c r="I858" s="28"/>
      <c r="J858" s="28"/>
      <c r="K858" s="28"/>
      <c r="L858" s="28"/>
      <c r="M858" s="28"/>
      <c r="N858" s="28"/>
      <c r="O858" s="28"/>
      <c r="P858" s="28"/>
      <c r="Q858" s="28"/>
      <c r="R858" s="28"/>
      <c r="S858" s="28"/>
      <c r="T858" s="28"/>
      <c r="U858" s="28"/>
      <c r="V858" s="28"/>
      <c r="W858" s="28"/>
      <c r="X858" s="28"/>
      <c r="Y858" s="28"/>
      <c r="Z858" s="28"/>
      <c r="AA858" s="28"/>
      <c r="AB858" s="28"/>
      <c r="AC858" s="28"/>
    </row>
    <row r="859" spans="1:29" ht="13">
      <c r="A859" s="28"/>
      <c r="B859" s="28"/>
      <c r="C859" s="28"/>
      <c r="D859" s="28"/>
      <c r="E859" s="28"/>
      <c r="F859" s="28"/>
      <c r="G859" s="28"/>
      <c r="H859" s="28"/>
      <c r="I859" s="28"/>
      <c r="J859" s="28"/>
      <c r="K859" s="28"/>
      <c r="L859" s="28"/>
      <c r="M859" s="28"/>
      <c r="N859" s="28"/>
      <c r="O859" s="28"/>
      <c r="P859" s="28"/>
      <c r="Q859" s="28"/>
      <c r="R859" s="28"/>
      <c r="S859" s="28"/>
      <c r="T859" s="28"/>
      <c r="U859" s="28"/>
      <c r="V859" s="28"/>
      <c r="W859" s="28"/>
      <c r="X859" s="28"/>
      <c r="Y859" s="28"/>
      <c r="Z859" s="28"/>
      <c r="AA859" s="28"/>
      <c r="AB859" s="28"/>
      <c r="AC859" s="28"/>
    </row>
    <row r="860" spans="1:29" ht="13">
      <c r="A860" s="28"/>
      <c r="B860" s="28"/>
      <c r="C860" s="28"/>
      <c r="D860" s="28"/>
      <c r="E860" s="28"/>
      <c r="F860" s="28"/>
      <c r="G860" s="28"/>
      <c r="H860" s="28"/>
      <c r="I860" s="28"/>
      <c r="J860" s="28"/>
      <c r="K860" s="28"/>
      <c r="L860" s="28"/>
      <c r="M860" s="28"/>
      <c r="N860" s="28"/>
      <c r="O860" s="28"/>
      <c r="P860" s="28"/>
      <c r="Q860" s="28"/>
      <c r="R860" s="28"/>
      <c r="S860" s="28"/>
      <c r="T860" s="28"/>
      <c r="U860" s="28"/>
      <c r="V860" s="28"/>
      <c r="W860" s="28"/>
      <c r="X860" s="28"/>
      <c r="Y860" s="28"/>
      <c r="Z860" s="28"/>
      <c r="AA860" s="28"/>
      <c r="AB860" s="28"/>
      <c r="AC860" s="28"/>
    </row>
    <row r="861" spans="1:29" ht="13">
      <c r="A861" s="28"/>
      <c r="B861" s="28"/>
      <c r="C861" s="28"/>
      <c r="D861" s="28"/>
      <c r="E861" s="28"/>
      <c r="F861" s="28"/>
      <c r="G861" s="28"/>
      <c r="H861" s="28"/>
      <c r="I861" s="28"/>
      <c r="J861" s="28"/>
      <c r="K861" s="28"/>
      <c r="L861" s="28"/>
      <c r="M861" s="28"/>
      <c r="N861" s="28"/>
      <c r="O861" s="28"/>
      <c r="P861" s="28"/>
      <c r="Q861" s="28"/>
      <c r="R861" s="28"/>
      <c r="S861" s="28"/>
      <c r="T861" s="28"/>
      <c r="U861" s="28"/>
      <c r="V861" s="28"/>
      <c r="W861" s="28"/>
      <c r="X861" s="28"/>
      <c r="Y861" s="28"/>
      <c r="Z861" s="28"/>
      <c r="AA861" s="28"/>
      <c r="AB861" s="28"/>
      <c r="AC861" s="28"/>
    </row>
    <row r="862" spans="1:29" ht="13">
      <c r="A862" s="28"/>
      <c r="B862" s="28"/>
      <c r="C862" s="28"/>
      <c r="D862" s="28"/>
      <c r="E862" s="28"/>
      <c r="F862" s="28"/>
      <c r="G862" s="28"/>
      <c r="H862" s="28"/>
      <c r="I862" s="28"/>
      <c r="J862" s="28"/>
      <c r="K862" s="28"/>
      <c r="L862" s="28"/>
      <c r="M862" s="28"/>
      <c r="N862" s="28"/>
      <c r="O862" s="28"/>
      <c r="P862" s="28"/>
      <c r="Q862" s="28"/>
      <c r="R862" s="28"/>
      <c r="S862" s="28"/>
      <c r="T862" s="28"/>
      <c r="U862" s="28"/>
      <c r="V862" s="28"/>
      <c r="W862" s="28"/>
      <c r="X862" s="28"/>
      <c r="Y862" s="28"/>
      <c r="Z862" s="28"/>
      <c r="AA862" s="28"/>
      <c r="AB862" s="28"/>
      <c r="AC862" s="28"/>
    </row>
    <row r="863" spans="1:29" ht="13">
      <c r="A863" s="28"/>
      <c r="B863" s="28"/>
      <c r="C863" s="28"/>
      <c r="D863" s="28"/>
      <c r="E863" s="28"/>
      <c r="F863" s="28"/>
      <c r="G863" s="28"/>
      <c r="H863" s="28"/>
      <c r="I863" s="28"/>
      <c r="J863" s="28"/>
      <c r="K863" s="28"/>
      <c r="L863" s="28"/>
      <c r="M863" s="28"/>
      <c r="N863" s="28"/>
      <c r="O863" s="28"/>
      <c r="P863" s="28"/>
      <c r="Q863" s="28"/>
      <c r="R863" s="28"/>
      <c r="S863" s="28"/>
      <c r="T863" s="28"/>
      <c r="U863" s="28"/>
      <c r="V863" s="28"/>
      <c r="W863" s="28"/>
      <c r="X863" s="28"/>
      <c r="Y863" s="28"/>
      <c r="Z863" s="28"/>
      <c r="AA863" s="28"/>
      <c r="AB863" s="28"/>
      <c r="AC863" s="28"/>
    </row>
    <row r="864" spans="1:29" ht="13">
      <c r="A864" s="28"/>
      <c r="B864" s="28"/>
      <c r="C864" s="28"/>
      <c r="D864" s="28"/>
      <c r="E864" s="28"/>
      <c r="F864" s="28"/>
      <c r="G864" s="28"/>
      <c r="H864" s="28"/>
      <c r="I864" s="28"/>
      <c r="J864" s="28"/>
      <c r="K864" s="28"/>
      <c r="L864" s="28"/>
      <c r="M864" s="28"/>
      <c r="N864" s="28"/>
      <c r="O864" s="28"/>
      <c r="P864" s="28"/>
      <c r="Q864" s="28"/>
      <c r="R864" s="28"/>
      <c r="S864" s="28"/>
      <c r="T864" s="28"/>
      <c r="U864" s="28"/>
      <c r="V864" s="28"/>
      <c r="W864" s="28"/>
      <c r="X864" s="28"/>
      <c r="Y864" s="28"/>
      <c r="Z864" s="28"/>
      <c r="AA864" s="28"/>
      <c r="AB864" s="28"/>
      <c r="AC864" s="28"/>
    </row>
    <row r="865" spans="1:29" ht="13">
      <c r="A865" s="28"/>
      <c r="B865" s="28"/>
      <c r="C865" s="28"/>
      <c r="D865" s="28"/>
      <c r="E865" s="28"/>
      <c r="F865" s="28"/>
      <c r="G865" s="28"/>
      <c r="H865" s="28"/>
      <c r="I865" s="28"/>
      <c r="J865" s="28"/>
      <c r="K865" s="28"/>
      <c r="L865" s="28"/>
      <c r="M865" s="28"/>
      <c r="N865" s="28"/>
      <c r="O865" s="28"/>
      <c r="P865" s="28"/>
      <c r="Q865" s="28"/>
      <c r="R865" s="28"/>
      <c r="S865" s="28"/>
      <c r="T865" s="28"/>
      <c r="U865" s="28"/>
      <c r="V865" s="28"/>
      <c r="W865" s="28"/>
      <c r="X865" s="28"/>
      <c r="Y865" s="28"/>
      <c r="Z865" s="28"/>
      <c r="AA865" s="28"/>
      <c r="AB865" s="28"/>
      <c r="AC865" s="28"/>
    </row>
    <row r="866" spans="1:29" ht="13">
      <c r="A866" s="28"/>
      <c r="B866" s="28"/>
      <c r="C866" s="28"/>
      <c r="D866" s="28"/>
      <c r="E866" s="28"/>
      <c r="F866" s="28"/>
      <c r="G866" s="28"/>
      <c r="H866" s="28"/>
      <c r="I866" s="28"/>
      <c r="J866" s="28"/>
      <c r="K866" s="28"/>
      <c r="L866" s="28"/>
      <c r="M866" s="28"/>
      <c r="N866" s="28"/>
      <c r="O866" s="28"/>
      <c r="P866" s="28"/>
      <c r="Q866" s="28"/>
      <c r="R866" s="28"/>
      <c r="S866" s="28"/>
      <c r="T866" s="28"/>
      <c r="U866" s="28"/>
      <c r="V866" s="28"/>
      <c r="W866" s="28"/>
      <c r="X866" s="28"/>
      <c r="Y866" s="28"/>
      <c r="Z866" s="28"/>
      <c r="AA866" s="28"/>
      <c r="AB866" s="28"/>
      <c r="AC866" s="28"/>
    </row>
    <row r="867" spans="1:29" ht="13">
      <c r="A867" s="28"/>
      <c r="B867" s="28"/>
      <c r="C867" s="28"/>
      <c r="D867" s="28"/>
      <c r="E867" s="28"/>
      <c r="F867" s="28"/>
      <c r="G867" s="28"/>
      <c r="H867" s="28"/>
      <c r="I867" s="28"/>
      <c r="J867" s="28"/>
      <c r="K867" s="28"/>
      <c r="L867" s="28"/>
      <c r="M867" s="28"/>
      <c r="N867" s="28"/>
      <c r="O867" s="28"/>
      <c r="P867" s="28"/>
      <c r="Q867" s="28"/>
      <c r="R867" s="28"/>
      <c r="S867" s="28"/>
      <c r="T867" s="28"/>
      <c r="U867" s="28"/>
      <c r="V867" s="28"/>
      <c r="W867" s="28"/>
      <c r="X867" s="28"/>
      <c r="Y867" s="28"/>
      <c r="Z867" s="28"/>
      <c r="AA867" s="28"/>
      <c r="AB867" s="28"/>
      <c r="AC867" s="28"/>
    </row>
    <row r="868" spans="1:29" ht="13">
      <c r="A868" s="28"/>
      <c r="B868" s="28"/>
      <c r="C868" s="28"/>
      <c r="D868" s="28"/>
      <c r="E868" s="28"/>
      <c r="F868" s="28"/>
      <c r="G868" s="28"/>
      <c r="H868" s="28"/>
      <c r="I868" s="28"/>
      <c r="J868" s="28"/>
      <c r="K868" s="28"/>
      <c r="L868" s="28"/>
      <c r="M868" s="28"/>
      <c r="N868" s="28"/>
      <c r="O868" s="28"/>
      <c r="P868" s="28"/>
      <c r="Q868" s="28"/>
      <c r="R868" s="28"/>
      <c r="S868" s="28"/>
      <c r="T868" s="28"/>
      <c r="U868" s="28"/>
      <c r="V868" s="28"/>
      <c r="W868" s="28"/>
      <c r="X868" s="28"/>
      <c r="Y868" s="28"/>
      <c r="Z868" s="28"/>
      <c r="AA868" s="28"/>
      <c r="AB868" s="28"/>
      <c r="AC868" s="28"/>
    </row>
    <row r="869" spans="1:29" ht="13">
      <c r="A869" s="28"/>
      <c r="B869" s="28"/>
      <c r="C869" s="28"/>
      <c r="D869" s="28"/>
      <c r="E869" s="28"/>
      <c r="F869" s="28"/>
      <c r="G869" s="28"/>
      <c r="H869" s="28"/>
      <c r="I869" s="28"/>
      <c r="J869" s="28"/>
      <c r="K869" s="28"/>
      <c r="L869" s="28"/>
      <c r="M869" s="28"/>
      <c r="N869" s="28"/>
      <c r="O869" s="28"/>
      <c r="P869" s="28"/>
      <c r="Q869" s="28"/>
      <c r="R869" s="28"/>
      <c r="S869" s="28"/>
      <c r="T869" s="28"/>
      <c r="U869" s="28"/>
      <c r="V869" s="28"/>
      <c r="W869" s="28"/>
      <c r="X869" s="28"/>
      <c r="Y869" s="28"/>
      <c r="Z869" s="28"/>
      <c r="AA869" s="28"/>
      <c r="AB869" s="28"/>
      <c r="AC869" s="28"/>
    </row>
    <row r="870" spans="1:29" ht="13">
      <c r="A870" s="28"/>
      <c r="B870" s="28"/>
      <c r="C870" s="28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28"/>
      <c r="Y870" s="28"/>
      <c r="Z870" s="28"/>
      <c r="AA870" s="28"/>
      <c r="AB870" s="28"/>
      <c r="AC870" s="28"/>
    </row>
    <row r="871" spans="1:29" ht="13">
      <c r="A871" s="28"/>
      <c r="B871" s="28"/>
      <c r="C871" s="28"/>
      <c r="D871" s="28"/>
      <c r="E871" s="28"/>
      <c r="F871" s="28"/>
      <c r="G871" s="28"/>
      <c r="H871" s="28"/>
      <c r="I871" s="28"/>
      <c r="J871" s="28"/>
      <c r="K871" s="28"/>
      <c r="L871" s="28"/>
      <c r="M871" s="28"/>
      <c r="N871" s="28"/>
      <c r="O871" s="28"/>
      <c r="P871" s="28"/>
      <c r="Q871" s="28"/>
      <c r="R871" s="28"/>
      <c r="S871" s="28"/>
      <c r="T871" s="28"/>
      <c r="U871" s="28"/>
      <c r="V871" s="28"/>
      <c r="W871" s="28"/>
      <c r="X871" s="28"/>
      <c r="Y871" s="28"/>
      <c r="Z871" s="28"/>
      <c r="AA871" s="28"/>
      <c r="AB871" s="28"/>
      <c r="AC871" s="28"/>
    </row>
    <row r="872" spans="1:29" ht="13">
      <c r="A872" s="28"/>
      <c r="B872" s="28"/>
      <c r="C872" s="28"/>
      <c r="D872" s="28"/>
      <c r="E872" s="28"/>
      <c r="F872" s="28"/>
      <c r="G872" s="28"/>
      <c r="H872" s="28"/>
      <c r="I872" s="28"/>
      <c r="J872" s="28"/>
      <c r="K872" s="28"/>
      <c r="L872" s="28"/>
      <c r="M872" s="28"/>
      <c r="N872" s="28"/>
      <c r="O872" s="28"/>
      <c r="P872" s="28"/>
      <c r="Q872" s="28"/>
      <c r="R872" s="28"/>
      <c r="S872" s="28"/>
      <c r="T872" s="28"/>
      <c r="U872" s="28"/>
      <c r="V872" s="28"/>
      <c r="W872" s="28"/>
      <c r="X872" s="28"/>
      <c r="Y872" s="28"/>
      <c r="Z872" s="28"/>
      <c r="AA872" s="28"/>
      <c r="AB872" s="28"/>
      <c r="AC872" s="28"/>
    </row>
    <row r="873" spans="1:29" ht="13">
      <c r="A873" s="28"/>
      <c r="B873" s="28"/>
      <c r="C873" s="28"/>
      <c r="D873" s="28"/>
      <c r="E873" s="28"/>
      <c r="F873" s="28"/>
      <c r="G873" s="28"/>
      <c r="H873" s="28"/>
      <c r="I873" s="28"/>
      <c r="J873" s="28"/>
      <c r="K873" s="28"/>
      <c r="L873" s="28"/>
      <c r="M873" s="28"/>
      <c r="N873" s="28"/>
      <c r="O873" s="28"/>
      <c r="P873" s="28"/>
      <c r="Q873" s="28"/>
      <c r="R873" s="28"/>
      <c r="S873" s="28"/>
      <c r="T873" s="28"/>
      <c r="U873" s="28"/>
      <c r="V873" s="28"/>
      <c r="W873" s="28"/>
      <c r="X873" s="28"/>
      <c r="Y873" s="28"/>
      <c r="Z873" s="28"/>
      <c r="AA873" s="28"/>
      <c r="AB873" s="28"/>
      <c r="AC873" s="28"/>
    </row>
    <row r="874" spans="1:29" ht="13">
      <c r="A874" s="28"/>
      <c r="B874" s="28"/>
      <c r="C874" s="28"/>
      <c r="D874" s="28"/>
      <c r="E874" s="28"/>
      <c r="F874" s="28"/>
      <c r="G874" s="28"/>
      <c r="H874" s="28"/>
      <c r="I874" s="28"/>
      <c r="J874" s="28"/>
      <c r="K874" s="28"/>
      <c r="L874" s="28"/>
      <c r="M874" s="28"/>
      <c r="N874" s="28"/>
      <c r="O874" s="28"/>
      <c r="P874" s="28"/>
      <c r="Q874" s="28"/>
      <c r="R874" s="28"/>
      <c r="S874" s="28"/>
      <c r="T874" s="28"/>
      <c r="U874" s="28"/>
      <c r="V874" s="28"/>
      <c r="W874" s="28"/>
      <c r="X874" s="28"/>
      <c r="Y874" s="28"/>
      <c r="Z874" s="28"/>
      <c r="AA874" s="28"/>
      <c r="AB874" s="28"/>
      <c r="AC874" s="28"/>
    </row>
    <row r="875" spans="1:29" ht="13">
      <c r="A875" s="28"/>
      <c r="B875" s="28"/>
      <c r="C875" s="28"/>
      <c r="D875" s="28"/>
      <c r="E875" s="28"/>
      <c r="F875" s="28"/>
      <c r="G875" s="28"/>
      <c r="H875" s="28"/>
      <c r="I875" s="28"/>
      <c r="J875" s="28"/>
      <c r="K875" s="28"/>
      <c r="L875" s="28"/>
      <c r="M875" s="28"/>
      <c r="N875" s="28"/>
      <c r="O875" s="28"/>
      <c r="P875" s="28"/>
      <c r="Q875" s="28"/>
      <c r="R875" s="28"/>
      <c r="S875" s="28"/>
      <c r="T875" s="28"/>
      <c r="U875" s="28"/>
      <c r="V875" s="28"/>
      <c r="W875" s="28"/>
      <c r="X875" s="28"/>
      <c r="Y875" s="28"/>
      <c r="Z875" s="28"/>
      <c r="AA875" s="28"/>
      <c r="AB875" s="28"/>
      <c r="AC875" s="28"/>
    </row>
    <row r="876" spans="1:29" ht="13">
      <c r="A876" s="28"/>
      <c r="B876" s="28"/>
      <c r="C876" s="28"/>
      <c r="D876" s="28"/>
      <c r="E876" s="28"/>
      <c r="F876" s="28"/>
      <c r="G876" s="28"/>
      <c r="H876" s="28"/>
      <c r="I876" s="28"/>
      <c r="J876" s="28"/>
      <c r="K876" s="28"/>
      <c r="L876" s="28"/>
      <c r="M876" s="28"/>
      <c r="N876" s="28"/>
      <c r="O876" s="28"/>
      <c r="P876" s="28"/>
      <c r="Q876" s="28"/>
      <c r="R876" s="28"/>
      <c r="S876" s="28"/>
      <c r="T876" s="28"/>
      <c r="U876" s="28"/>
      <c r="V876" s="28"/>
      <c r="W876" s="28"/>
      <c r="X876" s="28"/>
      <c r="Y876" s="28"/>
      <c r="Z876" s="28"/>
      <c r="AA876" s="28"/>
      <c r="AB876" s="28"/>
      <c r="AC876" s="28"/>
    </row>
    <row r="877" spans="1:29" ht="13">
      <c r="A877" s="28"/>
      <c r="B877" s="28"/>
      <c r="C877" s="28"/>
      <c r="D877" s="28"/>
      <c r="E877" s="28"/>
      <c r="F877" s="28"/>
      <c r="G877" s="28"/>
      <c r="H877" s="28"/>
      <c r="I877" s="28"/>
      <c r="J877" s="28"/>
      <c r="K877" s="28"/>
      <c r="L877" s="28"/>
      <c r="M877" s="28"/>
      <c r="N877" s="28"/>
      <c r="O877" s="28"/>
      <c r="P877" s="28"/>
      <c r="Q877" s="28"/>
      <c r="R877" s="28"/>
      <c r="S877" s="28"/>
      <c r="T877" s="28"/>
      <c r="U877" s="28"/>
      <c r="V877" s="28"/>
      <c r="W877" s="28"/>
      <c r="X877" s="28"/>
      <c r="Y877" s="28"/>
      <c r="Z877" s="28"/>
      <c r="AA877" s="28"/>
      <c r="AB877" s="28"/>
      <c r="AC877" s="28"/>
    </row>
    <row r="878" spans="1:29" ht="13">
      <c r="A878" s="28"/>
      <c r="B878" s="28"/>
      <c r="C878" s="28"/>
      <c r="D878" s="28"/>
      <c r="E878" s="28"/>
      <c r="F878" s="28"/>
      <c r="G878" s="28"/>
      <c r="H878" s="28"/>
      <c r="I878" s="28"/>
      <c r="J878" s="28"/>
      <c r="K878" s="28"/>
      <c r="L878" s="28"/>
      <c r="M878" s="28"/>
      <c r="N878" s="28"/>
      <c r="O878" s="28"/>
      <c r="P878" s="28"/>
      <c r="Q878" s="28"/>
      <c r="R878" s="28"/>
      <c r="S878" s="28"/>
      <c r="T878" s="28"/>
      <c r="U878" s="28"/>
      <c r="V878" s="28"/>
      <c r="W878" s="28"/>
      <c r="X878" s="28"/>
      <c r="Y878" s="28"/>
      <c r="Z878" s="28"/>
      <c r="AA878" s="28"/>
      <c r="AB878" s="28"/>
      <c r="AC878" s="28"/>
    </row>
    <row r="879" spans="1:29" ht="13">
      <c r="A879" s="28"/>
      <c r="B879" s="28"/>
      <c r="C879" s="28"/>
      <c r="D879" s="28"/>
      <c r="E879" s="28"/>
      <c r="F879" s="28"/>
      <c r="G879" s="28"/>
      <c r="H879" s="28"/>
      <c r="I879" s="28"/>
      <c r="J879" s="28"/>
      <c r="K879" s="28"/>
      <c r="L879" s="28"/>
      <c r="M879" s="28"/>
      <c r="N879" s="28"/>
      <c r="O879" s="28"/>
      <c r="P879" s="28"/>
      <c r="Q879" s="28"/>
      <c r="R879" s="28"/>
      <c r="S879" s="28"/>
      <c r="T879" s="28"/>
      <c r="U879" s="28"/>
      <c r="V879" s="28"/>
      <c r="W879" s="28"/>
      <c r="X879" s="28"/>
      <c r="Y879" s="28"/>
      <c r="Z879" s="28"/>
      <c r="AA879" s="28"/>
      <c r="AB879" s="28"/>
      <c r="AC879" s="28"/>
    </row>
    <row r="880" spans="1:29" ht="13">
      <c r="A880" s="28"/>
      <c r="B880" s="28"/>
      <c r="C880" s="28"/>
      <c r="D880" s="28"/>
      <c r="E880" s="28"/>
      <c r="F880" s="28"/>
      <c r="G880" s="28"/>
      <c r="H880" s="28"/>
      <c r="I880" s="28"/>
      <c r="J880" s="28"/>
      <c r="K880" s="28"/>
      <c r="L880" s="28"/>
      <c r="M880" s="28"/>
      <c r="N880" s="28"/>
      <c r="O880" s="28"/>
      <c r="P880" s="28"/>
      <c r="Q880" s="28"/>
      <c r="R880" s="28"/>
      <c r="S880" s="28"/>
      <c r="T880" s="28"/>
      <c r="U880" s="28"/>
      <c r="V880" s="28"/>
      <c r="W880" s="28"/>
      <c r="X880" s="28"/>
      <c r="Y880" s="28"/>
      <c r="Z880" s="28"/>
      <c r="AA880" s="28"/>
      <c r="AB880" s="28"/>
      <c r="AC880" s="28"/>
    </row>
    <row r="881" spans="1:29" ht="13">
      <c r="A881" s="28"/>
      <c r="B881" s="28"/>
      <c r="C881" s="28"/>
      <c r="D881" s="28"/>
      <c r="E881" s="28"/>
      <c r="F881" s="28"/>
      <c r="G881" s="28"/>
      <c r="H881" s="28"/>
      <c r="I881" s="28"/>
      <c r="J881" s="28"/>
      <c r="K881" s="28"/>
      <c r="L881" s="28"/>
      <c r="M881" s="28"/>
      <c r="N881" s="28"/>
      <c r="O881" s="28"/>
      <c r="P881" s="28"/>
      <c r="Q881" s="28"/>
      <c r="R881" s="28"/>
      <c r="S881" s="28"/>
      <c r="T881" s="28"/>
      <c r="U881" s="28"/>
      <c r="V881" s="28"/>
      <c r="W881" s="28"/>
      <c r="X881" s="28"/>
      <c r="Y881" s="28"/>
      <c r="Z881" s="28"/>
      <c r="AA881" s="28"/>
      <c r="AB881" s="28"/>
      <c r="AC881" s="28"/>
    </row>
    <row r="882" spans="1:29" ht="13">
      <c r="A882" s="28"/>
      <c r="B882" s="28"/>
      <c r="C882" s="28"/>
      <c r="D882" s="28"/>
      <c r="E882" s="28"/>
      <c r="F882" s="28"/>
      <c r="G882" s="28"/>
      <c r="H882" s="28"/>
      <c r="I882" s="28"/>
      <c r="J882" s="28"/>
      <c r="K882" s="28"/>
      <c r="L882" s="28"/>
      <c r="M882" s="28"/>
      <c r="N882" s="28"/>
      <c r="O882" s="28"/>
      <c r="P882" s="28"/>
      <c r="Q882" s="28"/>
      <c r="R882" s="28"/>
      <c r="S882" s="28"/>
      <c r="T882" s="28"/>
      <c r="U882" s="28"/>
      <c r="V882" s="28"/>
      <c r="W882" s="28"/>
      <c r="X882" s="28"/>
      <c r="Y882" s="28"/>
      <c r="Z882" s="28"/>
      <c r="AA882" s="28"/>
      <c r="AB882" s="28"/>
      <c r="AC882" s="28"/>
    </row>
    <row r="883" spans="1:29" ht="13">
      <c r="A883" s="28"/>
      <c r="B883" s="28"/>
      <c r="C883" s="28"/>
      <c r="D883" s="28"/>
      <c r="E883" s="28"/>
      <c r="F883" s="28"/>
      <c r="G883" s="28"/>
      <c r="H883" s="28"/>
      <c r="I883" s="28"/>
      <c r="J883" s="28"/>
      <c r="K883" s="28"/>
      <c r="L883" s="28"/>
      <c r="M883" s="28"/>
      <c r="N883" s="28"/>
      <c r="O883" s="28"/>
      <c r="P883" s="28"/>
      <c r="Q883" s="28"/>
      <c r="R883" s="28"/>
      <c r="S883" s="28"/>
      <c r="T883" s="28"/>
      <c r="U883" s="28"/>
      <c r="V883" s="28"/>
      <c r="W883" s="28"/>
      <c r="X883" s="28"/>
      <c r="Y883" s="28"/>
      <c r="Z883" s="28"/>
      <c r="AA883" s="28"/>
      <c r="AB883" s="28"/>
      <c r="AC883" s="28"/>
    </row>
    <row r="884" spans="1:29" ht="13">
      <c r="A884" s="28"/>
      <c r="B884" s="28"/>
      <c r="C884" s="28"/>
      <c r="D884" s="28"/>
      <c r="E884" s="28"/>
      <c r="F884" s="28"/>
      <c r="G884" s="28"/>
      <c r="H884" s="28"/>
      <c r="I884" s="28"/>
      <c r="J884" s="28"/>
      <c r="K884" s="28"/>
      <c r="L884" s="28"/>
      <c r="M884" s="28"/>
      <c r="N884" s="28"/>
      <c r="O884" s="28"/>
      <c r="P884" s="28"/>
      <c r="Q884" s="28"/>
      <c r="R884" s="28"/>
      <c r="S884" s="28"/>
      <c r="T884" s="28"/>
      <c r="U884" s="28"/>
      <c r="V884" s="28"/>
      <c r="W884" s="28"/>
      <c r="X884" s="28"/>
      <c r="Y884" s="28"/>
      <c r="Z884" s="28"/>
      <c r="AA884" s="28"/>
      <c r="AB884" s="28"/>
      <c r="AC884" s="28"/>
    </row>
    <row r="885" spans="1:29" ht="13">
      <c r="A885" s="28"/>
      <c r="B885" s="28"/>
      <c r="C885" s="28"/>
      <c r="D885" s="28"/>
      <c r="E885" s="28"/>
      <c r="F885" s="28"/>
      <c r="G885" s="28"/>
      <c r="H885" s="28"/>
      <c r="I885" s="28"/>
      <c r="J885" s="28"/>
      <c r="K885" s="28"/>
      <c r="L885" s="28"/>
      <c r="M885" s="28"/>
      <c r="N885" s="28"/>
      <c r="O885" s="28"/>
      <c r="P885" s="28"/>
      <c r="Q885" s="28"/>
      <c r="R885" s="28"/>
      <c r="S885" s="28"/>
      <c r="T885" s="28"/>
      <c r="U885" s="28"/>
      <c r="V885" s="28"/>
      <c r="W885" s="28"/>
      <c r="X885" s="28"/>
      <c r="Y885" s="28"/>
      <c r="Z885" s="28"/>
      <c r="AA885" s="28"/>
      <c r="AB885" s="28"/>
      <c r="AC885" s="28"/>
    </row>
    <row r="886" spans="1:29" ht="13">
      <c r="A886" s="28"/>
      <c r="B886" s="28"/>
      <c r="C886" s="28"/>
      <c r="D886" s="28"/>
      <c r="E886" s="28"/>
      <c r="F886" s="28"/>
      <c r="G886" s="28"/>
      <c r="H886" s="28"/>
      <c r="I886" s="28"/>
      <c r="J886" s="28"/>
      <c r="K886" s="28"/>
      <c r="L886" s="28"/>
      <c r="M886" s="28"/>
      <c r="N886" s="28"/>
      <c r="O886" s="28"/>
      <c r="P886" s="28"/>
      <c r="Q886" s="28"/>
      <c r="R886" s="28"/>
      <c r="S886" s="28"/>
      <c r="T886" s="28"/>
      <c r="U886" s="28"/>
      <c r="V886" s="28"/>
      <c r="W886" s="28"/>
      <c r="X886" s="28"/>
      <c r="Y886" s="28"/>
      <c r="Z886" s="28"/>
      <c r="AA886" s="28"/>
      <c r="AB886" s="28"/>
      <c r="AC886" s="28"/>
    </row>
    <row r="887" spans="1:29" ht="13">
      <c r="A887" s="28"/>
      <c r="B887" s="28"/>
      <c r="C887" s="28"/>
      <c r="D887" s="28"/>
      <c r="E887" s="28"/>
      <c r="F887" s="28"/>
      <c r="G887" s="28"/>
      <c r="H887" s="28"/>
      <c r="I887" s="28"/>
      <c r="J887" s="28"/>
      <c r="K887" s="28"/>
      <c r="L887" s="28"/>
      <c r="M887" s="28"/>
      <c r="N887" s="28"/>
      <c r="O887" s="28"/>
      <c r="P887" s="28"/>
      <c r="Q887" s="28"/>
      <c r="R887" s="28"/>
      <c r="S887" s="28"/>
      <c r="T887" s="28"/>
      <c r="U887" s="28"/>
      <c r="V887" s="28"/>
      <c r="W887" s="28"/>
      <c r="X887" s="28"/>
      <c r="Y887" s="28"/>
      <c r="Z887" s="28"/>
      <c r="AA887" s="28"/>
      <c r="AB887" s="28"/>
      <c r="AC887" s="28"/>
    </row>
    <row r="888" spans="1:29" ht="13">
      <c r="A888" s="28"/>
      <c r="B888" s="28"/>
      <c r="C888" s="28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28"/>
      <c r="P888" s="28"/>
      <c r="Q888" s="28"/>
      <c r="R888" s="28"/>
      <c r="S888" s="28"/>
      <c r="T888" s="28"/>
      <c r="U888" s="28"/>
      <c r="V888" s="28"/>
      <c r="W888" s="28"/>
      <c r="X888" s="28"/>
      <c r="Y888" s="28"/>
      <c r="Z888" s="28"/>
      <c r="AA888" s="28"/>
      <c r="AB888" s="28"/>
      <c r="AC888" s="28"/>
    </row>
    <row r="889" spans="1:29" ht="13">
      <c r="A889" s="28"/>
      <c r="B889" s="28"/>
      <c r="C889" s="28"/>
      <c r="D889" s="28"/>
      <c r="E889" s="28"/>
      <c r="F889" s="28"/>
      <c r="G889" s="28"/>
      <c r="H889" s="28"/>
      <c r="I889" s="28"/>
      <c r="J889" s="28"/>
      <c r="K889" s="28"/>
      <c r="L889" s="28"/>
      <c r="M889" s="28"/>
      <c r="N889" s="28"/>
      <c r="O889" s="28"/>
      <c r="P889" s="28"/>
      <c r="Q889" s="28"/>
      <c r="R889" s="28"/>
      <c r="S889" s="28"/>
      <c r="T889" s="28"/>
      <c r="U889" s="28"/>
      <c r="V889" s="28"/>
      <c r="W889" s="28"/>
      <c r="X889" s="28"/>
      <c r="Y889" s="28"/>
      <c r="Z889" s="28"/>
      <c r="AA889" s="28"/>
      <c r="AB889" s="28"/>
      <c r="AC889" s="28"/>
    </row>
    <row r="890" spans="1:29" ht="13">
      <c r="A890" s="28"/>
      <c r="B890" s="28"/>
      <c r="C890" s="28"/>
      <c r="D890" s="28"/>
      <c r="E890" s="28"/>
      <c r="F890" s="28"/>
      <c r="G890" s="28"/>
      <c r="H890" s="28"/>
      <c r="I890" s="28"/>
      <c r="J890" s="28"/>
      <c r="K890" s="28"/>
      <c r="L890" s="28"/>
      <c r="M890" s="28"/>
      <c r="N890" s="28"/>
      <c r="O890" s="28"/>
      <c r="P890" s="28"/>
      <c r="Q890" s="28"/>
      <c r="R890" s="28"/>
      <c r="S890" s="28"/>
      <c r="T890" s="28"/>
      <c r="U890" s="28"/>
      <c r="V890" s="28"/>
      <c r="W890" s="28"/>
      <c r="X890" s="28"/>
      <c r="Y890" s="28"/>
      <c r="Z890" s="28"/>
      <c r="AA890" s="28"/>
      <c r="AB890" s="28"/>
      <c r="AC890" s="28"/>
    </row>
    <row r="891" spans="1:29" ht="13">
      <c r="A891" s="28"/>
      <c r="B891" s="28"/>
      <c r="C891" s="28"/>
      <c r="D891" s="28"/>
      <c r="E891" s="28"/>
      <c r="F891" s="28"/>
      <c r="G891" s="28"/>
      <c r="H891" s="28"/>
      <c r="I891" s="28"/>
      <c r="J891" s="28"/>
      <c r="K891" s="28"/>
      <c r="L891" s="28"/>
      <c r="M891" s="28"/>
      <c r="N891" s="28"/>
      <c r="O891" s="28"/>
      <c r="P891" s="28"/>
      <c r="Q891" s="28"/>
      <c r="R891" s="28"/>
      <c r="S891" s="28"/>
      <c r="T891" s="28"/>
      <c r="U891" s="28"/>
      <c r="V891" s="28"/>
      <c r="W891" s="28"/>
      <c r="X891" s="28"/>
      <c r="Y891" s="28"/>
      <c r="Z891" s="28"/>
      <c r="AA891" s="28"/>
      <c r="AB891" s="28"/>
      <c r="AC891" s="28"/>
    </row>
    <row r="892" spans="1:29" ht="13">
      <c r="A892" s="28"/>
      <c r="B892" s="28"/>
      <c r="C892" s="28"/>
      <c r="D892" s="28"/>
      <c r="E892" s="28"/>
      <c r="F892" s="28"/>
      <c r="G892" s="28"/>
      <c r="H892" s="28"/>
      <c r="I892" s="28"/>
      <c r="J892" s="28"/>
      <c r="K892" s="28"/>
      <c r="L892" s="28"/>
      <c r="M892" s="28"/>
      <c r="N892" s="28"/>
      <c r="O892" s="28"/>
      <c r="P892" s="28"/>
      <c r="Q892" s="28"/>
      <c r="R892" s="28"/>
      <c r="S892" s="28"/>
      <c r="T892" s="28"/>
      <c r="U892" s="28"/>
      <c r="V892" s="28"/>
      <c r="W892" s="28"/>
      <c r="X892" s="28"/>
      <c r="Y892" s="28"/>
      <c r="Z892" s="28"/>
      <c r="AA892" s="28"/>
      <c r="AB892" s="28"/>
      <c r="AC892" s="28"/>
    </row>
    <row r="893" spans="1:29" ht="13">
      <c r="A893" s="28"/>
      <c r="B893" s="28"/>
      <c r="C893" s="28"/>
      <c r="D893" s="28"/>
      <c r="E893" s="28"/>
      <c r="F893" s="28"/>
      <c r="G893" s="28"/>
      <c r="H893" s="28"/>
      <c r="I893" s="28"/>
      <c r="J893" s="28"/>
      <c r="K893" s="28"/>
      <c r="L893" s="28"/>
      <c r="M893" s="28"/>
      <c r="N893" s="28"/>
      <c r="O893" s="28"/>
      <c r="P893" s="28"/>
      <c r="Q893" s="28"/>
      <c r="R893" s="28"/>
      <c r="S893" s="28"/>
      <c r="T893" s="28"/>
      <c r="U893" s="28"/>
      <c r="V893" s="28"/>
      <c r="W893" s="28"/>
      <c r="X893" s="28"/>
      <c r="Y893" s="28"/>
      <c r="Z893" s="28"/>
      <c r="AA893" s="28"/>
      <c r="AB893" s="28"/>
      <c r="AC893" s="28"/>
    </row>
    <row r="894" spans="1:29" ht="13">
      <c r="A894" s="28"/>
      <c r="B894" s="28"/>
      <c r="C894" s="28"/>
      <c r="D894" s="28"/>
      <c r="E894" s="28"/>
      <c r="F894" s="28"/>
      <c r="G894" s="28"/>
      <c r="H894" s="28"/>
      <c r="I894" s="28"/>
      <c r="J894" s="28"/>
      <c r="K894" s="28"/>
      <c r="L894" s="28"/>
      <c r="M894" s="28"/>
      <c r="N894" s="28"/>
      <c r="O894" s="28"/>
      <c r="P894" s="28"/>
      <c r="Q894" s="28"/>
      <c r="R894" s="28"/>
      <c r="S894" s="28"/>
      <c r="T894" s="28"/>
      <c r="U894" s="28"/>
      <c r="V894" s="28"/>
      <c r="W894" s="28"/>
      <c r="X894" s="28"/>
      <c r="Y894" s="28"/>
      <c r="Z894" s="28"/>
      <c r="AA894" s="28"/>
      <c r="AB894" s="28"/>
      <c r="AC894" s="28"/>
    </row>
    <row r="895" spans="1:29" ht="13">
      <c r="A895" s="28"/>
      <c r="B895" s="28"/>
      <c r="C895" s="28"/>
      <c r="D895" s="28"/>
      <c r="E895" s="28"/>
      <c r="F895" s="28"/>
      <c r="G895" s="28"/>
      <c r="H895" s="28"/>
      <c r="I895" s="28"/>
      <c r="J895" s="28"/>
      <c r="K895" s="28"/>
      <c r="L895" s="28"/>
      <c r="M895" s="28"/>
      <c r="N895" s="28"/>
      <c r="O895" s="28"/>
      <c r="P895" s="28"/>
      <c r="Q895" s="28"/>
      <c r="R895" s="28"/>
      <c r="S895" s="28"/>
      <c r="T895" s="28"/>
      <c r="U895" s="28"/>
      <c r="V895" s="28"/>
      <c r="W895" s="28"/>
      <c r="X895" s="28"/>
      <c r="Y895" s="28"/>
      <c r="Z895" s="28"/>
      <c r="AA895" s="28"/>
      <c r="AB895" s="28"/>
      <c r="AC895" s="28"/>
    </row>
    <row r="896" spans="1:29" ht="13">
      <c r="A896" s="28"/>
      <c r="B896" s="28"/>
      <c r="C896" s="28"/>
      <c r="D896" s="28"/>
      <c r="E896" s="28"/>
      <c r="F896" s="28"/>
      <c r="G896" s="28"/>
      <c r="H896" s="28"/>
      <c r="I896" s="28"/>
      <c r="J896" s="28"/>
      <c r="K896" s="28"/>
      <c r="L896" s="28"/>
      <c r="M896" s="28"/>
      <c r="N896" s="28"/>
      <c r="O896" s="28"/>
      <c r="P896" s="28"/>
      <c r="Q896" s="28"/>
      <c r="R896" s="28"/>
      <c r="S896" s="28"/>
      <c r="T896" s="28"/>
      <c r="U896" s="28"/>
      <c r="V896" s="28"/>
      <c r="W896" s="28"/>
      <c r="X896" s="28"/>
      <c r="Y896" s="28"/>
      <c r="Z896" s="28"/>
      <c r="AA896" s="28"/>
      <c r="AB896" s="28"/>
      <c r="AC896" s="28"/>
    </row>
    <row r="897" spans="1:29" ht="13">
      <c r="A897" s="28"/>
      <c r="B897" s="28"/>
      <c r="C897" s="28"/>
      <c r="D897" s="28"/>
      <c r="E897" s="28"/>
      <c r="F897" s="28"/>
      <c r="G897" s="28"/>
      <c r="H897" s="28"/>
      <c r="I897" s="28"/>
      <c r="J897" s="28"/>
      <c r="K897" s="28"/>
      <c r="L897" s="28"/>
      <c r="M897" s="28"/>
      <c r="N897" s="28"/>
      <c r="O897" s="28"/>
      <c r="P897" s="28"/>
      <c r="Q897" s="28"/>
      <c r="R897" s="28"/>
      <c r="S897" s="28"/>
      <c r="T897" s="28"/>
      <c r="U897" s="28"/>
      <c r="V897" s="28"/>
      <c r="W897" s="28"/>
      <c r="X897" s="28"/>
      <c r="Y897" s="28"/>
      <c r="Z897" s="28"/>
      <c r="AA897" s="28"/>
      <c r="AB897" s="28"/>
      <c r="AC897" s="28"/>
    </row>
    <row r="898" spans="1:29" ht="13">
      <c r="A898" s="28"/>
      <c r="B898" s="28"/>
      <c r="C898" s="28"/>
      <c r="D898" s="28"/>
      <c r="E898" s="28"/>
      <c r="F898" s="28"/>
      <c r="G898" s="28"/>
      <c r="H898" s="28"/>
      <c r="I898" s="28"/>
      <c r="J898" s="28"/>
      <c r="K898" s="28"/>
      <c r="L898" s="28"/>
      <c r="M898" s="28"/>
      <c r="N898" s="28"/>
      <c r="O898" s="28"/>
      <c r="P898" s="28"/>
      <c r="Q898" s="28"/>
      <c r="R898" s="28"/>
      <c r="S898" s="28"/>
      <c r="T898" s="28"/>
      <c r="U898" s="28"/>
      <c r="V898" s="28"/>
      <c r="W898" s="28"/>
      <c r="X898" s="28"/>
      <c r="Y898" s="28"/>
      <c r="Z898" s="28"/>
      <c r="AA898" s="28"/>
      <c r="AB898" s="28"/>
      <c r="AC898" s="28"/>
    </row>
    <row r="899" spans="1:29" ht="13">
      <c r="A899" s="28"/>
      <c r="B899" s="28"/>
      <c r="C899" s="28"/>
      <c r="D899" s="28"/>
      <c r="E899" s="28"/>
      <c r="F899" s="28"/>
      <c r="G899" s="28"/>
      <c r="H899" s="28"/>
      <c r="I899" s="28"/>
      <c r="J899" s="28"/>
      <c r="K899" s="28"/>
      <c r="L899" s="28"/>
      <c r="M899" s="28"/>
      <c r="N899" s="28"/>
      <c r="O899" s="28"/>
      <c r="P899" s="28"/>
      <c r="Q899" s="28"/>
      <c r="R899" s="28"/>
      <c r="S899" s="28"/>
      <c r="T899" s="28"/>
      <c r="U899" s="28"/>
      <c r="V899" s="28"/>
      <c r="W899" s="28"/>
      <c r="X899" s="28"/>
      <c r="Y899" s="28"/>
      <c r="Z899" s="28"/>
      <c r="AA899" s="28"/>
      <c r="AB899" s="28"/>
      <c r="AC899" s="28"/>
    </row>
    <row r="900" spans="1:29" ht="13">
      <c r="A900" s="28"/>
      <c r="B900" s="28"/>
      <c r="C900" s="28"/>
      <c r="D900" s="28"/>
      <c r="E900" s="28"/>
      <c r="F900" s="28"/>
      <c r="G900" s="28"/>
      <c r="H900" s="28"/>
      <c r="I900" s="28"/>
      <c r="J900" s="28"/>
      <c r="K900" s="28"/>
      <c r="L900" s="28"/>
      <c r="M900" s="28"/>
      <c r="N900" s="28"/>
      <c r="O900" s="28"/>
      <c r="P900" s="28"/>
      <c r="Q900" s="28"/>
      <c r="R900" s="28"/>
      <c r="S900" s="28"/>
      <c r="T900" s="28"/>
      <c r="U900" s="28"/>
      <c r="V900" s="28"/>
      <c r="W900" s="28"/>
      <c r="X900" s="28"/>
      <c r="Y900" s="28"/>
      <c r="Z900" s="28"/>
      <c r="AA900" s="28"/>
      <c r="AB900" s="28"/>
      <c r="AC900" s="28"/>
    </row>
    <row r="901" spans="1:29" ht="13">
      <c r="A901" s="28"/>
      <c r="B901" s="28"/>
      <c r="C901" s="28"/>
      <c r="D901" s="28"/>
      <c r="E901" s="28"/>
      <c r="F901" s="28"/>
      <c r="G901" s="28"/>
      <c r="H901" s="28"/>
      <c r="I901" s="28"/>
      <c r="J901" s="28"/>
      <c r="K901" s="28"/>
      <c r="L901" s="28"/>
      <c r="M901" s="28"/>
      <c r="N901" s="28"/>
      <c r="O901" s="28"/>
      <c r="P901" s="28"/>
      <c r="Q901" s="28"/>
      <c r="R901" s="28"/>
      <c r="S901" s="28"/>
      <c r="T901" s="28"/>
      <c r="U901" s="28"/>
      <c r="V901" s="28"/>
      <c r="W901" s="28"/>
      <c r="X901" s="28"/>
      <c r="Y901" s="28"/>
      <c r="Z901" s="28"/>
      <c r="AA901" s="28"/>
      <c r="AB901" s="28"/>
      <c r="AC901" s="28"/>
    </row>
    <row r="902" spans="1:29" ht="13">
      <c r="A902" s="28"/>
      <c r="B902" s="28"/>
      <c r="C902" s="28"/>
      <c r="D902" s="28"/>
      <c r="E902" s="28"/>
      <c r="F902" s="28"/>
      <c r="G902" s="28"/>
      <c r="H902" s="28"/>
      <c r="I902" s="28"/>
      <c r="J902" s="28"/>
      <c r="K902" s="28"/>
      <c r="L902" s="28"/>
      <c r="M902" s="28"/>
      <c r="N902" s="28"/>
      <c r="O902" s="28"/>
      <c r="P902" s="28"/>
      <c r="Q902" s="28"/>
      <c r="R902" s="28"/>
      <c r="S902" s="28"/>
      <c r="T902" s="28"/>
      <c r="U902" s="28"/>
      <c r="V902" s="28"/>
      <c r="W902" s="28"/>
      <c r="X902" s="28"/>
      <c r="Y902" s="28"/>
      <c r="Z902" s="28"/>
      <c r="AA902" s="28"/>
      <c r="AB902" s="28"/>
      <c r="AC902" s="28"/>
    </row>
    <row r="903" spans="1:29" ht="13">
      <c r="A903" s="28"/>
      <c r="B903" s="28"/>
      <c r="C903" s="28"/>
      <c r="D903" s="28"/>
      <c r="E903" s="28"/>
      <c r="F903" s="28"/>
      <c r="G903" s="28"/>
      <c r="H903" s="28"/>
      <c r="I903" s="28"/>
      <c r="J903" s="28"/>
      <c r="K903" s="28"/>
      <c r="L903" s="28"/>
      <c r="M903" s="28"/>
      <c r="N903" s="28"/>
      <c r="O903" s="28"/>
      <c r="P903" s="28"/>
      <c r="Q903" s="28"/>
      <c r="R903" s="28"/>
      <c r="S903" s="28"/>
      <c r="T903" s="28"/>
      <c r="U903" s="28"/>
      <c r="V903" s="28"/>
      <c r="W903" s="28"/>
      <c r="X903" s="28"/>
      <c r="Y903" s="28"/>
      <c r="Z903" s="28"/>
      <c r="AA903" s="28"/>
      <c r="AB903" s="28"/>
      <c r="AC903" s="28"/>
    </row>
    <row r="904" spans="1:29" ht="13">
      <c r="A904" s="28"/>
      <c r="B904" s="28"/>
      <c r="C904" s="28"/>
      <c r="D904" s="28"/>
      <c r="E904" s="28"/>
      <c r="F904" s="28"/>
      <c r="G904" s="28"/>
      <c r="H904" s="28"/>
      <c r="I904" s="28"/>
      <c r="J904" s="28"/>
      <c r="K904" s="28"/>
      <c r="L904" s="28"/>
      <c r="M904" s="28"/>
      <c r="N904" s="28"/>
      <c r="O904" s="28"/>
      <c r="P904" s="28"/>
      <c r="Q904" s="28"/>
      <c r="R904" s="28"/>
      <c r="S904" s="28"/>
      <c r="T904" s="28"/>
      <c r="U904" s="28"/>
      <c r="V904" s="28"/>
      <c r="W904" s="28"/>
      <c r="X904" s="28"/>
      <c r="Y904" s="28"/>
      <c r="Z904" s="28"/>
      <c r="AA904" s="28"/>
      <c r="AB904" s="28"/>
      <c r="AC904" s="28"/>
    </row>
    <row r="905" spans="1:29" ht="13">
      <c r="A905" s="28"/>
      <c r="B905" s="28"/>
      <c r="C905" s="28"/>
      <c r="D905" s="28"/>
      <c r="E905" s="28"/>
      <c r="F905" s="28"/>
      <c r="G905" s="28"/>
      <c r="H905" s="28"/>
      <c r="I905" s="28"/>
      <c r="J905" s="28"/>
      <c r="K905" s="28"/>
      <c r="L905" s="28"/>
      <c r="M905" s="28"/>
      <c r="N905" s="28"/>
      <c r="O905" s="28"/>
      <c r="P905" s="28"/>
      <c r="Q905" s="28"/>
      <c r="R905" s="28"/>
      <c r="S905" s="28"/>
      <c r="T905" s="28"/>
      <c r="U905" s="28"/>
      <c r="V905" s="28"/>
      <c r="W905" s="28"/>
      <c r="X905" s="28"/>
      <c r="Y905" s="28"/>
      <c r="Z905" s="28"/>
      <c r="AA905" s="28"/>
      <c r="AB905" s="28"/>
      <c r="AC905" s="28"/>
    </row>
    <row r="906" spans="1:29" ht="13">
      <c r="A906" s="28"/>
      <c r="B906" s="28"/>
      <c r="C906" s="28"/>
      <c r="D906" s="28"/>
      <c r="E906" s="28"/>
      <c r="F906" s="28"/>
      <c r="G906" s="28"/>
      <c r="H906" s="28"/>
      <c r="I906" s="28"/>
      <c r="J906" s="28"/>
      <c r="K906" s="28"/>
      <c r="L906" s="28"/>
      <c r="M906" s="28"/>
      <c r="N906" s="28"/>
      <c r="O906" s="28"/>
      <c r="P906" s="28"/>
      <c r="Q906" s="28"/>
      <c r="R906" s="28"/>
      <c r="S906" s="28"/>
      <c r="T906" s="28"/>
      <c r="U906" s="28"/>
      <c r="V906" s="28"/>
      <c r="W906" s="28"/>
      <c r="X906" s="28"/>
      <c r="Y906" s="28"/>
      <c r="Z906" s="28"/>
      <c r="AA906" s="28"/>
      <c r="AB906" s="28"/>
      <c r="AC906" s="28"/>
    </row>
    <row r="907" spans="1:29" ht="13">
      <c r="A907" s="28"/>
      <c r="B907" s="28"/>
      <c r="C907" s="28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28"/>
      <c r="X907" s="28"/>
      <c r="Y907" s="28"/>
      <c r="Z907" s="28"/>
      <c r="AA907" s="28"/>
      <c r="AB907" s="28"/>
      <c r="AC907" s="28"/>
    </row>
    <row r="908" spans="1:29" ht="13">
      <c r="A908" s="28"/>
      <c r="B908" s="28"/>
      <c r="C908" s="28"/>
      <c r="D908" s="28"/>
      <c r="E908" s="28"/>
      <c r="F908" s="28"/>
      <c r="G908" s="28"/>
      <c r="H908" s="28"/>
      <c r="I908" s="28"/>
      <c r="J908" s="28"/>
      <c r="K908" s="28"/>
      <c r="L908" s="28"/>
      <c r="M908" s="28"/>
      <c r="N908" s="28"/>
      <c r="O908" s="28"/>
      <c r="P908" s="28"/>
      <c r="Q908" s="28"/>
      <c r="R908" s="28"/>
      <c r="S908" s="28"/>
      <c r="T908" s="28"/>
      <c r="U908" s="28"/>
      <c r="V908" s="28"/>
      <c r="W908" s="28"/>
      <c r="X908" s="28"/>
      <c r="Y908" s="28"/>
      <c r="Z908" s="28"/>
      <c r="AA908" s="28"/>
      <c r="AB908" s="28"/>
      <c r="AC908" s="28"/>
    </row>
    <row r="909" spans="1:29" ht="13">
      <c r="A909" s="28"/>
      <c r="B909" s="28"/>
      <c r="C909" s="28"/>
      <c r="D909" s="28"/>
      <c r="E909" s="28"/>
      <c r="F909" s="28"/>
      <c r="G909" s="28"/>
      <c r="H909" s="28"/>
      <c r="I909" s="28"/>
      <c r="J909" s="28"/>
      <c r="K909" s="28"/>
      <c r="L909" s="28"/>
      <c r="M909" s="28"/>
      <c r="N909" s="28"/>
      <c r="O909" s="28"/>
      <c r="P909" s="28"/>
      <c r="Q909" s="28"/>
      <c r="R909" s="28"/>
      <c r="S909" s="28"/>
      <c r="T909" s="28"/>
      <c r="U909" s="28"/>
      <c r="V909" s="28"/>
      <c r="W909" s="28"/>
      <c r="X909" s="28"/>
      <c r="Y909" s="28"/>
      <c r="Z909" s="28"/>
      <c r="AA909" s="28"/>
      <c r="AB909" s="28"/>
      <c r="AC909" s="28"/>
    </row>
    <row r="910" spans="1:29" ht="13">
      <c r="A910" s="28"/>
      <c r="B910" s="28"/>
      <c r="C910" s="28"/>
      <c r="D910" s="28"/>
      <c r="E910" s="28"/>
      <c r="F910" s="28"/>
      <c r="G910" s="28"/>
      <c r="H910" s="28"/>
      <c r="I910" s="28"/>
      <c r="J910" s="28"/>
      <c r="K910" s="28"/>
      <c r="L910" s="28"/>
      <c r="M910" s="28"/>
      <c r="N910" s="28"/>
      <c r="O910" s="28"/>
      <c r="P910" s="28"/>
      <c r="Q910" s="28"/>
      <c r="R910" s="28"/>
      <c r="S910" s="28"/>
      <c r="T910" s="28"/>
      <c r="U910" s="28"/>
      <c r="V910" s="28"/>
      <c r="W910" s="28"/>
      <c r="X910" s="28"/>
      <c r="Y910" s="28"/>
      <c r="Z910" s="28"/>
      <c r="AA910" s="28"/>
      <c r="AB910" s="28"/>
      <c r="AC910" s="28"/>
    </row>
    <row r="911" spans="1:29" ht="13">
      <c r="A911" s="28"/>
      <c r="B911" s="28"/>
      <c r="C911" s="28"/>
      <c r="D911" s="28"/>
      <c r="E911" s="28"/>
      <c r="F911" s="28"/>
      <c r="G911" s="28"/>
      <c r="H911" s="28"/>
      <c r="I911" s="28"/>
      <c r="J911" s="28"/>
      <c r="K911" s="28"/>
      <c r="L911" s="28"/>
      <c r="M911" s="28"/>
      <c r="N911" s="28"/>
      <c r="O911" s="28"/>
      <c r="P911" s="28"/>
      <c r="Q911" s="28"/>
      <c r="R911" s="28"/>
      <c r="S911" s="28"/>
      <c r="T911" s="28"/>
      <c r="U911" s="28"/>
      <c r="V911" s="28"/>
      <c r="W911" s="28"/>
      <c r="X911" s="28"/>
      <c r="Y911" s="28"/>
      <c r="Z911" s="28"/>
      <c r="AA911" s="28"/>
      <c r="AB911" s="28"/>
      <c r="AC911" s="28"/>
    </row>
    <row r="912" spans="1:29" ht="13">
      <c r="A912" s="28"/>
      <c r="B912" s="28"/>
      <c r="C912" s="28"/>
      <c r="D912" s="28"/>
      <c r="E912" s="28"/>
      <c r="F912" s="28"/>
      <c r="G912" s="28"/>
      <c r="H912" s="28"/>
      <c r="I912" s="28"/>
      <c r="J912" s="28"/>
      <c r="K912" s="28"/>
      <c r="L912" s="28"/>
      <c r="M912" s="28"/>
      <c r="N912" s="28"/>
      <c r="O912" s="28"/>
      <c r="P912" s="28"/>
      <c r="Q912" s="28"/>
      <c r="R912" s="28"/>
      <c r="S912" s="28"/>
      <c r="T912" s="28"/>
      <c r="U912" s="28"/>
      <c r="V912" s="28"/>
      <c r="W912" s="28"/>
      <c r="X912" s="28"/>
      <c r="Y912" s="28"/>
      <c r="Z912" s="28"/>
      <c r="AA912" s="28"/>
      <c r="AB912" s="28"/>
      <c r="AC912" s="28"/>
    </row>
    <row r="913" spans="1:29" ht="13">
      <c r="A913" s="28"/>
      <c r="B913" s="28"/>
      <c r="C913" s="28"/>
      <c r="D913" s="28"/>
      <c r="E913" s="28"/>
      <c r="F913" s="28"/>
      <c r="G913" s="28"/>
      <c r="H913" s="28"/>
      <c r="I913" s="28"/>
      <c r="J913" s="28"/>
      <c r="K913" s="28"/>
      <c r="L913" s="28"/>
      <c r="M913" s="28"/>
      <c r="N913" s="28"/>
      <c r="O913" s="28"/>
      <c r="P913" s="28"/>
      <c r="Q913" s="28"/>
      <c r="R913" s="28"/>
      <c r="S913" s="28"/>
      <c r="T913" s="28"/>
      <c r="U913" s="28"/>
      <c r="V913" s="28"/>
      <c r="W913" s="28"/>
      <c r="X913" s="28"/>
      <c r="Y913" s="28"/>
      <c r="Z913" s="28"/>
      <c r="AA913" s="28"/>
      <c r="AB913" s="28"/>
      <c r="AC913" s="28"/>
    </row>
    <row r="914" spans="1:29" ht="13">
      <c r="A914" s="28"/>
      <c r="B914" s="28"/>
      <c r="C914" s="28"/>
      <c r="D914" s="28"/>
      <c r="E914" s="28"/>
      <c r="F914" s="28"/>
      <c r="G914" s="28"/>
      <c r="H914" s="28"/>
      <c r="I914" s="28"/>
      <c r="J914" s="28"/>
      <c r="K914" s="28"/>
      <c r="L914" s="28"/>
      <c r="M914" s="28"/>
      <c r="N914" s="28"/>
      <c r="O914" s="28"/>
      <c r="P914" s="28"/>
      <c r="Q914" s="28"/>
      <c r="R914" s="28"/>
      <c r="S914" s="28"/>
      <c r="T914" s="28"/>
      <c r="U914" s="28"/>
      <c r="V914" s="28"/>
      <c r="W914" s="28"/>
      <c r="X914" s="28"/>
      <c r="Y914" s="28"/>
      <c r="Z914" s="28"/>
      <c r="AA914" s="28"/>
      <c r="AB914" s="28"/>
      <c r="AC914" s="28"/>
    </row>
    <row r="915" spans="1:29" ht="13">
      <c r="A915" s="28"/>
      <c r="B915" s="28"/>
      <c r="C915" s="28"/>
      <c r="D915" s="28"/>
      <c r="E915" s="28"/>
      <c r="F915" s="28"/>
      <c r="G915" s="28"/>
      <c r="H915" s="28"/>
      <c r="I915" s="28"/>
      <c r="J915" s="28"/>
      <c r="K915" s="28"/>
      <c r="L915" s="28"/>
      <c r="M915" s="28"/>
      <c r="N915" s="28"/>
      <c r="O915" s="28"/>
      <c r="P915" s="28"/>
      <c r="Q915" s="28"/>
      <c r="R915" s="28"/>
      <c r="S915" s="28"/>
      <c r="T915" s="28"/>
      <c r="U915" s="28"/>
      <c r="V915" s="28"/>
      <c r="W915" s="28"/>
      <c r="X915" s="28"/>
      <c r="Y915" s="28"/>
      <c r="Z915" s="28"/>
      <c r="AA915" s="28"/>
      <c r="AB915" s="28"/>
      <c r="AC915" s="28"/>
    </row>
    <row r="916" spans="1:29" ht="13">
      <c r="A916" s="28"/>
      <c r="B916" s="28"/>
      <c r="C916" s="28"/>
      <c r="D916" s="28"/>
      <c r="E916" s="28"/>
      <c r="F916" s="28"/>
      <c r="G916" s="28"/>
      <c r="H916" s="28"/>
      <c r="I916" s="28"/>
      <c r="J916" s="28"/>
      <c r="K916" s="28"/>
      <c r="L916" s="28"/>
      <c r="M916" s="28"/>
      <c r="N916" s="28"/>
      <c r="O916" s="28"/>
      <c r="P916" s="28"/>
      <c r="Q916" s="28"/>
      <c r="R916" s="28"/>
      <c r="S916" s="28"/>
      <c r="T916" s="28"/>
      <c r="U916" s="28"/>
      <c r="V916" s="28"/>
      <c r="W916" s="28"/>
      <c r="X916" s="28"/>
      <c r="Y916" s="28"/>
      <c r="Z916" s="28"/>
      <c r="AA916" s="28"/>
      <c r="AB916" s="28"/>
      <c r="AC916" s="28"/>
    </row>
    <row r="917" spans="1:29" ht="13">
      <c r="A917" s="28"/>
      <c r="B917" s="28"/>
      <c r="C917" s="28"/>
      <c r="D917" s="28"/>
      <c r="E917" s="28"/>
      <c r="F917" s="28"/>
      <c r="G917" s="28"/>
      <c r="H917" s="28"/>
      <c r="I917" s="28"/>
      <c r="J917" s="28"/>
      <c r="K917" s="28"/>
      <c r="L917" s="28"/>
      <c r="M917" s="28"/>
      <c r="N917" s="28"/>
      <c r="O917" s="28"/>
      <c r="P917" s="28"/>
      <c r="Q917" s="28"/>
      <c r="R917" s="28"/>
      <c r="S917" s="28"/>
      <c r="T917" s="28"/>
      <c r="U917" s="28"/>
      <c r="V917" s="28"/>
      <c r="W917" s="28"/>
      <c r="X917" s="28"/>
      <c r="Y917" s="28"/>
      <c r="Z917" s="28"/>
      <c r="AA917" s="28"/>
      <c r="AB917" s="28"/>
      <c r="AC917" s="28"/>
    </row>
    <row r="918" spans="1:29" ht="13">
      <c r="A918" s="28"/>
      <c r="B918" s="28"/>
      <c r="C918" s="28"/>
      <c r="D918" s="28"/>
      <c r="E918" s="28"/>
      <c r="F918" s="28"/>
      <c r="G918" s="28"/>
      <c r="H918" s="28"/>
      <c r="I918" s="28"/>
      <c r="J918" s="28"/>
      <c r="K918" s="28"/>
      <c r="L918" s="28"/>
      <c r="M918" s="28"/>
      <c r="N918" s="28"/>
      <c r="O918" s="28"/>
      <c r="P918" s="28"/>
      <c r="Q918" s="28"/>
      <c r="R918" s="28"/>
      <c r="S918" s="28"/>
      <c r="T918" s="28"/>
      <c r="U918" s="28"/>
      <c r="V918" s="28"/>
      <c r="W918" s="28"/>
      <c r="X918" s="28"/>
      <c r="Y918" s="28"/>
      <c r="Z918" s="28"/>
      <c r="AA918" s="28"/>
      <c r="AB918" s="28"/>
      <c r="AC918" s="28"/>
    </row>
    <row r="919" spans="1:29" ht="13">
      <c r="A919" s="28"/>
      <c r="B919" s="28"/>
      <c r="C919" s="28"/>
      <c r="D919" s="28"/>
      <c r="E919" s="28"/>
      <c r="F919" s="28"/>
      <c r="G919" s="28"/>
      <c r="H919" s="28"/>
      <c r="I919" s="28"/>
      <c r="J919" s="28"/>
      <c r="K919" s="28"/>
      <c r="L919" s="28"/>
      <c r="M919" s="28"/>
      <c r="N919" s="28"/>
      <c r="O919" s="28"/>
      <c r="P919" s="28"/>
      <c r="Q919" s="28"/>
      <c r="R919" s="28"/>
      <c r="S919" s="28"/>
      <c r="T919" s="28"/>
      <c r="U919" s="28"/>
      <c r="V919" s="28"/>
      <c r="W919" s="28"/>
      <c r="X919" s="28"/>
      <c r="Y919" s="28"/>
      <c r="Z919" s="28"/>
      <c r="AA919" s="28"/>
      <c r="AB919" s="28"/>
      <c r="AC919" s="28"/>
    </row>
    <row r="920" spans="1:29" ht="13">
      <c r="A920" s="28"/>
      <c r="B920" s="28"/>
      <c r="C920" s="28"/>
      <c r="D920" s="28"/>
      <c r="E920" s="28"/>
      <c r="F920" s="28"/>
      <c r="G920" s="28"/>
      <c r="H920" s="28"/>
      <c r="I920" s="28"/>
      <c r="J920" s="28"/>
      <c r="K920" s="28"/>
      <c r="L920" s="28"/>
      <c r="M920" s="28"/>
      <c r="N920" s="28"/>
      <c r="O920" s="28"/>
      <c r="P920" s="28"/>
      <c r="Q920" s="28"/>
      <c r="R920" s="28"/>
      <c r="S920" s="28"/>
      <c r="T920" s="28"/>
      <c r="U920" s="28"/>
      <c r="V920" s="28"/>
      <c r="W920" s="28"/>
      <c r="X920" s="28"/>
      <c r="Y920" s="28"/>
      <c r="Z920" s="28"/>
      <c r="AA920" s="28"/>
      <c r="AB920" s="28"/>
      <c r="AC920" s="28"/>
    </row>
    <row r="921" spans="1:29" ht="13">
      <c r="A921" s="28"/>
      <c r="B921" s="28"/>
      <c r="C921" s="28"/>
      <c r="D921" s="28"/>
      <c r="E921" s="28"/>
      <c r="F921" s="28"/>
      <c r="G921" s="28"/>
      <c r="H921" s="28"/>
      <c r="I921" s="28"/>
      <c r="J921" s="28"/>
      <c r="K921" s="28"/>
      <c r="L921" s="28"/>
      <c r="M921" s="28"/>
      <c r="N921" s="28"/>
      <c r="O921" s="28"/>
      <c r="P921" s="28"/>
      <c r="Q921" s="28"/>
      <c r="R921" s="28"/>
      <c r="S921" s="28"/>
      <c r="T921" s="28"/>
      <c r="U921" s="28"/>
      <c r="V921" s="28"/>
      <c r="W921" s="28"/>
      <c r="X921" s="28"/>
      <c r="Y921" s="28"/>
      <c r="Z921" s="28"/>
      <c r="AA921" s="28"/>
      <c r="AB921" s="28"/>
      <c r="AC921" s="28"/>
    </row>
    <row r="922" spans="1:29" ht="13">
      <c r="A922" s="28"/>
      <c r="B922" s="28"/>
      <c r="C922" s="28"/>
      <c r="D922" s="28"/>
      <c r="E922" s="28"/>
      <c r="F922" s="28"/>
      <c r="G922" s="28"/>
      <c r="H922" s="28"/>
      <c r="I922" s="28"/>
      <c r="J922" s="28"/>
      <c r="K922" s="28"/>
      <c r="L922" s="28"/>
      <c r="M922" s="28"/>
      <c r="N922" s="28"/>
      <c r="O922" s="28"/>
      <c r="P922" s="28"/>
      <c r="Q922" s="28"/>
      <c r="R922" s="28"/>
      <c r="S922" s="28"/>
      <c r="T922" s="28"/>
      <c r="U922" s="28"/>
      <c r="V922" s="28"/>
      <c r="W922" s="28"/>
      <c r="X922" s="28"/>
      <c r="Y922" s="28"/>
      <c r="Z922" s="28"/>
      <c r="AA922" s="28"/>
      <c r="AB922" s="28"/>
      <c r="AC922" s="28"/>
    </row>
    <row r="923" spans="1:29" ht="13">
      <c r="A923" s="28"/>
      <c r="B923" s="28"/>
      <c r="C923" s="28"/>
      <c r="D923" s="28"/>
      <c r="E923" s="28"/>
      <c r="F923" s="28"/>
      <c r="G923" s="28"/>
      <c r="H923" s="28"/>
      <c r="I923" s="28"/>
      <c r="J923" s="28"/>
      <c r="K923" s="28"/>
      <c r="L923" s="28"/>
      <c r="M923" s="28"/>
      <c r="N923" s="28"/>
      <c r="O923" s="28"/>
      <c r="P923" s="28"/>
      <c r="Q923" s="28"/>
      <c r="R923" s="28"/>
      <c r="S923" s="28"/>
      <c r="T923" s="28"/>
      <c r="U923" s="28"/>
      <c r="V923" s="28"/>
      <c r="W923" s="28"/>
      <c r="X923" s="28"/>
      <c r="Y923" s="28"/>
      <c r="Z923" s="28"/>
      <c r="AA923" s="28"/>
      <c r="AB923" s="28"/>
      <c r="AC923" s="28"/>
    </row>
    <row r="924" spans="1:29" ht="13">
      <c r="A924" s="28"/>
      <c r="B924" s="28"/>
      <c r="C924" s="28"/>
      <c r="D924" s="28"/>
      <c r="E924" s="28"/>
      <c r="F924" s="28"/>
      <c r="G924" s="28"/>
      <c r="H924" s="28"/>
      <c r="I924" s="28"/>
      <c r="J924" s="28"/>
      <c r="K924" s="28"/>
      <c r="L924" s="28"/>
      <c r="M924" s="28"/>
      <c r="N924" s="28"/>
      <c r="O924" s="28"/>
      <c r="P924" s="28"/>
      <c r="Q924" s="28"/>
      <c r="R924" s="28"/>
      <c r="S924" s="28"/>
      <c r="T924" s="28"/>
      <c r="U924" s="28"/>
      <c r="V924" s="28"/>
      <c r="W924" s="28"/>
      <c r="X924" s="28"/>
      <c r="Y924" s="28"/>
      <c r="Z924" s="28"/>
      <c r="AA924" s="28"/>
      <c r="AB924" s="28"/>
      <c r="AC924" s="28"/>
    </row>
    <row r="925" spans="1:29" ht="13">
      <c r="A925" s="28"/>
      <c r="B925" s="28"/>
      <c r="C925" s="28"/>
      <c r="D925" s="28"/>
      <c r="E925" s="28"/>
      <c r="F925" s="28"/>
      <c r="G925" s="28"/>
      <c r="H925" s="28"/>
      <c r="I925" s="28"/>
      <c r="J925" s="28"/>
      <c r="K925" s="28"/>
      <c r="L925" s="28"/>
      <c r="M925" s="28"/>
      <c r="N925" s="28"/>
      <c r="O925" s="28"/>
      <c r="P925" s="28"/>
      <c r="Q925" s="28"/>
      <c r="R925" s="28"/>
      <c r="S925" s="28"/>
      <c r="T925" s="28"/>
      <c r="U925" s="28"/>
      <c r="V925" s="28"/>
      <c r="W925" s="28"/>
      <c r="X925" s="28"/>
      <c r="Y925" s="28"/>
      <c r="Z925" s="28"/>
      <c r="AA925" s="28"/>
      <c r="AB925" s="28"/>
      <c r="AC925" s="28"/>
    </row>
    <row r="926" spans="1:29" ht="13">
      <c r="A926" s="28"/>
      <c r="B926" s="28"/>
      <c r="C926" s="28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28"/>
      <c r="Z926" s="28"/>
      <c r="AA926" s="28"/>
      <c r="AB926" s="28"/>
      <c r="AC926" s="28"/>
    </row>
    <row r="927" spans="1:29" ht="13">
      <c r="A927" s="28"/>
      <c r="B927" s="28"/>
      <c r="C927" s="28"/>
      <c r="D927" s="28"/>
      <c r="E927" s="28"/>
      <c r="F927" s="28"/>
      <c r="G927" s="28"/>
      <c r="H927" s="28"/>
      <c r="I927" s="28"/>
      <c r="J927" s="28"/>
      <c r="K927" s="28"/>
      <c r="L927" s="28"/>
      <c r="M927" s="28"/>
      <c r="N927" s="28"/>
      <c r="O927" s="28"/>
      <c r="P927" s="28"/>
      <c r="Q927" s="28"/>
      <c r="R927" s="28"/>
      <c r="S927" s="28"/>
      <c r="T927" s="28"/>
      <c r="U927" s="28"/>
      <c r="V927" s="28"/>
      <c r="W927" s="28"/>
      <c r="X927" s="28"/>
      <c r="Y927" s="28"/>
      <c r="Z927" s="28"/>
      <c r="AA927" s="28"/>
      <c r="AB927" s="28"/>
      <c r="AC927" s="28"/>
    </row>
    <row r="928" spans="1:29" ht="13">
      <c r="A928" s="28"/>
      <c r="B928" s="28"/>
      <c r="C928" s="28"/>
      <c r="D928" s="28"/>
      <c r="E928" s="28"/>
      <c r="F928" s="28"/>
      <c r="G928" s="28"/>
      <c r="H928" s="28"/>
      <c r="I928" s="28"/>
      <c r="J928" s="28"/>
      <c r="K928" s="28"/>
      <c r="L928" s="28"/>
      <c r="M928" s="28"/>
      <c r="N928" s="28"/>
      <c r="O928" s="28"/>
      <c r="P928" s="28"/>
      <c r="Q928" s="28"/>
      <c r="R928" s="28"/>
      <c r="S928" s="28"/>
      <c r="T928" s="28"/>
      <c r="U928" s="28"/>
      <c r="V928" s="28"/>
      <c r="W928" s="28"/>
      <c r="X928" s="28"/>
      <c r="Y928" s="28"/>
      <c r="Z928" s="28"/>
      <c r="AA928" s="28"/>
      <c r="AB928" s="28"/>
      <c r="AC928" s="28"/>
    </row>
    <row r="929" spans="1:29" ht="13">
      <c r="A929" s="28"/>
      <c r="B929" s="28"/>
      <c r="C929" s="28"/>
      <c r="D929" s="28"/>
      <c r="E929" s="28"/>
      <c r="F929" s="28"/>
      <c r="G929" s="28"/>
      <c r="H929" s="28"/>
      <c r="I929" s="28"/>
      <c r="J929" s="28"/>
      <c r="K929" s="28"/>
      <c r="L929" s="28"/>
      <c r="M929" s="28"/>
      <c r="N929" s="28"/>
      <c r="O929" s="28"/>
      <c r="P929" s="28"/>
      <c r="Q929" s="28"/>
      <c r="R929" s="28"/>
      <c r="S929" s="28"/>
      <c r="T929" s="28"/>
      <c r="U929" s="28"/>
      <c r="V929" s="28"/>
      <c r="W929" s="28"/>
      <c r="X929" s="28"/>
      <c r="Y929" s="28"/>
      <c r="Z929" s="28"/>
      <c r="AA929" s="28"/>
      <c r="AB929" s="28"/>
      <c r="AC929" s="28"/>
    </row>
    <row r="930" spans="1:29" ht="13">
      <c r="A930" s="28"/>
      <c r="B930" s="28"/>
      <c r="C930" s="28"/>
      <c r="D930" s="28"/>
      <c r="E930" s="28"/>
      <c r="F930" s="28"/>
      <c r="G930" s="28"/>
      <c r="H930" s="28"/>
      <c r="I930" s="28"/>
      <c r="J930" s="28"/>
      <c r="K930" s="28"/>
      <c r="L930" s="28"/>
      <c r="M930" s="28"/>
      <c r="N930" s="28"/>
      <c r="O930" s="28"/>
      <c r="P930" s="28"/>
      <c r="Q930" s="28"/>
      <c r="R930" s="28"/>
      <c r="S930" s="28"/>
      <c r="T930" s="28"/>
      <c r="U930" s="28"/>
      <c r="V930" s="28"/>
      <c r="W930" s="28"/>
      <c r="X930" s="28"/>
      <c r="Y930" s="28"/>
      <c r="Z930" s="28"/>
      <c r="AA930" s="28"/>
      <c r="AB930" s="28"/>
      <c r="AC930" s="28"/>
    </row>
    <row r="931" spans="1:29" ht="13">
      <c r="A931" s="28"/>
      <c r="B931" s="28"/>
      <c r="C931" s="28"/>
      <c r="D931" s="28"/>
      <c r="E931" s="28"/>
      <c r="F931" s="28"/>
      <c r="G931" s="28"/>
      <c r="H931" s="28"/>
      <c r="I931" s="28"/>
      <c r="J931" s="28"/>
      <c r="K931" s="28"/>
      <c r="L931" s="28"/>
      <c r="M931" s="28"/>
      <c r="N931" s="28"/>
      <c r="O931" s="28"/>
      <c r="P931" s="28"/>
      <c r="Q931" s="28"/>
      <c r="R931" s="28"/>
      <c r="S931" s="28"/>
      <c r="T931" s="28"/>
      <c r="U931" s="28"/>
      <c r="V931" s="28"/>
      <c r="W931" s="28"/>
      <c r="X931" s="28"/>
      <c r="Y931" s="28"/>
      <c r="Z931" s="28"/>
      <c r="AA931" s="28"/>
      <c r="AB931" s="28"/>
      <c r="AC931" s="28"/>
    </row>
    <row r="932" spans="1:29" ht="13">
      <c r="A932" s="28"/>
      <c r="B932" s="28"/>
      <c r="C932" s="28"/>
      <c r="D932" s="28"/>
      <c r="E932" s="28"/>
      <c r="F932" s="28"/>
      <c r="G932" s="28"/>
      <c r="H932" s="28"/>
      <c r="I932" s="28"/>
      <c r="J932" s="28"/>
      <c r="K932" s="28"/>
      <c r="L932" s="28"/>
      <c r="M932" s="28"/>
      <c r="N932" s="28"/>
      <c r="O932" s="28"/>
      <c r="P932" s="28"/>
      <c r="Q932" s="28"/>
      <c r="R932" s="28"/>
      <c r="S932" s="28"/>
      <c r="T932" s="28"/>
      <c r="U932" s="28"/>
      <c r="V932" s="28"/>
      <c r="W932" s="28"/>
      <c r="X932" s="28"/>
      <c r="Y932" s="28"/>
      <c r="Z932" s="28"/>
      <c r="AA932" s="28"/>
      <c r="AB932" s="28"/>
      <c r="AC932" s="28"/>
    </row>
    <row r="933" spans="1:29" ht="13">
      <c r="A933" s="28"/>
      <c r="B933" s="28"/>
      <c r="C933" s="28"/>
      <c r="D933" s="28"/>
      <c r="E933" s="28"/>
      <c r="F933" s="28"/>
      <c r="G933" s="28"/>
      <c r="H933" s="28"/>
      <c r="I933" s="28"/>
      <c r="J933" s="28"/>
      <c r="K933" s="28"/>
      <c r="L933" s="28"/>
      <c r="M933" s="28"/>
      <c r="N933" s="28"/>
      <c r="O933" s="28"/>
      <c r="P933" s="28"/>
      <c r="Q933" s="28"/>
      <c r="R933" s="28"/>
      <c r="S933" s="28"/>
      <c r="T933" s="28"/>
      <c r="U933" s="28"/>
      <c r="V933" s="28"/>
      <c r="W933" s="28"/>
      <c r="X933" s="28"/>
      <c r="Y933" s="28"/>
      <c r="Z933" s="28"/>
      <c r="AA933" s="28"/>
      <c r="AB933" s="28"/>
      <c r="AC933" s="28"/>
    </row>
    <row r="934" spans="1:29" ht="13">
      <c r="A934" s="28"/>
      <c r="B934" s="28"/>
      <c r="C934" s="28"/>
      <c r="D934" s="28"/>
      <c r="E934" s="28"/>
      <c r="F934" s="28"/>
      <c r="G934" s="28"/>
      <c r="H934" s="28"/>
      <c r="I934" s="28"/>
      <c r="J934" s="28"/>
      <c r="K934" s="28"/>
      <c r="L934" s="28"/>
      <c r="M934" s="28"/>
      <c r="N934" s="28"/>
      <c r="O934" s="28"/>
      <c r="P934" s="28"/>
      <c r="Q934" s="28"/>
      <c r="R934" s="28"/>
      <c r="S934" s="28"/>
      <c r="T934" s="28"/>
      <c r="U934" s="28"/>
      <c r="V934" s="28"/>
      <c r="W934" s="28"/>
      <c r="X934" s="28"/>
      <c r="Y934" s="28"/>
      <c r="Z934" s="28"/>
      <c r="AA934" s="28"/>
      <c r="AB934" s="28"/>
      <c r="AC934" s="28"/>
    </row>
    <row r="935" spans="1:29" ht="13">
      <c r="A935" s="28"/>
      <c r="B935" s="28"/>
      <c r="C935" s="28"/>
      <c r="D935" s="28"/>
      <c r="E935" s="28"/>
      <c r="F935" s="28"/>
      <c r="G935" s="28"/>
      <c r="H935" s="28"/>
      <c r="I935" s="28"/>
      <c r="J935" s="28"/>
      <c r="K935" s="28"/>
      <c r="L935" s="28"/>
      <c r="M935" s="28"/>
      <c r="N935" s="28"/>
      <c r="O935" s="28"/>
      <c r="P935" s="28"/>
      <c r="Q935" s="28"/>
      <c r="R935" s="28"/>
      <c r="S935" s="28"/>
      <c r="T935" s="28"/>
      <c r="U935" s="28"/>
      <c r="V935" s="28"/>
      <c r="W935" s="28"/>
      <c r="X935" s="28"/>
      <c r="Y935" s="28"/>
      <c r="Z935" s="28"/>
      <c r="AA935" s="28"/>
      <c r="AB935" s="28"/>
      <c r="AC935" s="28"/>
    </row>
    <row r="936" spans="1:29" ht="13">
      <c r="A936" s="28"/>
      <c r="B936" s="28"/>
      <c r="C936" s="28"/>
      <c r="D936" s="28"/>
      <c r="E936" s="28"/>
      <c r="F936" s="28"/>
      <c r="G936" s="28"/>
      <c r="H936" s="28"/>
      <c r="I936" s="28"/>
      <c r="J936" s="28"/>
      <c r="K936" s="28"/>
      <c r="L936" s="28"/>
      <c r="M936" s="28"/>
      <c r="N936" s="28"/>
      <c r="O936" s="28"/>
      <c r="P936" s="28"/>
      <c r="Q936" s="28"/>
      <c r="R936" s="28"/>
      <c r="S936" s="28"/>
      <c r="T936" s="28"/>
      <c r="U936" s="28"/>
      <c r="V936" s="28"/>
      <c r="W936" s="28"/>
      <c r="X936" s="28"/>
      <c r="Y936" s="28"/>
      <c r="Z936" s="28"/>
      <c r="AA936" s="28"/>
      <c r="AB936" s="28"/>
      <c r="AC936" s="28"/>
    </row>
    <row r="937" spans="1:29" ht="13">
      <c r="A937" s="28"/>
      <c r="B937" s="28"/>
      <c r="C937" s="28"/>
      <c r="D937" s="28"/>
      <c r="E937" s="28"/>
      <c r="F937" s="28"/>
      <c r="G937" s="28"/>
      <c r="H937" s="28"/>
      <c r="I937" s="28"/>
      <c r="J937" s="28"/>
      <c r="K937" s="28"/>
      <c r="L937" s="28"/>
      <c r="M937" s="28"/>
      <c r="N937" s="28"/>
      <c r="O937" s="28"/>
      <c r="P937" s="28"/>
      <c r="Q937" s="28"/>
      <c r="R937" s="28"/>
      <c r="S937" s="28"/>
      <c r="T937" s="28"/>
      <c r="U937" s="28"/>
      <c r="V937" s="28"/>
      <c r="W937" s="28"/>
      <c r="X937" s="28"/>
      <c r="Y937" s="28"/>
      <c r="Z937" s="28"/>
      <c r="AA937" s="28"/>
      <c r="AB937" s="28"/>
      <c r="AC937" s="28"/>
    </row>
    <row r="938" spans="1:29" ht="13">
      <c r="A938" s="28"/>
      <c r="B938" s="28"/>
      <c r="C938" s="28"/>
      <c r="D938" s="28"/>
      <c r="E938" s="28"/>
      <c r="F938" s="28"/>
      <c r="G938" s="28"/>
      <c r="H938" s="28"/>
      <c r="I938" s="28"/>
      <c r="J938" s="28"/>
      <c r="K938" s="28"/>
      <c r="L938" s="28"/>
      <c r="M938" s="28"/>
      <c r="N938" s="28"/>
      <c r="O938" s="28"/>
      <c r="P938" s="28"/>
      <c r="Q938" s="28"/>
      <c r="R938" s="28"/>
      <c r="S938" s="28"/>
      <c r="T938" s="28"/>
      <c r="U938" s="28"/>
      <c r="V938" s="28"/>
      <c r="W938" s="28"/>
      <c r="X938" s="28"/>
      <c r="Y938" s="28"/>
      <c r="Z938" s="28"/>
      <c r="AA938" s="28"/>
      <c r="AB938" s="28"/>
      <c r="AC938" s="28"/>
    </row>
    <row r="939" spans="1:29" ht="13">
      <c r="A939" s="28"/>
      <c r="B939" s="28"/>
      <c r="C939" s="28"/>
      <c r="D939" s="28"/>
      <c r="E939" s="28"/>
      <c r="F939" s="28"/>
      <c r="G939" s="28"/>
      <c r="H939" s="28"/>
      <c r="I939" s="28"/>
      <c r="J939" s="28"/>
      <c r="K939" s="28"/>
      <c r="L939" s="28"/>
      <c r="M939" s="28"/>
      <c r="N939" s="28"/>
      <c r="O939" s="28"/>
      <c r="P939" s="28"/>
      <c r="Q939" s="28"/>
      <c r="R939" s="28"/>
      <c r="S939" s="28"/>
      <c r="T939" s="28"/>
      <c r="U939" s="28"/>
      <c r="V939" s="28"/>
      <c r="W939" s="28"/>
      <c r="X939" s="28"/>
      <c r="Y939" s="28"/>
      <c r="Z939" s="28"/>
      <c r="AA939" s="28"/>
      <c r="AB939" s="28"/>
      <c r="AC939" s="28"/>
    </row>
    <row r="940" spans="1:29" ht="13">
      <c r="A940" s="28"/>
      <c r="B940" s="28"/>
      <c r="C940" s="28"/>
      <c r="D940" s="28"/>
      <c r="E940" s="28"/>
      <c r="F940" s="28"/>
      <c r="G940" s="28"/>
      <c r="H940" s="28"/>
      <c r="I940" s="28"/>
      <c r="J940" s="28"/>
      <c r="K940" s="28"/>
      <c r="L940" s="28"/>
      <c r="M940" s="28"/>
      <c r="N940" s="28"/>
      <c r="O940" s="28"/>
      <c r="P940" s="28"/>
      <c r="Q940" s="28"/>
      <c r="R940" s="28"/>
      <c r="S940" s="28"/>
      <c r="T940" s="28"/>
      <c r="U940" s="28"/>
      <c r="V940" s="28"/>
      <c r="W940" s="28"/>
      <c r="X940" s="28"/>
      <c r="Y940" s="28"/>
      <c r="Z940" s="28"/>
      <c r="AA940" s="28"/>
      <c r="AB940" s="28"/>
      <c r="AC940" s="28"/>
    </row>
    <row r="941" spans="1:29" ht="13">
      <c r="A941" s="28"/>
      <c r="B941" s="28"/>
      <c r="C941" s="28"/>
      <c r="D941" s="28"/>
      <c r="E941" s="28"/>
      <c r="F941" s="28"/>
      <c r="G941" s="28"/>
      <c r="H941" s="28"/>
      <c r="I941" s="28"/>
      <c r="J941" s="28"/>
      <c r="K941" s="28"/>
      <c r="L941" s="28"/>
      <c r="M941" s="28"/>
      <c r="N941" s="28"/>
      <c r="O941" s="28"/>
      <c r="P941" s="28"/>
      <c r="Q941" s="28"/>
      <c r="R941" s="28"/>
      <c r="S941" s="28"/>
      <c r="T941" s="28"/>
      <c r="U941" s="28"/>
      <c r="V941" s="28"/>
      <c r="W941" s="28"/>
      <c r="X941" s="28"/>
      <c r="Y941" s="28"/>
      <c r="Z941" s="28"/>
      <c r="AA941" s="28"/>
      <c r="AB941" s="28"/>
      <c r="AC941" s="28"/>
    </row>
    <row r="942" spans="1:29" ht="13">
      <c r="A942" s="28"/>
      <c r="B942" s="28"/>
      <c r="C942" s="28"/>
      <c r="D942" s="28"/>
      <c r="E942" s="28"/>
      <c r="F942" s="28"/>
      <c r="G942" s="28"/>
      <c r="H942" s="28"/>
      <c r="I942" s="28"/>
      <c r="J942" s="28"/>
      <c r="K942" s="28"/>
      <c r="L942" s="28"/>
      <c r="M942" s="28"/>
      <c r="N942" s="28"/>
      <c r="O942" s="28"/>
      <c r="P942" s="28"/>
      <c r="Q942" s="28"/>
      <c r="R942" s="28"/>
      <c r="S942" s="28"/>
      <c r="T942" s="28"/>
      <c r="U942" s="28"/>
      <c r="V942" s="28"/>
      <c r="W942" s="28"/>
      <c r="X942" s="28"/>
      <c r="Y942" s="28"/>
      <c r="Z942" s="28"/>
      <c r="AA942" s="28"/>
      <c r="AB942" s="28"/>
      <c r="AC942" s="28"/>
    </row>
    <row r="943" spans="1:29" ht="13">
      <c r="A943" s="28"/>
      <c r="B943" s="28"/>
      <c r="C943" s="28"/>
      <c r="D943" s="28"/>
      <c r="E943" s="28"/>
      <c r="F943" s="28"/>
      <c r="G943" s="28"/>
      <c r="H943" s="28"/>
      <c r="I943" s="28"/>
      <c r="J943" s="28"/>
      <c r="K943" s="28"/>
      <c r="L943" s="28"/>
      <c r="M943" s="28"/>
      <c r="N943" s="28"/>
      <c r="O943" s="28"/>
      <c r="P943" s="28"/>
      <c r="Q943" s="28"/>
      <c r="R943" s="28"/>
      <c r="S943" s="28"/>
      <c r="T943" s="28"/>
      <c r="U943" s="28"/>
      <c r="V943" s="28"/>
      <c r="W943" s="28"/>
      <c r="X943" s="28"/>
      <c r="Y943" s="28"/>
      <c r="Z943" s="28"/>
      <c r="AA943" s="28"/>
      <c r="AB943" s="28"/>
      <c r="AC943" s="28"/>
    </row>
    <row r="944" spans="1:29" ht="13">
      <c r="A944" s="28"/>
      <c r="B944" s="28"/>
      <c r="C944" s="28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28"/>
    </row>
    <row r="945" spans="1:29" ht="13">
      <c r="A945" s="28"/>
      <c r="B945" s="28"/>
      <c r="C945" s="28"/>
      <c r="D945" s="28"/>
      <c r="E945" s="28"/>
      <c r="F945" s="28"/>
      <c r="G945" s="28"/>
      <c r="H945" s="28"/>
      <c r="I945" s="28"/>
      <c r="J945" s="28"/>
      <c r="K945" s="28"/>
      <c r="L945" s="28"/>
      <c r="M945" s="28"/>
      <c r="N945" s="28"/>
      <c r="O945" s="28"/>
      <c r="P945" s="28"/>
      <c r="Q945" s="28"/>
      <c r="R945" s="28"/>
      <c r="S945" s="28"/>
      <c r="T945" s="28"/>
      <c r="U945" s="28"/>
      <c r="V945" s="28"/>
      <c r="W945" s="28"/>
      <c r="X945" s="28"/>
      <c r="Y945" s="28"/>
      <c r="Z945" s="28"/>
      <c r="AA945" s="28"/>
      <c r="AB945" s="28"/>
      <c r="AC945" s="28"/>
    </row>
    <row r="946" spans="1:29" ht="13">
      <c r="A946" s="28"/>
      <c r="B946" s="28"/>
      <c r="C946" s="28"/>
      <c r="D946" s="28"/>
      <c r="E946" s="28"/>
      <c r="F946" s="28"/>
      <c r="G946" s="28"/>
      <c r="H946" s="28"/>
      <c r="I946" s="28"/>
      <c r="J946" s="28"/>
      <c r="K946" s="28"/>
      <c r="L946" s="28"/>
      <c r="M946" s="28"/>
      <c r="N946" s="28"/>
      <c r="O946" s="28"/>
      <c r="P946" s="28"/>
      <c r="Q946" s="28"/>
      <c r="R946" s="28"/>
      <c r="S946" s="28"/>
      <c r="T946" s="28"/>
      <c r="U946" s="28"/>
      <c r="V946" s="28"/>
      <c r="W946" s="28"/>
      <c r="X946" s="28"/>
      <c r="Y946" s="28"/>
      <c r="Z946" s="28"/>
      <c r="AA946" s="28"/>
      <c r="AB946" s="28"/>
      <c r="AC946" s="28"/>
    </row>
    <row r="947" spans="1:29" ht="13">
      <c r="A947" s="28"/>
      <c r="B947" s="28"/>
      <c r="C947" s="28"/>
      <c r="D947" s="28"/>
      <c r="E947" s="28"/>
      <c r="F947" s="28"/>
      <c r="G947" s="28"/>
      <c r="H947" s="28"/>
      <c r="I947" s="28"/>
      <c r="J947" s="28"/>
      <c r="K947" s="28"/>
      <c r="L947" s="28"/>
      <c r="M947" s="28"/>
      <c r="N947" s="28"/>
      <c r="O947" s="28"/>
      <c r="P947" s="28"/>
      <c r="Q947" s="28"/>
      <c r="R947" s="28"/>
      <c r="S947" s="28"/>
      <c r="T947" s="28"/>
      <c r="U947" s="28"/>
      <c r="V947" s="28"/>
      <c r="W947" s="28"/>
      <c r="X947" s="28"/>
      <c r="Y947" s="28"/>
      <c r="Z947" s="28"/>
      <c r="AA947" s="28"/>
      <c r="AB947" s="28"/>
      <c r="AC947" s="28"/>
    </row>
    <row r="948" spans="1:29" ht="13">
      <c r="A948" s="28"/>
      <c r="B948" s="28"/>
      <c r="C948" s="28"/>
      <c r="D948" s="28"/>
      <c r="E948" s="28"/>
      <c r="F948" s="28"/>
      <c r="G948" s="28"/>
      <c r="H948" s="28"/>
      <c r="I948" s="28"/>
      <c r="J948" s="28"/>
      <c r="K948" s="28"/>
      <c r="L948" s="28"/>
      <c r="M948" s="28"/>
      <c r="N948" s="28"/>
      <c r="O948" s="28"/>
      <c r="P948" s="28"/>
      <c r="Q948" s="28"/>
      <c r="R948" s="28"/>
      <c r="S948" s="28"/>
      <c r="T948" s="28"/>
      <c r="U948" s="28"/>
      <c r="V948" s="28"/>
      <c r="W948" s="28"/>
      <c r="X948" s="28"/>
      <c r="Y948" s="28"/>
      <c r="Z948" s="28"/>
      <c r="AA948" s="28"/>
      <c r="AB948" s="28"/>
      <c r="AC948" s="28"/>
    </row>
    <row r="949" spans="1:29" ht="13">
      <c r="A949" s="28"/>
      <c r="B949" s="28"/>
      <c r="C949" s="28"/>
      <c r="D949" s="28"/>
      <c r="E949" s="28"/>
      <c r="F949" s="28"/>
      <c r="G949" s="28"/>
      <c r="H949" s="28"/>
      <c r="I949" s="28"/>
      <c r="J949" s="28"/>
      <c r="K949" s="28"/>
      <c r="L949" s="28"/>
      <c r="M949" s="28"/>
      <c r="N949" s="28"/>
      <c r="O949" s="28"/>
      <c r="P949" s="28"/>
      <c r="Q949" s="28"/>
      <c r="R949" s="28"/>
      <c r="S949" s="28"/>
      <c r="T949" s="28"/>
      <c r="U949" s="28"/>
      <c r="V949" s="28"/>
      <c r="W949" s="28"/>
      <c r="X949" s="28"/>
      <c r="Y949" s="28"/>
      <c r="Z949" s="28"/>
      <c r="AA949" s="28"/>
      <c r="AB949" s="28"/>
      <c r="AC949" s="28"/>
    </row>
    <row r="950" spans="1:29" ht="13">
      <c r="A950" s="28"/>
      <c r="B950" s="28"/>
      <c r="C950" s="28"/>
      <c r="D950" s="28"/>
      <c r="E950" s="28"/>
      <c r="F950" s="28"/>
      <c r="G950" s="28"/>
      <c r="H950" s="28"/>
      <c r="I950" s="28"/>
      <c r="J950" s="28"/>
      <c r="K950" s="28"/>
      <c r="L950" s="28"/>
      <c r="M950" s="28"/>
      <c r="N950" s="28"/>
      <c r="O950" s="28"/>
      <c r="P950" s="28"/>
      <c r="Q950" s="28"/>
      <c r="R950" s="28"/>
      <c r="S950" s="28"/>
      <c r="T950" s="28"/>
      <c r="U950" s="28"/>
      <c r="V950" s="28"/>
      <c r="W950" s="28"/>
      <c r="X950" s="28"/>
      <c r="Y950" s="28"/>
      <c r="Z950" s="28"/>
      <c r="AA950" s="28"/>
      <c r="AB950" s="28"/>
      <c r="AC950" s="28"/>
    </row>
    <row r="951" spans="1:29" ht="13">
      <c r="A951" s="28"/>
      <c r="B951" s="28"/>
      <c r="C951" s="28"/>
      <c r="D951" s="28"/>
      <c r="E951" s="28"/>
      <c r="F951" s="28"/>
      <c r="G951" s="28"/>
      <c r="H951" s="28"/>
      <c r="I951" s="28"/>
      <c r="J951" s="28"/>
      <c r="K951" s="28"/>
      <c r="L951" s="28"/>
      <c r="M951" s="28"/>
      <c r="N951" s="28"/>
      <c r="O951" s="28"/>
      <c r="P951" s="28"/>
      <c r="Q951" s="28"/>
      <c r="R951" s="28"/>
      <c r="S951" s="28"/>
      <c r="T951" s="28"/>
      <c r="U951" s="28"/>
      <c r="V951" s="28"/>
      <c r="W951" s="28"/>
      <c r="X951" s="28"/>
      <c r="Y951" s="28"/>
      <c r="Z951" s="28"/>
      <c r="AA951" s="28"/>
      <c r="AB951" s="28"/>
      <c r="AC951" s="28"/>
    </row>
    <row r="952" spans="1:29" ht="13">
      <c r="A952" s="28"/>
      <c r="B952" s="28"/>
      <c r="C952" s="28"/>
      <c r="D952" s="28"/>
      <c r="E952" s="28"/>
      <c r="F952" s="28"/>
      <c r="G952" s="28"/>
      <c r="H952" s="28"/>
      <c r="I952" s="28"/>
      <c r="J952" s="28"/>
      <c r="K952" s="28"/>
      <c r="L952" s="28"/>
      <c r="M952" s="28"/>
      <c r="N952" s="28"/>
      <c r="O952" s="28"/>
      <c r="P952" s="28"/>
      <c r="Q952" s="28"/>
      <c r="R952" s="28"/>
      <c r="S952" s="28"/>
      <c r="T952" s="28"/>
      <c r="U952" s="28"/>
      <c r="V952" s="28"/>
      <c r="W952" s="28"/>
      <c r="X952" s="28"/>
      <c r="Y952" s="28"/>
      <c r="Z952" s="28"/>
      <c r="AA952" s="28"/>
      <c r="AB952" s="28"/>
      <c r="AC952" s="28"/>
    </row>
    <row r="953" spans="1:29" ht="13">
      <c r="A953" s="28"/>
      <c r="B953" s="28"/>
      <c r="C953" s="28"/>
      <c r="D953" s="28"/>
      <c r="E953" s="28"/>
      <c r="F953" s="28"/>
      <c r="G953" s="28"/>
      <c r="H953" s="28"/>
      <c r="I953" s="28"/>
      <c r="J953" s="28"/>
      <c r="K953" s="28"/>
      <c r="L953" s="28"/>
      <c r="M953" s="28"/>
      <c r="N953" s="28"/>
      <c r="O953" s="28"/>
      <c r="P953" s="28"/>
      <c r="Q953" s="28"/>
      <c r="R953" s="28"/>
      <c r="S953" s="28"/>
      <c r="T953" s="28"/>
      <c r="U953" s="28"/>
      <c r="V953" s="28"/>
      <c r="W953" s="28"/>
      <c r="X953" s="28"/>
      <c r="Y953" s="28"/>
      <c r="Z953" s="28"/>
      <c r="AA953" s="28"/>
      <c r="AB953" s="28"/>
      <c r="AC953" s="28"/>
    </row>
    <row r="954" spans="1:29" ht="13">
      <c r="A954" s="28"/>
      <c r="B954" s="28"/>
      <c r="C954" s="28"/>
      <c r="D954" s="28"/>
      <c r="E954" s="28"/>
      <c r="F954" s="28"/>
      <c r="G954" s="28"/>
      <c r="H954" s="28"/>
      <c r="I954" s="28"/>
      <c r="J954" s="28"/>
      <c r="K954" s="28"/>
      <c r="L954" s="28"/>
      <c r="M954" s="28"/>
      <c r="N954" s="28"/>
      <c r="O954" s="28"/>
      <c r="P954" s="28"/>
      <c r="Q954" s="28"/>
      <c r="R954" s="28"/>
      <c r="S954" s="28"/>
      <c r="T954" s="28"/>
      <c r="U954" s="28"/>
      <c r="V954" s="28"/>
      <c r="W954" s="28"/>
      <c r="X954" s="28"/>
      <c r="Y954" s="28"/>
      <c r="Z954" s="28"/>
      <c r="AA954" s="28"/>
      <c r="AB954" s="28"/>
      <c r="AC954" s="28"/>
    </row>
    <row r="955" spans="1:29" ht="13">
      <c r="A955" s="28"/>
      <c r="B955" s="28"/>
      <c r="C955" s="28"/>
      <c r="D955" s="28"/>
      <c r="E955" s="28"/>
      <c r="F955" s="28"/>
      <c r="G955" s="28"/>
      <c r="H955" s="28"/>
      <c r="I955" s="28"/>
      <c r="J955" s="28"/>
      <c r="K955" s="28"/>
      <c r="L955" s="28"/>
      <c r="M955" s="28"/>
      <c r="N955" s="28"/>
      <c r="O955" s="28"/>
      <c r="P955" s="28"/>
      <c r="Q955" s="28"/>
      <c r="R955" s="28"/>
      <c r="S955" s="28"/>
      <c r="T955" s="28"/>
      <c r="U955" s="28"/>
      <c r="V955" s="28"/>
      <c r="W955" s="28"/>
      <c r="X955" s="28"/>
      <c r="Y955" s="28"/>
      <c r="Z955" s="28"/>
      <c r="AA955" s="28"/>
      <c r="AB955" s="28"/>
      <c r="AC955" s="28"/>
    </row>
    <row r="956" spans="1:29" ht="13">
      <c r="A956" s="28"/>
      <c r="B956" s="28"/>
      <c r="C956" s="28"/>
      <c r="D956" s="28"/>
      <c r="E956" s="28"/>
      <c r="F956" s="28"/>
      <c r="G956" s="28"/>
      <c r="H956" s="28"/>
      <c r="I956" s="28"/>
      <c r="J956" s="28"/>
      <c r="K956" s="28"/>
      <c r="L956" s="28"/>
      <c r="M956" s="28"/>
      <c r="N956" s="28"/>
      <c r="O956" s="28"/>
      <c r="P956" s="28"/>
      <c r="Q956" s="28"/>
      <c r="R956" s="28"/>
      <c r="S956" s="28"/>
      <c r="T956" s="28"/>
      <c r="U956" s="28"/>
      <c r="V956" s="28"/>
      <c r="W956" s="28"/>
      <c r="X956" s="28"/>
      <c r="Y956" s="28"/>
      <c r="Z956" s="28"/>
      <c r="AA956" s="28"/>
      <c r="AB956" s="28"/>
      <c r="AC956" s="28"/>
    </row>
    <row r="957" spans="1:29" ht="13">
      <c r="A957" s="28"/>
      <c r="B957" s="28"/>
      <c r="C957" s="28"/>
      <c r="D957" s="28"/>
      <c r="E957" s="28"/>
      <c r="F957" s="28"/>
      <c r="G957" s="28"/>
      <c r="H957" s="28"/>
      <c r="I957" s="28"/>
      <c r="J957" s="28"/>
      <c r="K957" s="28"/>
      <c r="L957" s="28"/>
      <c r="M957" s="28"/>
      <c r="N957" s="28"/>
      <c r="O957" s="28"/>
      <c r="P957" s="28"/>
      <c r="Q957" s="28"/>
      <c r="R957" s="28"/>
      <c r="S957" s="28"/>
      <c r="T957" s="28"/>
      <c r="U957" s="28"/>
      <c r="V957" s="28"/>
      <c r="W957" s="28"/>
      <c r="X957" s="28"/>
      <c r="Y957" s="28"/>
      <c r="Z957" s="28"/>
      <c r="AA957" s="28"/>
      <c r="AB957" s="28"/>
      <c r="AC957" s="28"/>
    </row>
    <row r="958" spans="1:29" ht="13">
      <c r="A958" s="28"/>
      <c r="B958" s="28"/>
      <c r="C958" s="28"/>
      <c r="D958" s="28"/>
      <c r="E958" s="28"/>
      <c r="F958" s="28"/>
      <c r="G958" s="28"/>
      <c r="H958" s="28"/>
      <c r="I958" s="28"/>
      <c r="J958" s="28"/>
      <c r="K958" s="28"/>
      <c r="L958" s="28"/>
      <c r="M958" s="28"/>
      <c r="N958" s="28"/>
      <c r="O958" s="28"/>
      <c r="P958" s="28"/>
      <c r="Q958" s="28"/>
      <c r="R958" s="28"/>
      <c r="S958" s="28"/>
      <c r="T958" s="28"/>
      <c r="U958" s="28"/>
      <c r="V958" s="28"/>
      <c r="W958" s="28"/>
      <c r="X958" s="28"/>
      <c r="Y958" s="28"/>
      <c r="Z958" s="28"/>
      <c r="AA958" s="28"/>
      <c r="AB958" s="28"/>
      <c r="AC958" s="28"/>
    </row>
    <row r="959" spans="1:29" ht="13">
      <c r="A959" s="28"/>
      <c r="B959" s="28"/>
      <c r="C959" s="28"/>
      <c r="D959" s="28"/>
      <c r="E959" s="28"/>
      <c r="F959" s="28"/>
      <c r="G959" s="28"/>
      <c r="H959" s="28"/>
      <c r="I959" s="28"/>
      <c r="J959" s="28"/>
      <c r="K959" s="28"/>
      <c r="L959" s="28"/>
      <c r="M959" s="28"/>
      <c r="N959" s="28"/>
      <c r="O959" s="28"/>
      <c r="P959" s="28"/>
      <c r="Q959" s="28"/>
      <c r="R959" s="28"/>
      <c r="S959" s="28"/>
      <c r="T959" s="28"/>
      <c r="U959" s="28"/>
      <c r="V959" s="28"/>
      <c r="W959" s="28"/>
      <c r="X959" s="28"/>
      <c r="Y959" s="28"/>
      <c r="Z959" s="28"/>
      <c r="AA959" s="28"/>
      <c r="AB959" s="28"/>
      <c r="AC959" s="28"/>
    </row>
    <row r="960" spans="1:29" ht="13">
      <c r="A960" s="28"/>
      <c r="B960" s="28"/>
      <c r="C960" s="28"/>
      <c r="D960" s="28"/>
      <c r="E960" s="28"/>
      <c r="F960" s="28"/>
      <c r="G960" s="28"/>
      <c r="H960" s="28"/>
      <c r="I960" s="28"/>
      <c r="J960" s="28"/>
      <c r="K960" s="28"/>
      <c r="L960" s="28"/>
      <c r="M960" s="28"/>
      <c r="N960" s="28"/>
      <c r="O960" s="28"/>
      <c r="P960" s="28"/>
      <c r="Q960" s="28"/>
      <c r="R960" s="28"/>
      <c r="S960" s="28"/>
      <c r="T960" s="28"/>
      <c r="U960" s="28"/>
      <c r="V960" s="28"/>
      <c r="W960" s="28"/>
      <c r="X960" s="28"/>
      <c r="Y960" s="28"/>
      <c r="Z960" s="28"/>
      <c r="AA960" s="28"/>
      <c r="AB960" s="28"/>
      <c r="AC960" s="28"/>
    </row>
    <row r="961" spans="1:29" ht="13">
      <c r="A961" s="28"/>
      <c r="B961" s="28"/>
      <c r="C961" s="28"/>
      <c r="D961" s="28"/>
      <c r="E961" s="28"/>
      <c r="F961" s="28"/>
      <c r="G961" s="28"/>
      <c r="H961" s="28"/>
      <c r="I961" s="28"/>
      <c r="J961" s="28"/>
      <c r="K961" s="28"/>
      <c r="L961" s="28"/>
      <c r="M961" s="28"/>
      <c r="N961" s="28"/>
      <c r="O961" s="28"/>
      <c r="P961" s="28"/>
      <c r="Q961" s="28"/>
      <c r="R961" s="28"/>
      <c r="S961" s="28"/>
      <c r="T961" s="28"/>
      <c r="U961" s="28"/>
      <c r="V961" s="28"/>
      <c r="W961" s="28"/>
      <c r="X961" s="28"/>
      <c r="Y961" s="28"/>
      <c r="Z961" s="28"/>
      <c r="AA961" s="28"/>
      <c r="AB961" s="28"/>
      <c r="AC961" s="28"/>
    </row>
    <row r="962" spans="1:29" ht="13">
      <c r="A962" s="28"/>
      <c r="B962" s="28"/>
      <c r="C962" s="28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28"/>
      <c r="Z962" s="28"/>
      <c r="AA962" s="28"/>
      <c r="AB962" s="28"/>
      <c r="AC962" s="28"/>
    </row>
    <row r="963" spans="1:29" ht="13">
      <c r="A963" s="28"/>
      <c r="B963" s="28"/>
      <c r="C963" s="28"/>
      <c r="D963" s="28"/>
      <c r="E963" s="28"/>
      <c r="F963" s="28"/>
      <c r="G963" s="28"/>
      <c r="H963" s="28"/>
      <c r="I963" s="28"/>
      <c r="J963" s="28"/>
      <c r="K963" s="28"/>
      <c r="L963" s="28"/>
      <c r="M963" s="28"/>
      <c r="N963" s="28"/>
      <c r="O963" s="28"/>
      <c r="P963" s="28"/>
      <c r="Q963" s="28"/>
      <c r="R963" s="28"/>
      <c r="S963" s="28"/>
      <c r="T963" s="28"/>
      <c r="U963" s="28"/>
      <c r="V963" s="28"/>
      <c r="W963" s="28"/>
      <c r="X963" s="28"/>
      <c r="Y963" s="28"/>
      <c r="Z963" s="28"/>
      <c r="AA963" s="28"/>
      <c r="AB963" s="28"/>
      <c r="AC963" s="28"/>
    </row>
    <row r="964" spans="1:29" ht="13">
      <c r="A964" s="28"/>
      <c r="B964" s="28"/>
      <c r="C964" s="28"/>
      <c r="D964" s="28"/>
      <c r="E964" s="28"/>
      <c r="F964" s="28"/>
      <c r="G964" s="28"/>
      <c r="H964" s="28"/>
      <c r="I964" s="28"/>
      <c r="J964" s="28"/>
      <c r="K964" s="28"/>
      <c r="L964" s="28"/>
      <c r="M964" s="28"/>
      <c r="N964" s="28"/>
      <c r="O964" s="28"/>
      <c r="P964" s="28"/>
      <c r="Q964" s="28"/>
      <c r="R964" s="28"/>
      <c r="S964" s="28"/>
      <c r="T964" s="28"/>
      <c r="U964" s="28"/>
      <c r="V964" s="28"/>
      <c r="W964" s="28"/>
      <c r="X964" s="28"/>
      <c r="Y964" s="28"/>
      <c r="Z964" s="28"/>
      <c r="AA964" s="28"/>
      <c r="AB964" s="28"/>
      <c r="AC964" s="28"/>
    </row>
    <row r="965" spans="1:29" ht="13">
      <c r="A965" s="28"/>
      <c r="B965" s="28"/>
      <c r="C965" s="28"/>
      <c r="D965" s="28"/>
      <c r="E965" s="28"/>
      <c r="F965" s="28"/>
      <c r="G965" s="28"/>
      <c r="H965" s="28"/>
      <c r="I965" s="28"/>
      <c r="J965" s="28"/>
      <c r="K965" s="28"/>
      <c r="L965" s="28"/>
      <c r="M965" s="28"/>
      <c r="N965" s="28"/>
      <c r="O965" s="28"/>
      <c r="P965" s="28"/>
      <c r="Q965" s="28"/>
      <c r="R965" s="28"/>
      <c r="S965" s="28"/>
      <c r="T965" s="28"/>
      <c r="U965" s="28"/>
      <c r="V965" s="28"/>
      <c r="W965" s="28"/>
      <c r="X965" s="28"/>
      <c r="Y965" s="28"/>
      <c r="Z965" s="28"/>
      <c r="AA965" s="28"/>
      <c r="AB965" s="28"/>
      <c r="AC965" s="28"/>
    </row>
    <row r="966" spans="1:29" ht="13">
      <c r="A966" s="28"/>
      <c r="B966" s="28"/>
      <c r="C966" s="28"/>
      <c r="D966" s="28"/>
      <c r="E966" s="28"/>
      <c r="F966" s="28"/>
      <c r="G966" s="28"/>
      <c r="H966" s="28"/>
      <c r="I966" s="28"/>
      <c r="J966" s="28"/>
      <c r="K966" s="28"/>
      <c r="L966" s="28"/>
      <c r="M966" s="28"/>
      <c r="N966" s="28"/>
      <c r="O966" s="28"/>
      <c r="P966" s="28"/>
      <c r="Q966" s="28"/>
      <c r="R966" s="28"/>
      <c r="S966" s="28"/>
      <c r="T966" s="28"/>
      <c r="U966" s="28"/>
      <c r="V966" s="28"/>
      <c r="W966" s="28"/>
      <c r="X966" s="28"/>
      <c r="Y966" s="28"/>
      <c r="Z966" s="28"/>
      <c r="AA966" s="28"/>
      <c r="AB966" s="28"/>
      <c r="AC966" s="28"/>
    </row>
    <row r="967" spans="1:29" ht="13">
      <c r="A967" s="28"/>
      <c r="B967" s="28"/>
      <c r="C967" s="28"/>
      <c r="D967" s="28"/>
      <c r="E967" s="28"/>
      <c r="F967" s="28"/>
      <c r="G967" s="28"/>
      <c r="H967" s="28"/>
      <c r="I967" s="28"/>
      <c r="J967" s="28"/>
      <c r="K967" s="28"/>
      <c r="L967" s="28"/>
      <c r="M967" s="28"/>
      <c r="N967" s="28"/>
      <c r="O967" s="28"/>
      <c r="P967" s="28"/>
      <c r="Q967" s="28"/>
      <c r="R967" s="28"/>
      <c r="S967" s="28"/>
      <c r="T967" s="28"/>
      <c r="U967" s="28"/>
      <c r="V967" s="28"/>
      <c r="W967" s="28"/>
      <c r="X967" s="28"/>
      <c r="Y967" s="28"/>
      <c r="Z967" s="28"/>
      <c r="AA967" s="28"/>
      <c r="AB967" s="28"/>
      <c r="AC967" s="28"/>
    </row>
    <row r="968" spans="1:29" ht="13">
      <c r="A968" s="28"/>
      <c r="B968" s="28"/>
      <c r="C968" s="28"/>
      <c r="D968" s="28"/>
      <c r="E968" s="28"/>
      <c r="F968" s="28"/>
      <c r="G968" s="28"/>
      <c r="H968" s="28"/>
      <c r="I968" s="28"/>
      <c r="J968" s="28"/>
      <c r="K968" s="28"/>
      <c r="L968" s="28"/>
      <c r="M968" s="28"/>
      <c r="N968" s="28"/>
      <c r="O968" s="28"/>
      <c r="P968" s="28"/>
      <c r="Q968" s="28"/>
      <c r="R968" s="28"/>
      <c r="S968" s="28"/>
      <c r="T968" s="28"/>
      <c r="U968" s="28"/>
      <c r="V968" s="28"/>
      <c r="W968" s="28"/>
      <c r="X968" s="28"/>
      <c r="Y968" s="28"/>
      <c r="Z968" s="28"/>
      <c r="AA968" s="28"/>
      <c r="AB968" s="28"/>
      <c r="AC968" s="28"/>
    </row>
    <row r="969" spans="1:29" ht="13">
      <c r="A969" s="28"/>
      <c r="B969" s="28"/>
      <c r="C969" s="28"/>
      <c r="D969" s="28"/>
      <c r="E969" s="28"/>
      <c r="F969" s="28"/>
      <c r="G969" s="28"/>
      <c r="H969" s="28"/>
      <c r="I969" s="28"/>
      <c r="J969" s="28"/>
      <c r="K969" s="28"/>
      <c r="L969" s="28"/>
      <c r="M969" s="28"/>
      <c r="N969" s="28"/>
      <c r="O969" s="28"/>
      <c r="P969" s="28"/>
      <c r="Q969" s="28"/>
      <c r="R969" s="28"/>
      <c r="S969" s="28"/>
      <c r="T969" s="28"/>
      <c r="U969" s="28"/>
      <c r="V969" s="28"/>
      <c r="W969" s="28"/>
      <c r="X969" s="28"/>
      <c r="Y969" s="28"/>
      <c r="Z969" s="28"/>
      <c r="AA969" s="28"/>
      <c r="AB969" s="28"/>
      <c r="AC969" s="28"/>
    </row>
    <row r="970" spans="1:29" ht="13">
      <c r="A970" s="28"/>
      <c r="B970" s="28"/>
      <c r="C970" s="28"/>
      <c r="D970" s="28"/>
      <c r="E970" s="28"/>
      <c r="F970" s="28"/>
      <c r="G970" s="28"/>
      <c r="H970" s="28"/>
      <c r="I970" s="28"/>
      <c r="J970" s="28"/>
      <c r="K970" s="28"/>
      <c r="L970" s="28"/>
      <c r="M970" s="28"/>
      <c r="N970" s="28"/>
      <c r="O970" s="28"/>
      <c r="P970" s="28"/>
      <c r="Q970" s="28"/>
      <c r="R970" s="28"/>
      <c r="S970" s="28"/>
      <c r="T970" s="28"/>
      <c r="U970" s="28"/>
      <c r="V970" s="28"/>
      <c r="W970" s="28"/>
      <c r="X970" s="28"/>
      <c r="Y970" s="28"/>
      <c r="Z970" s="28"/>
      <c r="AA970" s="28"/>
      <c r="AB970" s="28"/>
      <c r="AC970" s="28"/>
    </row>
    <row r="971" spans="1:29" ht="13">
      <c r="A971" s="28"/>
      <c r="B971" s="28"/>
      <c r="C971" s="28"/>
      <c r="D971" s="28"/>
      <c r="E971" s="28"/>
      <c r="F971" s="28"/>
      <c r="G971" s="28"/>
      <c r="H971" s="28"/>
      <c r="I971" s="28"/>
      <c r="J971" s="28"/>
      <c r="K971" s="28"/>
      <c r="L971" s="28"/>
      <c r="M971" s="28"/>
      <c r="N971" s="28"/>
      <c r="O971" s="28"/>
      <c r="P971" s="28"/>
      <c r="Q971" s="28"/>
      <c r="R971" s="28"/>
      <c r="S971" s="28"/>
      <c r="T971" s="28"/>
      <c r="U971" s="28"/>
      <c r="V971" s="28"/>
      <c r="W971" s="28"/>
      <c r="X971" s="28"/>
      <c r="Y971" s="28"/>
      <c r="Z971" s="28"/>
      <c r="AA971" s="28"/>
      <c r="AB971" s="28"/>
      <c r="AC971" s="28"/>
    </row>
    <row r="972" spans="1:29" ht="13">
      <c r="A972" s="28"/>
      <c r="B972" s="28"/>
      <c r="C972" s="28"/>
      <c r="D972" s="28"/>
      <c r="E972" s="28"/>
      <c r="F972" s="28"/>
      <c r="G972" s="28"/>
      <c r="H972" s="28"/>
      <c r="I972" s="28"/>
      <c r="J972" s="28"/>
      <c r="K972" s="28"/>
      <c r="L972" s="28"/>
      <c r="M972" s="28"/>
      <c r="N972" s="28"/>
      <c r="O972" s="28"/>
      <c r="P972" s="28"/>
      <c r="Q972" s="28"/>
      <c r="R972" s="28"/>
      <c r="S972" s="28"/>
      <c r="T972" s="28"/>
      <c r="U972" s="28"/>
      <c r="V972" s="28"/>
      <c r="W972" s="28"/>
      <c r="X972" s="28"/>
      <c r="Y972" s="28"/>
      <c r="Z972" s="28"/>
      <c r="AA972" s="28"/>
      <c r="AB972" s="28"/>
      <c r="AC972" s="28"/>
    </row>
    <row r="973" spans="1:29" ht="13">
      <c r="A973" s="28"/>
      <c r="B973" s="28"/>
      <c r="C973" s="28"/>
      <c r="D973" s="28"/>
      <c r="E973" s="28"/>
      <c r="F973" s="28"/>
      <c r="G973" s="28"/>
      <c r="H973" s="28"/>
      <c r="I973" s="28"/>
      <c r="J973" s="28"/>
      <c r="K973" s="28"/>
      <c r="L973" s="28"/>
      <c r="M973" s="28"/>
      <c r="N973" s="28"/>
      <c r="O973" s="28"/>
      <c r="P973" s="28"/>
      <c r="Q973" s="28"/>
      <c r="R973" s="28"/>
      <c r="S973" s="28"/>
      <c r="T973" s="28"/>
      <c r="U973" s="28"/>
      <c r="V973" s="28"/>
      <c r="W973" s="28"/>
      <c r="X973" s="28"/>
      <c r="Y973" s="28"/>
      <c r="Z973" s="28"/>
      <c r="AA973" s="28"/>
      <c r="AB973" s="28"/>
      <c r="AC973" s="28"/>
    </row>
    <row r="974" spans="1:29" ht="13">
      <c r="A974" s="28"/>
      <c r="B974" s="28"/>
      <c r="C974" s="28"/>
      <c r="D974" s="28"/>
      <c r="E974" s="28"/>
      <c r="F974" s="28"/>
      <c r="G974" s="28"/>
      <c r="H974" s="28"/>
      <c r="I974" s="28"/>
      <c r="J974" s="28"/>
      <c r="K974" s="28"/>
      <c r="L974" s="28"/>
      <c r="M974" s="28"/>
      <c r="N974" s="28"/>
      <c r="O974" s="28"/>
      <c r="P974" s="28"/>
      <c r="Q974" s="28"/>
      <c r="R974" s="28"/>
      <c r="S974" s="28"/>
      <c r="T974" s="28"/>
      <c r="U974" s="28"/>
      <c r="V974" s="28"/>
      <c r="W974" s="28"/>
      <c r="X974" s="28"/>
      <c r="Y974" s="28"/>
      <c r="Z974" s="28"/>
      <c r="AA974" s="28"/>
      <c r="AB974" s="28"/>
      <c r="AC974" s="28"/>
    </row>
    <row r="975" spans="1:29" ht="13">
      <c r="A975" s="28"/>
      <c r="B975" s="28"/>
      <c r="C975" s="28"/>
      <c r="D975" s="28"/>
      <c r="E975" s="28"/>
      <c r="F975" s="28"/>
      <c r="G975" s="28"/>
      <c r="H975" s="28"/>
      <c r="I975" s="28"/>
      <c r="J975" s="28"/>
      <c r="K975" s="28"/>
      <c r="L975" s="28"/>
      <c r="M975" s="28"/>
      <c r="N975" s="28"/>
      <c r="O975" s="28"/>
      <c r="P975" s="28"/>
      <c r="Q975" s="28"/>
      <c r="R975" s="28"/>
      <c r="S975" s="28"/>
      <c r="T975" s="28"/>
      <c r="U975" s="28"/>
      <c r="V975" s="28"/>
      <c r="W975" s="28"/>
      <c r="X975" s="28"/>
      <c r="Y975" s="28"/>
      <c r="Z975" s="28"/>
      <c r="AA975" s="28"/>
      <c r="AB975" s="28"/>
      <c r="AC975" s="28"/>
    </row>
    <row r="976" spans="1:29" ht="13">
      <c r="A976" s="28"/>
      <c r="B976" s="28"/>
      <c r="C976" s="28"/>
      <c r="D976" s="28"/>
      <c r="E976" s="28"/>
      <c r="F976" s="28"/>
      <c r="G976" s="28"/>
      <c r="H976" s="28"/>
      <c r="I976" s="28"/>
      <c r="J976" s="28"/>
      <c r="K976" s="28"/>
      <c r="L976" s="28"/>
      <c r="M976" s="28"/>
      <c r="N976" s="28"/>
      <c r="O976" s="28"/>
      <c r="P976" s="28"/>
      <c r="Q976" s="28"/>
      <c r="R976" s="28"/>
      <c r="S976" s="28"/>
      <c r="T976" s="28"/>
      <c r="U976" s="28"/>
      <c r="V976" s="28"/>
      <c r="W976" s="28"/>
      <c r="X976" s="28"/>
      <c r="Y976" s="28"/>
      <c r="Z976" s="28"/>
      <c r="AA976" s="28"/>
      <c r="AB976" s="28"/>
      <c r="AC976" s="28"/>
    </row>
    <row r="977" spans="1:29" ht="13">
      <c r="A977" s="28"/>
      <c r="B977" s="28"/>
      <c r="C977" s="28"/>
      <c r="D977" s="28"/>
      <c r="E977" s="28"/>
      <c r="F977" s="28"/>
      <c r="G977" s="28"/>
      <c r="H977" s="28"/>
      <c r="I977" s="28"/>
      <c r="J977" s="28"/>
      <c r="K977" s="28"/>
      <c r="L977" s="28"/>
      <c r="M977" s="28"/>
      <c r="N977" s="28"/>
      <c r="O977" s="28"/>
      <c r="P977" s="28"/>
      <c r="Q977" s="28"/>
      <c r="R977" s="28"/>
      <c r="S977" s="28"/>
      <c r="T977" s="28"/>
      <c r="U977" s="28"/>
      <c r="V977" s="28"/>
      <c r="W977" s="28"/>
      <c r="X977" s="28"/>
      <c r="Y977" s="28"/>
      <c r="Z977" s="28"/>
      <c r="AA977" s="28"/>
      <c r="AB977" s="28"/>
      <c r="AC977" s="28"/>
    </row>
    <row r="978" spans="1:29" ht="13">
      <c r="A978" s="28"/>
      <c r="B978" s="28"/>
      <c r="C978" s="28"/>
      <c r="D978" s="28"/>
      <c r="E978" s="28"/>
      <c r="F978" s="28"/>
      <c r="G978" s="28"/>
      <c r="H978" s="28"/>
      <c r="I978" s="28"/>
      <c r="J978" s="28"/>
      <c r="K978" s="28"/>
      <c r="L978" s="28"/>
      <c r="M978" s="28"/>
      <c r="N978" s="28"/>
      <c r="O978" s="28"/>
      <c r="P978" s="28"/>
      <c r="Q978" s="28"/>
      <c r="R978" s="28"/>
      <c r="S978" s="28"/>
      <c r="T978" s="28"/>
      <c r="U978" s="28"/>
      <c r="V978" s="28"/>
      <c r="W978" s="28"/>
      <c r="X978" s="28"/>
      <c r="Y978" s="28"/>
      <c r="Z978" s="28"/>
      <c r="AA978" s="28"/>
      <c r="AB978" s="28"/>
      <c r="AC978" s="28"/>
    </row>
    <row r="979" spans="1:29" ht="13">
      <c r="A979" s="28"/>
      <c r="B979" s="28"/>
      <c r="C979" s="28"/>
      <c r="D979" s="28"/>
      <c r="E979" s="28"/>
      <c r="F979" s="28"/>
      <c r="G979" s="28"/>
      <c r="H979" s="28"/>
      <c r="I979" s="28"/>
      <c r="J979" s="28"/>
      <c r="K979" s="28"/>
      <c r="L979" s="28"/>
      <c r="M979" s="28"/>
      <c r="N979" s="28"/>
      <c r="O979" s="28"/>
      <c r="P979" s="28"/>
      <c r="Q979" s="28"/>
      <c r="R979" s="28"/>
      <c r="S979" s="28"/>
      <c r="T979" s="28"/>
      <c r="U979" s="28"/>
      <c r="V979" s="28"/>
      <c r="W979" s="28"/>
      <c r="X979" s="28"/>
      <c r="Y979" s="28"/>
      <c r="Z979" s="28"/>
      <c r="AA979" s="28"/>
      <c r="AB979" s="28"/>
      <c r="AC979" s="28"/>
    </row>
    <row r="980" spans="1:29" ht="13">
      <c r="A980" s="28"/>
      <c r="B980" s="28"/>
      <c r="C980" s="28"/>
      <c r="D980" s="28"/>
      <c r="E980" s="28"/>
      <c r="F980" s="28"/>
      <c r="G980" s="28"/>
      <c r="H980" s="28"/>
      <c r="I980" s="28"/>
      <c r="J980" s="28"/>
      <c r="K980" s="28"/>
      <c r="L980" s="28"/>
      <c r="M980" s="28"/>
      <c r="N980" s="28"/>
      <c r="O980" s="28"/>
      <c r="P980" s="28"/>
      <c r="Q980" s="28"/>
      <c r="R980" s="28"/>
      <c r="S980" s="28"/>
      <c r="T980" s="28"/>
      <c r="U980" s="28"/>
      <c r="V980" s="28"/>
      <c r="W980" s="28"/>
      <c r="X980" s="28"/>
      <c r="Y980" s="28"/>
      <c r="Z980" s="28"/>
      <c r="AA980" s="28"/>
      <c r="AB980" s="28"/>
      <c r="AC980" s="28"/>
    </row>
    <row r="981" spans="1:29" ht="13">
      <c r="A981" s="28"/>
      <c r="B981" s="28"/>
      <c r="C981" s="28"/>
      <c r="D981" s="28"/>
      <c r="E981" s="28"/>
      <c r="F981" s="28"/>
      <c r="G981" s="28"/>
      <c r="H981" s="28"/>
      <c r="I981" s="28"/>
      <c r="J981" s="28"/>
      <c r="K981" s="28"/>
      <c r="L981" s="28"/>
      <c r="M981" s="28"/>
      <c r="N981" s="28"/>
      <c r="O981" s="28"/>
      <c r="P981" s="28"/>
      <c r="Q981" s="28"/>
      <c r="R981" s="28"/>
      <c r="S981" s="28"/>
      <c r="T981" s="28"/>
      <c r="U981" s="28"/>
      <c r="V981" s="28"/>
      <c r="W981" s="28"/>
      <c r="X981" s="28"/>
      <c r="Y981" s="28"/>
      <c r="Z981" s="28"/>
      <c r="AA981" s="28"/>
      <c r="AB981" s="28"/>
      <c r="AC981" s="28"/>
    </row>
    <row r="982" spans="1:29" ht="13">
      <c r="A982" s="28"/>
      <c r="B982" s="28"/>
      <c r="C982" s="28"/>
      <c r="D982" s="28"/>
      <c r="E982" s="28"/>
      <c r="F982" s="28"/>
      <c r="G982" s="28"/>
      <c r="H982" s="28"/>
      <c r="I982" s="28"/>
      <c r="J982" s="28"/>
      <c r="K982" s="28"/>
      <c r="L982" s="28"/>
      <c r="M982" s="28"/>
      <c r="N982" s="28"/>
      <c r="O982" s="28"/>
      <c r="P982" s="28"/>
      <c r="Q982" s="28"/>
      <c r="R982" s="28"/>
      <c r="S982" s="28"/>
      <c r="T982" s="28"/>
      <c r="U982" s="28"/>
      <c r="V982" s="28"/>
      <c r="W982" s="28"/>
      <c r="X982" s="28"/>
      <c r="Y982" s="28"/>
      <c r="Z982" s="28"/>
      <c r="AA982" s="28"/>
      <c r="AB982" s="28"/>
      <c r="AC982" s="28"/>
    </row>
    <row r="983" spans="1:29" ht="13">
      <c r="A983" s="28"/>
      <c r="B983" s="28"/>
      <c r="C983" s="28"/>
      <c r="D983" s="28"/>
      <c r="E983" s="28"/>
      <c r="F983" s="28"/>
      <c r="G983" s="28"/>
      <c r="H983" s="28"/>
      <c r="I983" s="28"/>
      <c r="J983" s="28"/>
      <c r="K983" s="28"/>
      <c r="L983" s="28"/>
      <c r="M983" s="28"/>
      <c r="N983" s="28"/>
      <c r="O983" s="28"/>
      <c r="P983" s="28"/>
      <c r="Q983" s="28"/>
      <c r="R983" s="28"/>
      <c r="S983" s="28"/>
      <c r="T983" s="28"/>
      <c r="U983" s="28"/>
      <c r="V983" s="28"/>
      <c r="W983" s="28"/>
      <c r="X983" s="28"/>
      <c r="Y983" s="28"/>
      <c r="Z983" s="28"/>
      <c r="AA983" s="28"/>
      <c r="AB983" s="28"/>
      <c r="AC983" s="28"/>
    </row>
    <row r="984" spans="1:29" ht="13">
      <c r="A984" s="28"/>
      <c r="B984" s="28"/>
      <c r="C984" s="28"/>
      <c r="D984" s="28"/>
      <c r="E984" s="28"/>
      <c r="F984" s="28"/>
      <c r="G984" s="28"/>
      <c r="H984" s="28"/>
      <c r="I984" s="28"/>
      <c r="J984" s="28"/>
      <c r="K984" s="28"/>
      <c r="L984" s="28"/>
      <c r="M984" s="28"/>
      <c r="N984" s="28"/>
      <c r="O984" s="28"/>
      <c r="P984" s="28"/>
      <c r="Q984" s="28"/>
      <c r="R984" s="28"/>
      <c r="S984" s="28"/>
      <c r="T984" s="28"/>
      <c r="U984" s="28"/>
      <c r="V984" s="28"/>
      <c r="W984" s="28"/>
      <c r="X984" s="28"/>
      <c r="Y984" s="28"/>
      <c r="Z984" s="28"/>
      <c r="AA984" s="28"/>
      <c r="AB984" s="28"/>
      <c r="AC984" s="28"/>
    </row>
    <row r="985" spans="1:29" ht="13">
      <c r="A985" s="28"/>
      <c r="B985" s="28"/>
      <c r="C985" s="28"/>
      <c r="D985" s="28"/>
      <c r="E985" s="28"/>
      <c r="F985" s="28"/>
      <c r="G985" s="28"/>
      <c r="H985" s="28"/>
      <c r="I985" s="28"/>
      <c r="J985" s="28"/>
      <c r="K985" s="28"/>
      <c r="L985" s="28"/>
      <c r="M985" s="28"/>
      <c r="N985" s="28"/>
      <c r="O985" s="28"/>
      <c r="P985" s="28"/>
      <c r="Q985" s="28"/>
      <c r="R985" s="28"/>
      <c r="S985" s="28"/>
      <c r="T985" s="28"/>
      <c r="U985" s="28"/>
      <c r="V985" s="28"/>
      <c r="W985" s="28"/>
      <c r="X985" s="28"/>
      <c r="Y985" s="28"/>
      <c r="Z985" s="28"/>
      <c r="AA985" s="28"/>
      <c r="AB985" s="28"/>
      <c r="AC985" s="28"/>
    </row>
    <row r="986" spans="1:29" ht="13">
      <c r="A986" s="28"/>
      <c r="B986" s="28"/>
      <c r="C986" s="28"/>
      <c r="D986" s="28"/>
      <c r="E986" s="28"/>
      <c r="F986" s="28"/>
      <c r="G986" s="28"/>
      <c r="H986" s="28"/>
      <c r="I986" s="28"/>
      <c r="J986" s="28"/>
      <c r="K986" s="28"/>
      <c r="L986" s="28"/>
      <c r="M986" s="28"/>
      <c r="N986" s="28"/>
      <c r="O986" s="28"/>
      <c r="P986" s="28"/>
      <c r="Q986" s="28"/>
      <c r="R986" s="28"/>
      <c r="S986" s="28"/>
      <c r="T986" s="28"/>
      <c r="U986" s="28"/>
      <c r="V986" s="28"/>
      <c r="W986" s="28"/>
      <c r="X986" s="28"/>
      <c r="Y986" s="28"/>
      <c r="Z986" s="28"/>
      <c r="AA986" s="28"/>
      <c r="AB986" s="28"/>
      <c r="AC986" s="28"/>
    </row>
    <row r="987" spans="1:29" ht="13">
      <c r="A987" s="28"/>
      <c r="B987" s="28"/>
      <c r="C987" s="28"/>
      <c r="D987" s="28"/>
      <c r="E987" s="28"/>
      <c r="F987" s="28"/>
      <c r="G987" s="28"/>
      <c r="H987" s="28"/>
      <c r="I987" s="28"/>
      <c r="J987" s="28"/>
      <c r="K987" s="28"/>
      <c r="L987" s="28"/>
      <c r="M987" s="28"/>
      <c r="N987" s="28"/>
      <c r="O987" s="28"/>
      <c r="P987" s="28"/>
      <c r="Q987" s="28"/>
      <c r="R987" s="28"/>
      <c r="S987" s="28"/>
      <c r="T987" s="28"/>
      <c r="U987" s="28"/>
      <c r="V987" s="28"/>
      <c r="W987" s="28"/>
      <c r="X987" s="28"/>
      <c r="Y987" s="28"/>
      <c r="Z987" s="28"/>
      <c r="AA987" s="28"/>
      <c r="AB987" s="28"/>
      <c r="AC987" s="28"/>
    </row>
    <row r="988" spans="1:29" ht="13">
      <c r="A988" s="28"/>
      <c r="B988" s="28"/>
      <c r="C988" s="28"/>
      <c r="D988" s="28"/>
      <c r="E988" s="28"/>
      <c r="F988" s="28"/>
      <c r="G988" s="28"/>
      <c r="H988" s="28"/>
      <c r="I988" s="28"/>
      <c r="J988" s="28"/>
      <c r="K988" s="28"/>
      <c r="L988" s="28"/>
      <c r="M988" s="28"/>
      <c r="N988" s="28"/>
      <c r="O988" s="28"/>
      <c r="P988" s="28"/>
      <c r="Q988" s="28"/>
      <c r="R988" s="28"/>
      <c r="S988" s="28"/>
      <c r="T988" s="28"/>
      <c r="U988" s="28"/>
      <c r="V988" s="28"/>
      <c r="W988" s="28"/>
      <c r="X988" s="28"/>
      <c r="Y988" s="28"/>
      <c r="Z988" s="28"/>
      <c r="AA988" s="28"/>
      <c r="AB988" s="28"/>
      <c r="AC988" s="28"/>
    </row>
    <row r="989" spans="1:29" ht="13">
      <c r="A989" s="28"/>
      <c r="B989" s="28"/>
      <c r="C989" s="28"/>
      <c r="D989" s="28"/>
      <c r="E989" s="28"/>
      <c r="F989" s="28"/>
      <c r="G989" s="28"/>
      <c r="H989" s="28"/>
      <c r="I989" s="28"/>
      <c r="J989" s="28"/>
      <c r="K989" s="28"/>
      <c r="L989" s="28"/>
      <c r="M989" s="28"/>
      <c r="N989" s="28"/>
      <c r="O989" s="28"/>
      <c r="P989" s="28"/>
      <c r="Q989" s="28"/>
      <c r="R989" s="28"/>
      <c r="S989" s="28"/>
      <c r="T989" s="28"/>
      <c r="U989" s="28"/>
      <c r="V989" s="28"/>
      <c r="W989" s="28"/>
      <c r="X989" s="28"/>
      <c r="Y989" s="28"/>
      <c r="Z989" s="28"/>
      <c r="AA989" s="28"/>
      <c r="AB989" s="28"/>
      <c r="AC989" s="28"/>
    </row>
    <row r="990" spans="1:29" ht="13">
      <c r="A990" s="28"/>
      <c r="B990" s="28"/>
      <c r="C990" s="28"/>
      <c r="D990" s="28"/>
      <c r="E990" s="28"/>
      <c r="F990" s="28"/>
      <c r="G990" s="28"/>
      <c r="H990" s="28"/>
      <c r="I990" s="28"/>
      <c r="J990" s="28"/>
      <c r="K990" s="28"/>
      <c r="L990" s="28"/>
      <c r="M990" s="28"/>
      <c r="N990" s="28"/>
      <c r="O990" s="28"/>
      <c r="P990" s="28"/>
      <c r="Q990" s="28"/>
      <c r="R990" s="28"/>
      <c r="S990" s="28"/>
      <c r="T990" s="28"/>
      <c r="U990" s="28"/>
      <c r="V990" s="28"/>
      <c r="W990" s="28"/>
      <c r="X990" s="28"/>
      <c r="Y990" s="28"/>
      <c r="Z990" s="28"/>
      <c r="AA990" s="28"/>
      <c r="AB990" s="28"/>
      <c r="AC990" s="28"/>
    </row>
    <row r="991" spans="1:29" ht="13">
      <c r="A991" s="28"/>
      <c r="B991" s="28"/>
      <c r="C991" s="28"/>
      <c r="D991" s="28"/>
      <c r="E991" s="28"/>
      <c r="F991" s="28"/>
      <c r="G991" s="28"/>
      <c r="H991" s="28"/>
      <c r="I991" s="28"/>
      <c r="J991" s="28"/>
      <c r="K991" s="28"/>
      <c r="L991" s="28"/>
      <c r="M991" s="28"/>
      <c r="N991" s="28"/>
      <c r="O991" s="28"/>
      <c r="P991" s="28"/>
      <c r="Q991" s="28"/>
      <c r="R991" s="28"/>
      <c r="S991" s="28"/>
      <c r="T991" s="28"/>
      <c r="U991" s="28"/>
      <c r="V991" s="28"/>
      <c r="W991" s="28"/>
      <c r="X991" s="28"/>
      <c r="Y991" s="28"/>
      <c r="Z991" s="28"/>
      <c r="AA991" s="28"/>
      <c r="AB991" s="28"/>
      <c r="AC991" s="28"/>
    </row>
    <row r="992" spans="1:29" ht="13">
      <c r="A992" s="28"/>
      <c r="B992" s="28"/>
      <c r="C992" s="28"/>
      <c r="D992" s="28"/>
      <c r="E992" s="28"/>
      <c r="F992" s="28"/>
      <c r="G992" s="28"/>
      <c r="H992" s="28"/>
      <c r="I992" s="28"/>
      <c r="J992" s="28"/>
      <c r="K992" s="28"/>
      <c r="L992" s="28"/>
      <c r="M992" s="28"/>
      <c r="N992" s="28"/>
      <c r="O992" s="28"/>
      <c r="P992" s="28"/>
      <c r="Q992" s="28"/>
      <c r="R992" s="28"/>
      <c r="S992" s="28"/>
      <c r="T992" s="28"/>
      <c r="U992" s="28"/>
      <c r="V992" s="28"/>
      <c r="W992" s="28"/>
      <c r="X992" s="28"/>
      <c r="Y992" s="28"/>
      <c r="Z992" s="28"/>
      <c r="AA992" s="28"/>
      <c r="AB992" s="28"/>
      <c r="AC992" s="28"/>
    </row>
    <row r="993" spans="1:29" ht="13">
      <c r="A993" s="28"/>
      <c r="B993" s="28"/>
      <c r="C993" s="28"/>
      <c r="D993" s="28"/>
      <c r="E993" s="28"/>
      <c r="F993" s="28"/>
      <c r="G993" s="28"/>
      <c r="H993" s="28"/>
      <c r="I993" s="28"/>
      <c r="J993" s="28"/>
      <c r="K993" s="28"/>
      <c r="L993" s="28"/>
      <c r="M993" s="28"/>
      <c r="N993" s="28"/>
      <c r="O993" s="28"/>
      <c r="P993" s="28"/>
      <c r="Q993" s="28"/>
      <c r="R993" s="28"/>
      <c r="S993" s="28"/>
      <c r="T993" s="28"/>
      <c r="U993" s="28"/>
      <c r="V993" s="28"/>
      <c r="W993" s="28"/>
      <c r="X993" s="28"/>
      <c r="Y993" s="28"/>
      <c r="Z993" s="28"/>
      <c r="AA993" s="28"/>
      <c r="AB993" s="28"/>
      <c r="AC993" s="28"/>
    </row>
    <row r="994" spans="1:29" ht="13">
      <c r="A994" s="28"/>
      <c r="B994" s="28"/>
      <c r="C994" s="28"/>
      <c r="D994" s="28"/>
      <c r="E994" s="28"/>
      <c r="F994" s="28"/>
      <c r="G994" s="28"/>
      <c r="H994" s="28"/>
      <c r="I994" s="28"/>
      <c r="J994" s="28"/>
      <c r="K994" s="28"/>
      <c r="L994" s="28"/>
      <c r="M994" s="28"/>
      <c r="N994" s="28"/>
      <c r="O994" s="28"/>
      <c r="P994" s="28"/>
      <c r="Q994" s="28"/>
      <c r="R994" s="28"/>
      <c r="S994" s="28"/>
      <c r="T994" s="28"/>
      <c r="U994" s="28"/>
      <c r="V994" s="28"/>
      <c r="W994" s="28"/>
      <c r="X994" s="28"/>
      <c r="Y994" s="28"/>
      <c r="Z994" s="28"/>
      <c r="AA994" s="28"/>
      <c r="AB994" s="28"/>
      <c r="AC994" s="28"/>
    </row>
    <row r="995" spans="1:29" ht="13">
      <c r="A995" s="28"/>
      <c r="B995" s="28"/>
      <c r="C995" s="28"/>
      <c r="D995" s="28"/>
      <c r="E995" s="28"/>
      <c r="F995" s="28"/>
      <c r="G995" s="28"/>
      <c r="H995" s="28"/>
      <c r="I995" s="28"/>
      <c r="J995" s="28"/>
      <c r="K995" s="28"/>
      <c r="L995" s="28"/>
      <c r="M995" s="28"/>
      <c r="N995" s="28"/>
      <c r="O995" s="28"/>
      <c r="P995" s="28"/>
      <c r="Q995" s="28"/>
      <c r="R995" s="28"/>
      <c r="S995" s="28"/>
      <c r="T995" s="28"/>
      <c r="U995" s="28"/>
      <c r="V995" s="28"/>
      <c r="W995" s="28"/>
      <c r="X995" s="28"/>
      <c r="Y995" s="28"/>
      <c r="Z995" s="28"/>
      <c r="AA995" s="28"/>
      <c r="AB995" s="28"/>
      <c r="AC995" s="28"/>
    </row>
    <row r="996" spans="1:29" ht="13">
      <c r="A996" s="28"/>
      <c r="B996" s="28"/>
      <c r="C996" s="28"/>
      <c r="D996" s="28"/>
      <c r="E996" s="28"/>
      <c r="F996" s="28"/>
      <c r="G996" s="28"/>
      <c r="H996" s="28"/>
      <c r="I996" s="28"/>
      <c r="J996" s="28"/>
      <c r="K996" s="28"/>
      <c r="L996" s="28"/>
      <c r="M996" s="28"/>
      <c r="N996" s="28"/>
      <c r="O996" s="28"/>
      <c r="P996" s="28"/>
      <c r="Q996" s="28"/>
      <c r="R996" s="28"/>
      <c r="S996" s="28"/>
      <c r="T996" s="28"/>
      <c r="U996" s="28"/>
      <c r="V996" s="28"/>
      <c r="W996" s="28"/>
      <c r="X996" s="28"/>
      <c r="Y996" s="28"/>
      <c r="Z996" s="28"/>
      <c r="AA996" s="28"/>
      <c r="AB996" s="28"/>
      <c r="AC996" s="28"/>
    </row>
    <row r="997" spans="1:29" ht="13">
      <c r="A997" s="28"/>
      <c r="B997" s="28"/>
      <c r="C997" s="28"/>
      <c r="D997" s="28"/>
      <c r="E997" s="28"/>
      <c r="F997" s="28"/>
      <c r="G997" s="28"/>
      <c r="H997" s="28"/>
      <c r="I997" s="28"/>
      <c r="J997" s="28"/>
      <c r="K997" s="28"/>
      <c r="L997" s="28"/>
      <c r="M997" s="28"/>
      <c r="N997" s="28"/>
      <c r="O997" s="28"/>
      <c r="P997" s="28"/>
      <c r="Q997" s="28"/>
      <c r="R997" s="28"/>
      <c r="S997" s="28"/>
      <c r="T997" s="28"/>
      <c r="U997" s="28"/>
      <c r="V997" s="28"/>
      <c r="W997" s="28"/>
      <c r="X997" s="28"/>
      <c r="Y997" s="28"/>
      <c r="Z997" s="28"/>
      <c r="AA997" s="28"/>
      <c r="AB997" s="28"/>
      <c r="AC997" s="28"/>
    </row>
    <row r="998" spans="1:29" ht="13">
      <c r="A998" s="28"/>
      <c r="B998" s="28"/>
      <c r="C998" s="28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28"/>
      <c r="Z998" s="28"/>
      <c r="AA998" s="28"/>
      <c r="AB998" s="28"/>
      <c r="AC998" s="28"/>
    </row>
    <row r="999" spans="1:29" ht="13">
      <c r="A999" s="28"/>
      <c r="B999" s="28"/>
      <c r="C999" s="28"/>
      <c r="D999" s="28"/>
      <c r="E999" s="28"/>
      <c r="F999" s="28"/>
      <c r="G999" s="28"/>
      <c r="H999" s="28"/>
      <c r="I999" s="28"/>
      <c r="J999" s="28"/>
      <c r="K999" s="28"/>
      <c r="L999" s="28"/>
      <c r="M999" s="28"/>
      <c r="N999" s="28"/>
      <c r="O999" s="28"/>
      <c r="P999" s="28"/>
      <c r="Q999" s="28"/>
      <c r="R999" s="28"/>
      <c r="S999" s="28"/>
      <c r="T999" s="28"/>
      <c r="U999" s="28"/>
      <c r="V999" s="28"/>
      <c r="W999" s="28"/>
      <c r="X999" s="28"/>
      <c r="Y999" s="28"/>
      <c r="Z999" s="28"/>
      <c r="AA999" s="28"/>
      <c r="AB999" s="28"/>
      <c r="AC999" s="28"/>
    </row>
    <row r="1000" spans="1:29" ht="13">
      <c r="A1000" s="28"/>
      <c r="B1000" s="28"/>
      <c r="C1000" s="28"/>
      <c r="D1000" s="28"/>
      <c r="E1000" s="28"/>
      <c r="F1000" s="28"/>
      <c r="G1000" s="28"/>
      <c r="H1000" s="28"/>
      <c r="I1000" s="28"/>
      <c r="J1000" s="28"/>
      <c r="K1000" s="28"/>
      <c r="L1000" s="28"/>
      <c r="M1000" s="28"/>
      <c r="N1000" s="28"/>
      <c r="O1000" s="28"/>
      <c r="P1000" s="28"/>
      <c r="Q1000" s="28"/>
      <c r="R1000" s="28"/>
      <c r="S1000" s="28"/>
      <c r="T1000" s="28"/>
      <c r="U1000" s="28"/>
      <c r="V1000" s="28"/>
      <c r="W1000" s="28"/>
      <c r="X1000" s="28"/>
      <c r="Y1000" s="28"/>
      <c r="Z1000" s="28"/>
      <c r="AA1000" s="28"/>
      <c r="AB1000" s="28"/>
      <c r="AC1000" s="28"/>
    </row>
  </sheetData>
  <conditionalFormatting sqref="D3:D29 O2 V3:V7 W3:W31 C4:C29 R4:R9 E6:E29 O7:O30 U7:U20 F15:F29 J15:J30 L15:L29 H18:H30 R18:R29 G20:G29 N20:N30 X20:X29 Z20:Z29 B21:B29 I21:I29 Y21:Y29 AB21:AB29 S23:T30 AA23:AA28 K25:K30 M27:M29 P27:P2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TTM (bounded)</vt:lpstr>
      <vt:lpstr>TTM</vt:lpstr>
      <vt:lpstr>Timeline</vt:lpstr>
      <vt:lpstr>Revenue</vt:lpstr>
      <vt:lpstr>Revenue Growth YoY</vt:lpstr>
      <vt:lpstr>EBITDA_MARGIN</vt:lpstr>
      <vt:lpstr>Quarterly Revenue&amp;EBITDA</vt:lpstr>
      <vt:lpstr>Raw Annual Revenue</vt:lpstr>
      <vt:lpstr>Raw Annual EBITDA</vt:lpstr>
      <vt:lpstr>Copy of Annual</vt:lpstr>
      <vt:lpstr>Formatted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Gum Lau</cp:lastModifiedBy>
  <dcterms:modified xsi:type="dcterms:W3CDTF">2025-01-22T08:33:30Z</dcterms:modified>
</cp:coreProperties>
</file>