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dh\OneDrive\Рабочий стол\"/>
    </mc:Choice>
  </mc:AlternateContent>
  <xr:revisionPtr revIDLastSave="0" documentId="13_ncr:1_{61639765-FB4F-4182-B06B-1776320677BA}" xr6:coauthVersionLast="37" xr6:coauthVersionMax="45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AD51" i="1" l="1"/>
  <c r="AD28" i="1"/>
  <c r="AC27" i="1"/>
  <c r="B42" i="1" l="1"/>
  <c r="F35" i="1"/>
  <c r="B23" i="1"/>
  <c r="Z51" i="1" l="1"/>
  <c r="P51" i="1"/>
  <c r="Z28" i="1"/>
  <c r="P28" i="1"/>
  <c r="Z5" i="1"/>
  <c r="P5" i="1"/>
  <c r="G56" i="1" l="1"/>
  <c r="H56" i="1"/>
  <c r="F56" i="1"/>
  <c r="D56" i="1"/>
  <c r="C56" i="1"/>
  <c r="B56" i="1"/>
  <c r="B25" i="1"/>
  <c r="B26" i="1" l="1"/>
  <c r="B34" i="1" s="1"/>
  <c r="B31" i="1" l="1"/>
  <c r="D28" i="1"/>
  <c r="C28" i="1"/>
  <c r="B28" i="1"/>
  <c r="D25" i="1"/>
  <c r="C25" i="1"/>
  <c r="G63" i="1" l="1"/>
  <c r="H63" i="1"/>
  <c r="F63" i="1"/>
  <c r="C63" i="1"/>
  <c r="D63" i="1"/>
  <c r="B63" i="1" l="1"/>
  <c r="D7" i="1" l="1"/>
  <c r="C7" i="1"/>
  <c r="B20" i="1"/>
  <c r="B19" i="1"/>
  <c r="B27" i="1" s="1"/>
  <c r="B18" i="1"/>
  <c r="B24" i="1" l="1"/>
  <c r="C23" i="1"/>
  <c r="D23" i="1"/>
  <c r="C24" i="1"/>
  <c r="D24" i="1"/>
  <c r="D26" i="1"/>
  <c r="C26" i="1"/>
  <c r="B29" i="1" l="1"/>
  <c r="D27" i="1"/>
  <c r="H59" i="1" s="1"/>
  <c r="D34" i="1"/>
  <c r="D31" i="1"/>
  <c r="C27" i="1"/>
  <c r="C31" i="1"/>
  <c r="C34" i="1"/>
  <c r="F59" i="1"/>
  <c r="AB5" i="1" s="1"/>
  <c r="B59" i="1"/>
  <c r="AB4" i="1" l="1"/>
  <c r="R4" i="1"/>
  <c r="R5" i="1"/>
  <c r="C29" i="1"/>
  <c r="C32" i="1" s="1"/>
  <c r="D59" i="1"/>
  <c r="B32" i="1"/>
  <c r="G59" i="1"/>
  <c r="C59" i="1"/>
  <c r="D29" i="1"/>
  <c r="R51" i="1" l="1"/>
  <c r="AB50" i="1"/>
  <c r="R50" i="1"/>
  <c r="AB51" i="1"/>
  <c r="AB27" i="1"/>
  <c r="R27" i="1"/>
  <c r="R28" i="1"/>
  <c r="AB28" i="1"/>
  <c r="G31" i="1"/>
  <c r="G32" i="1" s="1"/>
  <c r="B35" i="1"/>
  <c r="D32" i="1"/>
  <c r="F34" i="1"/>
  <c r="G34" i="1"/>
  <c r="C35" i="1"/>
  <c r="H34" i="1"/>
  <c r="H31" i="1"/>
  <c r="H32" i="1" s="1"/>
  <c r="F31" i="1"/>
  <c r="H35" i="1" l="1"/>
  <c r="G35" i="1"/>
  <c r="F32" i="1"/>
  <c r="B37" i="1"/>
  <c r="B38" i="1" s="1"/>
  <c r="B53" i="1" s="1"/>
  <c r="C37" i="1"/>
  <c r="D35" i="1"/>
  <c r="D37" i="1" l="1"/>
  <c r="D38" i="1" s="1"/>
  <c r="G37" i="1"/>
  <c r="C60" i="1"/>
  <c r="C69" i="1" s="1"/>
  <c r="C38" i="1"/>
  <c r="C55" i="1" s="1"/>
  <c r="B64" i="1"/>
  <c r="B65" i="1" s="1"/>
  <c r="B43" i="1"/>
  <c r="B52" i="1"/>
  <c r="B44" i="1"/>
  <c r="B49" i="1"/>
  <c r="B46" i="1"/>
  <c r="B45" i="1"/>
  <c r="B41" i="1"/>
  <c r="B47" i="1"/>
  <c r="B50" i="1"/>
  <c r="B55" i="1"/>
  <c r="B60" i="1"/>
  <c r="B69" i="1" s="1"/>
  <c r="H37" i="1"/>
  <c r="Q28" i="1" l="1"/>
  <c r="S28" i="1" s="1"/>
  <c r="Q27" i="1"/>
  <c r="S27" i="1" s="1"/>
  <c r="B66" i="1"/>
  <c r="B67" i="1" s="1"/>
  <c r="B68" i="1" s="1"/>
  <c r="AD4" i="1"/>
  <c r="T4" i="1"/>
  <c r="T5" i="1"/>
  <c r="Q5" i="1"/>
  <c r="S5" i="1" s="1"/>
  <c r="Q4" i="1"/>
  <c r="S4" i="1" s="1"/>
  <c r="H60" i="1"/>
  <c r="H69" i="1" s="1"/>
  <c r="H38" i="1"/>
  <c r="H55" i="1" s="1"/>
  <c r="C61" i="1"/>
  <c r="B70" i="1"/>
  <c r="B61" i="1"/>
  <c r="D64" i="1"/>
  <c r="D65" i="1" s="1"/>
  <c r="D43" i="1"/>
  <c r="D46" i="1"/>
  <c r="D42" i="1"/>
  <c r="D41" i="1"/>
  <c r="D44" i="1"/>
  <c r="D45" i="1"/>
  <c r="D52" i="1"/>
  <c r="D49" i="1"/>
  <c r="D47" i="1"/>
  <c r="D50" i="1"/>
  <c r="F37" i="1"/>
  <c r="D53" i="1"/>
  <c r="C64" i="1"/>
  <c r="C65" i="1" s="1"/>
  <c r="C43" i="1"/>
  <c r="C46" i="1"/>
  <c r="C44" i="1"/>
  <c r="C41" i="1"/>
  <c r="C42" i="1"/>
  <c r="C45" i="1"/>
  <c r="C47" i="1"/>
  <c r="C52" i="1"/>
  <c r="C49" i="1"/>
  <c r="C50" i="1"/>
  <c r="C53" i="1"/>
  <c r="G60" i="1"/>
  <c r="G69" i="1" s="1"/>
  <c r="G38" i="1"/>
  <c r="D55" i="1"/>
  <c r="D60" i="1"/>
  <c r="D69" i="1" s="1"/>
  <c r="D66" i="1" l="1"/>
  <c r="D67" i="1" s="1"/>
  <c r="D68" i="1" s="1"/>
  <c r="T51" i="1"/>
  <c r="T50" i="1"/>
  <c r="AD50" i="1"/>
  <c r="Q51" i="1"/>
  <c r="S51" i="1" s="1"/>
  <c r="Q50" i="1"/>
  <c r="S50" i="1" s="1"/>
  <c r="C66" i="1"/>
  <c r="C67" i="1" s="1"/>
  <c r="C68" i="1" s="1"/>
  <c r="T28" i="1"/>
  <c r="AD27" i="1"/>
  <c r="T27" i="1"/>
  <c r="AA51" i="1"/>
  <c r="AC51" i="1" s="1"/>
  <c r="AA50" i="1"/>
  <c r="AC50" i="1" s="1"/>
  <c r="AA28" i="1"/>
  <c r="AC28" i="1" s="1"/>
  <c r="AA27" i="1"/>
  <c r="G46" i="1"/>
  <c r="G45" i="1"/>
  <c r="G64" i="1"/>
  <c r="G65" i="1" s="1"/>
  <c r="G66" i="1" s="1"/>
  <c r="G67" i="1" s="1"/>
  <c r="G68" i="1" s="1"/>
  <c r="G43" i="1"/>
  <c r="G42" i="1"/>
  <c r="G44" i="1"/>
  <c r="G41" i="1"/>
  <c r="G47" i="1"/>
  <c r="G49" i="1"/>
  <c r="G52" i="1"/>
  <c r="G50" i="1"/>
  <c r="G53" i="1"/>
  <c r="D61" i="1"/>
  <c r="D70" i="1"/>
  <c r="F38" i="1"/>
  <c r="F60" i="1"/>
  <c r="F69" i="1" s="1"/>
  <c r="G55" i="1"/>
  <c r="H64" i="1"/>
  <c r="H65" i="1" s="1"/>
  <c r="H66" i="1" s="1"/>
  <c r="H67" i="1" s="1"/>
  <c r="H68" i="1" s="1"/>
  <c r="H43" i="1"/>
  <c r="H46" i="1"/>
  <c r="H41" i="1"/>
  <c r="H44" i="1"/>
  <c r="H42" i="1"/>
  <c r="H45" i="1"/>
  <c r="H47" i="1"/>
  <c r="H50" i="1"/>
  <c r="H49" i="1"/>
  <c r="H52" i="1"/>
  <c r="H53" i="1"/>
  <c r="G61" i="1"/>
  <c r="C70" i="1"/>
  <c r="H61" i="1"/>
  <c r="AA5" i="1" l="1"/>
  <c r="AC5" i="1" s="1"/>
  <c r="AA4" i="1"/>
  <c r="AC4" i="1" s="1"/>
  <c r="H70" i="1"/>
  <c r="D73" i="1" s="1"/>
  <c r="G70" i="1"/>
  <c r="C73" i="1" s="1"/>
  <c r="F43" i="1"/>
  <c r="F44" i="1"/>
  <c r="F46" i="1"/>
  <c r="F45" i="1"/>
  <c r="F42" i="1"/>
  <c r="F41" i="1"/>
  <c r="F47" i="1"/>
  <c r="F52" i="1"/>
  <c r="F49" i="1"/>
  <c r="F64" i="1"/>
  <c r="F65" i="1" s="1"/>
  <c r="F50" i="1"/>
  <c r="F53" i="1"/>
  <c r="F55" i="1"/>
  <c r="F61" i="1"/>
  <c r="F66" i="1" l="1"/>
  <c r="F67" i="1" s="1"/>
  <c r="F68" i="1" s="1"/>
  <c r="AD5" i="1"/>
  <c r="F70" i="1"/>
  <c r="B73" i="1" s="1"/>
</calcChain>
</file>

<file path=xl/sharedStrings.xml><?xml version="1.0" encoding="utf-8"?>
<sst xmlns="http://schemas.openxmlformats.org/spreadsheetml/2006/main" count="104" uniqueCount="63">
  <si>
    <t>А</t>
  </si>
  <si>
    <t>В</t>
  </si>
  <si>
    <t>С</t>
  </si>
  <si>
    <t>Статьи калькуляций</t>
  </si>
  <si>
    <t>1) Сырье и материал</t>
  </si>
  <si>
    <t>Сумма прямых затрат</t>
  </si>
  <si>
    <t>Расчет себестоимости изделия А</t>
  </si>
  <si>
    <t>Прибыль</t>
  </si>
  <si>
    <t>"+ НДС 20%"</t>
  </si>
  <si>
    <t>Рентабельность %</t>
  </si>
  <si>
    <t>Цена изделия(себест+прибыль)</t>
  </si>
  <si>
    <t>Объем, шт./год</t>
  </si>
  <si>
    <t>Стоимость сыр. и мат., р./шт</t>
  </si>
  <si>
    <t>Стоимость покупных комп. и полуфаб., р./шт</t>
  </si>
  <si>
    <t>Трудоемкость изд., норм-ч</t>
  </si>
  <si>
    <t>Средняя тар. ставка р./норм-ч</t>
  </si>
  <si>
    <t>Процент доп.зп., %</t>
  </si>
  <si>
    <t>Затраты маш. вр. на изд., маш.ч/шт</t>
  </si>
  <si>
    <t>Средняя стоимость маш.ч. ,р./маш.ч.</t>
  </si>
  <si>
    <t>Годовая смета общ-произв.  расходов, р</t>
  </si>
  <si>
    <t>Норматив транспорт. расходов , %</t>
  </si>
  <si>
    <t>Соц. нужды, %</t>
  </si>
  <si>
    <t>Норм. прибыль от полной себест., %</t>
  </si>
  <si>
    <t>2) Покупные комплект изд. и полуфабр.</t>
  </si>
  <si>
    <t>3) Основная ЗП произв. Рабочих</t>
  </si>
  <si>
    <t>4) Доп. ЗП</t>
  </si>
  <si>
    <t>6) Расх на содержание  оборудования</t>
  </si>
  <si>
    <t>5) Отчисления на соц. нужды</t>
  </si>
  <si>
    <t>1 способ</t>
  </si>
  <si>
    <t>Цеховая себестоимость</t>
  </si>
  <si>
    <t>Годовая смета общ -хоз. расх., р</t>
  </si>
  <si>
    <t>Годовая смета коммер. расх., р</t>
  </si>
  <si>
    <t>Годовой фонд осн. ЗП, р</t>
  </si>
  <si>
    <t>Годовой фонд доп. ЗП, р</t>
  </si>
  <si>
    <t>Годовой объем ТП, р</t>
  </si>
  <si>
    <t>2 способ</t>
  </si>
  <si>
    <t>7) Общ-произв. расходы</t>
  </si>
  <si>
    <t>8)Общехоз. расходы</t>
  </si>
  <si>
    <t>Произв. себестоимость</t>
  </si>
  <si>
    <t>9)Комерч. расходы</t>
  </si>
  <si>
    <t>Полная себестоимость</t>
  </si>
  <si>
    <t>Струк. себест., %</t>
  </si>
  <si>
    <t>Элементы цены</t>
  </si>
  <si>
    <t>Текущий объем реализации</t>
  </si>
  <si>
    <t>Прибыль при текущем объеме реализации</t>
  </si>
  <si>
    <t>Точки безубыточности:</t>
  </si>
  <si>
    <t>Минимальная точка безубыточности</t>
  </si>
  <si>
    <t>A</t>
  </si>
  <si>
    <t>B</t>
  </si>
  <si>
    <t>C</t>
  </si>
  <si>
    <t>Изделие A</t>
  </si>
  <si>
    <t>x1</t>
  </si>
  <si>
    <t>FC</t>
  </si>
  <si>
    <t>VC</t>
  </si>
  <si>
    <t>TC</t>
  </si>
  <si>
    <t>Косвенные затраты (постоянные)</t>
  </si>
  <si>
    <t>Прямые затраты (переменные)</t>
  </si>
  <si>
    <t>Всего (себестоимость)</t>
  </si>
  <si>
    <t>Постоянные затраты</t>
  </si>
  <si>
    <t>1-ый способ</t>
  </si>
  <si>
    <t>2-ый способ</t>
  </si>
  <si>
    <t>Изделие B</t>
  </si>
  <si>
    <t>Изделие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</si>
</sst>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32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2" fillId="0" borderId="1" xfId="0" applyNumberFormat="1" applyFont="1" applyBorder="1"/>
    <xf numFmtId="165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4" fontId="2" fillId="0" borderId="1" xfId="0" applyNumberFormat="1" applyFont="1" applyBorder="1"/>
    <xf numFmtId="4" fontId="2" fillId="0" borderId="0" xfId="0" applyNumberFormat="1" applyFont="1"/>
    <xf numFmtId="2" fontId="2" fillId="0" borderId="2" xfId="0" applyNumberFormat="1" applyFont="1" applyBorder="1"/>
    <xf numFmtId="4" fontId="2" fillId="0" borderId="2" xfId="0" applyNumberFormat="1" applyFont="1" applyBorder="1"/>
    <xf numFmtId="2" fontId="2" fillId="0" borderId="0" xfId="0" applyNumberFormat="1" applyFont="1" applyBorder="1"/>
    <xf numFmtId="0" fontId="0" fillId="0" borderId="0" xfId="0" applyNumberFormat="1"/>
    <xf numFmtId="2" fontId="3" fillId="0" borderId="3" xfId="3" applyNumberFormat="1" applyAlignment="1">
      <alignment horizontal="center" vertical="center"/>
    </xf>
    <xf numFmtId="2" fontId="5" fillId="0" borderId="5" xfId="5" applyNumberFormat="1"/>
    <xf numFmtId="2" fontId="6" fillId="0" borderId="6" xfId="6" applyNumberFormat="1"/>
    <xf numFmtId="2" fontId="0" fillId="0" borderId="0" xfId="0" applyNumberFormat="1" applyAlignment="1">
      <alignment horizontal="center"/>
    </xf>
    <xf numFmtId="2" fontId="6" fillId="0" borderId="6" xfId="6" applyNumberFormat="1" applyAlignment="1">
      <alignment horizontal="center"/>
    </xf>
    <xf numFmtId="0" fontId="4" fillId="0" borderId="4" xfId="4"/>
    <xf numFmtId="2" fontId="5" fillId="0" borderId="7" xfId="5" applyNumberFormat="1" applyBorder="1"/>
    <xf numFmtId="2" fontId="0" fillId="0" borderId="1" xfId="0" applyNumberFormat="1" applyBorder="1"/>
    <xf numFmtId="2" fontId="5" fillId="0" borderId="7" xfId="5" applyNumberFormat="1" applyBorder="1" applyAlignment="1">
      <alignment horizontal="center"/>
    </xf>
    <xf numFmtId="2" fontId="5" fillId="0" borderId="5" xfId="5" applyNumberFormat="1" applyAlignment="1">
      <alignment horizontal="center"/>
    </xf>
    <xf numFmtId="2" fontId="6" fillId="0" borderId="6" xfId="6" applyNumberFormat="1" applyAlignment="1">
      <alignment horizontal="center"/>
    </xf>
    <xf numFmtId="0" fontId="7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4" fillId="0" borderId="4" xfId="4" applyNumberFormat="1" applyAlignment="1">
      <alignment horizontal="center" vertical="center"/>
    </xf>
    <xf numFmtId="2" fontId="3" fillId="0" borderId="3" xfId="3" applyNumberFormat="1" applyAlignment="1">
      <alignment horizontal="center"/>
    </xf>
    <xf numFmtId="2" fontId="4" fillId="0" borderId="4" xfId="4" applyNumberFormat="1" applyAlignment="1">
      <alignment horizontal="center"/>
    </xf>
    <xf numFmtId="3" fontId="2" fillId="0" borderId="1" xfId="1" applyNumberFormat="1" applyFont="1" applyBorder="1" applyAlignment="1" applyProtection="1">
      <alignment horizontal="center" vertical="center" shrinkToFit="1"/>
    </xf>
    <xf numFmtId="3" fontId="2" fillId="0" borderId="1" xfId="2" applyNumberFormat="1" applyFont="1" applyBorder="1" applyAlignment="1">
      <alignment horizontal="center" vertical="top"/>
    </xf>
    <xf numFmtId="3" fontId="2" fillId="0" borderId="1" xfId="2" applyNumberFormat="1" applyFont="1" applyBorder="1" applyAlignment="1">
      <alignment horizontal="center" vertical="center"/>
    </xf>
  </cellXfs>
  <cellStyles count="7">
    <cellStyle name="Денежный" xfId="2" builtinId="4"/>
    <cellStyle name="Заголовок 1" xfId="3" builtinId="16"/>
    <cellStyle name="Заголовок 2" xfId="6" builtinId="17"/>
    <cellStyle name="Заголовок 3" xfId="4" builtinId="18"/>
    <cellStyle name="Итог" xfId="5" builtinId="25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A (1-</a:t>
            </a:r>
            <a:r>
              <a:rPr lang="ru-RU" baseline="0">
                <a:solidFill>
                  <a:sysClr val="windowText" lastClr="000000"/>
                </a:solidFill>
              </a:rPr>
              <a:t>ый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Лист1!$P$4:$P$5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Лист1!$T$4:$T$5</c:f>
              <c:numCache>
                <c:formatCode>0.00</c:formatCode>
                <c:ptCount val="2"/>
                <c:pt idx="0">
                  <c:v>0</c:v>
                </c:pt>
                <c:pt idx="1">
                  <c:v>25486.455890056208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E-4795-A108-B2A7C61FDEDF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Лист1!$P$4:$P$5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Лист1!$S$4:$S$5</c:f>
              <c:numCache>
                <c:formatCode>0.00</c:formatCode>
                <c:ptCount val="2"/>
                <c:pt idx="0">
                  <c:v>3453.0897920328475</c:v>
                </c:pt>
                <c:pt idx="1">
                  <c:v>21169.651445872849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E-4795-A108-B2A7C61FDEDF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Лист1!$P$4:$P$5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Лист1!$Q$4:$Q$5</c:f>
              <c:numCache>
                <c:formatCode>0.00</c:formatCode>
                <c:ptCount val="2"/>
                <c:pt idx="0">
                  <c:v>3453.0897920328475</c:v>
                </c:pt>
                <c:pt idx="1">
                  <c:v>3453.0897920328475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5E-4795-A108-B2A7C61F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 производства,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Затраты,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A (2-</a:t>
            </a:r>
            <a:r>
              <a:rPr lang="ru-RU" baseline="0">
                <a:solidFill>
                  <a:sysClr val="windowText" lastClr="000000"/>
                </a:solidFill>
              </a:rPr>
              <a:t>ой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Лист1!$Z$4:$Z$5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Лист1!$AD$4:$AD$5</c:f>
              <c:numCache>
                <c:formatCode>0.00</c:formatCode>
                <c:ptCount val="2"/>
                <c:pt idx="0">
                  <c:v>0</c:v>
                </c:pt>
                <c:pt idx="1">
                  <c:v>24585.296731375209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6-41F5-B6B5-1B9B95A14A8E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Лист1!$Z$4:$Z$5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Лист1!$AC$4:$AC$5</c:f>
              <c:numCache>
                <c:formatCode>0.00</c:formatCode>
                <c:ptCount val="2"/>
                <c:pt idx="0">
                  <c:v>2716.8486493196133</c:v>
                </c:pt>
                <c:pt idx="1">
                  <c:v>20433.410303159617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6-41F5-B6B5-1B9B95A14A8E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Лист1!$Z$4:$Z$5</c:f>
              <c:numCache>
                <c:formatCode>0.00</c:formatCode>
                <c:ptCount val="2"/>
                <c:pt idx="0">
                  <c:v>0</c:v>
                </c:pt>
                <c:pt idx="1">
                  <c:v>1216.8600000000001</c:v>
                </c:pt>
              </c:numCache>
            </c:numRef>
          </c:xVal>
          <c:yVal>
            <c:numRef>
              <c:f>Лист1!$AA$4:$AA$5</c:f>
              <c:numCache>
                <c:formatCode>0.00</c:formatCode>
                <c:ptCount val="2"/>
                <c:pt idx="0">
                  <c:v>2716.8486493196133</c:v>
                </c:pt>
                <c:pt idx="1">
                  <c:v>2716.8486493196133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6-41F5-B6B5-1B9B95A1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Объём производства</a:t>
                </a:r>
                <a:r>
                  <a:rPr lang="ru-RU"/>
                  <a:t>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Затраты</a:t>
                </a:r>
                <a:r>
                  <a:rPr lang="ru-RU"/>
                  <a:t>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B (1-</a:t>
            </a:r>
            <a:r>
              <a:rPr lang="ru-RU" baseline="0">
                <a:solidFill>
                  <a:sysClr val="windowText" lastClr="000000"/>
                </a:solidFill>
              </a:rPr>
              <a:t>ый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Лист1!$P$27:$P$28</c:f>
              <c:numCache>
                <c:formatCode>0.00</c:formatCode>
                <c:ptCount val="2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Лист1!$T$27:$T$28</c:f>
              <c:numCache>
                <c:formatCode>0.00</c:formatCode>
                <c:ptCount val="2"/>
                <c:pt idx="0">
                  <c:v>0</c:v>
                </c:pt>
                <c:pt idx="1">
                  <c:v>55073.304660602305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A-4F87-8BFF-6717056DB421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Лист1!$P$27:$P$28</c:f>
              <c:numCache>
                <c:formatCode>0.00</c:formatCode>
                <c:ptCount val="2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Лист1!$S$27:$S$28</c:f>
              <c:numCache>
                <c:formatCode>0.00</c:formatCode>
                <c:ptCount val="2"/>
                <c:pt idx="0">
                  <c:v>8777.6068754724693</c:v>
                </c:pt>
                <c:pt idx="1">
                  <c:v>45718.868412992466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A-4F87-8BFF-6717056DB421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Лист1!$P$27:$P$28</c:f>
              <c:numCache>
                <c:formatCode>0.00</c:formatCode>
                <c:ptCount val="2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Лист1!$Q$27:$Q$28</c:f>
              <c:numCache>
                <c:formatCode>0.00</c:formatCode>
                <c:ptCount val="2"/>
                <c:pt idx="0">
                  <c:v>8777.6068754724693</c:v>
                </c:pt>
                <c:pt idx="1">
                  <c:v>8777.6068754724693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DA-4F87-8BFF-6717056D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Объём производства</a:t>
                </a:r>
                <a:r>
                  <a:rPr lang="ru-RU"/>
                  <a:t>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Затраты</a:t>
                </a:r>
                <a:r>
                  <a:rPr lang="ru-RU"/>
                  <a:t>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B (2-</a:t>
            </a:r>
            <a:r>
              <a:rPr lang="ru-RU" baseline="0">
                <a:solidFill>
                  <a:sysClr val="windowText" lastClr="000000"/>
                </a:solidFill>
              </a:rPr>
              <a:t>ой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Лист1!$Z$27:$Z$28</c:f>
              <c:numCache>
                <c:formatCode>0.00</c:formatCode>
                <c:ptCount val="2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Лист1!$AD$27:$AD$28</c:f>
              <c:numCache>
                <c:formatCode>0.00</c:formatCode>
                <c:ptCount val="2"/>
                <c:pt idx="0">
                  <c:v>0</c:v>
                </c:pt>
                <c:pt idx="1">
                  <c:v>51263.438937905623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2-4F04-9FA3-BF3FFE61B4BA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Лист1!$Z$27:$Z$29</c:f>
              <c:numCache>
                <c:formatCode>0.00</c:formatCode>
                <c:ptCount val="3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Лист1!$AC$27:$AC$28</c:f>
              <c:numCache>
                <c:formatCode>0.00</c:formatCode>
                <c:ptCount val="2"/>
                <c:pt idx="0">
                  <c:v>5664.9714811124368</c:v>
                </c:pt>
                <c:pt idx="1">
                  <c:v>42606.233018632433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2-4F04-9FA3-BF3FFE61B4BA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Лист1!$Z$27:$Z$28</c:f>
              <c:numCache>
                <c:formatCode>0.00</c:formatCode>
                <c:ptCount val="2"/>
                <c:pt idx="0">
                  <c:v>0</c:v>
                </c:pt>
                <c:pt idx="1">
                  <c:v>1641.18</c:v>
                </c:pt>
              </c:numCache>
            </c:numRef>
          </c:xVal>
          <c:yVal>
            <c:numRef>
              <c:f>Лист1!$AA$27:$AA$28</c:f>
              <c:numCache>
                <c:formatCode>0.00</c:formatCode>
                <c:ptCount val="2"/>
                <c:pt idx="0">
                  <c:v>5664.9714811124368</c:v>
                </c:pt>
                <c:pt idx="1">
                  <c:v>5664.9714811124368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2-4F04-9FA3-BF3FFE61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Объём производства</a:t>
                </a:r>
                <a:r>
                  <a:rPr lang="ru-RU"/>
                  <a:t>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Затраты</a:t>
                </a:r>
                <a:r>
                  <a:rPr lang="ru-RU"/>
                  <a:t>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C (1-</a:t>
            </a:r>
            <a:r>
              <a:rPr lang="ru-RU" baseline="0">
                <a:solidFill>
                  <a:sysClr val="windowText" lastClr="000000"/>
                </a:solidFill>
              </a:rPr>
              <a:t>ый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Лист1!$P$50:$P$51</c:f>
              <c:numCache>
                <c:formatCode>0.00</c:formatCode>
                <c:ptCount val="2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Лист1!$T$50:$T$51</c:f>
              <c:numCache>
                <c:formatCode>0.00</c:formatCode>
                <c:ptCount val="2"/>
                <c:pt idx="0">
                  <c:v>0</c:v>
                </c:pt>
                <c:pt idx="1">
                  <c:v>169694.86762691711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D-4D14-B013-30130D778EBF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Лист1!$P$50:$P$51</c:f>
              <c:numCache>
                <c:formatCode>0.00</c:formatCode>
                <c:ptCount val="2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Лист1!$S$50:$S$52</c:f>
              <c:numCache>
                <c:formatCode>0.00</c:formatCode>
                <c:ptCount val="3"/>
                <c:pt idx="0">
                  <c:v>15424.204678409427</c:v>
                </c:pt>
                <c:pt idx="1">
                  <c:v>141103.90559552942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D-4D14-B013-30130D778EBF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Лист1!$P$50:$P$51</c:f>
              <c:numCache>
                <c:formatCode>0.00</c:formatCode>
                <c:ptCount val="2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Лист1!$Q$50:$Q$51</c:f>
              <c:numCache>
                <c:formatCode>0.00</c:formatCode>
                <c:ptCount val="2"/>
                <c:pt idx="0">
                  <c:v>15424.204678409427</c:v>
                </c:pt>
                <c:pt idx="1">
                  <c:v>15424.204678409427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D-4D14-B013-30130D77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Объём производства</a:t>
                </a:r>
                <a:r>
                  <a:rPr lang="ru-RU"/>
                  <a:t>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Затраты</a:t>
                </a:r>
                <a:r>
                  <a:rPr lang="ru-RU"/>
                  <a:t>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Изделие</a:t>
            </a:r>
            <a:r>
              <a:rPr lang="ru-RU" baseline="0">
                <a:solidFill>
                  <a:sysClr val="windowText" lastClr="000000"/>
                </a:solidFill>
              </a:rPr>
              <a:t> </a:t>
            </a:r>
            <a:r>
              <a:rPr lang="en-US" baseline="0">
                <a:solidFill>
                  <a:sysClr val="windowText" lastClr="000000"/>
                </a:solidFill>
              </a:rPr>
              <a:t>C (2-</a:t>
            </a:r>
            <a:r>
              <a:rPr lang="ru-RU" baseline="0">
                <a:solidFill>
                  <a:sysClr val="windowText" lastClr="000000"/>
                </a:solidFill>
              </a:rPr>
              <a:t>ой способ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Выручка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Лист1!$Z$50:$Z$51</c:f>
              <c:numCache>
                <c:formatCode>0.00</c:formatCode>
                <c:ptCount val="2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Лист1!$AD$50:$AD$51</c:f>
              <c:numCache>
                <c:formatCode>0.00</c:formatCode>
                <c:ptCount val="2"/>
                <c:pt idx="0">
                  <c:v>0</c:v>
                </c:pt>
                <c:pt idx="1">
                  <c:v>174405.89209860397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F-4ADE-B0FD-5D68456FE531}"/>
            </c:ext>
          </c:extLst>
        </c:ser>
        <c:ser>
          <c:idx val="1"/>
          <c:order val="1"/>
          <c:tx>
            <c:v>Издержки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Лист1!$Z$50:$Z$51</c:f>
              <c:numCache>
                <c:formatCode>0.00</c:formatCode>
                <c:ptCount val="2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Лист1!$AC$50:$AC$51</c:f>
              <c:numCache>
                <c:formatCode>0.00</c:formatCode>
                <c:ptCount val="2"/>
                <c:pt idx="0">
                  <c:v>19273.080880767953</c:v>
                </c:pt>
                <c:pt idx="1">
                  <c:v>144952.78179788793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CF-4ADE-B0FD-5D68456FE531}"/>
            </c:ext>
          </c:extLst>
        </c:ser>
        <c:ser>
          <c:idx val="2"/>
          <c:order val="2"/>
          <c:tx>
            <c:v>Постоянные издержки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Лист1!$Z$50:$Z$52</c:f>
              <c:numCache>
                <c:formatCode>0.00</c:formatCode>
                <c:ptCount val="3"/>
                <c:pt idx="0">
                  <c:v>0</c:v>
                </c:pt>
                <c:pt idx="1">
                  <c:v>1607.52</c:v>
                </c:pt>
              </c:numCache>
            </c:numRef>
          </c:xVal>
          <c:yVal>
            <c:numRef>
              <c:f>Лист1!$AA$50:$AA$52</c:f>
              <c:numCache>
                <c:formatCode>0.00</c:formatCode>
                <c:ptCount val="3"/>
                <c:pt idx="0">
                  <c:v>19273.080880767953</c:v>
                </c:pt>
                <c:pt idx="1">
                  <c:v>19273.080880767953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F-4ADE-B0FD-5D68456F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99696"/>
        <c:axId val="742255072"/>
      </c:scatterChart>
      <c:valAx>
        <c:axId val="6100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Объём производства</a:t>
                </a:r>
                <a:r>
                  <a:rPr lang="ru-RU"/>
                  <a:t>,</a:t>
                </a:r>
                <a:r>
                  <a:rPr lang="ru-RU" baseline="0"/>
                  <a:t> 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255072"/>
        <c:crosses val="autoZero"/>
        <c:crossBetween val="midCat"/>
      </c:valAx>
      <c:valAx>
        <c:axId val="74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</a:t>
                </a:r>
                <a:r>
                  <a:rPr lang="ru-RU" sz="1000" b="0" i="0" u="none" strike="noStrike" baseline="0">
                    <a:effectLst/>
                  </a:rPr>
                  <a:t>Затраты</a:t>
                </a:r>
                <a:r>
                  <a:rPr lang="ru-RU"/>
                  <a:t>,</a:t>
                </a:r>
                <a:r>
                  <a:rPr lang="ru-RU" baseline="0"/>
                  <a:t> 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296395</xdr:colOff>
      <xdr:row>5</xdr:row>
      <xdr:rowOff>55187</xdr:rowOff>
    </xdr:from>
    <xdr:to>
      <xdr:col>21</xdr:col>
      <xdr:colOff>516591</xdr:colOff>
      <xdr:row>23</xdr:row>
      <xdr:rowOff>1119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62AF2A-20C9-4CF2-A250-629AFD2D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247650</xdr:colOff>
      <xdr:row>5</xdr:row>
      <xdr:rowOff>57150</xdr:rowOff>
    </xdr:from>
    <xdr:to>
      <xdr:col>31</xdr:col>
      <xdr:colOff>467846</xdr:colOff>
      <xdr:row>23</xdr:row>
      <xdr:rowOff>3082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8038F1-0955-4AA6-82E5-162E604BF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28</xdr:row>
      <xdr:rowOff>47625</xdr:rowOff>
    </xdr:from>
    <xdr:to>
      <xdr:col>21</xdr:col>
      <xdr:colOff>553571</xdr:colOff>
      <xdr:row>46</xdr:row>
      <xdr:rowOff>3082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23A769F-909D-4B3C-A534-B40211FB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28</xdr:row>
      <xdr:rowOff>47625</xdr:rowOff>
    </xdr:from>
    <xdr:to>
      <xdr:col>31</xdr:col>
      <xdr:colOff>467846</xdr:colOff>
      <xdr:row>46</xdr:row>
      <xdr:rowOff>3082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CA5B479-1926-400A-B905-2454E9400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324969</xdr:colOff>
      <xdr:row>51</xdr:row>
      <xdr:rowOff>44824</xdr:rowOff>
    </xdr:from>
    <xdr:to>
      <xdr:col>21</xdr:col>
      <xdr:colOff>545165</xdr:colOff>
      <xdr:row>69</xdr:row>
      <xdr:rowOff>22693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BED05E-7782-40F0-AC65-EEA5803E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244929</xdr:colOff>
      <xdr:row>51</xdr:row>
      <xdr:rowOff>40822</xdr:rowOff>
    </xdr:from>
    <xdr:to>
      <xdr:col>31</xdr:col>
      <xdr:colOff>465125</xdr:colOff>
      <xdr:row>69</xdr:row>
      <xdr:rowOff>23493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7370BA-4DF8-43C4-84E8-17A34B295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3"/>
  <sheetViews>
    <sheetView tabSelected="1" topLeftCell="A37" zoomScale="85" zoomScaleNormal="85" workbookViewId="0">
      <selection activeCell="H64" sqref="H64"/>
    </sheetView>
  </sheetViews>
  <sheetFormatPr defaultColWidth="9.109375" defaultRowHeight="14.4" x14ac:dyDescent="0.3"/>
  <cols>
    <col min="1" max="1" width="38.44140625" style="1" customWidth="1"/>
    <col min="2" max="2" width="18" style="1" bestFit="1" customWidth="1"/>
    <col min="3" max="3" width="16.88671875" style="1" bestFit="1" customWidth="1"/>
    <col min="4" max="4" width="14.5546875" style="1" customWidth="1"/>
    <col min="5" max="5" width="9.109375" style="1"/>
    <col min="6" max="6" width="18.44140625" style="1" bestFit="1" customWidth="1"/>
    <col min="7" max="7" width="13.5546875" style="1" bestFit="1" customWidth="1"/>
    <col min="8" max="8" width="14.88671875" style="1" customWidth="1"/>
    <col min="9" max="17" width="9.109375" style="1"/>
    <col min="18" max="18" width="10.33203125" style="1" customWidth="1"/>
    <col min="19" max="19" width="10.109375" style="1" customWidth="1"/>
    <col min="20" max="20" width="10.5546875" style="1" customWidth="1"/>
    <col min="21" max="27" width="9.109375" style="1"/>
    <col min="28" max="28" width="10.44140625" style="1" customWidth="1"/>
    <col min="29" max="29" width="10.109375" style="1" customWidth="1"/>
    <col min="30" max="30" width="10.5546875" style="1" customWidth="1"/>
    <col min="31" max="31" width="10" style="1" customWidth="1"/>
    <col min="32" max="16384" width="9.109375" style="1"/>
  </cols>
  <sheetData>
    <row r="1" spans="1:30" ht="21" thickBot="1" x14ac:dyDescent="0.4">
      <c r="A1" s="2"/>
      <c r="B1" s="13" t="s">
        <v>0</v>
      </c>
      <c r="C1" s="13" t="s">
        <v>1</v>
      </c>
      <c r="D1" s="13" t="s">
        <v>2</v>
      </c>
      <c r="P1" s="24" t="s">
        <v>59</v>
      </c>
      <c r="Q1" s="24"/>
      <c r="R1" s="24"/>
      <c r="S1" s="24"/>
      <c r="T1" s="24"/>
      <c r="Z1" s="24" t="s">
        <v>60</v>
      </c>
      <c r="AA1" s="24"/>
      <c r="AB1" s="24"/>
      <c r="AC1" s="24"/>
      <c r="AD1" s="24"/>
    </row>
    <row r="2" spans="1:30" ht="18.600000000000001" thickTop="1" thickBot="1" x14ac:dyDescent="0.4">
      <c r="A2" s="3" t="s">
        <v>11</v>
      </c>
      <c r="B2" s="6">
        <v>1193</v>
      </c>
      <c r="C2" s="6">
        <v>1609</v>
      </c>
      <c r="D2" s="6">
        <v>1576</v>
      </c>
      <c r="P2" s="23" t="s">
        <v>50</v>
      </c>
      <c r="Q2" s="23"/>
      <c r="R2" s="23"/>
      <c r="S2" s="23"/>
      <c r="T2" s="23"/>
      <c r="Z2" s="23" t="s">
        <v>50</v>
      </c>
      <c r="AA2" s="23"/>
      <c r="AB2" s="23"/>
      <c r="AC2" s="23"/>
      <c r="AD2" s="23"/>
    </row>
    <row r="3" spans="1:30" ht="15" thickTop="1" x14ac:dyDescent="0.3">
      <c r="A3" s="3" t="s">
        <v>12</v>
      </c>
      <c r="B3" s="6">
        <v>442</v>
      </c>
      <c r="C3" s="6">
        <v>351</v>
      </c>
      <c r="D3" s="6">
        <v>228</v>
      </c>
      <c r="P3" s="16" t="s">
        <v>51</v>
      </c>
      <c r="Q3" s="16" t="s">
        <v>52</v>
      </c>
      <c r="R3" s="16" t="s">
        <v>53</v>
      </c>
      <c r="S3" s="16" t="s">
        <v>54</v>
      </c>
      <c r="T3" s="16"/>
      <c r="Z3" s="16" t="s">
        <v>51</v>
      </c>
      <c r="AA3" s="16" t="s">
        <v>52</v>
      </c>
      <c r="AB3" s="16" t="s">
        <v>53</v>
      </c>
      <c r="AC3" s="16" t="s">
        <v>54</v>
      </c>
      <c r="AD3" s="16"/>
    </row>
    <row r="4" spans="1:30" x14ac:dyDescent="0.3">
      <c r="A4" s="3" t="s">
        <v>13</v>
      </c>
      <c r="B4" s="6">
        <v>351</v>
      </c>
      <c r="C4" s="6">
        <v>2348</v>
      </c>
      <c r="D4" s="6">
        <v>3617</v>
      </c>
      <c r="P4" s="1">
        <v>0</v>
      </c>
      <c r="Q4" s="1">
        <f>$B$69/1000</f>
        <v>3453.0897920328475</v>
      </c>
      <c r="R4" s="1">
        <f>P4*($B$59)/1000</f>
        <v>0</v>
      </c>
      <c r="S4" s="1">
        <f>Q4+R4</f>
        <v>3453.0897920328475</v>
      </c>
      <c r="T4" s="1">
        <f>$B$65*P4/1000</f>
        <v>0</v>
      </c>
      <c r="Z4" s="1">
        <v>0</v>
      </c>
      <c r="AA4" s="1">
        <f>$F$69/1000</f>
        <v>2716.8486493196133</v>
      </c>
      <c r="AB4" s="1">
        <f>Z4*($B$59)/1000</f>
        <v>0</v>
      </c>
      <c r="AC4" s="1">
        <f>AA4+AB4</f>
        <v>2716.8486493196133</v>
      </c>
      <c r="AD4" s="1">
        <f>$B$65*Z4/1000</f>
        <v>0</v>
      </c>
    </row>
    <row r="5" spans="1:30" x14ac:dyDescent="0.3">
      <c r="A5" s="3" t="s">
        <v>14</v>
      </c>
      <c r="B5" s="6">
        <v>38</v>
      </c>
      <c r="C5" s="6">
        <v>56</v>
      </c>
      <c r="D5" s="6">
        <v>106</v>
      </c>
      <c r="P5" s="1">
        <f>$B$2*1.02</f>
        <v>1216.8600000000001</v>
      </c>
      <c r="Q5" s="1">
        <f>$B$69/1000</f>
        <v>3453.0897920328475</v>
      </c>
      <c r="R5" s="1">
        <f>P5*($B$59)/1000</f>
        <v>17716.561653840003</v>
      </c>
      <c r="S5" s="1">
        <f>Q5+R5</f>
        <v>21169.651445872849</v>
      </c>
      <c r="T5" s="1">
        <f>$B$65*P5/1000</f>
        <v>25486.455890056208</v>
      </c>
      <c r="Z5" s="1">
        <f>$B$2*1.02</f>
        <v>1216.8600000000001</v>
      </c>
      <c r="AA5" s="1">
        <f>$F$69/1000</f>
        <v>2716.8486493196133</v>
      </c>
      <c r="AB5" s="1">
        <f>Z5*($F$59)/1000</f>
        <v>17716.561653840003</v>
      </c>
      <c r="AC5" s="1">
        <f>AA5+AB5</f>
        <v>20433.410303159617</v>
      </c>
      <c r="AD5" s="1">
        <f>$F$65*Z5/1000</f>
        <v>24585.296731375209</v>
      </c>
    </row>
    <row r="6" spans="1:30" x14ac:dyDescent="0.3">
      <c r="A6" s="3" t="s">
        <v>15</v>
      </c>
      <c r="B6" s="6">
        <v>73</v>
      </c>
      <c r="C6" s="6">
        <v>99</v>
      </c>
      <c r="D6" s="6">
        <v>71</v>
      </c>
    </row>
    <row r="7" spans="1:30" x14ac:dyDescent="0.3">
      <c r="A7" s="3" t="s">
        <v>16</v>
      </c>
      <c r="B7" s="7">
        <v>0.12</v>
      </c>
      <c r="C7" s="7">
        <f>0.12</f>
        <v>0.12</v>
      </c>
      <c r="D7" s="7">
        <f>0.12</f>
        <v>0.12</v>
      </c>
    </row>
    <row r="8" spans="1:30" x14ac:dyDescent="0.3">
      <c r="A8" s="3" t="s">
        <v>17</v>
      </c>
      <c r="B8" s="6">
        <v>134</v>
      </c>
      <c r="C8" s="6">
        <v>61</v>
      </c>
      <c r="D8" s="6">
        <v>293</v>
      </c>
    </row>
    <row r="9" spans="1:30" x14ac:dyDescent="0.3">
      <c r="A9" s="3" t="s">
        <v>18</v>
      </c>
      <c r="B9" s="6">
        <v>72</v>
      </c>
      <c r="C9" s="6">
        <v>188</v>
      </c>
      <c r="D9" s="6">
        <v>215</v>
      </c>
    </row>
    <row r="11" spans="1:30" x14ac:dyDescent="0.3">
      <c r="A11" s="3" t="s">
        <v>19</v>
      </c>
      <c r="B11" s="29">
        <v>9388100</v>
      </c>
      <c r="C11" s="29"/>
      <c r="D11" s="29"/>
      <c r="E11" s="2"/>
      <c r="F11" s="25"/>
      <c r="G11" s="25"/>
      <c r="H11" s="2"/>
      <c r="I11" s="2"/>
    </row>
    <row r="12" spans="1:30" x14ac:dyDescent="0.3">
      <c r="A12" s="3" t="s">
        <v>30</v>
      </c>
      <c r="B12" s="30">
        <v>8530782</v>
      </c>
      <c r="C12" s="30"/>
      <c r="D12" s="30"/>
      <c r="E12" s="2"/>
      <c r="F12" s="2"/>
      <c r="G12" s="2"/>
      <c r="H12" s="2"/>
      <c r="I12" s="2"/>
    </row>
    <row r="13" spans="1:30" x14ac:dyDescent="0.3">
      <c r="A13" s="3" t="s">
        <v>31</v>
      </c>
      <c r="B13" s="31">
        <v>9736019</v>
      </c>
      <c r="C13" s="31"/>
      <c r="D13" s="31"/>
      <c r="E13" s="2"/>
      <c r="F13" s="2"/>
      <c r="G13" s="2"/>
      <c r="H13" s="2"/>
      <c r="I13" s="2"/>
    </row>
    <row r="14" spans="1:30" x14ac:dyDescent="0.3">
      <c r="A14" s="3" t="s">
        <v>32</v>
      </c>
      <c r="B14" s="31">
        <v>24090654</v>
      </c>
      <c r="C14" s="31"/>
      <c r="D14" s="31"/>
      <c r="E14" s="2"/>
      <c r="F14" s="4"/>
      <c r="G14" s="2"/>
      <c r="H14" s="2"/>
      <c r="I14" s="2"/>
    </row>
    <row r="15" spans="1:30" x14ac:dyDescent="0.3">
      <c r="A15" s="3" t="s">
        <v>33</v>
      </c>
      <c r="B15" s="31">
        <v>2890878</v>
      </c>
      <c r="C15" s="31"/>
      <c r="D15" s="31"/>
      <c r="E15" s="2"/>
      <c r="F15" s="2"/>
      <c r="G15" s="2"/>
      <c r="H15" s="2"/>
      <c r="I15" s="2"/>
    </row>
    <row r="16" spans="1:30" x14ac:dyDescent="0.3">
      <c r="A16" s="3" t="s">
        <v>34</v>
      </c>
      <c r="B16" s="31">
        <v>194720376</v>
      </c>
      <c r="C16" s="31"/>
      <c r="D16" s="31"/>
      <c r="E16" s="2"/>
      <c r="F16" s="2"/>
      <c r="G16" s="2"/>
      <c r="H16" s="2"/>
      <c r="I16" s="2"/>
    </row>
    <row r="17" spans="1:30" x14ac:dyDescent="0.3">
      <c r="A17" s="2"/>
      <c r="B17" s="2"/>
      <c r="C17" s="2"/>
      <c r="D17" s="5"/>
      <c r="E17" s="2"/>
      <c r="F17" s="2"/>
      <c r="G17" s="2"/>
      <c r="H17" s="2"/>
      <c r="I17" s="2"/>
    </row>
    <row r="18" spans="1:30" x14ac:dyDescent="0.3">
      <c r="A18" s="3" t="s">
        <v>20</v>
      </c>
      <c r="B18" s="3">
        <f>0.1</f>
        <v>0.1</v>
      </c>
      <c r="C18" s="2"/>
      <c r="D18" s="2"/>
      <c r="E18" s="2"/>
      <c r="F18" s="2"/>
      <c r="G18" s="2"/>
      <c r="H18" s="2"/>
      <c r="I18" s="2"/>
    </row>
    <row r="19" spans="1:30" x14ac:dyDescent="0.3">
      <c r="A19" s="3" t="s">
        <v>21</v>
      </c>
      <c r="B19" s="3">
        <f>0.3</f>
        <v>0.3</v>
      </c>
      <c r="C19" s="2"/>
      <c r="D19" s="2"/>
      <c r="E19" s="2"/>
      <c r="F19" s="2"/>
      <c r="G19" s="2"/>
      <c r="H19" s="2"/>
      <c r="I19" s="2"/>
    </row>
    <row r="20" spans="1:30" x14ac:dyDescent="0.3">
      <c r="A20" s="3" t="s">
        <v>22</v>
      </c>
      <c r="B20" s="3">
        <f>0.2</f>
        <v>0.2</v>
      </c>
      <c r="C20" s="2"/>
      <c r="D20" s="2"/>
      <c r="E20" s="2"/>
      <c r="F20" s="2"/>
      <c r="G20" s="2"/>
      <c r="H20" s="2"/>
      <c r="I20" s="2"/>
    </row>
    <row r="21" spans="1:30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30" ht="20.399999999999999" thickBot="1" x14ac:dyDescent="0.45">
      <c r="A22" s="27" t="s">
        <v>3</v>
      </c>
      <c r="B22" s="27"/>
      <c r="C22" s="27"/>
      <c r="D22" s="27"/>
      <c r="E22" s="2"/>
      <c r="F22" s="2"/>
      <c r="G22" s="2"/>
      <c r="H22" s="2"/>
      <c r="I22" s="2"/>
    </row>
    <row r="23" spans="1:30" ht="15" thickTop="1" x14ac:dyDescent="0.3">
      <c r="A23" s="3" t="s">
        <v>4</v>
      </c>
      <c r="B23" s="7">
        <f>B3*(1+$B$18)</f>
        <v>486.20000000000005</v>
      </c>
      <c r="C23" s="7">
        <f>C3*(1+$B$18)</f>
        <v>386.1</v>
      </c>
      <c r="D23" s="7">
        <f>D3*(1+$B$18)</f>
        <v>250.8</v>
      </c>
      <c r="E23" s="2"/>
      <c r="F23" s="2"/>
      <c r="G23" s="2"/>
      <c r="H23" s="2"/>
      <c r="I23" s="2"/>
    </row>
    <row r="24" spans="1:30" x14ac:dyDescent="0.3">
      <c r="A24" s="3" t="s">
        <v>23</v>
      </c>
      <c r="B24" s="7">
        <f>B4*(1+$B$18)</f>
        <v>386.1</v>
      </c>
      <c r="C24" s="7">
        <f t="shared" ref="C24:D24" si="0">C4*(1+$B$18)</f>
        <v>2582.8000000000002</v>
      </c>
      <c r="D24" s="7">
        <f t="shared" si="0"/>
        <v>3978.7000000000003</v>
      </c>
      <c r="E24" s="2"/>
      <c r="F24" s="2"/>
      <c r="G24" s="2"/>
      <c r="H24" s="2"/>
      <c r="I24" s="2"/>
    </row>
    <row r="25" spans="1:30" ht="18" thickBot="1" x14ac:dyDescent="0.4">
      <c r="A25" s="3" t="s">
        <v>24</v>
      </c>
      <c r="B25" s="7">
        <f>B5*B6</f>
        <v>2774</v>
      </c>
      <c r="C25" s="7">
        <f>C5*C6</f>
        <v>5544</v>
      </c>
      <c r="D25" s="7">
        <f>D5*D6</f>
        <v>7526</v>
      </c>
      <c r="E25" s="2"/>
      <c r="F25" s="2"/>
      <c r="G25" s="2"/>
      <c r="H25" s="2"/>
      <c r="I25" s="2"/>
      <c r="P25" s="23" t="s">
        <v>61</v>
      </c>
      <c r="Q25" s="23"/>
      <c r="R25" s="23"/>
      <c r="S25" s="23"/>
      <c r="T25" s="23"/>
      <c r="Z25" s="23" t="s">
        <v>61</v>
      </c>
      <c r="AA25" s="23"/>
      <c r="AB25" s="23"/>
      <c r="AC25" s="23"/>
      <c r="AD25" s="23"/>
    </row>
    <row r="26" spans="1:30" ht="15" thickTop="1" x14ac:dyDescent="0.3">
      <c r="A26" s="3" t="s">
        <v>25</v>
      </c>
      <c r="B26" s="7">
        <f>B25*B7</f>
        <v>332.88</v>
      </c>
      <c r="C26" s="7">
        <f t="shared" ref="C26:D26" si="1">C25*C7</f>
        <v>665.28</v>
      </c>
      <c r="D26" s="7">
        <f t="shared" si="1"/>
        <v>903.12</v>
      </c>
      <c r="E26" s="2"/>
      <c r="F26" s="2"/>
      <c r="G26" s="2"/>
      <c r="H26" s="2"/>
      <c r="I26" s="2"/>
      <c r="P26" s="16" t="s">
        <v>51</v>
      </c>
      <c r="Q26" s="16" t="s">
        <v>52</v>
      </c>
      <c r="R26" s="16" t="s">
        <v>53</v>
      </c>
      <c r="S26" s="16" t="s">
        <v>54</v>
      </c>
      <c r="T26" s="16"/>
      <c r="Z26" s="16" t="s">
        <v>51</v>
      </c>
      <c r="AA26" s="16" t="s">
        <v>52</v>
      </c>
      <c r="AB26" s="16" t="s">
        <v>53</v>
      </c>
      <c r="AC26" s="16" t="s">
        <v>54</v>
      </c>
      <c r="AD26" s="16"/>
    </row>
    <row r="27" spans="1:30" x14ac:dyDescent="0.3">
      <c r="A27" s="3" t="s">
        <v>27</v>
      </c>
      <c r="B27" s="7">
        <f>(B25+B26)*$B$19</f>
        <v>932.06399999999996</v>
      </c>
      <c r="C27" s="7">
        <f>(C25+C26)*$B$19</f>
        <v>1862.7839999999999</v>
      </c>
      <c r="D27" s="7">
        <f>(D25+D26)*$B$19</f>
        <v>2528.7360000000003</v>
      </c>
      <c r="E27" s="2"/>
      <c r="F27" s="2"/>
      <c r="G27" s="2"/>
      <c r="H27" s="2"/>
      <c r="I27" s="2"/>
      <c r="P27" s="1">
        <v>0</v>
      </c>
      <c r="Q27" s="1">
        <f>$C$69/1000</f>
        <v>8777.6068754724693</v>
      </c>
      <c r="R27" s="1">
        <f>P27*($C$59)/1000</f>
        <v>0</v>
      </c>
      <c r="S27" s="1">
        <f>Q27+R27</f>
        <v>8777.6068754724693</v>
      </c>
      <c r="T27" s="1">
        <f>$C$65*P27/1000</f>
        <v>0</v>
      </c>
      <c r="Z27" s="1">
        <v>0</v>
      </c>
      <c r="AA27" s="1">
        <f>$G$69/1000</f>
        <v>5664.9714811124368</v>
      </c>
      <c r="AB27" s="1">
        <f>Z27*($C$59)/1000</f>
        <v>0</v>
      </c>
      <c r="AC27" s="1">
        <f>AA27+AB27</f>
        <v>5664.9714811124368</v>
      </c>
      <c r="AD27" s="1">
        <f>$C$65*Z27/1000</f>
        <v>0</v>
      </c>
    </row>
    <row r="28" spans="1:30" x14ac:dyDescent="0.3">
      <c r="A28" s="3" t="s">
        <v>26</v>
      </c>
      <c r="B28" s="7">
        <f>B8*B9</f>
        <v>9648</v>
      </c>
      <c r="C28" s="7">
        <f>C8*C9</f>
        <v>11468</v>
      </c>
      <c r="D28" s="7">
        <f>D8*D9</f>
        <v>62995</v>
      </c>
      <c r="E28" s="2"/>
      <c r="F28" s="2"/>
      <c r="G28" s="2"/>
      <c r="H28" s="2"/>
      <c r="I28" s="2"/>
      <c r="P28" s="1">
        <f>$C$2*1.02</f>
        <v>1641.18</v>
      </c>
      <c r="Q28" s="1">
        <f>$C$69/1000</f>
        <v>8777.6068754724693</v>
      </c>
      <c r="R28" s="1">
        <f>P28*($C$59)/1000</f>
        <v>36941.261537519997</v>
      </c>
      <c r="S28" s="1">
        <f>Q28+R28</f>
        <v>45718.868412992466</v>
      </c>
      <c r="T28" s="1">
        <f>$C$65*P28/1000</f>
        <v>55073.304660602305</v>
      </c>
      <c r="Z28" s="1">
        <f>$C$2*1.02</f>
        <v>1641.18</v>
      </c>
      <c r="AA28" s="1">
        <f>$G$69/1000</f>
        <v>5664.9714811124368</v>
      </c>
      <c r="AB28" s="1">
        <f>Z28*($C$59)/1000</f>
        <v>36941.261537519997</v>
      </c>
      <c r="AC28" s="1">
        <f>AA28+AB28</f>
        <v>42606.233018632433</v>
      </c>
      <c r="AD28" s="1">
        <f>$G$65*Z28/1000</f>
        <v>51263.438937905623</v>
      </c>
    </row>
    <row r="29" spans="1:30" x14ac:dyDescent="0.3">
      <c r="A29" s="9" t="s">
        <v>5</v>
      </c>
      <c r="B29" s="10">
        <f>SUM(B23:B28)</f>
        <v>14559.244000000001</v>
      </c>
      <c r="C29" s="10">
        <f>SUM(C23:C28)</f>
        <v>22508.964</v>
      </c>
      <c r="D29" s="10">
        <f>SUM(D23:D28)</f>
        <v>78182.356</v>
      </c>
      <c r="E29" s="2"/>
      <c r="F29" s="2"/>
      <c r="G29" s="2"/>
      <c r="H29" s="2"/>
      <c r="I29" s="2"/>
    </row>
    <row r="30" spans="1:30" ht="15" thickBot="1" x14ac:dyDescent="0.35">
      <c r="A30" s="3"/>
      <c r="B30" s="26" t="s">
        <v>28</v>
      </c>
      <c r="C30" s="26"/>
      <c r="D30" s="26"/>
      <c r="E30" s="11"/>
      <c r="F30" s="28" t="s">
        <v>35</v>
      </c>
      <c r="G30" s="28"/>
      <c r="H30" s="28"/>
      <c r="I30" s="2"/>
    </row>
    <row r="31" spans="1:30" x14ac:dyDescent="0.3">
      <c r="A31" s="3" t="s">
        <v>36</v>
      </c>
      <c r="B31" s="7">
        <f>(B25+B26)*($B$11/($B$14+$B$15))</f>
        <v>1081.0246107596856</v>
      </c>
      <c r="C31" s="7">
        <f>(C25+C26)*($B$11/($B$14+$B$15))</f>
        <v>2160.4904261181314</v>
      </c>
      <c r="D31" s="7">
        <f>(D25+D26)*($B$11/($B$14+$B$15))</f>
        <v>2932.8735474323698</v>
      </c>
      <c r="E31" s="11"/>
      <c r="F31" s="7">
        <f>B29*$B$11/($B$29*$B$2+$C$29*$C$2+$D$29*$D$2)</f>
        <v>773.090969600221</v>
      </c>
      <c r="G31" s="7">
        <f t="shared" ref="G31:H31" si="2">C29*$B$11/($B$29*$B$2+$C$29*$C$2+$D$29*$D$2)</f>
        <v>1195.2184332824195</v>
      </c>
      <c r="H31" s="7">
        <f t="shared" si="2"/>
        <v>4151.4568617484292</v>
      </c>
      <c r="I31" s="2"/>
    </row>
    <row r="32" spans="1:30" x14ac:dyDescent="0.3">
      <c r="A32" s="3" t="s">
        <v>29</v>
      </c>
      <c r="B32" s="7">
        <f>B29+B31</f>
        <v>15640.268610759686</v>
      </c>
      <c r="C32" s="7">
        <f>C29+C31</f>
        <v>24669.454426118133</v>
      </c>
      <c r="D32" s="7">
        <f>D29+D31</f>
        <v>81115.229547432376</v>
      </c>
      <c r="E32" s="11"/>
      <c r="F32" s="7">
        <f>B29+F31</f>
        <v>15332.334969600222</v>
      </c>
      <c r="G32" s="7">
        <f>C29+G31</f>
        <v>23704.182433282418</v>
      </c>
      <c r="H32" s="7">
        <f>D29+H31</f>
        <v>82333.812861748433</v>
      </c>
      <c r="I32" s="2"/>
    </row>
    <row r="33" spans="1:30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30" x14ac:dyDescent="0.3">
      <c r="A34" s="3" t="s">
        <v>37</v>
      </c>
      <c r="B34" s="7">
        <f>(B25+B26)*($B$12/($B$14+$B$15))</f>
        <v>982.30582237361466</v>
      </c>
      <c r="C34" s="7">
        <f>(C25+C26)*($B$12/($B$14+$B$15))</f>
        <v>1963.1951979954288</v>
      </c>
      <c r="D34" s="7">
        <f>(D25+D26)*($B$12/($B$14+$B$15))</f>
        <v>2665.0445635125539</v>
      </c>
      <c r="E34" s="8"/>
      <c r="F34" s="7">
        <f>B29*$B$12/($B$29*$B$2+$C$29*$C$2+$D$29*$D$2)</f>
        <v>702.49257334584331</v>
      </c>
      <c r="G34" s="7">
        <f t="shared" ref="G34:H34" si="3">C29*$B$12/($B$29*$B$2+$C$29*$C$2+$D$29*$D$2)</f>
        <v>1086.0715050663996</v>
      </c>
      <c r="H34" s="7">
        <f t="shared" si="3"/>
        <v>3772.3472768696529</v>
      </c>
      <c r="I34" s="2"/>
    </row>
    <row r="35" spans="1:30" x14ac:dyDescent="0.3">
      <c r="A35" s="3" t="s">
        <v>38</v>
      </c>
      <c r="B35" s="7">
        <f>B34+B32</f>
        <v>16622.574433133301</v>
      </c>
      <c r="C35" s="7">
        <f>C34+C32</f>
        <v>26632.649624113561</v>
      </c>
      <c r="D35" s="7">
        <f>D34+D32</f>
        <v>83780.274110944927</v>
      </c>
      <c r="E35" s="8"/>
      <c r="F35" s="7">
        <f>F34+F32</f>
        <v>16034.827542946066</v>
      </c>
      <c r="G35" s="7">
        <f t="shared" ref="G35:H35" si="4">G34+G32</f>
        <v>24790.253938348818</v>
      </c>
      <c r="H35" s="7">
        <f t="shared" si="4"/>
        <v>86106.160138618085</v>
      </c>
      <c r="I35" s="2"/>
    </row>
    <row r="36" spans="1:30" x14ac:dyDescent="0.3">
      <c r="A36" s="2"/>
      <c r="B36" s="2"/>
      <c r="C36" s="2"/>
      <c r="D36" s="2"/>
      <c r="E36" s="8"/>
      <c r="F36" s="2"/>
      <c r="G36" s="2"/>
      <c r="H36" s="2"/>
      <c r="I36" s="2"/>
    </row>
    <row r="37" spans="1:30" x14ac:dyDescent="0.3">
      <c r="A37" s="3" t="s">
        <v>39</v>
      </c>
      <c r="B37" s="7">
        <f>B35*$B$13/$B$16</f>
        <v>831.12873872994192</v>
      </c>
      <c r="C37" s="7">
        <f>C35*$B$13/$B$16</f>
        <v>1331.6325085604421</v>
      </c>
      <c r="D37" s="7">
        <f>D35*$B$13/$B$16</f>
        <v>4189.0137915991281</v>
      </c>
      <c r="E37" s="8"/>
      <c r="F37" s="7">
        <f>F35*$B$13/$B$16</f>
        <v>801.7413936168972</v>
      </c>
      <c r="G37" s="7">
        <f>G35*$B$13/$B$16</f>
        <v>1239.5127223798547</v>
      </c>
      <c r="H37" s="7">
        <f>H35*$B$13/$B$16</f>
        <v>4305.3080953717363</v>
      </c>
      <c r="I37" s="2"/>
    </row>
    <row r="38" spans="1:30" x14ac:dyDescent="0.3">
      <c r="A38" s="3" t="s">
        <v>40</v>
      </c>
      <c r="B38" s="7">
        <f>B35+B37</f>
        <v>17453.703171863242</v>
      </c>
      <c r="C38" s="7">
        <f t="shared" ref="C38:D38" si="5">C35+C37</f>
        <v>27964.282132674001</v>
      </c>
      <c r="D38" s="7">
        <f t="shared" si="5"/>
        <v>87969.287902544049</v>
      </c>
      <c r="E38" s="8"/>
      <c r="F38" s="7">
        <f>F37+F35</f>
        <v>16836.568936562962</v>
      </c>
      <c r="G38" s="7">
        <f t="shared" ref="G38:H38" si="6">G37+G35</f>
        <v>26029.766660728674</v>
      </c>
      <c r="H38" s="7">
        <f t="shared" si="6"/>
        <v>90411.468233989814</v>
      </c>
      <c r="I38" s="2"/>
    </row>
    <row r="39" spans="1:30" ht="15" thickBot="1" x14ac:dyDescent="0.35">
      <c r="A39" s="2"/>
      <c r="B39" s="28" t="s">
        <v>28</v>
      </c>
      <c r="C39" s="28"/>
      <c r="D39" s="28"/>
      <c r="E39" s="2"/>
      <c r="F39" s="28" t="s">
        <v>35</v>
      </c>
      <c r="G39" s="28"/>
      <c r="H39" s="28"/>
      <c r="I39" s="2"/>
    </row>
    <row r="40" spans="1:30" ht="18" thickBot="1" x14ac:dyDescent="0.4">
      <c r="A40" s="15" t="s">
        <v>6</v>
      </c>
      <c r="B40" s="3" t="s">
        <v>41</v>
      </c>
      <c r="C40" s="2"/>
      <c r="D40" s="2"/>
      <c r="E40" s="2"/>
      <c r="F40" s="3" t="s">
        <v>41</v>
      </c>
      <c r="G40" s="2"/>
      <c r="H40" s="2"/>
      <c r="I40" s="2"/>
    </row>
    <row r="41" spans="1:30" ht="15" thickTop="1" x14ac:dyDescent="0.3">
      <c r="A41" s="3" t="s">
        <v>4</v>
      </c>
      <c r="B41" s="3">
        <f t="shared" ref="B41:D47" si="7">B23*100/B$38</f>
        <v>2.7856552572968765</v>
      </c>
      <c r="C41" s="3">
        <f t="shared" si="7"/>
        <v>1.3806898320085013</v>
      </c>
      <c r="D41" s="3">
        <f t="shared" si="7"/>
        <v>0.28509950004124895</v>
      </c>
      <c r="E41" s="2"/>
      <c r="F41" s="3">
        <f t="shared" ref="F41:F47" si="8">B23*100/F$38</f>
        <v>2.88776176328984</v>
      </c>
      <c r="G41" s="3">
        <f t="shared" ref="G41:H41" si="9">C23*100/G$38</f>
        <v>1.483301809933288</v>
      </c>
      <c r="H41" s="3">
        <f t="shared" si="9"/>
        <v>0.27739843727669139</v>
      </c>
      <c r="I41" s="2"/>
    </row>
    <row r="42" spans="1:30" x14ac:dyDescent="0.3">
      <c r="A42" s="3" t="s">
        <v>23</v>
      </c>
      <c r="B42" s="3">
        <f>B24*100/B$38</f>
        <v>2.2121379984416367</v>
      </c>
      <c r="C42" s="3">
        <f t="shared" si="7"/>
        <v>9.2360675941765287</v>
      </c>
      <c r="D42" s="3">
        <f t="shared" si="7"/>
        <v>4.5228284721456031</v>
      </c>
      <c r="E42" s="2"/>
      <c r="F42" s="3">
        <f t="shared" si="8"/>
        <v>2.2932225767301668</v>
      </c>
      <c r="G42" s="3">
        <f t="shared" ref="G42:H42" si="10">C24*100/G$38</f>
        <v>9.9224861815480363</v>
      </c>
      <c r="H42" s="3">
        <f t="shared" si="10"/>
        <v>4.4006585422359334</v>
      </c>
      <c r="I42" s="2"/>
    </row>
    <row r="43" spans="1:30" x14ac:dyDescent="0.3">
      <c r="A43" s="3" t="s">
        <v>24</v>
      </c>
      <c r="B43" s="3">
        <f t="shared" si="7"/>
        <v>15.893475285358976</v>
      </c>
      <c r="C43" s="3">
        <f t="shared" si="7"/>
        <v>19.825289895506685</v>
      </c>
      <c r="D43" s="3">
        <f t="shared" si="7"/>
        <v>8.5552585219714512</v>
      </c>
      <c r="E43" s="2"/>
      <c r="F43" s="3">
        <f t="shared" si="8"/>
        <v>16.476040994171154</v>
      </c>
      <c r="G43" s="3">
        <f t="shared" ref="G43:H43" si="11">C25*100/G$38</f>
        <v>21.298692655452342</v>
      </c>
      <c r="H43" s="3">
        <f t="shared" si="11"/>
        <v>8.3241652270509547</v>
      </c>
      <c r="I43" s="2"/>
    </row>
    <row r="44" spans="1:30" x14ac:dyDescent="0.3">
      <c r="A44" s="3" t="s">
        <v>25</v>
      </c>
      <c r="B44" s="3">
        <f t="shared" si="7"/>
        <v>1.907217034243077</v>
      </c>
      <c r="C44" s="3">
        <f t="shared" si="7"/>
        <v>2.3790347874608022</v>
      </c>
      <c r="D44" s="3">
        <f t="shared" si="7"/>
        <v>1.026631022636574</v>
      </c>
      <c r="E44" s="2"/>
      <c r="F44" s="3">
        <f t="shared" si="8"/>
        <v>1.9771249193005385</v>
      </c>
      <c r="G44" s="3">
        <f t="shared" ref="G44:H44" si="12">C26*100/G$38</f>
        <v>2.5558431186542809</v>
      </c>
      <c r="H44" s="3">
        <f t="shared" si="12"/>
        <v>0.99889982724611459</v>
      </c>
      <c r="I44" s="2"/>
    </row>
    <row r="45" spans="1:30" x14ac:dyDescent="0.3">
      <c r="A45" s="3" t="s">
        <v>27</v>
      </c>
      <c r="B45" s="3">
        <f t="shared" si="7"/>
        <v>5.3402076958806157</v>
      </c>
      <c r="C45" s="3">
        <f t="shared" si="7"/>
        <v>6.661297404890246</v>
      </c>
      <c r="D45" s="3">
        <f t="shared" si="7"/>
        <v>2.874566863382408</v>
      </c>
      <c r="E45" s="2"/>
      <c r="F45" s="3">
        <f t="shared" si="8"/>
        <v>5.5359497740415078</v>
      </c>
      <c r="G45" s="3">
        <f t="shared" ref="G45:H45" si="13">C27*100/G$38</f>
        <v>7.1563607322319864</v>
      </c>
      <c r="H45" s="3">
        <f t="shared" si="13"/>
        <v>2.7969195162891212</v>
      </c>
      <c r="I45" s="2"/>
    </row>
    <row r="46" spans="1:30" x14ac:dyDescent="0.3">
      <c r="A46" s="3" t="s">
        <v>26</v>
      </c>
      <c r="B46" s="3">
        <f t="shared" si="7"/>
        <v>55.277667466886591</v>
      </c>
      <c r="C46" s="3">
        <f t="shared" si="7"/>
        <v>41.009456082552425</v>
      </c>
      <c r="D46" s="3">
        <f t="shared" si="7"/>
        <v>71.61021931857448</v>
      </c>
      <c r="E46" s="2"/>
      <c r="F46" s="3">
        <f t="shared" si="8"/>
        <v>57.30383688239484</v>
      </c>
      <c r="G46" s="3">
        <f t="shared" ref="G46:H46" si="14">C28*100/G$38</f>
        <v>44.057252412108127</v>
      </c>
      <c r="H46" s="3">
        <f t="shared" si="14"/>
        <v>69.675895359829241</v>
      </c>
      <c r="I46" s="2"/>
    </row>
    <row r="47" spans="1:30" x14ac:dyDescent="0.3">
      <c r="A47" s="3" t="s">
        <v>5</v>
      </c>
      <c r="B47" s="3">
        <f t="shared" si="7"/>
        <v>83.41636073810777</v>
      </c>
      <c r="C47" s="3">
        <f t="shared" si="7"/>
        <v>80.49183559659518</v>
      </c>
      <c r="D47" s="3">
        <f t="shared" si="7"/>
        <v>88.874603698751756</v>
      </c>
      <c r="E47" s="2"/>
      <c r="F47" s="3">
        <f t="shared" si="8"/>
        <v>86.473936909928057</v>
      </c>
      <c r="G47" s="3">
        <f t="shared" ref="G47:H47" si="15">C29*100/G$38</f>
        <v>86.473936909928057</v>
      </c>
      <c r="H47" s="3">
        <f t="shared" si="15"/>
        <v>86.473936909928057</v>
      </c>
      <c r="I47" s="2"/>
    </row>
    <row r="48" spans="1:30" ht="18" thickBot="1" x14ac:dyDescent="0.4">
      <c r="A48" s="2"/>
      <c r="B48" s="2"/>
      <c r="C48" s="2"/>
      <c r="D48" s="2"/>
      <c r="E48" s="2"/>
      <c r="F48" s="2"/>
      <c r="G48" s="2"/>
      <c r="H48" s="2"/>
      <c r="I48" s="2"/>
      <c r="P48" s="23" t="s">
        <v>62</v>
      </c>
      <c r="Q48" s="23"/>
      <c r="R48" s="23"/>
      <c r="S48" s="23"/>
      <c r="T48" s="23"/>
      <c r="Z48" s="23" t="s">
        <v>62</v>
      </c>
      <c r="AA48" s="23"/>
      <c r="AB48" s="23"/>
      <c r="AC48" s="23"/>
      <c r="AD48" s="23"/>
    </row>
    <row r="49" spans="1:30" ht="15" thickTop="1" x14ac:dyDescent="0.3">
      <c r="A49" s="3" t="s">
        <v>36</v>
      </c>
      <c r="B49" s="3">
        <f t="shared" ref="B49:D50" si="16">B31*100/B$38</f>
        <v>6.1936690461333344</v>
      </c>
      <c r="C49" s="3">
        <f t="shared" si="16"/>
        <v>7.7258926793395961</v>
      </c>
      <c r="D49" s="3">
        <f t="shared" si="16"/>
        <v>3.3339744101163196</v>
      </c>
      <c r="E49" s="2"/>
      <c r="F49" s="3">
        <f>F31*100/F$38</f>
        <v>4.5917370250024394</v>
      </c>
      <c r="G49" s="3">
        <f t="shared" ref="G49:H49" si="17">G31*100/G$38</f>
        <v>4.5917370250024385</v>
      </c>
      <c r="H49" s="3">
        <f t="shared" si="17"/>
        <v>4.5917370250024394</v>
      </c>
      <c r="I49" s="2"/>
      <c r="P49" s="16" t="s">
        <v>51</v>
      </c>
      <c r="Q49" s="16" t="s">
        <v>52</v>
      </c>
      <c r="R49" s="16" t="s">
        <v>53</v>
      </c>
      <c r="S49" s="16" t="s">
        <v>54</v>
      </c>
      <c r="T49" s="16"/>
      <c r="Z49" s="16" t="s">
        <v>51</v>
      </c>
      <c r="AA49" s="16" t="s">
        <v>52</v>
      </c>
      <c r="AB49" s="16" t="s">
        <v>53</v>
      </c>
      <c r="AC49" s="16" t="s">
        <v>54</v>
      </c>
      <c r="AD49" s="16"/>
    </row>
    <row r="50" spans="1:30" x14ac:dyDescent="0.3">
      <c r="A50" s="3" t="s">
        <v>29</v>
      </c>
      <c r="B50" s="3">
        <f t="shared" si="16"/>
        <v>89.610029784241092</v>
      </c>
      <c r="C50" s="3">
        <f t="shared" si="16"/>
        <v>88.217728275934789</v>
      </c>
      <c r="D50" s="3">
        <f t="shared" si="16"/>
        <v>92.208578108868082</v>
      </c>
      <c r="E50" s="2"/>
      <c r="F50" s="3">
        <f>F32*100/F$38</f>
        <v>91.065673934930501</v>
      </c>
      <c r="G50" s="3">
        <f t="shared" ref="G50:H50" si="18">G32*100/G$38</f>
        <v>91.065673934930487</v>
      </c>
      <c r="H50" s="3">
        <f t="shared" si="18"/>
        <v>91.065673934930501</v>
      </c>
      <c r="I50" s="2"/>
      <c r="P50" s="1">
        <v>0</v>
      </c>
      <c r="Q50" s="1">
        <f>$D$69/1000</f>
        <v>15424.204678409427</v>
      </c>
      <c r="R50" s="1">
        <f>P50*($D$59)/1000</f>
        <v>0</v>
      </c>
      <c r="S50" s="1">
        <f>Q50+R50</f>
        <v>15424.204678409427</v>
      </c>
      <c r="T50" s="1">
        <f>$D$65*P50/1000</f>
        <v>0</v>
      </c>
      <c r="Z50" s="1">
        <v>0</v>
      </c>
      <c r="AA50" s="1">
        <f>$H$69/1000</f>
        <v>19273.080880767953</v>
      </c>
      <c r="AB50" s="1">
        <f>Z50*($D$59)/1000</f>
        <v>0</v>
      </c>
      <c r="AC50" s="1">
        <f>AA50+AB50</f>
        <v>19273.080880767953</v>
      </c>
      <c r="AD50" s="1">
        <f>$D$65*Z50/1000</f>
        <v>0</v>
      </c>
    </row>
    <row r="51" spans="1:30" x14ac:dyDescent="0.3">
      <c r="A51" s="2"/>
      <c r="B51" s="2"/>
      <c r="C51" s="2"/>
      <c r="D51" s="2"/>
      <c r="E51" s="2"/>
      <c r="F51" s="2"/>
      <c r="G51" s="2"/>
      <c r="H51" s="2"/>
      <c r="I51" s="2"/>
      <c r="P51" s="1">
        <f>$D$2*1.02</f>
        <v>1607.52</v>
      </c>
      <c r="Q51" s="1">
        <f>$D$69/1000</f>
        <v>15424.204678409427</v>
      </c>
      <c r="R51" s="1">
        <f>P51*($D$59)/1000</f>
        <v>125679.70091711999</v>
      </c>
      <c r="S51" s="1">
        <f>Q51+R51</f>
        <v>141103.90559552942</v>
      </c>
      <c r="T51" s="1">
        <f>$D$65*P51/1000</f>
        <v>169694.86762691711</v>
      </c>
      <c r="Z51" s="1">
        <f>$D$2*1.02</f>
        <v>1607.52</v>
      </c>
      <c r="AA51" s="1">
        <f>$H$69/1000</f>
        <v>19273.080880767953</v>
      </c>
      <c r="AB51" s="1">
        <f>Z51*($D$59)/1000</f>
        <v>125679.70091711999</v>
      </c>
      <c r="AC51" s="1">
        <f>AA51+AB51</f>
        <v>144952.78179788793</v>
      </c>
      <c r="AD51" s="1">
        <f>$H$65*Z51/1000</f>
        <v>174405.89209860397</v>
      </c>
    </row>
    <row r="52" spans="1:30" x14ac:dyDescent="0.3">
      <c r="A52" s="3" t="s">
        <v>37</v>
      </c>
      <c r="B52" s="3">
        <f t="shared" ref="B52:D53" si="19">B34*100/B$38</f>
        <v>5.6280653606918776</v>
      </c>
      <c r="C52" s="3">
        <f t="shared" si="19"/>
        <v>7.0203668689981997</v>
      </c>
      <c r="D52" s="3">
        <f t="shared" si="19"/>
        <v>3.0295170360649029</v>
      </c>
      <c r="E52" s="2"/>
      <c r="F52" s="3">
        <f>F34*100/F$38</f>
        <v>4.1724212100024873</v>
      </c>
      <c r="G52" s="3">
        <f t="shared" ref="G52:H52" si="20">G34*100/G$38</f>
        <v>4.1724212100024882</v>
      </c>
      <c r="H52" s="3">
        <f t="shared" si="20"/>
        <v>4.1724212100024882</v>
      </c>
      <c r="I52" s="2"/>
    </row>
    <row r="53" spans="1:30" x14ac:dyDescent="0.3">
      <c r="A53" s="3" t="s">
        <v>38</v>
      </c>
      <c r="B53" s="3">
        <f t="shared" si="19"/>
        <v>95.238095144932984</v>
      </c>
      <c r="C53" s="3">
        <f t="shared" si="19"/>
        <v>95.238095144932984</v>
      </c>
      <c r="D53" s="3">
        <f t="shared" si="19"/>
        <v>95.238095144932984</v>
      </c>
      <c r="E53" s="2"/>
      <c r="F53" s="3">
        <f>F35*100/F$38</f>
        <v>95.238095144932984</v>
      </c>
      <c r="G53" s="3">
        <f t="shared" ref="G53:H53" si="21">G35*100/G$38</f>
        <v>95.238095144932984</v>
      </c>
      <c r="H53" s="3">
        <f t="shared" si="21"/>
        <v>95.238095144932998</v>
      </c>
      <c r="I53" s="2"/>
    </row>
    <row r="54" spans="1:30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30" x14ac:dyDescent="0.3">
      <c r="A55" s="3" t="s">
        <v>39</v>
      </c>
      <c r="B55" s="3">
        <f>B37*100/B$38</f>
        <v>4.7619048550670184</v>
      </c>
      <c r="C55" s="3">
        <f>C37*100/C$38</f>
        <v>4.7619048550670184</v>
      </c>
      <c r="D55" s="3">
        <f>D37*100/D$38</f>
        <v>4.7619048550670184</v>
      </c>
      <c r="E55" s="2"/>
      <c r="F55" s="3">
        <f>F37*100/F$38</f>
        <v>4.7619048550670193</v>
      </c>
      <c r="G55" s="3">
        <f t="shared" ref="G55:H55" si="22">G37*100/G$38</f>
        <v>4.7619048550670176</v>
      </c>
      <c r="H55" s="3">
        <f t="shared" si="22"/>
        <v>4.7619048550670184</v>
      </c>
      <c r="I55" s="2"/>
    </row>
    <row r="56" spans="1:30" x14ac:dyDescent="0.3">
      <c r="A56" s="3" t="s">
        <v>40</v>
      </c>
      <c r="B56" s="3">
        <f>100</f>
        <v>100</v>
      </c>
      <c r="C56" s="3">
        <f>100</f>
        <v>100</v>
      </c>
      <c r="D56" s="3">
        <f>100</f>
        <v>100</v>
      </c>
      <c r="E56" s="2"/>
      <c r="F56" s="3">
        <f>100</f>
        <v>100</v>
      </c>
      <c r="G56" s="3">
        <f>100</f>
        <v>100</v>
      </c>
      <c r="H56" s="3">
        <f>100</f>
        <v>100</v>
      </c>
      <c r="I56" s="2"/>
    </row>
    <row r="57" spans="1:30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30" ht="18" thickBot="1" x14ac:dyDescent="0.4">
      <c r="A58" s="15" t="s">
        <v>42</v>
      </c>
      <c r="B58" s="28" t="s">
        <v>28</v>
      </c>
      <c r="C58" s="28"/>
      <c r="D58" s="28"/>
      <c r="E58" s="2"/>
      <c r="F58" s="28" t="s">
        <v>35</v>
      </c>
      <c r="G58" s="28"/>
      <c r="H58" s="28"/>
      <c r="I58" s="2"/>
    </row>
    <row r="59" spans="1:30" ht="15" thickTop="1" x14ac:dyDescent="0.3">
      <c r="A59" s="3" t="s">
        <v>56</v>
      </c>
      <c r="B59" s="7">
        <f>SUM(B23:B28)</f>
        <v>14559.244000000001</v>
      </c>
      <c r="C59" s="7">
        <f>SUM(C23:C28)</f>
        <v>22508.964</v>
      </c>
      <c r="D59" s="7">
        <f>SUM(D23:D28)</f>
        <v>78182.356</v>
      </c>
      <c r="E59" s="8"/>
      <c r="F59" s="7">
        <f>SUM(B23:B28)</f>
        <v>14559.244000000001</v>
      </c>
      <c r="G59" s="7">
        <f>SUM(C23:C28)</f>
        <v>22508.964</v>
      </c>
      <c r="H59" s="7">
        <f>SUM(D23:D28)</f>
        <v>78182.356</v>
      </c>
      <c r="I59" s="2"/>
    </row>
    <row r="60" spans="1:30" x14ac:dyDescent="0.3">
      <c r="A60" s="3" t="s">
        <v>55</v>
      </c>
      <c r="B60" s="7">
        <f>SUM(B31,B34,B37)</f>
        <v>2894.4591718632419</v>
      </c>
      <c r="C60" s="7">
        <f>SUM(C31,C34,C37)</f>
        <v>5455.3181326740023</v>
      </c>
      <c r="D60" s="7">
        <f>SUM(D31,D34,D37)</f>
        <v>9786.9319025440527</v>
      </c>
      <c r="E60" s="8"/>
      <c r="F60" s="7">
        <f>SUM(F31,F34,F37)</f>
        <v>2277.3249365629617</v>
      </c>
      <c r="G60" s="7">
        <f>SUM(G31,G34,G37)</f>
        <v>3520.8026607286738</v>
      </c>
      <c r="H60" s="7">
        <f>SUM(H31,H34,H37)</f>
        <v>12229.112233989817</v>
      </c>
      <c r="I60" s="2"/>
    </row>
    <row r="61" spans="1:30" x14ac:dyDescent="0.3">
      <c r="A61" s="3" t="s">
        <v>57</v>
      </c>
      <c r="B61" s="7">
        <f>SUM(B59:B60)</f>
        <v>17453.703171863242</v>
      </c>
      <c r="C61" s="7">
        <f>SUM(C59:C60)</f>
        <v>27964.282132674001</v>
      </c>
      <c r="D61" s="7">
        <f>SUM(D59:D60)</f>
        <v>87969.287902544049</v>
      </c>
      <c r="E61" s="8"/>
      <c r="F61" s="7">
        <f>SUM(F59:F60)</f>
        <v>16836.568936562962</v>
      </c>
      <c r="G61" s="7">
        <f>SUM(G59:G60)</f>
        <v>26029.766660728674</v>
      </c>
      <c r="H61" s="7">
        <f>SUM(H59:H60)</f>
        <v>90411.468233989814</v>
      </c>
      <c r="I61" s="2"/>
    </row>
    <row r="62" spans="1:30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30" x14ac:dyDescent="0.3">
      <c r="A63" s="3" t="s">
        <v>9</v>
      </c>
      <c r="B63" s="7">
        <f>0.2</f>
        <v>0.2</v>
      </c>
      <c r="C63" s="7">
        <f t="shared" ref="C63:D63" si="23">0.2</f>
        <v>0.2</v>
      </c>
      <c r="D63" s="7">
        <f t="shared" si="23"/>
        <v>0.2</v>
      </c>
      <c r="E63" s="8"/>
      <c r="F63" s="7">
        <f>0.2</f>
        <v>0.2</v>
      </c>
      <c r="G63" s="7">
        <f t="shared" ref="G63:H63" si="24">0.2</f>
        <v>0.2</v>
      </c>
      <c r="H63" s="7">
        <f t="shared" si="24"/>
        <v>0.2</v>
      </c>
      <c r="I63" s="2"/>
    </row>
    <row r="64" spans="1:30" x14ac:dyDescent="0.3">
      <c r="A64" s="3" t="s">
        <v>7</v>
      </c>
      <c r="B64" s="7">
        <f>B38*B63</f>
        <v>3490.7406343726489</v>
      </c>
      <c r="C64" s="7">
        <f>C38*C63</f>
        <v>5592.8564265348004</v>
      </c>
      <c r="D64" s="7">
        <f>D38*D63</f>
        <v>17593.857580508811</v>
      </c>
      <c r="E64" s="8"/>
      <c r="F64" s="7">
        <f>F38*F63</f>
        <v>3367.3137873125925</v>
      </c>
      <c r="G64" s="7">
        <f>G38*G63</f>
        <v>5205.9533321457347</v>
      </c>
      <c r="H64" s="7">
        <f>H38*H63</f>
        <v>18082.293646797963</v>
      </c>
      <c r="I64" s="2"/>
    </row>
    <row r="65" spans="1:9" x14ac:dyDescent="0.3">
      <c r="A65" s="3" t="s">
        <v>10</v>
      </c>
      <c r="B65" s="7">
        <f>(B64+B38)</f>
        <v>20944.443806235889</v>
      </c>
      <c r="C65" s="7">
        <f>(C64+C38)</f>
        <v>33557.138559208805</v>
      </c>
      <c r="D65" s="7">
        <f>(D64+D38)</f>
        <v>105563.14548305285</v>
      </c>
      <c r="E65" s="8"/>
      <c r="F65" s="7">
        <f>(F64+F38)</f>
        <v>20203.882723875555</v>
      </c>
      <c r="G65" s="7">
        <f>(G64+G38)</f>
        <v>31235.719992874408</v>
      </c>
      <c r="H65" s="7">
        <f>(H64+H38)</f>
        <v>108493.76188078777</v>
      </c>
      <c r="I65" s="2"/>
    </row>
    <row r="66" spans="1:9" x14ac:dyDescent="0.3">
      <c r="A66" s="3" t="s">
        <v>8</v>
      </c>
      <c r="B66" s="7">
        <f>B65*1.2</f>
        <v>25133.332567483067</v>
      </c>
      <c r="C66" s="7">
        <f>C65*1.2</f>
        <v>40268.566271050564</v>
      </c>
      <c r="D66" s="7">
        <f>D65*1.2</f>
        <v>126675.77457966341</v>
      </c>
      <c r="E66" s="8"/>
      <c r="F66" s="7">
        <f>F65*1.2</f>
        <v>24244.659268650666</v>
      </c>
      <c r="G66" s="7">
        <f>G65*1.2</f>
        <v>37482.863991449289</v>
      </c>
      <c r="H66" s="7">
        <f>H65*1.2</f>
        <v>130192.51425694532</v>
      </c>
      <c r="I66" s="2"/>
    </row>
    <row r="67" spans="1:9" x14ac:dyDescent="0.3">
      <c r="A67" s="3" t="s">
        <v>43</v>
      </c>
      <c r="B67" s="7">
        <f>B66*B2</f>
        <v>29984065.7530073</v>
      </c>
      <c r="C67" s="7">
        <f>C66*C2</f>
        <v>64792123.130120359</v>
      </c>
      <c r="D67" s="7">
        <f>D66*D2</f>
        <v>199641020.73754954</v>
      </c>
      <c r="E67" s="8"/>
      <c r="F67" s="7">
        <f>F66*B2</f>
        <v>28923878.507500246</v>
      </c>
      <c r="G67" s="7">
        <f t="shared" ref="G67" si="25">G66*C2</f>
        <v>60309928.162241906</v>
      </c>
      <c r="H67" s="7">
        <f>H66*D2</f>
        <v>205183402.46894583</v>
      </c>
      <c r="I67" s="2"/>
    </row>
    <row r="68" spans="1:9" x14ac:dyDescent="0.3">
      <c r="A68" s="3" t="s">
        <v>44</v>
      </c>
      <c r="B68" s="7">
        <f>B67-B38*B2</f>
        <v>9161797.868974451</v>
      </c>
      <c r="C68" s="7">
        <f t="shared" ref="C68" si="26">C67-C38*C2</f>
        <v>19797593.178647891</v>
      </c>
      <c r="D68" s="7">
        <f>D67-D38*D2</f>
        <v>61001423.003140122</v>
      </c>
      <c r="E68" s="8"/>
      <c r="F68" s="7">
        <f>F67-F38*B2</f>
        <v>8837851.7661806308</v>
      </c>
      <c r="G68" s="7">
        <f>G67-G38*C2</f>
        <v>18428033.605129473</v>
      </c>
      <c r="H68" s="7">
        <f>H67-H38*D2</f>
        <v>62694928.532177895</v>
      </c>
      <c r="I68" s="2"/>
    </row>
    <row r="69" spans="1:9" x14ac:dyDescent="0.3">
      <c r="A69" s="3" t="s">
        <v>58</v>
      </c>
      <c r="B69" s="20">
        <f>B60*$B2</f>
        <v>3453089.7920328476</v>
      </c>
      <c r="C69" s="20">
        <f>C60*C2</f>
        <v>8777606.8754724693</v>
      </c>
      <c r="D69" s="20">
        <f>D60*D2</f>
        <v>15424204.678409427</v>
      </c>
      <c r="F69" s="20">
        <f>F60*B2</f>
        <v>2716848.6493196134</v>
      </c>
      <c r="G69" s="20">
        <f t="shared" ref="G69:H69" si="27">G60*C2</f>
        <v>5664971.4811124364</v>
      </c>
      <c r="H69" s="20">
        <f t="shared" si="27"/>
        <v>19273080.880767953</v>
      </c>
    </row>
    <row r="70" spans="1:9" ht="15" thickBot="1" x14ac:dyDescent="0.35">
      <c r="A70" s="19" t="s">
        <v>45</v>
      </c>
      <c r="B70" s="21">
        <f>B60*B2/(B65-B59)</f>
        <v>540.795886866454</v>
      </c>
      <c r="C70" s="21">
        <f t="shared" ref="C70:D70" si="28">C60*C2/(C65-C59)</f>
        <v>794.48481090083919</v>
      </c>
      <c r="D70" s="21">
        <f t="shared" si="28"/>
        <v>563.32213093987411</v>
      </c>
      <c r="E70" s="14"/>
      <c r="F70" s="21">
        <f>F60*B2/(F65-F59)</f>
        <v>481.31488696131316</v>
      </c>
      <c r="G70" s="21">
        <f>G60*C2/(G65-G59)</f>
        <v>649.14975114899653</v>
      </c>
      <c r="H70" s="21">
        <f>H60*D2/(H65-H59)</f>
        <v>635.83592778795446</v>
      </c>
    </row>
    <row r="71" spans="1:9" ht="15" thickTop="1" x14ac:dyDescent="0.3"/>
    <row r="72" spans="1:9" ht="18" thickBot="1" x14ac:dyDescent="0.4">
      <c r="B72" s="17" t="s">
        <v>47</v>
      </c>
      <c r="C72" s="17" t="s">
        <v>48</v>
      </c>
      <c r="D72" s="17" t="s">
        <v>49</v>
      </c>
    </row>
    <row r="73" spans="1:9" ht="15.6" thickTop="1" thickBot="1" x14ac:dyDescent="0.35">
      <c r="A73" s="18" t="s">
        <v>46</v>
      </c>
      <c r="B73" s="22">
        <f>ROUND(MIN(B70,F70),0)</f>
        <v>481</v>
      </c>
      <c r="C73" s="22">
        <f>ROUND(MIN(C70,G70),0)</f>
        <v>649</v>
      </c>
      <c r="D73" s="22">
        <f>ROUND(MIN(D70,H70),0)</f>
        <v>563</v>
      </c>
    </row>
    <row r="74" spans="1:9" x14ac:dyDescent="0.3">
      <c r="A74" s="12"/>
    </row>
    <row r="75" spans="1:9" x14ac:dyDescent="0.3">
      <c r="A75" s="12"/>
    </row>
    <row r="76" spans="1:9" x14ac:dyDescent="0.3">
      <c r="A76" s="12"/>
    </row>
    <row r="77" spans="1:9" x14ac:dyDescent="0.3">
      <c r="A77" s="12"/>
    </row>
    <row r="78" spans="1:9" x14ac:dyDescent="0.3">
      <c r="A78" s="12"/>
    </row>
    <row r="79" spans="1:9" x14ac:dyDescent="0.3">
      <c r="A79" s="12"/>
    </row>
    <row r="80" spans="1:9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</sheetData>
  <mergeCells count="22">
    <mergeCell ref="F11:G11"/>
    <mergeCell ref="B30:D30"/>
    <mergeCell ref="A22:D22"/>
    <mergeCell ref="F30:H30"/>
    <mergeCell ref="B58:D58"/>
    <mergeCell ref="F58:H58"/>
    <mergeCell ref="B11:D11"/>
    <mergeCell ref="B12:D12"/>
    <mergeCell ref="B13:D13"/>
    <mergeCell ref="B14:D14"/>
    <mergeCell ref="B15:D15"/>
    <mergeCell ref="B16:D16"/>
    <mergeCell ref="B39:D39"/>
    <mergeCell ref="F39:H39"/>
    <mergeCell ref="P48:T48"/>
    <mergeCell ref="Z48:AD48"/>
    <mergeCell ref="P2:T2"/>
    <mergeCell ref="P1:T1"/>
    <mergeCell ref="Z1:AD1"/>
    <mergeCell ref="Z2:AD2"/>
    <mergeCell ref="P25:T25"/>
    <mergeCell ref="Z25:AD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Pochaev</dc:creator>
  <cp:lastModifiedBy>El Gandhi</cp:lastModifiedBy>
  <dcterms:created xsi:type="dcterms:W3CDTF">2019-04-06T15:09:51Z</dcterms:created>
  <dcterms:modified xsi:type="dcterms:W3CDTF">2020-05-06T14:26:25Z</dcterms:modified>
</cp:coreProperties>
</file>