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B372ADF4-2A10-49AC-BBD5-B64632B21F4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alance Sheet" sheetId="17" r:id="rId1"/>
    <sheet name="Profit &amp; Loss" sheetId="5" r:id="rId2"/>
    <sheet name="FCF" sheetId="20" r:id="rId3"/>
    <sheet name="DCF" sheetId="18" r:id="rId4"/>
  </sheets>
  <calcPr calcId="191029"/>
</workbook>
</file>

<file path=xl/calcChain.xml><?xml version="1.0" encoding="utf-8"?>
<calcChain xmlns="http://schemas.openxmlformats.org/spreadsheetml/2006/main">
  <c r="C33" i="18" l="1"/>
  <c r="C31" i="18"/>
  <c r="C30" i="18"/>
  <c r="C26" i="18"/>
  <c r="D9" i="5"/>
  <c r="C9" i="5"/>
  <c r="B9" i="5"/>
  <c r="D16" i="5"/>
  <c r="C16" i="5"/>
  <c r="B16" i="5"/>
  <c r="B17" i="5"/>
  <c r="D8" i="5"/>
  <c r="C8" i="5"/>
  <c r="B8" i="5"/>
  <c r="D14" i="5"/>
  <c r="C14" i="5"/>
  <c r="B14" i="5"/>
  <c r="D12" i="5"/>
  <c r="C12" i="5"/>
  <c r="B12" i="5"/>
  <c r="B22" i="5"/>
  <c r="D7" i="5"/>
  <c r="C7" i="5"/>
  <c r="B7" i="5"/>
  <c r="B23" i="5"/>
  <c r="B21" i="5"/>
  <c r="B20" i="5"/>
  <c r="D17" i="5"/>
  <c r="D22" i="5"/>
  <c r="D23" i="5"/>
  <c r="D20" i="5"/>
  <c r="E22" i="5"/>
  <c r="E23" i="5"/>
  <c r="E20" i="5"/>
  <c r="F22" i="5"/>
  <c r="F23" i="5"/>
  <c r="F20" i="5"/>
  <c r="G22" i="5"/>
  <c r="G23" i="5"/>
  <c r="G20" i="5"/>
  <c r="H22" i="5"/>
  <c r="H23" i="5"/>
  <c r="H20" i="5"/>
  <c r="I22" i="5"/>
  <c r="I23" i="5"/>
  <c r="I20" i="5"/>
  <c r="C17" i="5"/>
  <c r="C22" i="5"/>
  <c r="C23" i="5"/>
  <c r="C20" i="5"/>
  <c r="D11" i="17"/>
  <c r="D23" i="17"/>
  <c r="D22" i="20"/>
  <c r="B22" i="20"/>
  <c r="B24" i="20"/>
  <c r="C22" i="20"/>
  <c r="C24" i="20"/>
  <c r="D24" i="20"/>
  <c r="B25" i="20"/>
  <c r="D12" i="20"/>
  <c r="D13" i="20"/>
  <c r="D6" i="20"/>
  <c r="D14" i="20"/>
  <c r="C12" i="20"/>
  <c r="B12" i="20"/>
  <c r="C13" i="20"/>
  <c r="B13" i="20"/>
  <c r="C6" i="20"/>
  <c r="B6" i="20"/>
  <c r="B14" i="20"/>
  <c r="C14" i="20"/>
  <c r="E14" i="20"/>
  <c r="E22" i="20"/>
  <c r="F14" i="20"/>
  <c r="F22" i="20"/>
  <c r="G14" i="20"/>
  <c r="G22" i="20"/>
  <c r="H14" i="20"/>
  <c r="H22" i="20"/>
  <c r="C11" i="17"/>
  <c r="B11" i="17"/>
  <c r="D12" i="17"/>
  <c r="C12" i="17"/>
  <c r="B12" i="17"/>
  <c r="B14" i="17"/>
  <c r="I14" i="20"/>
  <c r="I21" i="5"/>
  <c r="D21" i="5"/>
  <c r="C21" i="5"/>
  <c r="E21" i="5"/>
  <c r="D5" i="20"/>
  <c r="C5" i="20"/>
  <c r="B5" i="20"/>
  <c r="D7" i="20"/>
  <c r="C7" i="20"/>
  <c r="B7" i="20"/>
  <c r="B8" i="20"/>
  <c r="C8" i="20"/>
  <c r="D8" i="20"/>
  <c r="E8" i="20"/>
  <c r="F8" i="20"/>
  <c r="G8" i="20"/>
  <c r="H8" i="20"/>
  <c r="I8" i="20"/>
  <c r="B23" i="17"/>
  <c r="D19" i="17"/>
  <c r="C19" i="17"/>
  <c r="B19" i="17"/>
  <c r="B22" i="17"/>
  <c r="B24" i="17"/>
  <c r="C23" i="17"/>
  <c r="C22" i="17"/>
  <c r="C24" i="17"/>
  <c r="D22" i="17"/>
  <c r="D24" i="17"/>
  <c r="E23" i="17"/>
  <c r="E22" i="17"/>
  <c r="E24" i="17"/>
  <c r="F22" i="17"/>
  <c r="F23" i="17"/>
  <c r="F24" i="17"/>
  <c r="G22" i="17"/>
  <c r="G23" i="17"/>
  <c r="G24" i="17"/>
  <c r="H22" i="17"/>
  <c r="H23" i="17"/>
  <c r="H24" i="17"/>
  <c r="D18" i="17"/>
  <c r="C18" i="17"/>
  <c r="B18" i="17"/>
  <c r="B20" i="17"/>
  <c r="C20" i="17"/>
  <c r="D20" i="17"/>
  <c r="E20" i="17"/>
  <c r="F20" i="17"/>
  <c r="D7" i="17"/>
  <c r="C7" i="17"/>
  <c r="B7" i="17"/>
  <c r="D9" i="17"/>
  <c r="C9" i="17"/>
  <c r="B9" i="17"/>
  <c r="B13" i="17"/>
  <c r="B15" i="17"/>
  <c r="C13" i="17"/>
  <c r="C14" i="17"/>
  <c r="C15" i="17"/>
  <c r="D13" i="17"/>
  <c r="D14" i="17"/>
  <c r="D15" i="17"/>
  <c r="E15" i="17"/>
  <c r="H13" i="17"/>
  <c r="H14" i="17"/>
  <c r="H15" i="17"/>
  <c r="G13" i="17"/>
  <c r="G14" i="17"/>
  <c r="G15" i="17"/>
  <c r="F13" i="17"/>
  <c r="F14" i="17"/>
  <c r="F15" i="17"/>
  <c r="D8" i="17"/>
  <c r="C8" i="17"/>
  <c r="B8" i="17"/>
  <c r="D13" i="5"/>
  <c r="C13" i="5"/>
  <c r="B13" i="5"/>
  <c r="D15" i="5"/>
  <c r="C15" i="5"/>
  <c r="B15" i="5"/>
  <c r="D11" i="5"/>
  <c r="C11" i="5"/>
  <c r="B11" i="5"/>
  <c r="D6" i="5"/>
  <c r="C6" i="5"/>
  <c r="B6" i="5"/>
  <c r="F21" i="5"/>
  <c r="G21" i="5"/>
  <c r="H21" i="5"/>
  <c r="I13" i="17"/>
  <c r="I14" i="17"/>
  <c r="I15" i="17"/>
  <c r="G20" i="17"/>
  <c r="H20" i="17"/>
  <c r="I20" i="17"/>
</calcChain>
</file>

<file path=xl/sharedStrings.xml><?xml version="1.0" encoding="utf-8"?>
<sst xmlns="http://schemas.openxmlformats.org/spreadsheetml/2006/main" count="103" uniqueCount="82">
  <si>
    <t>Other Income</t>
  </si>
  <si>
    <t>Depreciation</t>
  </si>
  <si>
    <t>Tax</t>
  </si>
  <si>
    <t>Current Assets</t>
  </si>
  <si>
    <t>Total Assets</t>
  </si>
  <si>
    <t>INCOME</t>
  </si>
  <si>
    <t>Interest / Discount on Advances / Bills</t>
  </si>
  <si>
    <t>TOTAL INTEREST EARNED</t>
  </si>
  <si>
    <t>TOTAL INCOME</t>
  </si>
  <si>
    <t>EXPENDITURE</t>
  </si>
  <si>
    <t>Interest Expended</t>
  </si>
  <si>
    <t>TOTAL OPERATING EXPENSES</t>
  </si>
  <si>
    <t>TOTAL PROVISIONS AND CONTINGENCIES</t>
  </si>
  <si>
    <t>TOTAL EXPENDITURE</t>
  </si>
  <si>
    <t>PROFIT &amp; LOSS ACCOUNT OF ICICI BANK (in Rs. Cr.)</t>
  </si>
  <si>
    <t>ICICI Bank</t>
  </si>
  <si>
    <t>Consolidated Balance Sheet</t>
  </si>
  <si>
    <t>------------------- in Rs. Cr. -------------------</t>
  </si>
  <si>
    <t>Total Share Capital</t>
  </si>
  <si>
    <t>Equity Share Capital</t>
  </si>
  <si>
    <t>Consolidated Cash Flow</t>
  </si>
  <si>
    <t>Terminal Value</t>
  </si>
  <si>
    <t>Weights</t>
  </si>
  <si>
    <t>WACC</t>
  </si>
  <si>
    <t>Mar 21</t>
  </si>
  <si>
    <t>EQUITIES AND LIABILITIES</t>
  </si>
  <si>
    <t>Total Capital and Liabilities</t>
  </si>
  <si>
    <t>ASSETS</t>
  </si>
  <si>
    <t>Non Current Assets</t>
  </si>
  <si>
    <t>Equity:</t>
  </si>
  <si>
    <t>Total Equity</t>
  </si>
  <si>
    <t>Total Liability</t>
  </si>
  <si>
    <t>Other Equity</t>
  </si>
  <si>
    <t>Liability:</t>
  </si>
  <si>
    <t>Current Liability</t>
  </si>
  <si>
    <t>Non Current Liability</t>
  </si>
  <si>
    <t>Operational profit</t>
  </si>
  <si>
    <t>PBT</t>
  </si>
  <si>
    <t>NET PROFIT</t>
  </si>
  <si>
    <t>EBITDA</t>
  </si>
  <si>
    <t>Capex</t>
  </si>
  <si>
    <t>Change in C.A.</t>
  </si>
  <si>
    <t>Change in C.L.</t>
  </si>
  <si>
    <t>Changes in NWC</t>
  </si>
  <si>
    <t>Unlevered FCF</t>
  </si>
  <si>
    <r>
      <t xml:space="preserve">Discount Rate </t>
    </r>
    <r>
      <rPr>
        <i/>
        <sz val="11"/>
        <rFont val="Calibri"/>
        <family val="2"/>
      </rPr>
      <t>(WACC)</t>
    </r>
  </si>
  <si>
    <t xml:space="preserve">EBIT </t>
  </si>
  <si>
    <t>NA</t>
  </si>
  <si>
    <t xml:space="preserve">Cash from Operating Activity </t>
  </si>
  <si>
    <t>Cash from Investing Activity </t>
  </si>
  <si>
    <t>Cash from Financing Activity </t>
  </si>
  <si>
    <t>Net Cash Flow</t>
  </si>
  <si>
    <t>Depreciation or D&amp;A</t>
  </si>
  <si>
    <t>ASSUMING CONSTANT DISCOUNT RATE</t>
  </si>
  <si>
    <t>Present value of FCF</t>
  </si>
  <si>
    <t>Sum of present values of FCFs</t>
  </si>
  <si>
    <t>E=market value of equity(market cap)</t>
  </si>
  <si>
    <t>63335.89 Million USD</t>
  </si>
  <si>
    <t>23260.83 Millin USD</t>
  </si>
  <si>
    <t xml:space="preserve">Tax rate </t>
  </si>
  <si>
    <t>Present value of Terminal Value</t>
  </si>
  <si>
    <t>Equity Value</t>
  </si>
  <si>
    <t>Enterprise Value</t>
  </si>
  <si>
    <t>Less: Net debt</t>
  </si>
  <si>
    <t>Equity value</t>
  </si>
  <si>
    <t>Diluted Shares Outstanding</t>
  </si>
  <si>
    <t>Equity value per share</t>
  </si>
  <si>
    <t>Assuming depreciation to increase rapidly in coming years.</t>
  </si>
  <si>
    <t>ASSUMPTION: Considering No major changes in Government policies from FY22 to FY24.</t>
  </si>
  <si>
    <t>ASSUMPTION: Rescent years are as from FY17 to FY21 are given more weight in weighted  average .</t>
  </si>
  <si>
    <t>ASSUMPTION: Considering from FY22 lockdown restrictions will be lifted and slowly thing will get back to normal.The bank will speedly recover .</t>
  </si>
  <si>
    <t>Cost Of Debt(COD)</t>
  </si>
  <si>
    <t>Cost of Equity(COE)</t>
  </si>
  <si>
    <t>Long term  growth rate ( R)</t>
  </si>
  <si>
    <t>FCF(t+1)=UFCF(of 2024)*(1+R)=170865(1+5.5)</t>
  </si>
  <si>
    <t>1.Weight of equity(E/(E+D))</t>
  </si>
  <si>
    <t>2.Weight of debt(D/(E+D))</t>
  </si>
  <si>
    <t>Formula - E/(E+D)*COE+D/(E+D)COD*(1-tax rate)</t>
  </si>
  <si>
    <t>D=market value of debt(Using Book value of debt)</t>
  </si>
  <si>
    <t>Book value of debt =last 2 year avg of  short term debt+long term debt</t>
  </si>
  <si>
    <t>Terminal value using Perpetual Growth:-</t>
  </si>
  <si>
    <t>short term debt=$217.122 mill &amp; long term debt =$23043.71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</si>
</sst>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(#,##0\)_-;_-* &quot;-&quot;_-;_-@_-"/>
  </numFmts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8"/>
      <color rgb="FF7030A0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9" tint="-0.499984740745262"/>
      <name val="Calibri"/>
      <family val="2"/>
    </font>
    <font>
      <sz val="11"/>
      <color rgb="FF000000"/>
      <name val="Calibri"/>
      <family val="2"/>
    </font>
    <font>
      <sz val="10"/>
      <color theme="1"/>
      <name val="Open Sans"/>
      <family val="2"/>
    </font>
    <font>
      <sz val="11"/>
      <name val="Calibri"/>
      <family val="2"/>
      <scheme val="minor"/>
    </font>
    <font>
      <i/>
      <sz val="11"/>
      <name val="Calibri"/>
      <family val="2"/>
    </font>
    <font>
      <b/>
      <sz val="11"/>
      <color theme="4" tint="-0.499984740745262"/>
      <name val="Calibri"/>
      <family val="2"/>
    </font>
    <font>
      <sz val="11"/>
      <color theme="4" tint="-0.499984740745262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4"/>
      <name val="Open Sans"/>
      <family val="2"/>
    </font>
    <font>
      <sz val="11"/>
      <color theme="1"/>
      <name val="Calibri"/>
      <family val="2"/>
    </font>
    <font>
      <b/>
      <sz val="20"/>
      <color rgb="FF000000"/>
      <name val="Calibri"/>
      <family val="2"/>
    </font>
    <font>
      <b/>
      <sz val="22"/>
      <color rgb="FF000000"/>
      <name val="Calibri"/>
      <family val="2"/>
    </font>
    <font>
      <sz val="8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1" fillId="0" borderId="1"/>
    <xf numFmtId="9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0" fontId="12" fillId="0" borderId="1" applyNumberFormat="0" applyFill="0" applyBorder="0" applyAlignment="0" applyProtection="0"/>
    <xf numFmtId="0" fontId="13" fillId="0" borderId="1" applyNumberFormat="0" applyFill="0" applyBorder="0" applyAlignment="0" applyProtection="0"/>
    <xf numFmtId="43" fontId="16" fillId="0" borderId="0" applyFont="0" applyFill="0" applyBorder="0" applyAlignment="0" applyProtection="0"/>
  </cellStyleXfs>
  <cellXfs count="65">
    <xf numFmtId="0" fontId="0" fillId="0" borderId="0" xfId="0" applyFont="1" applyAlignment="1"/>
    <xf numFmtId="4" fontId="0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2" borderId="0" xfId="0" applyFont="1" applyFill="1" applyAlignment="1"/>
    <xf numFmtId="4" fontId="11" fillId="2" borderId="0" xfId="0" applyNumberFormat="1" applyFont="1" applyFill="1" applyAlignment="1"/>
    <xf numFmtId="0" fontId="11" fillId="3" borderId="0" xfId="0" applyFont="1" applyFill="1" applyAlignment="1"/>
    <xf numFmtId="4" fontId="11" fillId="3" borderId="0" xfId="0" applyNumberFormat="1" applyFont="1" applyFill="1" applyAlignment="1"/>
    <xf numFmtId="0" fontId="14" fillId="0" borderId="0" xfId="0" applyFont="1" applyAlignment="1"/>
    <xf numFmtId="0" fontId="4" fillId="2" borderId="0" xfId="0" applyFont="1" applyFill="1" applyAlignment="1"/>
    <xf numFmtId="0" fontId="15" fillId="5" borderId="0" xfId="0" applyFont="1" applyFill="1" applyAlignment="1"/>
    <xf numFmtId="17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2" xfId="0" applyBorder="1"/>
    <xf numFmtId="4" fontId="0" fillId="4" borderId="0" xfId="0" applyNumberFormat="1" applyFont="1" applyFill="1" applyAlignment="1"/>
    <xf numFmtId="0" fontId="14" fillId="0" borderId="0" xfId="0" applyFont="1"/>
    <xf numFmtId="0" fontId="14" fillId="4" borderId="0" xfId="0" applyFont="1" applyFill="1" applyAlignment="1"/>
    <xf numFmtId="4" fontId="14" fillId="0" borderId="0" xfId="0" applyNumberFormat="1" applyFont="1" applyAlignment="1"/>
    <xf numFmtId="164" fontId="17" fillId="0" borderId="0" xfId="6" applyNumberFormat="1" applyFont="1" applyAlignment="1">
      <alignment horizontal="left"/>
    </xf>
    <xf numFmtId="0" fontId="18" fillId="0" borderId="2" xfId="1" applyFont="1" applyBorder="1"/>
    <xf numFmtId="0" fontId="18" fillId="0" borderId="0" xfId="1" applyFont="1" applyBorder="1"/>
    <xf numFmtId="4" fontId="0" fillId="0" borderId="0" xfId="0" applyNumberFormat="1"/>
    <xf numFmtId="0" fontId="0" fillId="0" borderId="0" xfId="0" applyFont="1" applyFill="1" applyAlignment="1"/>
    <xf numFmtId="1" fontId="20" fillId="0" borderId="0" xfId="0" applyNumberFormat="1" applyFont="1" applyFill="1" applyAlignment="1">
      <alignment horizontal="center"/>
    </xf>
    <xf numFmtId="4" fontId="21" fillId="0" borderId="0" xfId="0" applyNumberFormat="1" applyFont="1" applyFill="1" applyAlignment="1"/>
    <xf numFmtId="0" fontId="21" fillId="0" borderId="0" xfId="0" applyFont="1" applyFill="1" applyAlignment="1"/>
    <xf numFmtId="0" fontId="9" fillId="2" borderId="0" xfId="0" applyFont="1" applyFill="1" applyAlignment="1"/>
    <xf numFmtId="4" fontId="21" fillId="2" borderId="0" xfId="0" applyNumberFormat="1" applyFont="1" applyFill="1" applyAlignment="1"/>
    <xf numFmtId="4" fontId="0" fillId="2" borderId="0" xfId="0" applyNumberFormat="1" applyFont="1" applyFill="1" applyAlignment="1"/>
    <xf numFmtId="4" fontId="21" fillId="4" borderId="0" xfId="0" applyNumberFormat="1" applyFont="1" applyFill="1" applyAlignment="1"/>
    <xf numFmtId="0" fontId="14" fillId="5" borderId="0" xfId="0" applyFont="1" applyFill="1"/>
    <xf numFmtId="4" fontId="0" fillId="5" borderId="0" xfId="0" applyNumberFormat="1" applyFont="1" applyFill="1" applyAlignment="1"/>
    <xf numFmtId="0" fontId="8" fillId="6" borderId="0" xfId="0" applyFont="1" applyFill="1" applyAlignment="1"/>
    <xf numFmtId="4" fontId="21" fillId="6" borderId="0" xfId="0" applyNumberFormat="1" applyFont="1" applyFill="1" applyAlignment="1"/>
    <xf numFmtId="4" fontId="0" fillId="6" borderId="0" xfId="0" applyNumberFormat="1" applyFont="1" applyFill="1" applyAlignment="1"/>
    <xf numFmtId="2" fontId="0" fillId="0" borderId="0" xfId="0" applyNumberFormat="1" applyFont="1" applyAlignment="1"/>
    <xf numFmtId="4" fontId="21" fillId="0" borderId="0" xfId="0" applyNumberFormat="1" applyFont="1" applyAlignment="1"/>
    <xf numFmtId="4" fontId="20" fillId="2" borderId="0" xfId="0" applyNumberFormat="1" applyFont="1" applyFill="1" applyAlignment="1"/>
    <xf numFmtId="4" fontId="20" fillId="3" borderId="0" xfId="0" applyNumberFormat="1" applyFont="1" applyFill="1" applyAlignment="1"/>
    <xf numFmtId="4" fontId="4" fillId="2" borderId="0" xfId="0" applyNumberFormat="1" applyFont="1" applyFill="1" applyAlignment="1"/>
    <xf numFmtId="0" fontId="18" fillId="0" borderId="1" xfId="1" applyFont="1"/>
    <xf numFmtId="164" fontId="22" fillId="0" borderId="0" xfId="6" applyNumberFormat="1" applyFont="1" applyBorder="1" applyAlignment="1">
      <alignment horizontal="left"/>
    </xf>
    <xf numFmtId="0" fontId="3" fillId="0" borderId="0" xfId="0" applyFont="1" applyAlignment="1"/>
    <xf numFmtId="164" fontId="23" fillId="0" borderId="0" xfId="6" applyNumberFormat="1" applyFont="1" applyBorder="1" applyAlignment="1">
      <alignment horizontal="left"/>
    </xf>
    <xf numFmtId="10" fontId="0" fillId="0" borderId="0" xfId="0" applyNumberFormat="1" applyFont="1" applyAlignment="1"/>
    <xf numFmtId="0" fontId="2" fillId="0" borderId="0" xfId="0" applyFont="1" applyAlignment="1"/>
    <xf numFmtId="0" fontId="24" fillId="7" borderId="0" xfId="0" applyFont="1" applyFill="1" applyAlignment="1">
      <alignment horizontal="center"/>
    </xf>
    <xf numFmtId="43" fontId="0" fillId="0" borderId="0" xfId="6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26" fillId="8" borderId="0" xfId="0" applyFont="1" applyFill="1" applyAlignment="1"/>
    <xf numFmtId="0" fontId="2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3" fontId="24" fillId="7" borderId="0" xfId="0" applyNumberFormat="1" applyFont="1" applyFill="1" applyAlignment="1">
      <alignment horizontal="center"/>
    </xf>
    <xf numFmtId="0" fontId="27" fillId="0" borderId="0" xfId="0" applyFont="1" applyAlignment="1"/>
  </cellXfs>
  <cellStyles count="7">
    <cellStyle name="Comma" xfId="6" builtinId="3"/>
    <cellStyle name="Comma 2" xfId="3" xr:uid="{C20D36C0-6913-4296-8D4E-F9E9E0CB1284}"/>
    <cellStyle name="Heading 4 2" xfId="4" xr:uid="{0BFCA464-EE98-4206-98EE-BF9F44A3B95A}"/>
    <cellStyle name="Normal" xfId="0" builtinId="0"/>
    <cellStyle name="Normal 2" xfId="1" xr:uid="{46B327AD-783E-474A-BE74-95420E78989C}"/>
    <cellStyle name="Percent 2" xfId="2" xr:uid="{46A1DB13-BBF3-4AF4-B2F4-BA802470445D}"/>
    <cellStyle name="Warning Text 2" xfId="5" xr:uid="{40397748-ABF0-43DB-BC84-F9FC2151E2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48B8-79BD-48FA-9280-4CBD679D6CD2}">
  <dimension ref="A1:I24"/>
  <sheetViews>
    <sheetView workbookViewId="0">
      <selection activeCell="D18" sqref="D18"/>
    </sheetView>
  </sheetViews>
  <sheetFormatPr defaultRowHeight="14.4" x14ac:dyDescent="0.3"/>
  <cols>
    <col min="1" max="1" width="46.33203125" customWidth="1"/>
    <col min="2" max="5" width="13" customWidth="1"/>
    <col min="6" max="6" width="11.88671875" customWidth="1"/>
    <col min="7" max="7" width="13.88671875" customWidth="1"/>
    <col min="8" max="8" width="12.5546875" customWidth="1"/>
    <col min="9" max="9" width="13.33203125" customWidth="1"/>
    <col min="11" max="11" width="8.44140625" customWidth="1"/>
    <col min="12" max="12" width="12.33203125" customWidth="1"/>
    <col min="13" max="13" width="11.88671875" customWidth="1"/>
    <col min="14" max="14" width="11.6640625" customWidth="1"/>
    <col min="15" max="15" width="11.88671875" customWidth="1"/>
  </cols>
  <sheetData>
    <row r="1" spans="1:9" ht="23.4" x14ac:dyDescent="0.45">
      <c r="A1" s="8" t="s">
        <v>15</v>
      </c>
    </row>
    <row r="2" spans="1:9" x14ac:dyDescent="0.3">
      <c r="A2" s="2" t="s">
        <v>16</v>
      </c>
      <c r="E2" t="s">
        <v>17</v>
      </c>
    </row>
    <row r="3" spans="1:9" x14ac:dyDescent="0.3">
      <c r="A3" s="17"/>
      <c r="B3" s="16">
        <v>45352</v>
      </c>
      <c r="C3" s="16">
        <v>44986</v>
      </c>
      <c r="D3" s="16">
        <v>44621</v>
      </c>
      <c r="E3" s="17" t="s">
        <v>24</v>
      </c>
      <c r="F3" s="16">
        <v>43891</v>
      </c>
      <c r="G3" s="16">
        <v>43525</v>
      </c>
      <c r="H3" s="16">
        <v>43160</v>
      </c>
      <c r="I3" s="16">
        <v>42795</v>
      </c>
    </row>
    <row r="4" spans="1:9" x14ac:dyDescent="0.3">
      <c r="B4" s="43"/>
      <c r="C4" s="43"/>
      <c r="D4" s="43"/>
      <c r="E4" s="43"/>
      <c r="F4" s="43"/>
      <c r="G4" s="43"/>
      <c r="H4" s="43"/>
      <c r="I4" s="43"/>
    </row>
    <row r="5" spans="1:9" ht="18" x14ac:dyDescent="0.35">
      <c r="A5" s="15" t="s">
        <v>25</v>
      </c>
      <c r="B5" s="43"/>
      <c r="C5" s="43"/>
      <c r="D5" s="43"/>
      <c r="E5" s="43"/>
      <c r="F5" s="43"/>
      <c r="G5" s="43"/>
      <c r="H5" s="43"/>
      <c r="I5" s="43"/>
    </row>
    <row r="6" spans="1:9" x14ac:dyDescent="0.3">
      <c r="A6" s="19" t="s">
        <v>29</v>
      </c>
      <c r="B6" s="43"/>
      <c r="C6" s="43"/>
      <c r="D6" s="43"/>
      <c r="E6" s="43"/>
      <c r="F6" s="43"/>
      <c r="G6" s="43"/>
      <c r="H6" s="43"/>
      <c r="I6" s="43"/>
    </row>
    <row r="7" spans="1:9" x14ac:dyDescent="0.3">
      <c r="A7" t="s">
        <v>19</v>
      </c>
      <c r="B7" s="44">
        <f>AVERAGE(C7:F7)</f>
        <v>1317.23</v>
      </c>
      <c r="C7" s="44">
        <f>AVERAGE(D7:H7)</f>
        <v>1307.3200000000002</v>
      </c>
      <c r="D7" s="44">
        <f>AVERAGE(E7:I7)</f>
        <v>1283.5999999999999</v>
      </c>
      <c r="E7" s="1">
        <v>1383</v>
      </c>
      <c r="F7" s="1">
        <v>1295</v>
      </c>
      <c r="G7" s="1">
        <v>1289</v>
      </c>
      <c r="H7" s="1">
        <v>1286</v>
      </c>
      <c r="I7" s="1">
        <v>1165</v>
      </c>
    </row>
    <row r="8" spans="1:9" x14ac:dyDescent="0.3">
      <c r="A8" t="s">
        <v>18</v>
      </c>
      <c r="B8" s="44">
        <f t="shared" ref="B8:B9" si="0">AVERAGE(C8:F8)</f>
        <v>1317.23</v>
      </c>
      <c r="C8" s="44">
        <f t="shared" ref="C8:C11" si="1">AVERAGE(D8:H8)</f>
        <v>1307.3200000000002</v>
      </c>
      <c r="D8" s="44">
        <f t="shared" ref="D8:D9" si="2">AVERAGE(E8:I8)</f>
        <v>1283.5999999999999</v>
      </c>
      <c r="E8" s="1">
        <v>1383</v>
      </c>
      <c r="F8" s="1">
        <v>1295</v>
      </c>
      <c r="G8" s="1">
        <v>1289</v>
      </c>
      <c r="H8" s="1">
        <v>1286</v>
      </c>
      <c r="I8" s="1">
        <v>1165</v>
      </c>
    </row>
    <row r="9" spans="1:9" x14ac:dyDescent="0.3">
      <c r="A9" t="s">
        <v>32</v>
      </c>
      <c r="B9" s="44">
        <f t="shared" si="0"/>
        <v>129207.09</v>
      </c>
      <c r="C9" s="44">
        <f t="shared" si="1"/>
        <v>123187.56000000001</v>
      </c>
      <c r="D9" s="44">
        <f t="shared" si="2"/>
        <v>119899.8</v>
      </c>
      <c r="E9" s="1">
        <v>152079</v>
      </c>
      <c r="F9" s="1">
        <v>121662</v>
      </c>
      <c r="G9" s="1">
        <v>112959</v>
      </c>
      <c r="H9" s="1">
        <v>109338</v>
      </c>
      <c r="I9" s="1">
        <v>103461</v>
      </c>
    </row>
    <row r="10" spans="1:9" x14ac:dyDescent="0.3">
      <c r="A10" s="19" t="s">
        <v>33</v>
      </c>
      <c r="B10" s="44"/>
      <c r="C10" s="44"/>
      <c r="D10" s="44"/>
      <c r="E10" s="1"/>
      <c r="F10" s="1"/>
      <c r="G10" s="1"/>
      <c r="H10" s="1"/>
      <c r="I10" s="1"/>
    </row>
    <row r="11" spans="1:9" x14ac:dyDescent="0.3">
      <c r="A11" t="s">
        <v>34</v>
      </c>
      <c r="B11" s="44">
        <f>AVERAGE(C11:F11)</f>
        <v>986456.09</v>
      </c>
      <c r="C11" s="44">
        <f t="shared" si="1"/>
        <v>942110.55999999994</v>
      </c>
      <c r="D11" s="44">
        <f>AVERAGE(E11:I11)+100000</f>
        <v>985237.8</v>
      </c>
      <c r="E11" s="1">
        <v>1003840</v>
      </c>
      <c r="F11" s="1">
        <v>1014636</v>
      </c>
      <c r="G11" s="1">
        <v>891641</v>
      </c>
      <c r="H11" s="1">
        <v>815198</v>
      </c>
      <c r="I11" s="1">
        <v>700874</v>
      </c>
    </row>
    <row r="12" spans="1:9" x14ac:dyDescent="0.3">
      <c r="A12" t="s">
        <v>35</v>
      </c>
      <c r="B12" s="44">
        <f>AVERAGE(C12:F12)</f>
        <v>258138.66999999998</v>
      </c>
      <c r="C12" s="44">
        <f>AVERAGE(D12:H12)</f>
        <v>243986.27999999997</v>
      </c>
      <c r="D12" s="44">
        <f>AVERAGE(E12:I12)</f>
        <v>233359.4</v>
      </c>
      <c r="E12" s="1">
        <v>315510</v>
      </c>
      <c r="F12" s="1">
        <v>239699</v>
      </c>
      <c r="G12" s="1">
        <v>232904</v>
      </c>
      <c r="H12" s="1">
        <v>198459</v>
      </c>
      <c r="I12" s="1">
        <v>180225</v>
      </c>
    </row>
    <row r="13" spans="1:9" x14ac:dyDescent="0.3">
      <c r="A13" t="s">
        <v>30</v>
      </c>
      <c r="B13" s="44">
        <f>B7+B9</f>
        <v>130524.31999999999</v>
      </c>
      <c r="C13" s="44">
        <f>C7+C9</f>
        <v>124494.88000000002</v>
      </c>
      <c r="D13" s="44">
        <f>D7+D9</f>
        <v>121183.40000000001</v>
      </c>
      <c r="E13" s="1">
        <v>154462</v>
      </c>
      <c r="F13" s="1">
        <f>F8+F9</f>
        <v>122957</v>
      </c>
      <c r="G13" s="1">
        <f>G8+G9</f>
        <v>114248</v>
      </c>
      <c r="H13" s="1">
        <f>H8+H9</f>
        <v>110624</v>
      </c>
      <c r="I13" s="1">
        <f>I8+I9</f>
        <v>104626</v>
      </c>
    </row>
    <row r="14" spans="1:9" x14ac:dyDescent="0.3">
      <c r="A14" t="s">
        <v>31</v>
      </c>
      <c r="B14" s="44">
        <f>B12+B11</f>
        <v>1244594.76</v>
      </c>
      <c r="C14" s="44">
        <f t="shared" ref="C14" si="3">C12+C11</f>
        <v>1186096.8399999999</v>
      </c>
      <c r="D14" s="44">
        <f>D12+D11</f>
        <v>1218597.2</v>
      </c>
      <c r="E14" s="1">
        <v>1419350</v>
      </c>
      <c r="F14" s="1">
        <f>F11+F12</f>
        <v>1254335</v>
      </c>
      <c r="G14" s="1">
        <f t="shared" ref="G14:I14" si="4">G11+G12</f>
        <v>1124545</v>
      </c>
      <c r="H14" s="1">
        <f t="shared" si="4"/>
        <v>1013657</v>
      </c>
      <c r="I14" s="1">
        <f t="shared" si="4"/>
        <v>881099</v>
      </c>
    </row>
    <row r="15" spans="1:9" x14ac:dyDescent="0.3">
      <c r="A15" s="9" t="s">
        <v>26</v>
      </c>
      <c r="B15" s="45">
        <f t="shared" ref="B15:D15" si="5">B13+B14</f>
        <v>1375119.08</v>
      </c>
      <c r="C15" s="45">
        <f t="shared" si="5"/>
        <v>1310591.72</v>
      </c>
      <c r="D15" s="45">
        <f t="shared" si="5"/>
        <v>1339780.5999999999</v>
      </c>
      <c r="E15" s="10">
        <f>E13+E14</f>
        <v>1573812</v>
      </c>
      <c r="F15" s="10">
        <f>F13+F14</f>
        <v>1377292</v>
      </c>
      <c r="G15" s="10">
        <f>G13+G14</f>
        <v>1238793</v>
      </c>
      <c r="H15" s="10">
        <f>H13+H14</f>
        <v>1124281</v>
      </c>
      <c r="I15" s="10">
        <f>I13+I14</f>
        <v>985725</v>
      </c>
    </row>
    <row r="16" spans="1:9" x14ac:dyDescent="0.3">
      <c r="A16" s="11"/>
      <c r="B16" s="46"/>
      <c r="C16" s="46"/>
      <c r="D16" s="46"/>
      <c r="E16" s="12"/>
      <c r="F16" s="12"/>
      <c r="G16" s="12"/>
      <c r="H16" s="12"/>
      <c r="I16" s="12"/>
    </row>
    <row r="17" spans="1:9" ht="18" x14ac:dyDescent="0.35">
      <c r="A17" s="15" t="s">
        <v>27</v>
      </c>
      <c r="B17" s="44"/>
      <c r="C17" s="44"/>
      <c r="D17" s="44"/>
      <c r="E17" s="1"/>
      <c r="F17" s="1"/>
      <c r="G17" s="1"/>
      <c r="H17" s="1"/>
      <c r="I17" s="1"/>
    </row>
    <row r="18" spans="1:9" x14ac:dyDescent="0.3">
      <c r="A18" t="s">
        <v>28</v>
      </c>
      <c r="B18" s="44">
        <f>AVERAGE(C18:G18)+200</f>
        <v>9858.36</v>
      </c>
      <c r="C18" s="44">
        <f>AVERAGE(D18:H18)+200</f>
        <v>9792.7999999999993</v>
      </c>
      <c r="D18" s="44">
        <f>AVERAGE(E18:I18)+200</f>
        <v>9717</v>
      </c>
      <c r="E18" s="1">
        <v>8713</v>
      </c>
      <c r="F18" s="1">
        <v>10409</v>
      </c>
      <c r="G18" s="1">
        <v>9660</v>
      </c>
      <c r="H18" s="1">
        <v>9465</v>
      </c>
      <c r="I18" s="1">
        <v>9338</v>
      </c>
    </row>
    <row r="19" spans="1:9" x14ac:dyDescent="0.3">
      <c r="A19" t="s">
        <v>3</v>
      </c>
      <c r="B19" s="44">
        <f t="shared" ref="B19" si="6">AVERAGE(C19:G19)+200</f>
        <v>1172919.2320000001</v>
      </c>
      <c r="C19" s="44">
        <f t="shared" ref="C19" si="7">AVERAGE(D19:H19)+200</f>
        <v>1163235.3599999999</v>
      </c>
      <c r="D19" s="44">
        <f t="shared" ref="D19" si="8">AVERAGE(E19:I19)+200</f>
        <v>1132093.8</v>
      </c>
      <c r="E19" s="1">
        <v>910043</v>
      </c>
      <c r="F19" s="1">
        <v>1366884</v>
      </c>
      <c r="G19" s="1">
        <v>1291340</v>
      </c>
      <c r="H19" s="1">
        <v>1114816</v>
      </c>
      <c r="I19" s="1">
        <v>976386</v>
      </c>
    </row>
    <row r="20" spans="1:9" x14ac:dyDescent="0.3">
      <c r="A20" s="14" t="s">
        <v>4</v>
      </c>
      <c r="B20" s="45">
        <f t="shared" ref="B20:I20" si="9">B19+B18</f>
        <v>1182777.5920000002</v>
      </c>
      <c r="C20" s="45">
        <f t="shared" si="9"/>
        <v>1173028.1599999999</v>
      </c>
      <c r="D20" s="45">
        <f t="shared" si="9"/>
        <v>1141810.8</v>
      </c>
      <c r="E20" s="47">
        <f t="shared" si="9"/>
        <v>918756</v>
      </c>
      <c r="F20" s="47">
        <f t="shared" si="9"/>
        <v>1377293</v>
      </c>
      <c r="G20" s="47">
        <f t="shared" si="9"/>
        <v>1301000</v>
      </c>
      <c r="H20" s="47">
        <f t="shared" si="9"/>
        <v>1124281</v>
      </c>
      <c r="I20" s="47">
        <f t="shared" si="9"/>
        <v>985724</v>
      </c>
    </row>
    <row r="21" spans="1:9" x14ac:dyDescent="0.3">
      <c r="B21" s="44"/>
      <c r="C21" s="44"/>
      <c r="D21" s="44"/>
      <c r="E21" s="1"/>
      <c r="F21" s="1"/>
      <c r="G21" s="1"/>
      <c r="H21" s="1"/>
      <c r="I21" s="1"/>
    </row>
    <row r="22" spans="1:9" x14ac:dyDescent="0.3">
      <c r="A22" s="26" t="s">
        <v>41</v>
      </c>
      <c r="B22" s="44">
        <f t="shared" ref="B22:H22" si="10">B19-C19</f>
        <v>9683.8720000002068</v>
      </c>
      <c r="C22" s="44">
        <f t="shared" si="10"/>
        <v>31141.559999999823</v>
      </c>
      <c r="D22" s="44">
        <f t="shared" si="10"/>
        <v>222050.80000000005</v>
      </c>
      <c r="E22" s="1">
        <f t="shared" si="10"/>
        <v>-456841</v>
      </c>
      <c r="F22" s="1">
        <f t="shared" si="10"/>
        <v>75544</v>
      </c>
      <c r="G22" s="1">
        <f t="shared" si="10"/>
        <v>176524</v>
      </c>
      <c r="H22" s="1">
        <f t="shared" si="10"/>
        <v>138430</v>
      </c>
      <c r="I22" s="25" t="s">
        <v>47</v>
      </c>
    </row>
    <row r="23" spans="1:9" x14ac:dyDescent="0.3">
      <c r="A23" s="26" t="s">
        <v>42</v>
      </c>
      <c r="B23" s="44">
        <f t="shared" ref="B23:H23" si="11">B11-C11</f>
        <v>44345.530000000028</v>
      </c>
      <c r="C23" s="44">
        <f t="shared" si="11"/>
        <v>-43127.240000000107</v>
      </c>
      <c r="D23" s="44">
        <f t="shared" si="11"/>
        <v>-18602.199999999953</v>
      </c>
      <c r="E23" s="1">
        <f t="shared" si="11"/>
        <v>-10796</v>
      </c>
      <c r="F23" s="1">
        <f t="shared" si="11"/>
        <v>122995</v>
      </c>
      <c r="G23" s="1">
        <f t="shared" si="11"/>
        <v>76443</v>
      </c>
      <c r="H23" s="1">
        <f t="shared" si="11"/>
        <v>114324</v>
      </c>
      <c r="I23" s="25" t="s">
        <v>47</v>
      </c>
    </row>
    <row r="24" spans="1:9" x14ac:dyDescent="0.3">
      <c r="A24" s="26" t="s">
        <v>43</v>
      </c>
      <c r="B24" s="44">
        <f t="shared" ref="B24:G24" si="12">B22-B23</f>
        <v>-34661.657999999821</v>
      </c>
      <c r="C24" s="44">
        <f t="shared" si="12"/>
        <v>74268.79999999993</v>
      </c>
      <c r="D24" s="44">
        <f t="shared" si="12"/>
        <v>240653</v>
      </c>
      <c r="E24" s="1">
        <f t="shared" si="12"/>
        <v>-446045</v>
      </c>
      <c r="F24" s="1">
        <f t="shared" si="12"/>
        <v>-47451</v>
      </c>
      <c r="G24" s="1">
        <f t="shared" si="12"/>
        <v>100081</v>
      </c>
      <c r="H24" s="1">
        <f>H22-H23</f>
        <v>24106</v>
      </c>
      <c r="I24" s="25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F4A5-8835-4D58-A006-A1EB2C48BF9A}">
  <dimension ref="A1:X28"/>
  <sheetViews>
    <sheetView workbookViewId="0">
      <selection activeCell="O18" sqref="O18"/>
    </sheetView>
  </sheetViews>
  <sheetFormatPr defaultRowHeight="14.4" x14ac:dyDescent="0.3"/>
  <cols>
    <col min="1" max="1" width="60.109375" customWidth="1"/>
    <col min="2" max="4" width="11.33203125" customWidth="1"/>
    <col min="5" max="5" width="10.6640625" bestFit="1" customWidth="1"/>
    <col min="9" max="9" width="10.33203125" customWidth="1"/>
    <col min="14" max="14" width="11.109375" bestFit="1" customWidth="1"/>
  </cols>
  <sheetData>
    <row r="1" spans="1:24" ht="23.4" x14ac:dyDescent="0.45">
      <c r="A1" s="8" t="s">
        <v>15</v>
      </c>
    </row>
    <row r="2" spans="1:24" x14ac:dyDescent="0.3">
      <c r="B2" s="1"/>
      <c r="C2" s="1"/>
      <c r="D2" s="1"/>
      <c r="E2" s="1"/>
      <c r="F2" s="1"/>
      <c r="G2" s="1"/>
      <c r="H2" s="1"/>
      <c r="I2" s="1"/>
    </row>
    <row r="3" spans="1:24" ht="18" x14ac:dyDescent="0.35">
      <c r="A3" s="5" t="s">
        <v>14</v>
      </c>
      <c r="B3" s="31">
        <v>2024</v>
      </c>
      <c r="C3" s="31">
        <v>2023</v>
      </c>
      <c r="D3" s="31">
        <v>2022</v>
      </c>
      <c r="E3" s="18">
        <v>2021</v>
      </c>
      <c r="F3" s="19">
        <v>2020</v>
      </c>
      <c r="G3" s="19">
        <v>2019</v>
      </c>
      <c r="H3" s="19">
        <v>2018</v>
      </c>
      <c r="I3" s="19">
        <v>2017</v>
      </c>
    </row>
    <row r="4" spans="1:24" x14ac:dyDescent="0.3">
      <c r="A4" s="3"/>
      <c r="B4" s="32"/>
      <c r="C4" s="32"/>
      <c r="D4" s="32"/>
      <c r="E4" s="1"/>
      <c r="F4" s="1"/>
      <c r="G4" s="1"/>
      <c r="H4" s="1"/>
      <c r="I4" s="1"/>
    </row>
    <row r="5" spans="1:24" ht="15.6" x14ac:dyDescent="0.3">
      <c r="A5" s="4" t="s">
        <v>5</v>
      </c>
      <c r="B5" s="32"/>
      <c r="C5" s="32"/>
      <c r="D5" s="32"/>
      <c r="E5" s="1"/>
      <c r="F5" s="1"/>
      <c r="G5" s="1"/>
      <c r="H5" s="1"/>
      <c r="I5" s="1"/>
      <c r="K5" s="61" t="s">
        <v>70</v>
      </c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4" x14ac:dyDescent="0.3">
      <c r="A6" s="7" t="s">
        <v>6</v>
      </c>
      <c r="B6" s="32">
        <f>C6+500</f>
        <v>60288.81</v>
      </c>
      <c r="C6" s="32">
        <f>D6+1000</f>
        <v>59788.81</v>
      </c>
      <c r="D6" s="32">
        <f>E6+1500</f>
        <v>58788.81</v>
      </c>
      <c r="E6" s="1">
        <v>57288.81</v>
      </c>
      <c r="F6" s="1">
        <v>57551.11</v>
      </c>
      <c r="G6" s="1">
        <v>47942.62</v>
      </c>
      <c r="H6" s="1">
        <v>40866.21</v>
      </c>
      <c r="I6" s="1">
        <v>39603.39</v>
      </c>
      <c r="K6" s="61" t="s">
        <v>68</v>
      </c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spans="1:24" x14ac:dyDescent="0.3">
      <c r="A7" s="7" t="s">
        <v>7</v>
      </c>
      <c r="B7" s="32">
        <f>AVERAGE(C7:F7)</f>
        <v>72464.005625000005</v>
      </c>
      <c r="C7" s="32">
        <f>AVERAGE(D7:G7)</f>
        <v>70651.442500000005</v>
      </c>
      <c r="D7" s="32">
        <f>AVERAGE(E7:I7)</f>
        <v>65287.990000000013</v>
      </c>
      <c r="E7" s="1">
        <v>79118.27</v>
      </c>
      <c r="F7" s="1">
        <v>74798.320000000007</v>
      </c>
      <c r="G7" s="1">
        <v>63401.19</v>
      </c>
      <c r="H7" s="1">
        <v>54965.89</v>
      </c>
      <c r="I7" s="1">
        <v>54156.28</v>
      </c>
      <c r="K7" s="61" t="s">
        <v>69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spans="1:24" x14ac:dyDescent="0.3">
      <c r="A8" s="7" t="s">
        <v>0</v>
      </c>
      <c r="B8" s="32">
        <f>AVERAGE(C8:F8)</f>
        <v>17432.939699999999</v>
      </c>
      <c r="C8" s="32">
        <f>AVERAGE(D8:H8)</f>
        <v>16943.924800000001</v>
      </c>
      <c r="D8" s="32">
        <f>AVERAGE(E8:I8)</f>
        <v>17370.684000000001</v>
      </c>
      <c r="E8" s="1">
        <v>18968.53</v>
      </c>
      <c r="F8" s="1">
        <v>16448.62</v>
      </c>
      <c r="G8" s="1">
        <v>14512.16</v>
      </c>
      <c r="H8" s="1">
        <v>17419.63</v>
      </c>
      <c r="I8" s="1">
        <v>19504.48</v>
      </c>
      <c r="K8" s="13"/>
    </row>
    <row r="9" spans="1:24" x14ac:dyDescent="0.3">
      <c r="A9" s="34" t="s">
        <v>8</v>
      </c>
      <c r="B9" s="35">
        <f>AVERAGE(C9:F9)</f>
        <v>91117.214999999997</v>
      </c>
      <c r="C9" s="35">
        <f>AVERAGE(D9:G9)</f>
        <v>88476.444000000003</v>
      </c>
      <c r="D9" s="35">
        <f>AVERAGE(E9:I9)+4000</f>
        <v>86658.676000000007</v>
      </c>
      <c r="E9" s="36">
        <v>98086.8</v>
      </c>
      <c r="F9" s="36">
        <v>91246.94</v>
      </c>
      <c r="G9" s="36">
        <v>77913.36</v>
      </c>
      <c r="H9" s="36">
        <v>72385.52</v>
      </c>
      <c r="I9" s="36">
        <v>73660.759999999995</v>
      </c>
    </row>
    <row r="10" spans="1:24" ht="15.6" x14ac:dyDescent="0.3">
      <c r="A10" s="4" t="s">
        <v>9</v>
      </c>
      <c r="B10" s="32"/>
      <c r="C10" s="32"/>
      <c r="D10" s="32"/>
      <c r="E10" s="1"/>
      <c r="F10" s="1"/>
      <c r="G10" s="1"/>
      <c r="H10" s="1"/>
      <c r="I10" s="1"/>
    </row>
    <row r="11" spans="1:24" x14ac:dyDescent="0.3">
      <c r="A11" s="6" t="s">
        <v>10</v>
      </c>
      <c r="B11" s="32">
        <f>AVERAGE(C11:H11)</f>
        <v>37293.527999999998</v>
      </c>
      <c r="C11" s="32">
        <f>AVERAGE(D11:H11)</f>
        <v>37293.527999999998</v>
      </c>
      <c r="D11" s="32">
        <f>AVERAGE(E11:I11)</f>
        <v>36481.099999999991</v>
      </c>
      <c r="E11" s="1">
        <v>40128.839999999997</v>
      </c>
      <c r="F11" s="1">
        <v>41531.25</v>
      </c>
      <c r="G11" s="1">
        <v>36386.400000000001</v>
      </c>
      <c r="H11" s="1">
        <v>31940.05</v>
      </c>
      <c r="I11" s="1">
        <v>32418.959999999999</v>
      </c>
    </row>
    <row r="12" spans="1:24" x14ac:dyDescent="0.3">
      <c r="A12" s="6" t="s">
        <v>1</v>
      </c>
      <c r="B12" s="32">
        <f t="shared" ref="B12:B16" si="0">AVERAGE(C12:H12)</f>
        <v>631.45079999999996</v>
      </c>
      <c r="C12" s="32">
        <f>AVERAGE(D12:H12)</f>
        <v>631.45079999999996</v>
      </c>
      <c r="D12" s="32">
        <f t="shared" ref="D12:D16" si="1">AVERAGE(E12:I12)</f>
        <v>652.48400000000004</v>
      </c>
      <c r="E12">
        <v>0</v>
      </c>
      <c r="F12" s="1">
        <v>947.12</v>
      </c>
      <c r="G12" s="1">
        <v>776.91</v>
      </c>
      <c r="H12" s="1">
        <v>780.74</v>
      </c>
      <c r="I12">
        <v>757.65</v>
      </c>
      <c r="K12" s="61" t="s">
        <v>67</v>
      </c>
      <c r="L12" s="62"/>
      <c r="M12" s="62"/>
      <c r="N12" s="62"/>
      <c r="O12" s="62"/>
      <c r="P12" s="62"/>
    </row>
    <row r="13" spans="1:24" x14ac:dyDescent="0.3">
      <c r="A13" s="6" t="s">
        <v>11</v>
      </c>
      <c r="B13" s="32">
        <f t="shared" si="0"/>
        <v>19062.580000000002</v>
      </c>
      <c r="C13" s="32">
        <f t="shared" ref="C13:C16" si="2">AVERAGE(D13:H13)</f>
        <v>19062.580000000002</v>
      </c>
      <c r="D13" s="32">
        <f t="shared" si="1"/>
        <v>18344.66</v>
      </c>
      <c r="E13" s="1">
        <v>21560.83</v>
      </c>
      <c r="F13" s="1">
        <v>21614.41</v>
      </c>
      <c r="G13" s="1">
        <v>18089.060000000001</v>
      </c>
      <c r="H13" s="1">
        <v>15703.94</v>
      </c>
      <c r="I13" s="1">
        <v>14755.06</v>
      </c>
    </row>
    <row r="14" spans="1:24" x14ac:dyDescent="0.3">
      <c r="A14" s="6" t="s">
        <v>2</v>
      </c>
      <c r="B14" s="32">
        <f t="shared" si="0"/>
        <v>4611.96</v>
      </c>
      <c r="C14" s="32">
        <f>AVERAGE(D14:H14)</f>
        <v>4611.96</v>
      </c>
      <c r="D14" s="32">
        <f t="shared" si="1"/>
        <v>4254.8</v>
      </c>
      <c r="E14" s="1">
        <v>7845</v>
      </c>
      <c r="F14" s="1">
        <v>7363</v>
      </c>
      <c r="G14" s="1">
        <v>1719</v>
      </c>
      <c r="H14" s="1">
        <v>1878</v>
      </c>
      <c r="I14" s="1">
        <v>2469</v>
      </c>
    </row>
    <row r="15" spans="1:24" x14ac:dyDescent="0.3">
      <c r="A15" s="6" t="s">
        <v>12</v>
      </c>
      <c r="B15" s="32">
        <f t="shared" si="0"/>
        <v>19486.695199999998</v>
      </c>
      <c r="C15" s="32">
        <f t="shared" si="2"/>
        <v>19486.695199999998</v>
      </c>
      <c r="D15" s="32">
        <f t="shared" si="1"/>
        <v>19019.856</v>
      </c>
      <c r="E15" s="1">
        <v>20204.45</v>
      </c>
      <c r="F15" s="1">
        <v>20170.46</v>
      </c>
      <c r="G15" s="1">
        <v>20074.599999999999</v>
      </c>
      <c r="H15" s="1">
        <v>17964.11</v>
      </c>
      <c r="I15" s="1">
        <v>16685.66</v>
      </c>
    </row>
    <row r="16" spans="1:24" x14ac:dyDescent="0.3">
      <c r="A16" s="40" t="s">
        <v>13</v>
      </c>
      <c r="B16" s="41">
        <f t="shared" si="0"/>
        <v>75842.802800000005</v>
      </c>
      <c r="C16" s="41">
        <f t="shared" si="2"/>
        <v>75842.80279999999</v>
      </c>
      <c r="D16" s="41">
        <f t="shared" si="1"/>
        <v>73845.614000000001</v>
      </c>
      <c r="E16" s="42">
        <v>81894.12</v>
      </c>
      <c r="F16" s="42">
        <v>83316.13</v>
      </c>
      <c r="G16" s="42">
        <v>74550.05</v>
      </c>
      <c r="H16" s="42">
        <v>65608.100000000006</v>
      </c>
      <c r="I16" s="42">
        <v>63859.67</v>
      </c>
    </row>
    <row r="17" spans="1:9" x14ac:dyDescent="0.3">
      <c r="A17" s="24" t="s">
        <v>36</v>
      </c>
      <c r="B17" s="37">
        <f>B9-B16</f>
        <v>15274.412199999992</v>
      </c>
      <c r="C17" s="37">
        <f>C9-C16</f>
        <v>12633.641200000013</v>
      </c>
      <c r="D17" s="37">
        <f>D9-D16</f>
        <v>12813.062000000005</v>
      </c>
      <c r="E17" s="22">
        <v>16192.68</v>
      </c>
      <c r="F17" s="22">
        <v>7930.81</v>
      </c>
      <c r="G17" s="22">
        <v>3363.3</v>
      </c>
      <c r="H17" s="22">
        <v>6777.42</v>
      </c>
      <c r="I17" s="22">
        <v>9801.09</v>
      </c>
    </row>
    <row r="18" spans="1:9" x14ac:dyDescent="0.3">
      <c r="A18" s="24"/>
      <c r="B18" s="37"/>
      <c r="C18" s="37"/>
      <c r="D18" s="37"/>
      <c r="E18" s="22"/>
      <c r="F18" s="22"/>
      <c r="G18" s="22"/>
      <c r="H18" s="22"/>
      <c r="I18" s="22"/>
    </row>
    <row r="19" spans="1:9" x14ac:dyDescent="0.3">
      <c r="A19" s="20"/>
      <c r="B19" s="33"/>
      <c r="C19" s="33"/>
      <c r="D19" s="33"/>
      <c r="F19" s="1"/>
      <c r="G19" s="1"/>
      <c r="H19" s="1"/>
      <c r="I19" s="1"/>
    </row>
    <row r="20" spans="1:9" x14ac:dyDescent="0.3">
      <c r="A20" s="23" t="s">
        <v>46</v>
      </c>
      <c r="B20" s="1">
        <f>B7+B14+B23</f>
        <v>99927.946725000002</v>
      </c>
      <c r="C20" s="1">
        <f t="shared" ref="C20:I20" si="3">C7+C14+C23</f>
        <v>94985.597700000028</v>
      </c>
      <c r="D20" s="1">
        <f t="shared" si="3"/>
        <v>90564.452000000019</v>
      </c>
      <c r="E20" s="1">
        <f t="shared" si="3"/>
        <v>106434.48000000001</v>
      </c>
      <c r="F20" s="1">
        <f t="shared" si="3"/>
        <v>90867.63</v>
      </c>
      <c r="G20" s="1">
        <f t="shared" si="3"/>
        <v>78780.740000000005</v>
      </c>
      <c r="H20" s="1">
        <f t="shared" si="3"/>
        <v>76504.2</v>
      </c>
      <c r="I20" s="1">
        <f t="shared" si="3"/>
        <v>80235.199999999997</v>
      </c>
    </row>
    <row r="21" spans="1:9" x14ac:dyDescent="0.3">
      <c r="A21" s="23" t="s">
        <v>39</v>
      </c>
      <c r="B21" s="25">
        <f>B7+B12+B14+B23</f>
        <v>100559.39752500001</v>
      </c>
      <c r="C21" s="25">
        <f t="shared" ref="C21:I21" si="4">C7+C12+C14+C23</f>
        <v>95617.048500000034</v>
      </c>
      <c r="D21" s="25">
        <f t="shared" si="4"/>
        <v>91216.936000000031</v>
      </c>
      <c r="E21" s="25">
        <f t="shared" si="4"/>
        <v>106434.48000000001</v>
      </c>
      <c r="F21" s="25">
        <f t="shared" si="4"/>
        <v>91814.75</v>
      </c>
      <c r="G21" s="25">
        <f t="shared" si="4"/>
        <v>79557.650000000009</v>
      </c>
      <c r="H21" s="25">
        <f t="shared" si="4"/>
        <v>77284.94</v>
      </c>
      <c r="I21" s="25">
        <f t="shared" si="4"/>
        <v>80992.850000000006</v>
      </c>
    </row>
    <row r="22" spans="1:9" x14ac:dyDescent="0.3">
      <c r="A22" s="23" t="s">
        <v>37</v>
      </c>
      <c r="B22" s="25">
        <f>B17+B8-B14-B12</f>
        <v>27463.941099999993</v>
      </c>
      <c r="C22" s="25">
        <f t="shared" ref="C22:I22" si="5">C17+C8-C14-C12</f>
        <v>24334.155200000016</v>
      </c>
      <c r="D22" s="25">
        <f t="shared" si="5"/>
        <v>25276.462000000007</v>
      </c>
      <c r="E22" s="25">
        <f t="shared" si="5"/>
        <v>27316.21</v>
      </c>
      <c r="F22" s="25">
        <f t="shared" si="5"/>
        <v>16069.31</v>
      </c>
      <c r="G22" s="25">
        <f t="shared" si="5"/>
        <v>15379.55</v>
      </c>
      <c r="H22" s="25">
        <f t="shared" si="5"/>
        <v>21538.31</v>
      </c>
      <c r="I22" s="25">
        <f t="shared" si="5"/>
        <v>26078.92</v>
      </c>
    </row>
    <row r="23" spans="1:9" x14ac:dyDescent="0.3">
      <c r="A23" s="38" t="s">
        <v>38</v>
      </c>
      <c r="B23" s="39">
        <f t="shared" ref="B23:I23" si="6">B22-B14</f>
        <v>22851.981099999994</v>
      </c>
      <c r="C23" s="39">
        <f t="shared" si="6"/>
        <v>19722.195200000016</v>
      </c>
      <c r="D23" s="39">
        <f t="shared" si="6"/>
        <v>21021.662000000008</v>
      </c>
      <c r="E23" s="39">
        <f t="shared" si="6"/>
        <v>19471.21</v>
      </c>
      <c r="F23" s="39">
        <f t="shared" si="6"/>
        <v>8706.31</v>
      </c>
      <c r="G23" s="39">
        <f t="shared" si="6"/>
        <v>13660.55</v>
      </c>
      <c r="H23" s="39">
        <f t="shared" si="6"/>
        <v>19660.310000000001</v>
      </c>
      <c r="I23" s="39">
        <f t="shared" si="6"/>
        <v>23609.919999999998</v>
      </c>
    </row>
    <row r="24" spans="1:9" x14ac:dyDescent="0.3">
      <c r="A24" s="21"/>
    </row>
    <row r="28" spans="1:9" x14ac:dyDescent="0.3">
      <c r="D28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79AF-F28D-40F4-9EC2-A8367ADF4201}">
  <dimension ref="A1:P25"/>
  <sheetViews>
    <sheetView topLeftCell="A3" workbookViewId="0">
      <selection activeCell="E27" sqref="E27"/>
    </sheetView>
  </sheetViews>
  <sheetFormatPr defaultRowHeight="14.4" x14ac:dyDescent="0.3"/>
  <cols>
    <col min="1" max="1" width="46.33203125" customWidth="1"/>
    <col min="2" max="5" width="13" customWidth="1"/>
    <col min="6" max="6" width="11.88671875" customWidth="1"/>
    <col min="7" max="7" width="13.88671875" customWidth="1"/>
    <col min="8" max="8" width="12.5546875" customWidth="1"/>
    <col min="9" max="9" width="13.33203125" customWidth="1"/>
    <col min="11" max="11" width="8.44140625" customWidth="1"/>
    <col min="12" max="12" width="12.33203125" customWidth="1"/>
    <col min="13" max="13" width="11.88671875" customWidth="1"/>
    <col min="14" max="14" width="11.6640625" customWidth="1"/>
    <col min="15" max="15" width="11.88671875" customWidth="1"/>
  </cols>
  <sheetData>
    <row r="1" spans="1:16" ht="23.4" x14ac:dyDescent="0.45">
      <c r="A1" s="8" t="s">
        <v>15</v>
      </c>
    </row>
    <row r="2" spans="1:16" ht="18" x14ac:dyDescent="0.35">
      <c r="A2" s="5" t="s">
        <v>20</v>
      </c>
      <c r="E2" t="s">
        <v>17</v>
      </c>
    </row>
    <row r="3" spans="1:16" x14ac:dyDescent="0.3">
      <c r="A3" s="17"/>
      <c r="B3" s="16">
        <v>45352</v>
      </c>
      <c r="C3" s="16">
        <v>44986</v>
      </c>
      <c r="D3" s="16">
        <v>44621</v>
      </c>
      <c r="E3" s="17" t="s">
        <v>24</v>
      </c>
      <c r="F3" s="16">
        <v>43891</v>
      </c>
      <c r="G3" s="16">
        <v>43525</v>
      </c>
      <c r="H3" s="16">
        <v>43160</v>
      </c>
      <c r="I3" s="16">
        <v>42795</v>
      </c>
    </row>
    <row r="4" spans="1:16" x14ac:dyDescent="0.3">
      <c r="B4" s="43"/>
      <c r="C4" s="43"/>
      <c r="D4" s="43"/>
      <c r="E4" s="43"/>
      <c r="F4" s="43"/>
      <c r="G4" s="43"/>
      <c r="H4" s="43"/>
      <c r="I4" s="43"/>
    </row>
    <row r="5" spans="1:16" x14ac:dyDescent="0.3">
      <c r="A5" s="13" t="s">
        <v>48</v>
      </c>
      <c r="B5" s="44">
        <f t="shared" ref="B5:C7" si="0">AVERAGE(C5:G5)</f>
        <v>80912.51999999999</v>
      </c>
      <c r="C5" s="44">
        <f t="shared" si="0"/>
        <v>70657.600000000006</v>
      </c>
      <c r="D5" s="44">
        <f>AVERAGE(E5:I5)</f>
        <v>67654</v>
      </c>
      <c r="E5" s="1">
        <v>138015</v>
      </c>
      <c r="F5" s="1">
        <v>79565</v>
      </c>
      <c r="G5" s="1">
        <v>48671</v>
      </c>
      <c r="H5" s="1">
        <v>19383</v>
      </c>
      <c r="I5" s="1">
        <v>52636</v>
      </c>
    </row>
    <row r="6" spans="1:16" x14ac:dyDescent="0.3">
      <c r="A6" s="13" t="s">
        <v>49</v>
      </c>
      <c r="B6" s="44">
        <f t="shared" si="0"/>
        <v>-43515.447999999997</v>
      </c>
      <c r="C6" s="44">
        <f t="shared" si="0"/>
        <v>-44688.04</v>
      </c>
      <c r="D6" s="44">
        <f t="shared" ref="D6:D7" si="1">AVERAGE(E6:I6)</f>
        <v>-37525.199999999997</v>
      </c>
      <c r="E6" s="1">
        <v>-62987</v>
      </c>
      <c r="F6" s="1">
        <v>-42095</v>
      </c>
      <c r="G6" s="1">
        <v>-30282</v>
      </c>
      <c r="H6" s="1">
        <v>-50551</v>
      </c>
      <c r="I6" s="1">
        <v>-1711</v>
      </c>
    </row>
    <row r="7" spans="1:16" x14ac:dyDescent="0.3">
      <c r="A7" s="13" t="s">
        <v>50</v>
      </c>
      <c r="B7" s="44">
        <f t="shared" si="0"/>
        <v>-13668.608000000002</v>
      </c>
      <c r="C7" s="44">
        <f t="shared" si="0"/>
        <v>-4777.8399999999992</v>
      </c>
      <c r="D7" s="44">
        <f t="shared" si="1"/>
        <v>-9893.2000000000007</v>
      </c>
      <c r="E7" s="1">
        <v>-54667</v>
      </c>
      <c r="F7" s="1">
        <v>2992</v>
      </c>
      <c r="G7" s="1">
        <v>-1997</v>
      </c>
      <c r="H7" s="1">
        <v>39676</v>
      </c>
      <c r="I7" s="1">
        <v>-35470</v>
      </c>
    </row>
    <row r="8" spans="1:16" x14ac:dyDescent="0.3">
      <c r="A8" s="9" t="s">
        <v>51</v>
      </c>
      <c r="B8" s="10">
        <f t="shared" ref="B8:H8" si="2">B5+B6+B7</f>
        <v>23728.463999999993</v>
      </c>
      <c r="C8" s="10">
        <f t="shared" si="2"/>
        <v>21191.720000000005</v>
      </c>
      <c r="D8" s="10">
        <f t="shared" si="2"/>
        <v>20235.600000000002</v>
      </c>
      <c r="E8" s="10">
        <f t="shared" si="2"/>
        <v>20361</v>
      </c>
      <c r="F8" s="10">
        <f t="shared" si="2"/>
        <v>40462</v>
      </c>
      <c r="G8" s="10">
        <f t="shared" si="2"/>
        <v>16392</v>
      </c>
      <c r="H8" s="10">
        <f t="shared" si="2"/>
        <v>8508</v>
      </c>
      <c r="I8" s="10">
        <f>I5+I6+I7</f>
        <v>15455</v>
      </c>
    </row>
    <row r="9" spans="1:16" x14ac:dyDescent="0.3">
      <c r="A9" s="11"/>
      <c r="B9" s="46"/>
      <c r="C9" s="46"/>
      <c r="D9" s="46"/>
      <c r="E9" s="12"/>
      <c r="F9" s="12"/>
      <c r="G9" s="12"/>
      <c r="H9" s="12"/>
      <c r="I9" s="12"/>
      <c r="N9">
        <v>3</v>
      </c>
      <c r="O9">
        <v>2</v>
      </c>
      <c r="P9">
        <v>1</v>
      </c>
    </row>
    <row r="10" spans="1:16" x14ac:dyDescent="0.3">
      <c r="B10" s="1"/>
      <c r="C10" s="1"/>
      <c r="D10" s="1"/>
      <c r="E10" s="1"/>
      <c r="F10" s="1"/>
      <c r="G10" s="1"/>
      <c r="H10" s="1"/>
      <c r="I10" s="1"/>
    </row>
    <row r="11" spans="1:16" x14ac:dyDescent="0.3">
      <c r="A11" s="49" t="s">
        <v>8</v>
      </c>
      <c r="B11" s="1">
        <v>91117.214999999997</v>
      </c>
      <c r="C11" s="1">
        <v>88476.444000000003</v>
      </c>
      <c r="D11" s="1">
        <v>86658.676000000007</v>
      </c>
      <c r="E11" s="1">
        <v>98086.8</v>
      </c>
      <c r="F11" s="1">
        <v>91246.94</v>
      </c>
      <c r="G11" s="1">
        <v>77913.36</v>
      </c>
      <c r="H11" s="1">
        <v>72385.52</v>
      </c>
      <c r="I11" s="1">
        <v>73660.759999999995</v>
      </c>
    </row>
    <row r="12" spans="1:16" x14ac:dyDescent="0.3">
      <c r="A12" s="6" t="s">
        <v>2</v>
      </c>
      <c r="B12" s="32">
        <f t="shared" ref="B12:B13" si="3">AVERAGE(C12:H12)</f>
        <v>4611.96</v>
      </c>
      <c r="C12" s="32">
        <f t="shared" ref="C12:D13" si="4">AVERAGE(D12:H12)</f>
        <v>4611.96</v>
      </c>
      <c r="D12" s="32">
        <f>AVERAGE(E12:I12)</f>
        <v>4254.8</v>
      </c>
      <c r="E12" s="1">
        <v>7845</v>
      </c>
      <c r="F12" s="1">
        <v>7363</v>
      </c>
      <c r="G12" s="1">
        <v>1719</v>
      </c>
      <c r="H12" s="1">
        <v>1878</v>
      </c>
      <c r="I12" s="1">
        <v>2469</v>
      </c>
    </row>
    <row r="13" spans="1:16" x14ac:dyDescent="0.3">
      <c r="A13" s="50" t="s">
        <v>52</v>
      </c>
      <c r="B13" s="32">
        <f t="shared" si="3"/>
        <v>631.45079999999996</v>
      </c>
      <c r="C13" s="32">
        <f t="shared" si="4"/>
        <v>631.45079999999996</v>
      </c>
      <c r="D13" s="32">
        <f t="shared" si="4"/>
        <v>652.48400000000004</v>
      </c>
      <c r="E13" s="1">
        <v>0</v>
      </c>
      <c r="F13" s="1">
        <v>947.12</v>
      </c>
      <c r="G13" s="1">
        <v>776.91</v>
      </c>
      <c r="H13" s="1">
        <v>780.74</v>
      </c>
      <c r="I13" s="1">
        <v>757.65</v>
      </c>
    </row>
    <row r="14" spans="1:16" x14ac:dyDescent="0.3">
      <c r="A14" s="26" t="s">
        <v>40</v>
      </c>
      <c r="B14" s="29">
        <f t="shared" ref="B14:I14" si="5">B6</f>
        <v>-43515.447999999997</v>
      </c>
      <c r="C14" s="29">
        <f t="shared" si="5"/>
        <v>-44688.04</v>
      </c>
      <c r="D14" s="29">
        <f t="shared" si="5"/>
        <v>-37525.199999999997</v>
      </c>
      <c r="E14" s="29">
        <f t="shared" si="5"/>
        <v>-62987</v>
      </c>
      <c r="F14" s="29">
        <f t="shared" si="5"/>
        <v>-42095</v>
      </c>
      <c r="G14" s="29">
        <f t="shared" si="5"/>
        <v>-30282</v>
      </c>
      <c r="H14" s="29">
        <f t="shared" si="5"/>
        <v>-50551</v>
      </c>
      <c r="I14" s="29">
        <f t="shared" si="5"/>
        <v>-1711</v>
      </c>
    </row>
    <row r="15" spans="1:16" x14ac:dyDescent="0.3">
      <c r="A15" s="26" t="s">
        <v>41</v>
      </c>
      <c r="B15" s="44">
        <v>9683.8720000002068</v>
      </c>
      <c r="C15" s="44">
        <v>31141.559999999823</v>
      </c>
      <c r="D15" s="44">
        <v>222050.80000000005</v>
      </c>
      <c r="E15" s="1">
        <v>-456841</v>
      </c>
      <c r="F15" s="1">
        <v>75544</v>
      </c>
      <c r="G15" s="1">
        <v>176524</v>
      </c>
      <c r="H15" s="1">
        <v>138430</v>
      </c>
      <c r="I15" s="25" t="s">
        <v>47</v>
      </c>
    </row>
    <row r="16" spans="1:16" x14ac:dyDescent="0.3">
      <c r="A16" s="26" t="s">
        <v>42</v>
      </c>
      <c r="B16" s="44">
        <v>44345.530000000028</v>
      </c>
      <c r="C16" s="44">
        <v>-43127.240000000107</v>
      </c>
      <c r="D16" s="44">
        <v>-18602.199999999953</v>
      </c>
      <c r="E16" s="1">
        <v>-10796</v>
      </c>
      <c r="F16" s="1">
        <v>122995</v>
      </c>
      <c r="G16" s="1">
        <v>76443</v>
      </c>
      <c r="H16" s="1">
        <v>114324</v>
      </c>
      <c r="I16" s="25" t="s">
        <v>47</v>
      </c>
    </row>
    <row r="17" spans="1:11" x14ac:dyDescent="0.3">
      <c r="A17" s="26" t="s">
        <v>43</v>
      </c>
      <c r="B17" s="44">
        <v>-34661.657999999821</v>
      </c>
      <c r="C17" s="44">
        <v>74268.79999999993</v>
      </c>
      <c r="D17" s="44">
        <v>240653</v>
      </c>
      <c r="E17" s="1">
        <v>-446045</v>
      </c>
      <c r="F17" s="1">
        <v>-47451</v>
      </c>
      <c r="G17" s="1">
        <v>100081</v>
      </c>
      <c r="H17" s="1">
        <v>24106</v>
      </c>
      <c r="I17" s="25" t="s">
        <v>47</v>
      </c>
    </row>
    <row r="18" spans="1:11" x14ac:dyDescent="0.3">
      <c r="A18" s="1" t="s">
        <v>46</v>
      </c>
      <c r="B18" s="1">
        <v>99927.946725000002</v>
      </c>
      <c r="C18" s="1">
        <v>94985.597700000028</v>
      </c>
      <c r="D18" s="1">
        <v>90564.452000000019</v>
      </c>
      <c r="E18" s="1">
        <v>106434.48000000001</v>
      </c>
      <c r="F18" s="1">
        <v>90867.63</v>
      </c>
      <c r="G18" s="1">
        <v>78780.740000000005</v>
      </c>
      <c r="H18" s="1">
        <v>76504.2</v>
      </c>
      <c r="I18" s="1">
        <v>80235.199999999997</v>
      </c>
    </row>
    <row r="19" spans="1:11" x14ac:dyDescent="0.3">
      <c r="A19" s="1" t="s">
        <v>39</v>
      </c>
      <c r="B19" s="1">
        <v>100559.39752500001</v>
      </c>
      <c r="C19" s="1">
        <v>95617.048500000034</v>
      </c>
      <c r="D19" s="1">
        <v>91216.936000000031</v>
      </c>
      <c r="E19" s="1">
        <v>106434.48000000001</v>
      </c>
      <c r="F19" s="1">
        <v>91814.75</v>
      </c>
      <c r="G19" s="1">
        <v>79557.650000000009</v>
      </c>
      <c r="H19" s="1">
        <v>77284.94</v>
      </c>
      <c r="I19" s="1">
        <v>80992.850000000006</v>
      </c>
    </row>
    <row r="20" spans="1:11" x14ac:dyDescent="0.3">
      <c r="A20" s="1" t="s">
        <v>37</v>
      </c>
      <c r="B20" s="1">
        <v>27463.941099999993</v>
      </c>
      <c r="C20" s="1">
        <v>24334.155200000016</v>
      </c>
      <c r="D20" s="1">
        <v>25276.462000000007</v>
      </c>
      <c r="E20" s="1">
        <v>27316.21</v>
      </c>
      <c r="F20" s="1">
        <v>16069.31</v>
      </c>
      <c r="G20" s="1">
        <v>15379.55</v>
      </c>
      <c r="H20" s="1">
        <v>21538.31</v>
      </c>
      <c r="I20" s="1">
        <v>26078.92</v>
      </c>
    </row>
    <row r="22" spans="1:11" ht="15" x14ac:dyDescent="0.35">
      <c r="A22" s="51" t="s">
        <v>44</v>
      </c>
      <c r="B22" s="1">
        <f t="shared" ref="B22:G22" si="6">B18-B12+B13-B14-B17</f>
        <v>174124.54352499981</v>
      </c>
      <c r="C22" s="1">
        <f t="shared" si="6"/>
        <v>61424.328500000091</v>
      </c>
      <c r="D22" s="1">
        <f>D18-D12+D13-D14-D17</f>
        <v>-116165.66399999999</v>
      </c>
      <c r="E22" s="1">
        <f t="shared" si="6"/>
        <v>607621.48</v>
      </c>
      <c r="F22" s="1">
        <f t="shared" si="6"/>
        <v>173997.75</v>
      </c>
      <c r="G22" s="1">
        <f t="shared" si="6"/>
        <v>8039.6500000000087</v>
      </c>
      <c r="H22" s="1">
        <f>H18-H12+H13-H14-H17</f>
        <v>101851.94</v>
      </c>
      <c r="I22" s="13" t="s">
        <v>47</v>
      </c>
    </row>
    <row r="23" spans="1:11" x14ac:dyDescent="0.3">
      <c r="A23" s="28" t="s">
        <v>45</v>
      </c>
      <c r="B23" s="52">
        <v>0.1381</v>
      </c>
      <c r="C23" s="52">
        <v>0.1381</v>
      </c>
      <c r="D23" s="52">
        <v>0.1381</v>
      </c>
      <c r="K23" s="13" t="s">
        <v>53</v>
      </c>
    </row>
    <row r="24" spans="1:11" x14ac:dyDescent="0.3">
      <c r="A24" s="48" t="s">
        <v>54</v>
      </c>
      <c r="B24">
        <f>B22/(1+B23)^N9</f>
        <v>118118.71696005792</v>
      </c>
      <c r="C24">
        <f>C22/(1+C23)^O9</f>
        <v>47421.967736944433</v>
      </c>
      <c r="D24">
        <f>D22/(1+D23)^P9</f>
        <v>-102069.82163254546</v>
      </c>
    </row>
    <row r="25" spans="1:11" x14ac:dyDescent="0.3">
      <c r="A25" s="27" t="s">
        <v>55</v>
      </c>
      <c r="B25">
        <f>B24+C24+D24</f>
        <v>63470.863064456891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23D5-A278-40F4-AD39-4CC508F9A365}">
  <dimension ref="A1:C33"/>
  <sheetViews>
    <sheetView tabSelected="1" workbookViewId="0">
      <selection activeCell="B7" sqref="B7"/>
    </sheetView>
  </sheetViews>
  <sheetFormatPr defaultRowHeight="14.4" x14ac:dyDescent="0.3"/>
  <cols>
    <col min="1" max="1" width="44.88671875" customWidth="1"/>
    <col min="2" max="2" width="46.5546875" customWidth="1"/>
    <col min="3" max="3" width="17.109375" customWidth="1"/>
    <col min="7" max="7" width="10.33203125" customWidth="1"/>
    <col min="12" max="12" width="11.109375" bestFit="1" customWidth="1"/>
  </cols>
  <sheetData>
    <row r="1" spans="1:3" ht="28.8" x14ac:dyDescent="0.55000000000000004">
      <c r="A1" s="59" t="s">
        <v>23</v>
      </c>
    </row>
    <row r="2" spans="1:3" ht="33" customHeight="1" x14ac:dyDescent="0.3">
      <c r="A2" s="13" t="s">
        <v>77</v>
      </c>
    </row>
    <row r="3" spans="1:3" x14ac:dyDescent="0.3">
      <c r="A3" t="s">
        <v>56</v>
      </c>
      <c r="B3" t="s">
        <v>57</v>
      </c>
    </row>
    <row r="4" spans="1:3" x14ac:dyDescent="0.3">
      <c r="A4" t="s">
        <v>78</v>
      </c>
      <c r="B4" t="s">
        <v>58</v>
      </c>
    </row>
    <row r="5" spans="1:3" ht="28.2" customHeight="1" x14ac:dyDescent="0.3">
      <c r="A5" s="64" t="s">
        <v>79</v>
      </c>
      <c r="B5" s="64" t="s">
        <v>81</v>
      </c>
    </row>
    <row r="6" spans="1:3" x14ac:dyDescent="0.3">
      <c r="A6" t="s">
        <v>22</v>
      </c>
      <c r="B6" s="56"/>
    </row>
    <row r="7" spans="1:3" x14ac:dyDescent="0.3">
      <c r="A7" t="s">
        <v>75</v>
      </c>
      <c r="B7" s="57">
        <v>0.73140000000000005</v>
      </c>
    </row>
    <row r="8" spans="1:3" x14ac:dyDescent="0.3">
      <c r="A8" t="s">
        <v>76</v>
      </c>
      <c r="B8" s="57">
        <v>0.26860000000000001</v>
      </c>
      <c r="C8" s="55"/>
    </row>
    <row r="9" spans="1:3" x14ac:dyDescent="0.3">
      <c r="B9" s="57"/>
      <c r="C9" s="55"/>
    </row>
    <row r="10" spans="1:3" x14ac:dyDescent="0.3">
      <c r="A10" s="13" t="s">
        <v>72</v>
      </c>
      <c r="B10" s="58">
        <v>0.12470000000000001</v>
      </c>
      <c r="C10" s="55"/>
    </row>
    <row r="11" spans="1:3" x14ac:dyDescent="0.3">
      <c r="A11" s="13" t="s">
        <v>71</v>
      </c>
      <c r="B11" s="58">
        <v>0.25180000000000002</v>
      </c>
      <c r="C11" s="55"/>
    </row>
    <row r="12" spans="1:3" x14ac:dyDescent="0.3">
      <c r="A12" t="s">
        <v>59</v>
      </c>
      <c r="B12" s="58">
        <v>0.30680000000000002</v>
      </c>
      <c r="C12" s="55"/>
    </row>
    <row r="13" spans="1:3" x14ac:dyDescent="0.3">
      <c r="B13" s="58"/>
      <c r="C13" s="55"/>
    </row>
    <row r="14" spans="1:3" x14ac:dyDescent="0.3">
      <c r="A14" s="13" t="s">
        <v>23</v>
      </c>
      <c r="B14" s="52">
        <v>0.1381</v>
      </c>
      <c r="C14" s="55"/>
    </row>
    <row r="15" spans="1:3" x14ac:dyDescent="0.3">
      <c r="C15" s="55"/>
    </row>
    <row r="16" spans="1:3" x14ac:dyDescent="0.3">
      <c r="C16" s="55"/>
    </row>
    <row r="17" spans="1:3" x14ac:dyDescent="0.3">
      <c r="C17" s="55"/>
    </row>
    <row r="19" spans="1:3" ht="25.8" x14ac:dyDescent="0.5">
      <c r="A19" s="60" t="s">
        <v>21</v>
      </c>
    </row>
    <row r="20" spans="1:3" x14ac:dyDescent="0.3">
      <c r="B20" s="53" t="s">
        <v>80</v>
      </c>
    </row>
    <row r="22" spans="1:3" x14ac:dyDescent="0.3">
      <c r="B22" s="13" t="s">
        <v>73</v>
      </c>
      <c r="C22" s="52">
        <v>5.5E-2</v>
      </c>
    </row>
    <row r="23" spans="1:3" x14ac:dyDescent="0.3">
      <c r="B23" t="s">
        <v>23</v>
      </c>
      <c r="C23" s="52">
        <v>0.1381</v>
      </c>
    </row>
    <row r="24" spans="1:3" x14ac:dyDescent="0.3">
      <c r="B24" s="13" t="s">
        <v>74</v>
      </c>
      <c r="C24" s="55">
        <v>1110622.5</v>
      </c>
    </row>
    <row r="25" spans="1:3" x14ac:dyDescent="0.3">
      <c r="B25" s="54" t="s">
        <v>21</v>
      </c>
      <c r="C25" s="63">
        <v>133649</v>
      </c>
    </row>
    <row r="26" spans="1:3" x14ac:dyDescent="0.3">
      <c r="B26" s="13" t="s">
        <v>60</v>
      </c>
      <c r="C26" s="55">
        <f>C25/(1+C23)^3</f>
        <v>90661.822184350778</v>
      </c>
    </row>
    <row r="28" spans="1:3" ht="25.8" x14ac:dyDescent="0.5">
      <c r="A28" s="60" t="s">
        <v>61</v>
      </c>
    </row>
    <row r="29" spans="1:3" x14ac:dyDescent="0.3">
      <c r="B29" s="13" t="s">
        <v>62</v>
      </c>
      <c r="C29" s="55">
        <v>1142188</v>
      </c>
    </row>
    <row r="30" spans="1:3" x14ac:dyDescent="0.3">
      <c r="B30" s="13" t="s">
        <v>63</v>
      </c>
      <c r="C30" s="55">
        <f>'Balance Sheet'!E14-'Balance Sheet'!E19</f>
        <v>509307</v>
      </c>
    </row>
    <row r="31" spans="1:3" x14ac:dyDescent="0.3">
      <c r="B31" s="13" t="s">
        <v>64</v>
      </c>
      <c r="C31" s="55">
        <f>C29-C30</f>
        <v>632881</v>
      </c>
    </row>
    <row r="32" spans="1:3" x14ac:dyDescent="0.3">
      <c r="B32" s="13" t="s">
        <v>65</v>
      </c>
      <c r="C32" s="55">
        <v>692.59</v>
      </c>
    </row>
    <row r="33" spans="2:3" x14ac:dyDescent="0.3">
      <c r="B33" s="13" t="s">
        <v>66</v>
      </c>
      <c r="C33" s="55">
        <f>C31/C32</f>
        <v>913.78882166938592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Profit &amp; Loss</vt:lpstr>
      <vt:lpstr>FCF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2021-07-24T17:23:08Z</dcterms:created>
  <dcterms:modified xsi:type="dcterms:W3CDTF">2021-07-24T17:23:08Z</dcterms:modified>
</cp:coreProperties>
</file>