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P&amp;L Account" sheetId="1" r:id="rId1"/>
    <sheet name="DCF" sheetId="5" r:id="rId2"/>
    <sheet name="CFS" sheetId="2" r:id="rId3"/>
    <sheet name="BS" sheetId="3" r:id="rId4"/>
  </sheets>
  <calcPr calcId="144525"/>
</workbook>
</file>

<file path=xl/calcChain.xml><?xml version="1.0" encoding="utf-8"?>
<calcChain xmlns="http://schemas.openxmlformats.org/spreadsheetml/2006/main">
  <c r="Y18" i="3" l="1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B38" i="5"/>
  <c r="B5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B11" i="2"/>
  <c r="A45" i="1"/>
  <c r="B45" i="1" s="1"/>
  <c r="C45" i="1" s="1"/>
  <c r="D45" i="1" s="1"/>
  <c r="E45" i="1" s="1"/>
  <c r="F45" i="1" s="1"/>
  <c r="G45" i="1" s="1"/>
  <c r="H45" i="1" s="1"/>
  <c r="I45" i="1" s="1"/>
  <c r="J45" i="1" s="1"/>
  <c r="K45" i="1" s="1"/>
  <c r="L45" i="1" s="1"/>
  <c r="M45" i="1" s="1"/>
  <c r="A47" i="1"/>
  <c r="B80" i="5"/>
  <c r="B52" i="5" s="1"/>
  <c r="B70" i="5"/>
  <c r="C73" i="5" s="1"/>
  <c r="B75" i="5" s="1"/>
  <c r="B76" i="5" s="1"/>
  <c r="B60" i="5"/>
  <c r="B61" i="5" s="1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M33" i="5"/>
  <c r="L33" i="5"/>
  <c r="K33" i="5"/>
  <c r="J33" i="5"/>
  <c r="I33" i="5"/>
  <c r="H33" i="5"/>
  <c r="G33" i="5"/>
  <c r="F33" i="5"/>
  <c r="E33" i="5"/>
  <c r="D33" i="5"/>
  <c r="C33" i="5"/>
  <c r="B33" i="5"/>
  <c r="Y32" i="5"/>
  <c r="X32" i="5"/>
  <c r="W32" i="5"/>
  <c r="V32" i="5"/>
  <c r="U32" i="5"/>
  <c r="T32" i="5"/>
  <c r="S32" i="5"/>
  <c r="R32" i="5"/>
  <c r="Q32" i="5"/>
  <c r="P32" i="5"/>
  <c r="O32" i="5"/>
  <c r="N32" i="5"/>
  <c r="Y31" i="5"/>
  <c r="X31" i="5"/>
  <c r="W31" i="5"/>
  <c r="V31" i="5"/>
  <c r="U31" i="5"/>
  <c r="T31" i="5"/>
  <c r="S31" i="5"/>
  <c r="R31" i="5"/>
  <c r="Q31" i="5"/>
  <c r="P31" i="5"/>
  <c r="O31" i="5"/>
  <c r="N31" i="5"/>
  <c r="Y30" i="5"/>
  <c r="X30" i="5"/>
  <c r="W30" i="5"/>
  <c r="V30" i="5"/>
  <c r="U30" i="5"/>
  <c r="T30" i="5"/>
  <c r="S30" i="5"/>
  <c r="R30" i="5"/>
  <c r="Q30" i="5"/>
  <c r="P30" i="5"/>
  <c r="O30" i="5"/>
  <c r="N30" i="5"/>
  <c r="Y29" i="5"/>
  <c r="X29" i="5"/>
  <c r="W29" i="5"/>
  <c r="V29" i="5"/>
  <c r="U29" i="5"/>
  <c r="T29" i="5"/>
  <c r="S29" i="5"/>
  <c r="R29" i="5"/>
  <c r="Q29" i="5"/>
  <c r="P29" i="5"/>
  <c r="O29" i="5"/>
  <c r="N29" i="5"/>
  <c r="Y28" i="5"/>
  <c r="X28" i="5"/>
  <c r="W28" i="5"/>
  <c r="V28" i="5"/>
  <c r="U28" i="5"/>
  <c r="T28" i="5"/>
  <c r="S28" i="5"/>
  <c r="R28" i="5"/>
  <c r="Q28" i="5"/>
  <c r="P28" i="5"/>
  <c r="O28" i="5"/>
  <c r="N28" i="5"/>
  <c r="Y27" i="5"/>
  <c r="Y33" i="5" s="1"/>
  <c r="X27" i="5"/>
  <c r="X33" i="5" s="1"/>
  <c r="W27" i="5"/>
  <c r="W33" i="5" s="1"/>
  <c r="V27" i="5"/>
  <c r="V33" i="5" s="1"/>
  <c r="U27" i="5"/>
  <c r="U33" i="5" s="1"/>
  <c r="T27" i="5"/>
  <c r="T33" i="5" s="1"/>
  <c r="S27" i="5"/>
  <c r="S33" i="5" s="1"/>
  <c r="R27" i="5"/>
  <c r="R33" i="5" s="1"/>
  <c r="Q27" i="5"/>
  <c r="Q33" i="5" s="1"/>
  <c r="P27" i="5"/>
  <c r="P33" i="5" s="1"/>
  <c r="O27" i="5"/>
  <c r="O33" i="5" s="1"/>
  <c r="N27" i="5"/>
  <c r="N33" i="5" s="1"/>
  <c r="M23" i="5"/>
  <c r="L23" i="5"/>
  <c r="K23" i="5"/>
  <c r="J23" i="5"/>
  <c r="W23" i="5" s="1"/>
  <c r="I23" i="5"/>
  <c r="H23" i="5"/>
  <c r="G23" i="5"/>
  <c r="F23" i="5"/>
  <c r="S23" i="5" s="1"/>
  <c r="E23" i="5"/>
  <c r="D23" i="5"/>
  <c r="C23" i="5"/>
  <c r="B23" i="5"/>
  <c r="O23" i="5" s="1"/>
  <c r="M22" i="5"/>
  <c r="O22" i="5" s="1"/>
  <c r="L22" i="5"/>
  <c r="L24" i="5" s="1"/>
  <c r="K22" i="5"/>
  <c r="K24" i="5" s="1"/>
  <c r="J22" i="5"/>
  <c r="J24" i="5" s="1"/>
  <c r="I22" i="5"/>
  <c r="H22" i="5"/>
  <c r="H24" i="5" s="1"/>
  <c r="G22" i="5"/>
  <c r="G24" i="5" s="1"/>
  <c r="F22" i="5"/>
  <c r="F24" i="5" s="1"/>
  <c r="F35" i="5" s="1"/>
  <c r="E22" i="5"/>
  <c r="D22" i="5"/>
  <c r="D24" i="5" s="1"/>
  <c r="C22" i="5"/>
  <c r="C24" i="5" s="1"/>
  <c r="B22" i="5"/>
  <c r="B24" i="5" s="1"/>
  <c r="B35" i="5" s="1"/>
  <c r="Y21" i="5"/>
  <c r="X21" i="5"/>
  <c r="W21" i="5"/>
  <c r="V21" i="5"/>
  <c r="U21" i="5"/>
  <c r="T21" i="5"/>
  <c r="S21" i="5"/>
  <c r="R21" i="5"/>
  <c r="Q21" i="5"/>
  <c r="P21" i="5"/>
  <c r="O21" i="5"/>
  <c r="N21" i="5"/>
  <c r="Y20" i="5"/>
  <c r="X20" i="5"/>
  <c r="W20" i="5"/>
  <c r="V20" i="5"/>
  <c r="U20" i="5"/>
  <c r="T20" i="5"/>
  <c r="S20" i="5"/>
  <c r="R20" i="5"/>
  <c r="Q20" i="5"/>
  <c r="P20" i="5"/>
  <c r="O20" i="5"/>
  <c r="N20" i="5"/>
  <c r="Y19" i="5"/>
  <c r="X19" i="5"/>
  <c r="W19" i="5"/>
  <c r="V19" i="5"/>
  <c r="U19" i="5"/>
  <c r="T19" i="5"/>
  <c r="S19" i="5"/>
  <c r="R19" i="5"/>
  <c r="Q19" i="5"/>
  <c r="P19" i="5"/>
  <c r="O19" i="5"/>
  <c r="N19" i="5"/>
  <c r="Y18" i="5"/>
  <c r="X18" i="5"/>
  <c r="W18" i="5"/>
  <c r="V18" i="5"/>
  <c r="U18" i="5"/>
  <c r="T18" i="5"/>
  <c r="S18" i="5"/>
  <c r="R18" i="5"/>
  <c r="Q18" i="5"/>
  <c r="P18" i="5"/>
  <c r="O18" i="5"/>
  <c r="N18" i="5"/>
  <c r="B13" i="5"/>
  <c r="Y12" i="5"/>
  <c r="X12" i="5"/>
  <c r="W12" i="5"/>
  <c r="V12" i="5"/>
  <c r="U12" i="5"/>
  <c r="T12" i="5"/>
  <c r="S12" i="5"/>
  <c r="R12" i="5"/>
  <c r="Q12" i="5"/>
  <c r="P12" i="5"/>
  <c r="O12" i="5"/>
  <c r="N12" i="5"/>
  <c r="Y11" i="5"/>
  <c r="X11" i="5"/>
  <c r="W11" i="5"/>
  <c r="V11" i="5"/>
  <c r="U11" i="5"/>
  <c r="T11" i="5"/>
  <c r="S11" i="5"/>
  <c r="R11" i="5"/>
  <c r="Q11" i="5"/>
  <c r="P11" i="5"/>
  <c r="O11" i="5"/>
  <c r="N11" i="5"/>
  <c r="B8" i="5"/>
  <c r="Y7" i="5"/>
  <c r="X7" i="5"/>
  <c r="W7" i="5"/>
  <c r="V7" i="5"/>
  <c r="U7" i="5"/>
  <c r="T7" i="5"/>
  <c r="S7" i="5"/>
  <c r="R7" i="5"/>
  <c r="Q7" i="5"/>
  <c r="P7" i="5"/>
  <c r="O7" i="5"/>
  <c r="N7" i="5"/>
  <c r="B6" i="5"/>
  <c r="B57" i="5" s="1"/>
  <c r="B33" i="3" s="1"/>
  <c r="B35" i="3" s="1"/>
  <c r="C32" i="3" s="1"/>
  <c r="Y5" i="5"/>
  <c r="X5" i="5"/>
  <c r="W5" i="5"/>
  <c r="V5" i="5"/>
  <c r="U5" i="5"/>
  <c r="T5" i="5"/>
  <c r="S5" i="5"/>
  <c r="R5" i="5"/>
  <c r="Q5" i="5"/>
  <c r="P5" i="5"/>
  <c r="O5" i="5"/>
  <c r="N5" i="5"/>
  <c r="C4" i="5"/>
  <c r="C60" i="5" s="1"/>
  <c r="C40" i="3" s="1"/>
  <c r="E41" i="3" s="1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U23" i="5" l="1"/>
  <c r="C35" i="5"/>
  <c r="G35" i="5"/>
  <c r="K35" i="5"/>
  <c r="B15" i="5"/>
  <c r="B36" i="5" s="1"/>
  <c r="D35" i="5"/>
  <c r="H35" i="5"/>
  <c r="L35" i="5"/>
  <c r="Q22" i="5"/>
  <c r="Y23" i="5"/>
  <c r="Y22" i="5"/>
  <c r="E24" i="5"/>
  <c r="E35" i="5" s="1"/>
  <c r="D4" i="5"/>
  <c r="D60" i="5" s="1"/>
  <c r="D40" i="3" s="1"/>
  <c r="F41" i="3" s="1"/>
  <c r="J35" i="5"/>
  <c r="N22" i="5"/>
  <c r="Q23" i="5"/>
  <c r="O24" i="5"/>
  <c r="B40" i="3"/>
  <c r="D41" i="3" s="1"/>
  <c r="B42" i="5"/>
  <c r="B39" i="5"/>
  <c r="B41" i="5" s="1"/>
  <c r="B90" i="5" s="1"/>
  <c r="B47" i="1"/>
  <c r="T45" i="1"/>
  <c r="Q45" i="1"/>
  <c r="U45" i="1"/>
  <c r="Y45" i="1"/>
  <c r="R45" i="1"/>
  <c r="N45" i="1"/>
  <c r="V45" i="1"/>
  <c r="O45" i="1"/>
  <c r="S45" i="1"/>
  <c r="W45" i="1"/>
  <c r="P45" i="1"/>
  <c r="X45" i="1"/>
  <c r="B6" i="2"/>
  <c r="B21" i="3"/>
  <c r="C34" i="3"/>
  <c r="C61" i="5"/>
  <c r="C6" i="5"/>
  <c r="C57" i="5" s="1"/>
  <c r="C33" i="3" s="1"/>
  <c r="D34" i="3" s="1"/>
  <c r="C8" i="5"/>
  <c r="C13" i="5"/>
  <c r="O35" i="5"/>
  <c r="W47" i="5"/>
  <c r="S47" i="5"/>
  <c r="O47" i="5"/>
  <c r="K47" i="5"/>
  <c r="G47" i="5"/>
  <c r="C47" i="5"/>
  <c r="V47" i="5"/>
  <c r="R47" i="5"/>
  <c r="N47" i="5"/>
  <c r="J47" i="5"/>
  <c r="F47" i="5"/>
  <c r="B47" i="5"/>
  <c r="U47" i="5"/>
  <c r="M47" i="5"/>
  <c r="E47" i="5"/>
  <c r="T47" i="5"/>
  <c r="L47" i="5"/>
  <c r="D47" i="5"/>
  <c r="Y47" i="5"/>
  <c r="Q47" i="5"/>
  <c r="I47" i="5"/>
  <c r="X47" i="5"/>
  <c r="P47" i="5"/>
  <c r="H47" i="5"/>
  <c r="B58" i="5"/>
  <c r="B63" i="5" s="1"/>
  <c r="B44" i="5" s="1"/>
  <c r="D61" i="5"/>
  <c r="D6" i="5"/>
  <c r="D57" i="5" s="1"/>
  <c r="D33" i="3" s="1"/>
  <c r="E34" i="3" s="1"/>
  <c r="D8" i="5"/>
  <c r="D13" i="5"/>
  <c r="E4" i="5"/>
  <c r="Q24" i="5"/>
  <c r="Q35" i="5" s="1"/>
  <c r="Y24" i="5"/>
  <c r="Y35" i="5" s="1"/>
  <c r="I24" i="5"/>
  <c r="I35" i="5" s="1"/>
  <c r="W22" i="5"/>
  <c r="W24" i="5" s="1"/>
  <c r="W35" i="5" s="1"/>
  <c r="S22" i="5"/>
  <c r="S24" i="5" s="1"/>
  <c r="S35" i="5" s="1"/>
  <c r="V22" i="5"/>
  <c r="R22" i="5"/>
  <c r="M24" i="5"/>
  <c r="M35" i="5" s="1"/>
  <c r="X22" i="5"/>
  <c r="T22" i="5"/>
  <c r="P22" i="5"/>
  <c r="U22" i="5"/>
  <c r="U24" i="5" s="1"/>
  <c r="U35" i="5" s="1"/>
  <c r="P23" i="5"/>
  <c r="T23" i="5"/>
  <c r="X23" i="5"/>
  <c r="N23" i="5"/>
  <c r="N24" i="5" s="1"/>
  <c r="N35" i="5" s="1"/>
  <c r="R23" i="5"/>
  <c r="V23" i="5"/>
  <c r="B5" i="3"/>
  <c r="B19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B16" i="2"/>
  <c r="B15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B12" i="2"/>
  <c r="B38" i="1"/>
  <c r="X24" i="5" l="1"/>
  <c r="X35" i="5" s="1"/>
  <c r="P24" i="5"/>
  <c r="P35" i="5" s="1"/>
  <c r="R24" i="5"/>
  <c r="R35" i="5" s="1"/>
  <c r="B43" i="5"/>
  <c r="B46" i="5" s="1"/>
  <c r="B48" i="5" s="1"/>
  <c r="B42" i="3"/>
  <c r="C39" i="3" s="1"/>
  <c r="C42" i="3" s="1"/>
  <c r="D15" i="5"/>
  <c r="D36" i="5" s="1"/>
  <c r="T24" i="5"/>
  <c r="T35" i="5" s="1"/>
  <c r="V24" i="5"/>
  <c r="V35" i="5" s="1"/>
  <c r="C15" i="5"/>
  <c r="C36" i="5" s="1"/>
  <c r="C35" i="3"/>
  <c r="C6" i="2" s="1"/>
  <c r="C42" i="5"/>
  <c r="C39" i="5"/>
  <c r="C41" i="5" s="1"/>
  <c r="C47" i="1"/>
  <c r="C58" i="5"/>
  <c r="C63" i="5" s="1"/>
  <c r="C44" i="5" s="1"/>
  <c r="E60" i="5"/>
  <c r="E40" i="3" s="1"/>
  <c r="G41" i="3" s="1"/>
  <c r="E13" i="5"/>
  <c r="E8" i="5"/>
  <c r="E6" i="5"/>
  <c r="E57" i="5" s="1"/>
  <c r="E33" i="3" s="1"/>
  <c r="F34" i="3" s="1"/>
  <c r="F4" i="5"/>
  <c r="D58" i="5"/>
  <c r="D63" i="5" s="1"/>
  <c r="D44" i="5" s="1"/>
  <c r="C38" i="1"/>
  <c r="B8" i="1"/>
  <c r="C43" i="5" l="1"/>
  <c r="C46" i="5" s="1"/>
  <c r="C48" i="5" s="1"/>
  <c r="C90" i="5"/>
  <c r="B7" i="2"/>
  <c r="B12" i="3"/>
  <c r="D32" i="3"/>
  <c r="D35" i="3" s="1"/>
  <c r="D6" i="2" s="1"/>
  <c r="C21" i="3"/>
  <c r="D47" i="1"/>
  <c r="D21" i="3"/>
  <c r="C7" i="2"/>
  <c r="C12" i="3"/>
  <c r="D39" i="3"/>
  <c r="D42" i="3" s="1"/>
  <c r="F60" i="5"/>
  <c r="F40" i="3" s="1"/>
  <c r="H41" i="3" s="1"/>
  <c r="F13" i="5"/>
  <c r="G4" i="5"/>
  <c r="F8" i="5"/>
  <c r="F6" i="5"/>
  <c r="F57" i="5" s="1"/>
  <c r="F33" i="3" s="1"/>
  <c r="G34" i="3" s="1"/>
  <c r="E61" i="5"/>
  <c r="E58" i="5"/>
  <c r="E15" i="5"/>
  <c r="E36" i="5" s="1"/>
  <c r="D38" i="1"/>
  <c r="B6" i="1"/>
  <c r="I33" i="1"/>
  <c r="J33" i="1"/>
  <c r="K33" i="1"/>
  <c r="L33" i="1"/>
  <c r="M33" i="1"/>
  <c r="C33" i="1"/>
  <c r="D33" i="1"/>
  <c r="E33" i="1"/>
  <c r="F33" i="1"/>
  <c r="G33" i="1"/>
  <c r="H33" i="1"/>
  <c r="B33" i="1"/>
  <c r="X27" i="1"/>
  <c r="Y27" i="1"/>
  <c r="X28" i="1"/>
  <c r="Y28" i="1"/>
  <c r="X29" i="1"/>
  <c r="Y29" i="1"/>
  <c r="X30" i="1"/>
  <c r="Y30" i="1"/>
  <c r="X31" i="1"/>
  <c r="Y31" i="1"/>
  <c r="X32" i="1"/>
  <c r="Y32" i="1"/>
  <c r="R27" i="1"/>
  <c r="S27" i="1"/>
  <c r="T27" i="1"/>
  <c r="U27" i="1"/>
  <c r="V27" i="1"/>
  <c r="W27" i="1"/>
  <c r="R28" i="1"/>
  <c r="S28" i="1"/>
  <c r="T28" i="1"/>
  <c r="U28" i="1"/>
  <c r="V28" i="1"/>
  <c r="W28" i="1"/>
  <c r="R29" i="1"/>
  <c r="S29" i="1"/>
  <c r="T29" i="1"/>
  <c r="U29" i="1"/>
  <c r="V29" i="1"/>
  <c r="W29" i="1"/>
  <c r="R30" i="1"/>
  <c r="S30" i="1"/>
  <c r="T30" i="1"/>
  <c r="U30" i="1"/>
  <c r="V30" i="1"/>
  <c r="W30" i="1"/>
  <c r="R31" i="1"/>
  <c r="S31" i="1"/>
  <c r="T31" i="1"/>
  <c r="U31" i="1"/>
  <c r="V31" i="1"/>
  <c r="W31" i="1"/>
  <c r="R32" i="1"/>
  <c r="S32" i="1"/>
  <c r="T32" i="1"/>
  <c r="U32" i="1"/>
  <c r="V32" i="1"/>
  <c r="W32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N27" i="1"/>
  <c r="N32" i="1"/>
  <c r="N31" i="1"/>
  <c r="N30" i="1"/>
  <c r="N29" i="1"/>
  <c r="N28" i="1"/>
  <c r="M23" i="1"/>
  <c r="K23" i="1"/>
  <c r="L23" i="1"/>
  <c r="J23" i="1"/>
  <c r="W23" i="1" s="1"/>
  <c r="I23" i="1"/>
  <c r="G23" i="1"/>
  <c r="H23" i="1"/>
  <c r="F23" i="1"/>
  <c r="S23" i="1" s="1"/>
  <c r="E23" i="1"/>
  <c r="C23" i="1"/>
  <c r="D23" i="1"/>
  <c r="B23" i="1"/>
  <c r="O23" i="1" s="1"/>
  <c r="K22" i="1"/>
  <c r="L22" i="1"/>
  <c r="M22" i="1"/>
  <c r="T22" i="1" s="1"/>
  <c r="H22" i="1"/>
  <c r="I22" i="1"/>
  <c r="I24" i="1" s="1"/>
  <c r="I35" i="1" s="1"/>
  <c r="J22" i="1"/>
  <c r="C22" i="1"/>
  <c r="D22" i="1"/>
  <c r="E22" i="1"/>
  <c r="E24" i="1" s="1"/>
  <c r="F22" i="1"/>
  <c r="G22" i="1"/>
  <c r="B22" i="1"/>
  <c r="B24" i="1" s="1"/>
  <c r="B35" i="1" s="1"/>
  <c r="T21" i="1"/>
  <c r="U21" i="1"/>
  <c r="V21" i="1"/>
  <c r="W21" i="1"/>
  <c r="X21" i="1"/>
  <c r="Y21" i="1"/>
  <c r="O21" i="1"/>
  <c r="P21" i="1"/>
  <c r="Q21" i="1"/>
  <c r="R21" i="1"/>
  <c r="S21" i="1"/>
  <c r="N21" i="1"/>
  <c r="W20" i="1"/>
  <c r="X20" i="1"/>
  <c r="Y20" i="1"/>
  <c r="U20" i="1"/>
  <c r="V20" i="1"/>
  <c r="S20" i="1"/>
  <c r="T20" i="1"/>
  <c r="P20" i="1"/>
  <c r="Q20" i="1"/>
  <c r="R20" i="1"/>
  <c r="O20" i="1"/>
  <c r="N20" i="1"/>
  <c r="W19" i="1"/>
  <c r="X19" i="1"/>
  <c r="Y19" i="1"/>
  <c r="S19" i="1"/>
  <c r="T19" i="1"/>
  <c r="U19" i="1"/>
  <c r="V19" i="1"/>
  <c r="O19" i="1"/>
  <c r="P19" i="1"/>
  <c r="Q19" i="1"/>
  <c r="R19" i="1"/>
  <c r="N19" i="1"/>
  <c r="W18" i="1"/>
  <c r="X18" i="1"/>
  <c r="Y18" i="1"/>
  <c r="S18" i="1"/>
  <c r="T18" i="1"/>
  <c r="U18" i="1"/>
  <c r="V18" i="1"/>
  <c r="O18" i="1"/>
  <c r="P18" i="1"/>
  <c r="Q18" i="1"/>
  <c r="R18" i="1"/>
  <c r="N18" i="1"/>
  <c r="Y12" i="1"/>
  <c r="V12" i="1"/>
  <c r="W12" i="1"/>
  <c r="X12" i="1"/>
  <c r="S12" i="1"/>
  <c r="T12" i="1"/>
  <c r="U12" i="1"/>
  <c r="O12" i="1"/>
  <c r="P12" i="1"/>
  <c r="Q12" i="1"/>
  <c r="R12" i="1"/>
  <c r="N12" i="1"/>
  <c r="W5" i="1"/>
  <c r="X5" i="1"/>
  <c r="Y5" i="1"/>
  <c r="U5" i="1"/>
  <c r="V5" i="1"/>
  <c r="R5" i="1"/>
  <c r="S5" i="1"/>
  <c r="T5" i="1"/>
  <c r="O5" i="1"/>
  <c r="P5" i="1"/>
  <c r="Q5" i="1"/>
  <c r="N5" i="1"/>
  <c r="Y7" i="1"/>
  <c r="V7" i="1"/>
  <c r="W7" i="1"/>
  <c r="X7" i="1"/>
  <c r="R7" i="1"/>
  <c r="S7" i="1"/>
  <c r="T7" i="1"/>
  <c r="U7" i="1"/>
  <c r="O7" i="1"/>
  <c r="P7" i="1"/>
  <c r="Q7" i="1"/>
  <c r="N7" i="1"/>
  <c r="X11" i="1"/>
  <c r="Y11" i="1"/>
  <c r="Q11" i="1"/>
  <c r="R11" i="1"/>
  <c r="S11" i="1"/>
  <c r="T11" i="1"/>
  <c r="U11" i="1"/>
  <c r="V11" i="1"/>
  <c r="W11" i="1"/>
  <c r="O11" i="1"/>
  <c r="P11" i="1"/>
  <c r="N11" i="1"/>
  <c r="B13" i="1"/>
  <c r="B15" i="1" s="1"/>
  <c r="C4" i="1"/>
  <c r="E32" i="3" l="1"/>
  <c r="E35" i="3" s="1"/>
  <c r="E6" i="2" s="1"/>
  <c r="F15" i="5"/>
  <c r="F36" i="5" s="1"/>
  <c r="E42" i="5"/>
  <c r="D42" i="5"/>
  <c r="D39" i="5"/>
  <c r="D41" i="5" s="1"/>
  <c r="D90" i="5" s="1"/>
  <c r="E39" i="5"/>
  <c r="E41" i="5" s="1"/>
  <c r="E90" i="5" s="1"/>
  <c r="B36" i="1"/>
  <c r="E35" i="1"/>
  <c r="E47" i="1"/>
  <c r="C8" i="1"/>
  <c r="C13" i="1"/>
  <c r="D7" i="2"/>
  <c r="D12" i="3"/>
  <c r="E39" i="3"/>
  <c r="E42" i="3" s="1"/>
  <c r="G60" i="5"/>
  <c r="G40" i="3" s="1"/>
  <c r="I41" i="3" s="1"/>
  <c r="H4" i="5"/>
  <c r="G13" i="5"/>
  <c r="G8" i="5"/>
  <c r="G6" i="5"/>
  <c r="G57" i="5" s="1"/>
  <c r="G33" i="3" s="1"/>
  <c r="H34" i="3" s="1"/>
  <c r="E63" i="5"/>
  <c r="E44" i="5" s="1"/>
  <c r="F58" i="5"/>
  <c r="F61" i="5"/>
  <c r="E38" i="1"/>
  <c r="C6" i="1"/>
  <c r="K24" i="1"/>
  <c r="K35" i="1" s="1"/>
  <c r="L24" i="1"/>
  <c r="L35" i="1" s="1"/>
  <c r="D24" i="1"/>
  <c r="D35" i="1" s="1"/>
  <c r="H24" i="1"/>
  <c r="H35" i="1" s="1"/>
  <c r="F24" i="1"/>
  <c r="F35" i="1" s="1"/>
  <c r="J24" i="1"/>
  <c r="J35" i="1" s="1"/>
  <c r="B39" i="1"/>
  <c r="B4" i="2" s="1"/>
  <c r="B8" i="2" s="1"/>
  <c r="B18" i="2" s="1"/>
  <c r="B20" i="2" s="1"/>
  <c r="G24" i="1"/>
  <c r="G35" i="1" s="1"/>
  <c r="C24" i="1"/>
  <c r="C35" i="1" s="1"/>
  <c r="U33" i="1"/>
  <c r="N33" i="1"/>
  <c r="Q33" i="1"/>
  <c r="T33" i="1"/>
  <c r="P33" i="1"/>
  <c r="W33" i="1"/>
  <c r="S33" i="1"/>
  <c r="Y33" i="1"/>
  <c r="O33" i="1"/>
  <c r="V33" i="1"/>
  <c r="R33" i="1"/>
  <c r="X33" i="1"/>
  <c r="N22" i="1"/>
  <c r="P22" i="1"/>
  <c r="W22" i="1"/>
  <c r="W24" i="1" s="1"/>
  <c r="N23" i="1"/>
  <c r="R23" i="1"/>
  <c r="V23" i="1"/>
  <c r="C15" i="1"/>
  <c r="C36" i="1" s="1"/>
  <c r="S22" i="1"/>
  <c r="S24" i="1" s="1"/>
  <c r="O22" i="1"/>
  <c r="O24" i="1" s="1"/>
  <c r="O35" i="1" s="1"/>
  <c r="V22" i="1"/>
  <c r="V24" i="1" s="1"/>
  <c r="V35" i="1" s="1"/>
  <c r="Q23" i="1"/>
  <c r="U23" i="1"/>
  <c r="Y23" i="1"/>
  <c r="R22" i="1"/>
  <c r="Y22" i="1"/>
  <c r="U22" i="1"/>
  <c r="U24" i="1" s="1"/>
  <c r="U35" i="1" s="1"/>
  <c r="P23" i="1"/>
  <c r="T23" i="1"/>
  <c r="T24" i="1" s="1"/>
  <c r="T35" i="1" s="1"/>
  <c r="X23" i="1"/>
  <c r="M24" i="1"/>
  <c r="M35" i="1" s="1"/>
  <c r="D4" i="1"/>
  <c r="Q22" i="1"/>
  <c r="X22" i="1"/>
  <c r="X24" i="1" s="1"/>
  <c r="X35" i="1" s="1"/>
  <c r="D43" i="5" l="1"/>
  <c r="D46" i="5" s="1"/>
  <c r="D48" i="5" s="1"/>
  <c r="F63" i="5"/>
  <c r="F44" i="5" s="1"/>
  <c r="G15" i="5"/>
  <c r="G36" i="5" s="1"/>
  <c r="E21" i="3"/>
  <c r="F32" i="3"/>
  <c r="F35" i="3" s="1"/>
  <c r="F6" i="2" s="1"/>
  <c r="E43" i="5"/>
  <c r="E46" i="5" s="1"/>
  <c r="E48" i="5" s="1"/>
  <c r="W35" i="1"/>
  <c r="F47" i="1"/>
  <c r="S35" i="1"/>
  <c r="B22" i="3"/>
  <c r="B25" i="3" s="1"/>
  <c r="C19" i="2"/>
  <c r="E7" i="2"/>
  <c r="E12" i="3"/>
  <c r="F39" i="3"/>
  <c r="F42" i="3" s="1"/>
  <c r="H60" i="5"/>
  <c r="H40" i="3" s="1"/>
  <c r="J41" i="3" s="1"/>
  <c r="I4" i="5"/>
  <c r="H13" i="5"/>
  <c r="H8" i="5"/>
  <c r="H6" i="5"/>
  <c r="H57" i="5" s="1"/>
  <c r="H33" i="3" s="1"/>
  <c r="I34" i="3" s="1"/>
  <c r="G58" i="5"/>
  <c r="G61" i="5"/>
  <c r="F38" i="1"/>
  <c r="Y24" i="1"/>
  <c r="Y35" i="1" s="1"/>
  <c r="D6" i="1"/>
  <c r="B41" i="1"/>
  <c r="R24" i="1"/>
  <c r="R35" i="1" s="1"/>
  <c r="Q24" i="1"/>
  <c r="Q35" i="1" s="1"/>
  <c r="P24" i="1"/>
  <c r="P35" i="1" s="1"/>
  <c r="C39" i="1"/>
  <c r="C4" i="2" s="1"/>
  <c r="C8" i="2" s="1"/>
  <c r="C18" i="2" s="1"/>
  <c r="N24" i="1"/>
  <c r="N35" i="1" s="1"/>
  <c r="E4" i="1"/>
  <c r="D13" i="1"/>
  <c r="D8" i="1"/>
  <c r="G63" i="5" l="1"/>
  <c r="G44" i="5" s="1"/>
  <c r="H15" i="5"/>
  <c r="H36" i="5" s="1"/>
  <c r="F21" i="3"/>
  <c r="G32" i="3"/>
  <c r="G35" i="3" s="1"/>
  <c r="G6" i="2" s="1"/>
  <c r="F42" i="5"/>
  <c r="F39" i="5"/>
  <c r="F41" i="5" s="1"/>
  <c r="G47" i="1"/>
  <c r="C20" i="2"/>
  <c r="D19" i="2" s="1"/>
  <c r="B6" i="3"/>
  <c r="F7" i="2"/>
  <c r="F12" i="3"/>
  <c r="G39" i="3"/>
  <c r="G42" i="3" s="1"/>
  <c r="I60" i="5"/>
  <c r="I40" i="3" s="1"/>
  <c r="K41" i="3" s="1"/>
  <c r="I13" i="5"/>
  <c r="I8" i="5"/>
  <c r="I6" i="5"/>
  <c r="I57" i="5" s="1"/>
  <c r="I33" i="3" s="1"/>
  <c r="J34" i="3" s="1"/>
  <c r="J4" i="5"/>
  <c r="H58" i="5"/>
  <c r="H63" i="5" s="1"/>
  <c r="H44" i="5" s="1"/>
  <c r="H61" i="5"/>
  <c r="G38" i="1"/>
  <c r="D15" i="1"/>
  <c r="D36" i="1" s="1"/>
  <c r="D39" i="1" s="1"/>
  <c r="D4" i="2" s="1"/>
  <c r="D8" i="2" s="1"/>
  <c r="D18" i="2" s="1"/>
  <c r="E6" i="1"/>
  <c r="C41" i="1"/>
  <c r="F4" i="1"/>
  <c r="E13" i="1"/>
  <c r="E8" i="1"/>
  <c r="F43" i="5" l="1"/>
  <c r="F46" i="5" s="1"/>
  <c r="F48" i="5" s="1"/>
  <c r="F90" i="5"/>
  <c r="G21" i="3"/>
  <c r="H32" i="3"/>
  <c r="H35" i="3" s="1"/>
  <c r="H6" i="2" s="1"/>
  <c r="G42" i="5"/>
  <c r="G39" i="5"/>
  <c r="G41" i="5" s="1"/>
  <c r="B14" i="3"/>
  <c r="C6" i="3"/>
  <c r="D20" i="2"/>
  <c r="E19" i="2" s="1"/>
  <c r="H47" i="1"/>
  <c r="C22" i="3"/>
  <c r="C25" i="3" s="1"/>
  <c r="C14" i="3"/>
  <c r="G7" i="2"/>
  <c r="G12" i="3"/>
  <c r="H39" i="3"/>
  <c r="H42" i="3" s="1"/>
  <c r="H21" i="3"/>
  <c r="J60" i="5"/>
  <c r="J40" i="3" s="1"/>
  <c r="L41" i="3" s="1"/>
  <c r="J8" i="5"/>
  <c r="J6" i="5"/>
  <c r="J57" i="5" s="1"/>
  <c r="J33" i="3" s="1"/>
  <c r="K34" i="3" s="1"/>
  <c r="K4" i="5"/>
  <c r="J13" i="5"/>
  <c r="I61" i="5"/>
  <c r="I58" i="5"/>
  <c r="I15" i="5"/>
  <c r="I36" i="5" s="1"/>
  <c r="H38" i="1"/>
  <c r="E15" i="1"/>
  <c r="E36" i="1" s="1"/>
  <c r="E39" i="1" s="1"/>
  <c r="E4" i="2" s="1"/>
  <c r="E8" i="2" s="1"/>
  <c r="E18" i="2" s="1"/>
  <c r="F6" i="1"/>
  <c r="D41" i="1"/>
  <c r="G4" i="1"/>
  <c r="F8" i="1"/>
  <c r="F13" i="1"/>
  <c r="G43" i="5" l="1"/>
  <c r="G46" i="5" s="1"/>
  <c r="G48" i="5" s="1"/>
  <c r="G90" i="5"/>
  <c r="I63" i="5"/>
  <c r="I44" i="5" s="1"/>
  <c r="I32" i="3"/>
  <c r="I35" i="3" s="1"/>
  <c r="I6" i="2" s="1"/>
  <c r="I42" i="5"/>
  <c r="H42" i="5"/>
  <c r="H39" i="5"/>
  <c r="H41" i="5" s="1"/>
  <c r="E20" i="2"/>
  <c r="F19" i="2" s="1"/>
  <c r="D22" i="3"/>
  <c r="D25" i="3" s="1"/>
  <c r="I47" i="1"/>
  <c r="D6" i="3"/>
  <c r="D14" i="3" s="1"/>
  <c r="J32" i="3"/>
  <c r="J35" i="3" s="1"/>
  <c r="J6" i="2" s="1"/>
  <c r="H7" i="2"/>
  <c r="H12" i="3"/>
  <c r="I39" i="3"/>
  <c r="I42" i="3" s="1"/>
  <c r="J58" i="5"/>
  <c r="J61" i="5"/>
  <c r="K60" i="5"/>
  <c r="K40" i="3" s="1"/>
  <c r="M41" i="3" s="1"/>
  <c r="L4" i="5"/>
  <c r="K13" i="5"/>
  <c r="K8" i="5"/>
  <c r="K6" i="5"/>
  <c r="K57" i="5" s="1"/>
  <c r="K33" i="3" s="1"/>
  <c r="L34" i="3" s="1"/>
  <c r="J15" i="5"/>
  <c r="J36" i="5" s="1"/>
  <c r="I38" i="1"/>
  <c r="F15" i="1"/>
  <c r="F36" i="1" s="1"/>
  <c r="F39" i="1" s="1"/>
  <c r="F4" i="2" s="1"/>
  <c r="F8" i="2" s="1"/>
  <c r="F18" i="2" s="1"/>
  <c r="G6" i="1"/>
  <c r="E41" i="1"/>
  <c r="H4" i="1"/>
  <c r="G13" i="1"/>
  <c r="G8" i="1"/>
  <c r="H43" i="5" l="1"/>
  <c r="H46" i="5" s="1"/>
  <c r="H48" i="5" s="1"/>
  <c r="H90" i="5"/>
  <c r="I21" i="3"/>
  <c r="I39" i="5"/>
  <c r="I41" i="5" s="1"/>
  <c r="J42" i="5"/>
  <c r="F20" i="2"/>
  <c r="G19" i="2" s="1"/>
  <c r="E22" i="3"/>
  <c r="E25" i="3" s="1"/>
  <c r="J47" i="1"/>
  <c r="E6" i="3"/>
  <c r="E14" i="3" s="1"/>
  <c r="I7" i="2"/>
  <c r="I12" i="3"/>
  <c r="J39" i="3"/>
  <c r="J42" i="3" s="1"/>
  <c r="K32" i="3"/>
  <c r="K35" i="3" s="1"/>
  <c r="K6" i="2" s="1"/>
  <c r="J21" i="3"/>
  <c r="K58" i="5"/>
  <c r="K61" i="5"/>
  <c r="K15" i="5"/>
  <c r="K36" i="5" s="1"/>
  <c r="L60" i="5"/>
  <c r="L40" i="3" s="1"/>
  <c r="N41" i="3" s="1"/>
  <c r="M4" i="5"/>
  <c r="L13" i="5"/>
  <c r="L8" i="5"/>
  <c r="L15" i="5" s="1"/>
  <c r="L36" i="5" s="1"/>
  <c r="L6" i="5"/>
  <c r="L57" i="5" s="1"/>
  <c r="L33" i="3" s="1"/>
  <c r="M34" i="3" s="1"/>
  <c r="J63" i="5"/>
  <c r="J44" i="5" s="1"/>
  <c r="J38" i="1"/>
  <c r="G15" i="1"/>
  <c r="G36" i="1" s="1"/>
  <c r="G39" i="1" s="1"/>
  <c r="G4" i="2" s="1"/>
  <c r="G8" i="2" s="1"/>
  <c r="G18" i="2" s="1"/>
  <c r="H6" i="1"/>
  <c r="F41" i="1"/>
  <c r="I4" i="1"/>
  <c r="H13" i="1"/>
  <c r="H8" i="1"/>
  <c r="I43" i="5" l="1"/>
  <c r="I46" i="5" s="1"/>
  <c r="I48" i="5" s="1"/>
  <c r="I90" i="5"/>
  <c r="G20" i="2"/>
  <c r="G22" i="3" s="1"/>
  <c r="G25" i="3" s="1"/>
  <c r="F22" i="3"/>
  <c r="F25" i="3" s="1"/>
  <c r="K39" i="5"/>
  <c r="K41" i="5" s="1"/>
  <c r="K90" i="5" s="1"/>
  <c r="K42" i="5"/>
  <c r="J39" i="5"/>
  <c r="J41" i="5" s="1"/>
  <c r="K47" i="1"/>
  <c r="F6" i="3"/>
  <c r="F14" i="3" s="1"/>
  <c r="H19" i="2"/>
  <c r="L32" i="3"/>
  <c r="L35" i="3" s="1"/>
  <c r="L6" i="2" s="1"/>
  <c r="K21" i="3"/>
  <c r="J7" i="2"/>
  <c r="J12" i="3"/>
  <c r="K39" i="3"/>
  <c r="K42" i="3" s="1"/>
  <c r="M60" i="5"/>
  <c r="M40" i="3" s="1"/>
  <c r="O41" i="3" s="1"/>
  <c r="M13" i="5"/>
  <c r="M8" i="5"/>
  <c r="M15" i="5" s="1"/>
  <c r="M36" i="5" s="1"/>
  <c r="M6" i="5"/>
  <c r="M57" i="5" s="1"/>
  <c r="M33" i="3" s="1"/>
  <c r="N34" i="3" s="1"/>
  <c r="N4" i="5"/>
  <c r="K63" i="5"/>
  <c r="K44" i="5" s="1"/>
  <c r="L58" i="5"/>
  <c r="L63" i="5" s="1"/>
  <c r="L44" i="5" s="1"/>
  <c r="L61" i="5"/>
  <c r="K38" i="1"/>
  <c r="H15" i="1"/>
  <c r="H36" i="1" s="1"/>
  <c r="H39" i="1" s="1"/>
  <c r="H4" i="2" s="1"/>
  <c r="H8" i="2" s="1"/>
  <c r="H18" i="2" s="1"/>
  <c r="I6" i="1"/>
  <c r="G41" i="1"/>
  <c r="J4" i="1"/>
  <c r="I13" i="1"/>
  <c r="I8" i="1"/>
  <c r="J43" i="5" l="1"/>
  <c r="J46" i="5" s="1"/>
  <c r="J48" i="5" s="1"/>
  <c r="J90" i="5"/>
  <c r="K43" i="5"/>
  <c r="K46" i="5" s="1"/>
  <c r="K48" i="5" s="1"/>
  <c r="L47" i="1"/>
  <c r="G6" i="3"/>
  <c r="G14" i="3" s="1"/>
  <c r="H20" i="2"/>
  <c r="K7" i="2"/>
  <c r="K12" i="3"/>
  <c r="L39" i="3"/>
  <c r="L42" i="3" s="1"/>
  <c r="M32" i="3"/>
  <c r="M35" i="3" s="1"/>
  <c r="M6" i="2" s="1"/>
  <c r="L21" i="3"/>
  <c r="N60" i="5"/>
  <c r="N40" i="3" s="1"/>
  <c r="P41" i="3" s="1"/>
  <c r="N13" i="5"/>
  <c r="O4" i="5"/>
  <c r="N8" i="5"/>
  <c r="N6" i="5"/>
  <c r="N57" i="5" s="1"/>
  <c r="N33" i="3" s="1"/>
  <c r="O34" i="3" s="1"/>
  <c r="M61" i="5"/>
  <c r="M58" i="5"/>
  <c r="M63" i="5" s="1"/>
  <c r="M44" i="5" s="1"/>
  <c r="L38" i="1"/>
  <c r="I15" i="1"/>
  <c r="I36" i="1" s="1"/>
  <c r="I39" i="1" s="1"/>
  <c r="I4" i="2" s="1"/>
  <c r="I8" i="2" s="1"/>
  <c r="I18" i="2" s="1"/>
  <c r="J6" i="1"/>
  <c r="H41" i="1"/>
  <c r="K4" i="1"/>
  <c r="J13" i="1"/>
  <c r="J8" i="1"/>
  <c r="L42" i="5" l="1"/>
  <c r="L39" i="5"/>
  <c r="L41" i="5" s="1"/>
  <c r="Q42" i="5"/>
  <c r="U42" i="5"/>
  <c r="Y42" i="5"/>
  <c r="N42" i="5"/>
  <c r="R42" i="5"/>
  <c r="V42" i="5"/>
  <c r="O42" i="5"/>
  <c r="S42" i="5"/>
  <c r="W42" i="5"/>
  <c r="P42" i="5"/>
  <c r="T42" i="5"/>
  <c r="X42" i="5"/>
  <c r="M47" i="1"/>
  <c r="H6" i="3"/>
  <c r="H14" i="3" s="1"/>
  <c r="I19" i="2"/>
  <c r="I20" i="2" s="1"/>
  <c r="H22" i="3"/>
  <c r="H25" i="3" s="1"/>
  <c r="N32" i="3"/>
  <c r="N35" i="3" s="1"/>
  <c r="N6" i="2" s="1"/>
  <c r="M21" i="3"/>
  <c r="L7" i="2"/>
  <c r="L12" i="3"/>
  <c r="M39" i="3"/>
  <c r="M42" i="3" s="1"/>
  <c r="N58" i="5"/>
  <c r="N61" i="5"/>
  <c r="N15" i="5"/>
  <c r="N36" i="5" s="1"/>
  <c r="N39" i="5" s="1"/>
  <c r="N41" i="5" s="1"/>
  <c r="O60" i="5"/>
  <c r="O40" i="3" s="1"/>
  <c r="Q41" i="3" s="1"/>
  <c r="P4" i="5"/>
  <c r="O13" i="5"/>
  <c r="O8" i="5"/>
  <c r="O6" i="5"/>
  <c r="O57" i="5" s="1"/>
  <c r="O33" i="3" s="1"/>
  <c r="P34" i="3" s="1"/>
  <c r="Q38" i="1"/>
  <c r="Y38" i="1"/>
  <c r="O38" i="1"/>
  <c r="S38" i="1"/>
  <c r="W38" i="1"/>
  <c r="P38" i="1"/>
  <c r="T38" i="1"/>
  <c r="X38" i="1"/>
  <c r="U38" i="1"/>
  <c r="V38" i="1"/>
  <c r="R38" i="1"/>
  <c r="N38" i="1"/>
  <c r="M38" i="1"/>
  <c r="J15" i="1"/>
  <c r="J36" i="1" s="1"/>
  <c r="J39" i="1" s="1"/>
  <c r="J4" i="2" s="1"/>
  <c r="J8" i="2" s="1"/>
  <c r="J18" i="2" s="1"/>
  <c r="K6" i="1"/>
  <c r="I41" i="1"/>
  <c r="L4" i="1"/>
  <c r="K8" i="1"/>
  <c r="K13" i="1"/>
  <c r="L43" i="5" l="1"/>
  <c r="L46" i="5" s="1"/>
  <c r="L48" i="5" s="1"/>
  <c r="L90" i="5"/>
  <c r="N43" i="5"/>
  <c r="N90" i="5"/>
  <c r="M42" i="5"/>
  <c r="M39" i="5"/>
  <c r="M41" i="5" s="1"/>
  <c r="M90" i="5" s="1"/>
  <c r="N47" i="1"/>
  <c r="I6" i="3"/>
  <c r="I14" i="3" s="1"/>
  <c r="I22" i="3"/>
  <c r="I25" i="3" s="1"/>
  <c r="J19" i="2"/>
  <c r="J20" i="2" s="1"/>
  <c r="M7" i="2"/>
  <c r="M12" i="3"/>
  <c r="N39" i="3"/>
  <c r="N42" i="3" s="1"/>
  <c r="O32" i="3"/>
  <c r="O35" i="3" s="1"/>
  <c r="O6" i="2" s="1"/>
  <c r="N21" i="3"/>
  <c r="P60" i="5"/>
  <c r="P40" i="3" s="1"/>
  <c r="R41" i="3" s="1"/>
  <c r="Q4" i="5"/>
  <c r="P13" i="5"/>
  <c r="P8" i="5"/>
  <c r="P6" i="5"/>
  <c r="P57" i="5" s="1"/>
  <c r="P33" i="3" s="1"/>
  <c r="Q34" i="3" s="1"/>
  <c r="O58" i="5"/>
  <c r="O61" i="5"/>
  <c r="N63" i="5"/>
  <c r="N44" i="5" s="1"/>
  <c r="N46" i="5" s="1"/>
  <c r="N48" i="5" s="1"/>
  <c r="O15" i="5"/>
  <c r="O36" i="5" s="1"/>
  <c r="O39" i="5" s="1"/>
  <c r="O41" i="5" s="1"/>
  <c r="K15" i="1"/>
  <c r="K36" i="1" s="1"/>
  <c r="K39" i="1" s="1"/>
  <c r="K4" i="2" s="1"/>
  <c r="K8" i="2" s="1"/>
  <c r="K18" i="2" s="1"/>
  <c r="L6" i="1"/>
  <c r="J41" i="1"/>
  <c r="M4" i="1"/>
  <c r="L8" i="1"/>
  <c r="L13" i="1"/>
  <c r="O43" i="5" l="1"/>
  <c r="O90" i="5"/>
  <c r="O63" i="5"/>
  <c r="O44" i="5" s="1"/>
  <c r="M43" i="5"/>
  <c r="M46" i="5" s="1"/>
  <c r="M48" i="5" s="1"/>
  <c r="O47" i="1"/>
  <c r="J6" i="3"/>
  <c r="J14" i="3" s="1"/>
  <c r="K19" i="2"/>
  <c r="K20" i="2" s="1"/>
  <c r="J22" i="3"/>
  <c r="J25" i="3" s="1"/>
  <c r="N7" i="2"/>
  <c r="N12" i="3"/>
  <c r="O39" i="3"/>
  <c r="O42" i="3" s="1"/>
  <c r="P32" i="3"/>
  <c r="P35" i="3" s="1"/>
  <c r="P6" i="2" s="1"/>
  <c r="O21" i="3"/>
  <c r="Q60" i="5"/>
  <c r="Q40" i="3" s="1"/>
  <c r="S41" i="3" s="1"/>
  <c r="Q13" i="5"/>
  <c r="Q8" i="5"/>
  <c r="Q6" i="5"/>
  <c r="Q57" i="5" s="1"/>
  <c r="Q33" i="3" s="1"/>
  <c r="R34" i="3" s="1"/>
  <c r="R4" i="5"/>
  <c r="P58" i="5"/>
  <c r="P61" i="5"/>
  <c r="P15" i="5"/>
  <c r="P36" i="5" s="1"/>
  <c r="P39" i="5" s="1"/>
  <c r="P41" i="5" s="1"/>
  <c r="L15" i="1"/>
  <c r="L36" i="1" s="1"/>
  <c r="L39" i="1" s="1"/>
  <c r="L4" i="2" s="1"/>
  <c r="L8" i="2" s="1"/>
  <c r="L18" i="2" s="1"/>
  <c r="M6" i="1"/>
  <c r="K41" i="1"/>
  <c r="N4" i="1"/>
  <c r="M13" i="1"/>
  <c r="M8" i="1"/>
  <c r="P43" i="5" l="1"/>
  <c r="P90" i="5"/>
  <c r="O46" i="5"/>
  <c r="O48" i="5" s="1"/>
  <c r="P63" i="5"/>
  <c r="P44" i="5" s="1"/>
  <c r="P46" i="5" s="1"/>
  <c r="P48" i="5" s="1"/>
  <c r="P47" i="1"/>
  <c r="K6" i="3"/>
  <c r="K14" i="3" s="1"/>
  <c r="L19" i="2"/>
  <c r="L20" i="2" s="1"/>
  <c r="K22" i="3"/>
  <c r="K25" i="3" s="1"/>
  <c r="O7" i="2"/>
  <c r="O12" i="3"/>
  <c r="P39" i="3"/>
  <c r="P42" i="3" s="1"/>
  <c r="Q32" i="3"/>
  <c r="Q35" i="3" s="1"/>
  <c r="Q6" i="2" s="1"/>
  <c r="P21" i="3"/>
  <c r="Q61" i="5"/>
  <c r="Q58" i="5"/>
  <c r="R60" i="5"/>
  <c r="R40" i="3" s="1"/>
  <c r="T41" i="3" s="1"/>
  <c r="R8" i="5"/>
  <c r="R6" i="5"/>
  <c r="R57" i="5" s="1"/>
  <c r="R33" i="3" s="1"/>
  <c r="S34" i="3" s="1"/>
  <c r="S4" i="5"/>
  <c r="R13" i="5"/>
  <c r="Q15" i="5"/>
  <c r="Q36" i="5" s="1"/>
  <c r="Q39" i="5" s="1"/>
  <c r="Q41" i="5" s="1"/>
  <c r="M15" i="1"/>
  <c r="M36" i="1" s="1"/>
  <c r="M39" i="1" s="1"/>
  <c r="M4" i="2" s="1"/>
  <c r="M8" i="2" s="1"/>
  <c r="M18" i="2" s="1"/>
  <c r="N6" i="1"/>
  <c r="L41" i="1"/>
  <c r="O4" i="1"/>
  <c r="N13" i="1"/>
  <c r="N8" i="1"/>
  <c r="Q43" i="5" l="1"/>
  <c r="Q90" i="5"/>
  <c r="Q47" i="1"/>
  <c r="L6" i="3"/>
  <c r="L14" i="3" s="1"/>
  <c r="L22" i="3"/>
  <c r="L25" i="3" s="1"/>
  <c r="M19" i="2"/>
  <c r="M20" i="2" s="1"/>
  <c r="P7" i="2"/>
  <c r="P12" i="3"/>
  <c r="Q39" i="3"/>
  <c r="Q42" i="3" s="1"/>
  <c r="R32" i="3"/>
  <c r="R35" i="3" s="1"/>
  <c r="R6" i="2" s="1"/>
  <c r="Q21" i="3"/>
  <c r="R61" i="5"/>
  <c r="S60" i="5"/>
  <c r="S40" i="3" s="1"/>
  <c r="U41" i="3" s="1"/>
  <c r="T4" i="5"/>
  <c r="S13" i="5"/>
  <c r="S8" i="5"/>
  <c r="S15" i="5" s="1"/>
  <c r="S36" i="5" s="1"/>
  <c r="S39" i="5" s="1"/>
  <c r="S41" i="5" s="1"/>
  <c r="S6" i="5"/>
  <c r="S57" i="5" s="1"/>
  <c r="S33" i="3" s="1"/>
  <c r="T34" i="3" s="1"/>
  <c r="R58" i="5"/>
  <c r="R15" i="5"/>
  <c r="R36" i="5" s="1"/>
  <c r="R39" i="5" s="1"/>
  <c r="R41" i="5" s="1"/>
  <c r="Q63" i="5"/>
  <c r="Q44" i="5" s="1"/>
  <c r="Q46" i="5" s="1"/>
  <c r="Q48" i="5" s="1"/>
  <c r="N39" i="1"/>
  <c r="N4" i="2" s="1"/>
  <c r="N8" i="2" s="1"/>
  <c r="N18" i="2" s="1"/>
  <c r="N15" i="1"/>
  <c r="N36" i="1" s="1"/>
  <c r="O6" i="1"/>
  <c r="M41" i="1"/>
  <c r="P4" i="1"/>
  <c r="O13" i="1"/>
  <c r="O8" i="1"/>
  <c r="S43" i="5" l="1"/>
  <c r="S90" i="5"/>
  <c r="R43" i="5"/>
  <c r="R90" i="5"/>
  <c r="R63" i="5"/>
  <c r="R44" i="5" s="1"/>
  <c r="R46" i="5" s="1"/>
  <c r="R48" i="5" s="1"/>
  <c r="R47" i="1"/>
  <c r="M6" i="3"/>
  <c r="M14" i="3" s="1"/>
  <c r="N19" i="2"/>
  <c r="N20" i="2" s="1"/>
  <c r="M22" i="3"/>
  <c r="M25" i="3" s="1"/>
  <c r="S32" i="3"/>
  <c r="S35" i="3" s="1"/>
  <c r="S6" i="2" s="1"/>
  <c r="R21" i="3"/>
  <c r="Q7" i="2"/>
  <c r="Q12" i="3"/>
  <c r="R39" i="3"/>
  <c r="R42" i="3" s="1"/>
  <c r="T60" i="5"/>
  <c r="T40" i="3" s="1"/>
  <c r="V41" i="3" s="1"/>
  <c r="U4" i="5"/>
  <c r="T13" i="5"/>
  <c r="T8" i="5"/>
  <c r="T6" i="5"/>
  <c r="T57" i="5" s="1"/>
  <c r="T33" i="3" s="1"/>
  <c r="U34" i="3" s="1"/>
  <c r="S61" i="5"/>
  <c r="S58" i="5"/>
  <c r="S63" i="5" s="1"/>
  <c r="S44" i="5" s="1"/>
  <c r="S46" i="5" s="1"/>
  <c r="S48" i="5" s="1"/>
  <c r="O15" i="1"/>
  <c r="O36" i="1" s="1"/>
  <c r="O39" i="1" s="1"/>
  <c r="O4" i="2" s="1"/>
  <c r="O8" i="2" s="1"/>
  <c r="O18" i="2" s="1"/>
  <c r="P6" i="1"/>
  <c r="N41" i="1"/>
  <c r="Q4" i="1"/>
  <c r="P8" i="1"/>
  <c r="P13" i="1"/>
  <c r="T15" i="5" l="1"/>
  <c r="T36" i="5" s="1"/>
  <c r="T39" i="5" s="1"/>
  <c r="T41" i="5" s="1"/>
  <c r="S47" i="1"/>
  <c r="N6" i="3"/>
  <c r="N14" i="3" s="1"/>
  <c r="O19" i="2"/>
  <c r="O20" i="2" s="1"/>
  <c r="N22" i="3"/>
  <c r="N25" i="3" s="1"/>
  <c r="R7" i="2"/>
  <c r="R12" i="3"/>
  <c r="S39" i="3"/>
  <c r="S42" i="3" s="1"/>
  <c r="T32" i="3"/>
  <c r="T35" i="3" s="1"/>
  <c r="T6" i="2" s="1"/>
  <c r="S21" i="3"/>
  <c r="U60" i="5"/>
  <c r="U40" i="3" s="1"/>
  <c r="W41" i="3" s="1"/>
  <c r="U13" i="5"/>
  <c r="U8" i="5"/>
  <c r="U6" i="5"/>
  <c r="U57" i="5" s="1"/>
  <c r="U33" i="3" s="1"/>
  <c r="V34" i="3" s="1"/>
  <c r="V4" i="5"/>
  <c r="T58" i="5"/>
  <c r="T61" i="5"/>
  <c r="P15" i="1"/>
  <c r="P36" i="1" s="1"/>
  <c r="P39" i="1" s="1"/>
  <c r="P4" i="2" s="1"/>
  <c r="P8" i="2" s="1"/>
  <c r="P18" i="2" s="1"/>
  <c r="Q6" i="1"/>
  <c r="O41" i="1"/>
  <c r="R4" i="1"/>
  <c r="Q13" i="1"/>
  <c r="Q8" i="1"/>
  <c r="T63" i="5" l="1"/>
  <c r="T44" i="5" s="1"/>
  <c r="T46" i="5" s="1"/>
  <c r="T48" i="5" s="1"/>
  <c r="T43" i="5"/>
  <c r="T90" i="5"/>
  <c r="U15" i="5"/>
  <c r="U36" i="5" s="1"/>
  <c r="U39" i="5" s="1"/>
  <c r="U41" i="5" s="1"/>
  <c r="T47" i="1"/>
  <c r="O6" i="3"/>
  <c r="O14" i="3" s="1"/>
  <c r="O22" i="3"/>
  <c r="O25" i="3" s="1"/>
  <c r="P19" i="2"/>
  <c r="P20" i="2" s="1"/>
  <c r="U32" i="3"/>
  <c r="U35" i="3" s="1"/>
  <c r="U6" i="2" s="1"/>
  <c r="T21" i="3"/>
  <c r="S7" i="2"/>
  <c r="S12" i="3"/>
  <c r="T39" i="3"/>
  <c r="T42" i="3" s="1"/>
  <c r="V60" i="5"/>
  <c r="V40" i="3" s="1"/>
  <c r="X41" i="3" s="1"/>
  <c r="V13" i="5"/>
  <c r="W4" i="5"/>
  <c r="V8" i="5"/>
  <c r="V6" i="5"/>
  <c r="V57" i="5" s="1"/>
  <c r="V33" i="3" s="1"/>
  <c r="W34" i="3" s="1"/>
  <c r="U61" i="5"/>
  <c r="U58" i="5"/>
  <c r="Q15" i="1"/>
  <c r="Q36" i="1" s="1"/>
  <c r="Q39" i="1" s="1"/>
  <c r="Q4" i="2" s="1"/>
  <c r="Q8" i="2" s="1"/>
  <c r="Q18" i="2" s="1"/>
  <c r="R6" i="1"/>
  <c r="P41" i="1"/>
  <c r="S4" i="1"/>
  <c r="R13" i="1"/>
  <c r="R8" i="1"/>
  <c r="U43" i="5" l="1"/>
  <c r="U90" i="5"/>
  <c r="V15" i="5"/>
  <c r="V36" i="5" s="1"/>
  <c r="V39" i="5" s="1"/>
  <c r="V41" i="5" s="1"/>
  <c r="U47" i="1"/>
  <c r="P6" i="3"/>
  <c r="P14" i="3" s="1"/>
  <c r="Q19" i="2"/>
  <c r="Q20" i="2" s="1"/>
  <c r="P22" i="3"/>
  <c r="P25" i="3" s="1"/>
  <c r="T7" i="2"/>
  <c r="T12" i="3"/>
  <c r="U39" i="3"/>
  <c r="U42" i="3" s="1"/>
  <c r="V32" i="3"/>
  <c r="V35" i="3" s="1"/>
  <c r="V6" i="2" s="1"/>
  <c r="U21" i="3"/>
  <c r="V58" i="5"/>
  <c r="V61" i="5"/>
  <c r="W60" i="5"/>
  <c r="W40" i="3" s="1"/>
  <c r="Y41" i="3" s="1"/>
  <c r="X4" i="5"/>
  <c r="W13" i="5"/>
  <c r="W8" i="5"/>
  <c r="W6" i="5"/>
  <c r="W57" i="5" s="1"/>
  <c r="W33" i="3" s="1"/>
  <c r="X34" i="3" s="1"/>
  <c r="U63" i="5"/>
  <c r="U44" i="5" s="1"/>
  <c r="R15" i="1"/>
  <c r="R36" i="1" s="1"/>
  <c r="R39" i="1" s="1"/>
  <c r="R4" i="2" s="1"/>
  <c r="R8" i="2" s="1"/>
  <c r="R18" i="2" s="1"/>
  <c r="S6" i="1"/>
  <c r="Q41" i="1"/>
  <c r="T4" i="1"/>
  <c r="S13" i="1"/>
  <c r="S8" i="1"/>
  <c r="U46" i="5" l="1"/>
  <c r="U48" i="5" s="1"/>
  <c r="V43" i="5"/>
  <c r="V90" i="5"/>
  <c r="W15" i="5"/>
  <c r="W36" i="5" s="1"/>
  <c r="W39" i="5" s="1"/>
  <c r="W41" i="5" s="1"/>
  <c r="V47" i="1"/>
  <c r="Q6" i="3"/>
  <c r="Q14" i="3" s="1"/>
  <c r="R19" i="2"/>
  <c r="R20" i="2" s="1"/>
  <c r="Q22" i="3"/>
  <c r="Q25" i="3" s="1"/>
  <c r="W32" i="3"/>
  <c r="W35" i="3" s="1"/>
  <c r="W6" i="2" s="1"/>
  <c r="V21" i="3"/>
  <c r="U7" i="2"/>
  <c r="U12" i="3"/>
  <c r="V39" i="3"/>
  <c r="V42" i="3" s="1"/>
  <c r="W58" i="5"/>
  <c r="W61" i="5"/>
  <c r="X60" i="5"/>
  <c r="X40" i="3" s="1"/>
  <c r="Y4" i="5"/>
  <c r="X13" i="5"/>
  <c r="X8" i="5"/>
  <c r="X6" i="5"/>
  <c r="X57" i="5" s="1"/>
  <c r="X33" i="3" s="1"/>
  <c r="Y34" i="3" s="1"/>
  <c r="V63" i="5"/>
  <c r="V44" i="5" s="1"/>
  <c r="V46" i="5" s="1"/>
  <c r="V48" i="5" s="1"/>
  <c r="S15" i="1"/>
  <c r="S36" i="1" s="1"/>
  <c r="S39" i="1" s="1"/>
  <c r="S4" i="2" s="1"/>
  <c r="S8" i="2" s="1"/>
  <c r="S18" i="2" s="1"/>
  <c r="T6" i="1"/>
  <c r="R41" i="1"/>
  <c r="U4" i="1"/>
  <c r="T8" i="1"/>
  <c r="T13" i="1"/>
  <c r="W43" i="5" l="1"/>
  <c r="W90" i="5"/>
  <c r="X15" i="5"/>
  <c r="X36" i="5" s="1"/>
  <c r="X39" i="5" s="1"/>
  <c r="X41" i="5" s="1"/>
  <c r="W47" i="1"/>
  <c r="R6" i="3"/>
  <c r="R14" i="3" s="1"/>
  <c r="S19" i="2"/>
  <c r="S20" i="2" s="1"/>
  <c r="R22" i="3"/>
  <c r="R25" i="3" s="1"/>
  <c r="V7" i="2"/>
  <c r="V12" i="3"/>
  <c r="W39" i="3"/>
  <c r="W42" i="3" s="1"/>
  <c r="X32" i="3"/>
  <c r="X35" i="3" s="1"/>
  <c r="X6" i="2" s="1"/>
  <c r="W21" i="3"/>
  <c r="Y60" i="5"/>
  <c r="Y40" i="3" s="1"/>
  <c r="Y13" i="5"/>
  <c r="Y8" i="5"/>
  <c r="Y6" i="5"/>
  <c r="Y57" i="5" s="1"/>
  <c r="Y33" i="3" s="1"/>
  <c r="X58" i="5"/>
  <c r="X61" i="5"/>
  <c r="W63" i="5"/>
  <c r="W44" i="5" s="1"/>
  <c r="W46" i="5" s="1"/>
  <c r="W48" i="5" s="1"/>
  <c r="T15" i="1"/>
  <c r="T36" i="1" s="1"/>
  <c r="T39" i="1" s="1"/>
  <c r="T4" i="2" s="1"/>
  <c r="T8" i="2" s="1"/>
  <c r="T18" i="2" s="1"/>
  <c r="U6" i="1"/>
  <c r="S41" i="1"/>
  <c r="V4" i="1"/>
  <c r="U13" i="1"/>
  <c r="U8" i="1"/>
  <c r="X43" i="5" l="1"/>
  <c r="X90" i="5"/>
  <c r="Y15" i="5"/>
  <c r="Y36" i="5" s="1"/>
  <c r="Y39" i="5" s="1"/>
  <c r="Y41" i="5" s="1"/>
  <c r="X47" i="1"/>
  <c r="S6" i="3"/>
  <c r="S14" i="3" s="1"/>
  <c r="T19" i="2"/>
  <c r="T20" i="2" s="1"/>
  <c r="S22" i="3"/>
  <c r="S25" i="3" s="1"/>
  <c r="Y32" i="3"/>
  <c r="Y35" i="3" s="1"/>
  <c r="X21" i="3"/>
  <c r="W7" i="2"/>
  <c r="W12" i="3"/>
  <c r="X39" i="3"/>
  <c r="X42" i="3" s="1"/>
  <c r="Y58" i="5"/>
  <c r="X63" i="5"/>
  <c r="X44" i="5" s="1"/>
  <c r="X46" i="5" s="1"/>
  <c r="X48" i="5" s="1"/>
  <c r="Y61" i="5"/>
  <c r="U15" i="1"/>
  <c r="U36" i="1" s="1"/>
  <c r="U39" i="1" s="1"/>
  <c r="U4" i="2" s="1"/>
  <c r="U8" i="2" s="1"/>
  <c r="U18" i="2" s="1"/>
  <c r="V6" i="1"/>
  <c r="T41" i="1"/>
  <c r="W4" i="1"/>
  <c r="V8" i="1"/>
  <c r="V13" i="1"/>
  <c r="Y43" i="5" l="1"/>
  <c r="Y90" i="5"/>
  <c r="Y47" i="1"/>
  <c r="T6" i="3"/>
  <c r="T14" i="3" s="1"/>
  <c r="T22" i="3"/>
  <c r="T25" i="3" s="1"/>
  <c r="U19" i="2"/>
  <c r="U20" i="2" s="1"/>
  <c r="Y21" i="3"/>
  <c r="Y6" i="2"/>
  <c r="X7" i="2"/>
  <c r="X12" i="3"/>
  <c r="Y39" i="3"/>
  <c r="Y42" i="3" s="1"/>
  <c r="Y63" i="5"/>
  <c r="Y44" i="5" s="1"/>
  <c r="Y46" i="5" s="1"/>
  <c r="V15" i="1"/>
  <c r="V36" i="1" s="1"/>
  <c r="V39" i="1" s="1"/>
  <c r="V4" i="2" s="1"/>
  <c r="V8" i="2" s="1"/>
  <c r="V18" i="2" s="1"/>
  <c r="W6" i="1"/>
  <c r="U41" i="1"/>
  <c r="X4" i="1"/>
  <c r="W13" i="1"/>
  <c r="W8" i="1"/>
  <c r="U6" i="3" l="1"/>
  <c r="U14" i="3" s="1"/>
  <c r="U22" i="3"/>
  <c r="U25" i="3" s="1"/>
  <c r="V19" i="2"/>
  <c r="V20" i="2" s="1"/>
  <c r="Y7" i="2"/>
  <c r="Y12" i="3"/>
  <c r="B50" i="5"/>
  <c r="B51" i="5" s="1"/>
  <c r="Y48" i="5"/>
  <c r="B49" i="5" s="1"/>
  <c r="W15" i="1"/>
  <c r="W36" i="1" s="1"/>
  <c r="W39" i="1" s="1"/>
  <c r="W4" i="2" s="1"/>
  <c r="W8" i="2" s="1"/>
  <c r="W18" i="2" s="1"/>
  <c r="X6" i="1"/>
  <c r="V41" i="1"/>
  <c r="X8" i="1"/>
  <c r="Y4" i="1"/>
  <c r="X13" i="1"/>
  <c r="V6" i="3" l="1"/>
  <c r="V14" i="3" s="1"/>
  <c r="V22" i="3"/>
  <c r="V25" i="3" s="1"/>
  <c r="W19" i="2"/>
  <c r="W20" i="2" s="1"/>
  <c r="B53" i="5"/>
  <c r="X15" i="1"/>
  <c r="X36" i="1" s="1"/>
  <c r="X39" i="1" s="1"/>
  <c r="X4" i="2" s="1"/>
  <c r="X8" i="2" s="1"/>
  <c r="X18" i="2" s="1"/>
  <c r="Y6" i="1"/>
  <c r="W41" i="1"/>
  <c r="Y13" i="1"/>
  <c r="Y8" i="1"/>
  <c r="F72" i="5" l="1"/>
  <c r="W6" i="3"/>
  <c r="W14" i="3" s="1"/>
  <c r="X19" i="2"/>
  <c r="X20" i="2" s="1"/>
  <c r="W22" i="3"/>
  <c r="W25" i="3" s="1"/>
  <c r="Y15" i="1"/>
  <c r="Y36" i="1" s="1"/>
  <c r="Y39" i="1" s="1"/>
  <c r="Y4" i="2" s="1"/>
  <c r="Y8" i="2" s="1"/>
  <c r="Y18" i="2" s="1"/>
  <c r="X41" i="1"/>
  <c r="X6" i="3" l="1"/>
  <c r="Y19" i="2"/>
  <c r="Y20" i="2" s="1"/>
  <c r="Y22" i="3" s="1"/>
  <c r="Y25" i="3" s="1"/>
  <c r="X22" i="3"/>
  <c r="X25" i="3" s="1"/>
  <c r="Y41" i="1"/>
  <c r="Y6" i="3" l="1"/>
  <c r="Y14" i="3" s="1"/>
  <c r="X14" i="3"/>
</calcChain>
</file>

<file path=xl/sharedStrings.xml><?xml version="1.0" encoding="utf-8"?>
<sst xmlns="http://schemas.openxmlformats.org/spreadsheetml/2006/main" count="157" uniqueCount="116">
  <si>
    <t>Particulars</t>
  </si>
  <si>
    <t>Total Revenue</t>
  </si>
  <si>
    <t>Social Media Marketer (one employ in first year, two in second year)</t>
  </si>
  <si>
    <t>Accountant</t>
  </si>
  <si>
    <t>Marketing professionals (2 hired in first year and 2 in second)</t>
  </si>
  <si>
    <t>Production Workforce (3 to be hired in first year and 5 to be hired in second year)</t>
  </si>
  <si>
    <t>Unit rent</t>
  </si>
  <si>
    <t>Internet &amp; communication</t>
  </si>
  <si>
    <t>electricity</t>
  </si>
  <si>
    <t>maintenance</t>
  </si>
  <si>
    <t>miscellaneous</t>
  </si>
  <si>
    <t>marketing expense</t>
  </si>
  <si>
    <t xml:space="preserve">CEO Salary </t>
  </si>
  <si>
    <t>Employee Expenses @ 6% growth after one year</t>
  </si>
  <si>
    <t xml:space="preserve">COO Salary </t>
  </si>
  <si>
    <t>Other Expenses (to increase at 10% per annum)</t>
  </si>
  <si>
    <t>Depreciation Expenses</t>
  </si>
  <si>
    <t>10 Laptops 40000rs each first year Assuming Life of 3 years and 10 new purchased 2nd year</t>
  </si>
  <si>
    <t>EBITDA</t>
  </si>
  <si>
    <t>EBIT</t>
  </si>
  <si>
    <t>Assuming there is no tax</t>
  </si>
  <si>
    <t>NOPAT</t>
  </si>
  <si>
    <t>(+) Depreciation</t>
  </si>
  <si>
    <t>OCF</t>
  </si>
  <si>
    <t>WN1 Investment in working capital</t>
  </si>
  <si>
    <t>increase in receivable</t>
  </si>
  <si>
    <t>Increase in Payable</t>
  </si>
  <si>
    <t>investment in working capital</t>
  </si>
  <si>
    <t>Investment in CAPEX</t>
  </si>
  <si>
    <t>WN2 Investment in Capex</t>
  </si>
  <si>
    <t>(-) Investment in WC</t>
  </si>
  <si>
    <t>(-) Investment in Capex</t>
  </si>
  <si>
    <t>FCFF</t>
  </si>
  <si>
    <r>
      <t>CAPEX = RF+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Times New Roman"/>
        <family val="1"/>
      </rPr>
      <t xml:space="preserve"> (RM-RF)</t>
    </r>
  </si>
  <si>
    <t>WACC Calculation</t>
  </si>
  <si>
    <t>Weight</t>
  </si>
  <si>
    <t>cost</t>
  </si>
  <si>
    <t>Equity</t>
  </si>
  <si>
    <t>Debt</t>
  </si>
  <si>
    <t>WACC = ( KE*WE)+(KD*WD)(1-TAX)</t>
  </si>
  <si>
    <t>PV of FCFF</t>
  </si>
  <si>
    <t>DF for each Month</t>
  </si>
  <si>
    <t>Monthly WACC</t>
  </si>
  <si>
    <t>HV</t>
  </si>
  <si>
    <t>TV</t>
  </si>
  <si>
    <t xml:space="preserve">Assuming Growth rate is </t>
  </si>
  <si>
    <t>monthly</t>
  </si>
  <si>
    <t>PV Of TV</t>
  </si>
  <si>
    <t>Terminal Growth Rate Monthly</t>
  </si>
  <si>
    <t>Value of the Firm</t>
  </si>
  <si>
    <t>COGS</t>
  </si>
  <si>
    <t>Payable Assuming Device cost is on credit</t>
  </si>
  <si>
    <t>Gross Profit</t>
  </si>
  <si>
    <t>Total Operating Expenses</t>
  </si>
  <si>
    <t>Value of Firm</t>
  </si>
  <si>
    <t>Current Assets</t>
  </si>
  <si>
    <t>Cash Flow From Operating Activities</t>
  </si>
  <si>
    <t>(-) Increase in Receivable</t>
  </si>
  <si>
    <t>(+) Increase in Payable</t>
  </si>
  <si>
    <t>Cash Flow From Investment Activity</t>
  </si>
  <si>
    <t>(-) Laptop Purchased</t>
  </si>
  <si>
    <t>Net Cash Flow From Operating Activities</t>
  </si>
  <si>
    <t>Net Cash Flow From Investment Activity</t>
  </si>
  <si>
    <t>Cash Flow From Financing Activity</t>
  </si>
  <si>
    <t>Eqiuty 10 lakh Shares @10 each</t>
  </si>
  <si>
    <t>Net Cash Flow From Financing Activity</t>
  </si>
  <si>
    <t>Net Cash Flow From All Three Activities</t>
  </si>
  <si>
    <t>Cash Flow Statement</t>
  </si>
  <si>
    <t>Total Assets</t>
  </si>
  <si>
    <t xml:space="preserve">opening cash </t>
  </si>
  <si>
    <t>Net Caash</t>
  </si>
  <si>
    <t>Receivable</t>
  </si>
  <si>
    <t>Add : Receivable during the month</t>
  </si>
  <si>
    <t>Less : collection from debtors</t>
  </si>
  <si>
    <t>Trade Payable</t>
  </si>
  <si>
    <t>Add : Purchased during the month</t>
  </si>
  <si>
    <t>Less : Paid to Creditors</t>
  </si>
  <si>
    <t>EQUITY AND LIABILITIES</t>
  </si>
  <si>
    <t xml:space="preserve">   Shareholders' Funds:</t>
  </si>
  <si>
    <t xml:space="preserve">     -Share Capital</t>
  </si>
  <si>
    <t xml:space="preserve">     -Retain Earning</t>
  </si>
  <si>
    <t>Non - Current Liabilities</t>
  </si>
  <si>
    <t>Current Liabilities</t>
  </si>
  <si>
    <t xml:space="preserve">    -Account Payable</t>
  </si>
  <si>
    <t>Total Liabilities</t>
  </si>
  <si>
    <t>ASSETS</t>
  </si>
  <si>
    <t>Non - Current Assets</t>
  </si>
  <si>
    <t>Fixed Assets</t>
  </si>
  <si>
    <t xml:space="preserve">   -Account Receivables</t>
  </si>
  <si>
    <t xml:space="preserve">   -Cash</t>
  </si>
  <si>
    <t xml:space="preserve">BALANCE SHEET </t>
  </si>
  <si>
    <t>Asset Value After Dep.</t>
  </si>
  <si>
    <t>NOTE 1</t>
  </si>
  <si>
    <t>NOTE 2</t>
  </si>
  <si>
    <t>PAT</t>
  </si>
  <si>
    <t>P/L Statement</t>
  </si>
  <si>
    <t>Growth Rate</t>
  </si>
  <si>
    <t>Device installed @ 10% increase each month</t>
  </si>
  <si>
    <t>Installation charge/ per device @ 5% Inc. after one year</t>
  </si>
  <si>
    <t xml:space="preserve">Total income from installation </t>
  </si>
  <si>
    <t>Subscription price/per device @ 5% Inc. after one year</t>
  </si>
  <si>
    <t>cost of each device @ 5% Inc. After one year</t>
  </si>
  <si>
    <t>cost of cloud support for each device @ 10% Inc. After one year</t>
  </si>
  <si>
    <t>Receivable assuming Assuming Installation Charges is on credit only</t>
  </si>
  <si>
    <t>What if Analysis</t>
  </si>
  <si>
    <t>Closing Balance</t>
  </si>
  <si>
    <t>Opening Balance</t>
  </si>
  <si>
    <t>DCF Valuation</t>
  </si>
  <si>
    <t>Assuming Life of Laptop is 3 years</t>
  </si>
  <si>
    <t>straight-line method of depreciation</t>
  </si>
  <si>
    <t>Assumptions</t>
  </si>
  <si>
    <t>Depreciation straight-line Method (4,00,000/36) from 2nd Year 10 More laptop Added</t>
  </si>
  <si>
    <t>Note</t>
  </si>
  <si>
    <t>Based on our DCF calculation Value of the firm is Rs.23,84,64,688.25 where our WACC is 14.5% per year and if we convert it into months then it is 1.2%, and our Growth rate is 10% which we assumed if we convert it into month then it come out to be 0.8%. Talking about Valuation range if we conceder our growth rate as 5% then the value of the firm gets decrease to Rs11,51,54,645.47 same way if we increase our rate from 10% to 12% then our value of the firm gets increase. Talking about investment then this is a good choise as in first five months company is facing loss but from fifth month to 24th month company is earning profit.</t>
  </si>
  <si>
    <t>EPS</t>
  </si>
  <si>
    <t xml:space="preserve">Looking at our EPS we can say that till 5th month our EPS is in negative and from 6th month it is positive and growing month on month which is a good sign for investors they can get good return.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</si>
</sst>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[$₹-4009]\ * #,##0.00_ ;_ [$₹-4009]\ * \-#,##0.00_ ;_ [$₹-4009]\ * &quot;-&quot;??_ ;_ @_ "/>
    <numFmt numFmtId="165" formatCode="0.000"/>
    <numFmt numFmtId="166" formatCode="&quot;₹&quot;\ 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  <font>
      <b/>
      <sz val="11"/>
      <color rgb="FF0D0D0D"/>
      <name val="Times New Roman"/>
      <family val="1"/>
    </font>
    <font>
      <u/>
      <sz val="11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sz val="18"/>
      <color theme="0"/>
      <name val="Times New Roman"/>
      <family val="1"/>
    </font>
    <font>
      <sz val="10"/>
      <color rgb="FF0D0D0D"/>
      <name val="Segoe UI"/>
      <family val="2"/>
    </font>
    <font>
      <sz val="14"/>
      <color theme="0"/>
      <name val="Times New Roman"/>
      <family val="1"/>
    </font>
    <font>
      <sz val="12"/>
      <color theme="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center"/>
    </xf>
    <xf numFmtId="17" fontId="4" fillId="2" borderId="1" xfId="0" applyNumberFormat="1" applyFont="1" applyFill="1" applyBorder="1"/>
    <xf numFmtId="0" fontId="4" fillId="0" borderId="1" xfId="0" applyFont="1" applyBorder="1"/>
    <xf numFmtId="164" fontId="4" fillId="0" borderId="1" xfId="0" applyNumberFormat="1" applyFont="1" applyBorder="1"/>
    <xf numFmtId="0" fontId="5" fillId="2" borderId="1" xfId="0" applyFont="1" applyFill="1" applyBorder="1"/>
    <xf numFmtId="0" fontId="5" fillId="0" borderId="1" xfId="0" applyFont="1" applyBorder="1"/>
    <xf numFmtId="0" fontId="4" fillId="0" borderId="1" xfId="1" applyNumberFormat="1" applyFont="1" applyBorder="1"/>
    <xf numFmtId="0" fontId="4" fillId="8" borderId="1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10" xfId="0" applyFont="1" applyBorder="1"/>
    <xf numFmtId="0" fontId="4" fillId="0" borderId="13" xfId="0" applyFont="1" applyBorder="1"/>
    <xf numFmtId="164" fontId="4" fillId="0" borderId="14" xfId="0" applyNumberFormat="1" applyFont="1" applyBorder="1"/>
    <xf numFmtId="164" fontId="4" fillId="0" borderId="15" xfId="0" applyNumberFormat="1" applyFont="1" applyBorder="1"/>
    <xf numFmtId="1" fontId="4" fillId="0" borderId="1" xfId="0" applyNumberFormat="1" applyFont="1" applyBorder="1"/>
    <xf numFmtId="0" fontId="5" fillId="6" borderId="1" xfId="0" applyFont="1" applyFill="1" applyBorder="1"/>
    <xf numFmtId="0" fontId="6" fillId="6" borderId="1" xfId="0" applyFont="1" applyFill="1" applyBorder="1"/>
    <xf numFmtId="164" fontId="4" fillId="0" borderId="6" xfId="0" applyNumberFormat="1" applyFont="1" applyBorder="1"/>
    <xf numFmtId="0" fontId="4" fillId="0" borderId="16" xfId="0" applyFont="1" applyBorder="1"/>
    <xf numFmtId="164" fontId="4" fillId="0" borderId="16" xfId="0" applyNumberFormat="1" applyFont="1" applyBorder="1"/>
    <xf numFmtId="0" fontId="5" fillId="6" borderId="5" xfId="0" applyFont="1" applyFill="1" applyBorder="1"/>
    <xf numFmtId="0" fontId="6" fillId="6" borderId="16" xfId="0" applyFont="1" applyFill="1" applyBorder="1"/>
    <xf numFmtId="0" fontId="5" fillId="6" borderId="13" xfId="0" applyFont="1" applyFill="1" applyBorder="1"/>
    <xf numFmtId="164" fontId="4" fillId="0" borderId="17" xfId="0" applyNumberFormat="1" applyFont="1" applyBorder="1"/>
    <xf numFmtId="164" fontId="4" fillId="0" borderId="18" xfId="0" applyNumberFormat="1" applyFont="1" applyBorder="1"/>
    <xf numFmtId="164" fontId="4" fillId="0" borderId="19" xfId="0" applyNumberFormat="1" applyFont="1" applyBorder="1"/>
    <xf numFmtId="0" fontId="6" fillId="6" borderId="13" xfId="0" applyFont="1" applyFill="1" applyBorder="1"/>
    <xf numFmtId="0" fontId="5" fillId="0" borderId="16" xfId="0" applyFont="1" applyBorder="1"/>
    <xf numFmtId="165" fontId="0" fillId="0" borderId="16" xfId="0" applyNumberFormat="1" applyBorder="1"/>
    <xf numFmtId="0" fontId="5" fillId="0" borderId="13" xfId="0" applyFont="1" applyBorder="1"/>
    <xf numFmtId="0" fontId="5" fillId="0" borderId="6" xfId="0" applyFont="1" applyBorder="1"/>
    <xf numFmtId="0" fontId="5" fillId="9" borderId="13" xfId="0" applyFont="1" applyFill="1" applyBorder="1"/>
    <xf numFmtId="0" fontId="4" fillId="6" borderId="0" xfId="0" applyFont="1" applyFill="1"/>
    <xf numFmtId="0" fontId="0" fillId="7" borderId="1" xfId="0" applyFill="1" applyBorder="1"/>
    <xf numFmtId="0" fontId="5" fillId="7" borderId="1" xfId="0" applyFont="1" applyFill="1" applyBorder="1" applyAlignment="1">
      <alignment horizontal="center"/>
    </xf>
    <xf numFmtId="17" fontId="5" fillId="7" borderId="1" xfId="0" applyNumberFormat="1" applyFont="1" applyFill="1" applyBorder="1"/>
    <xf numFmtId="0" fontId="2" fillId="0" borderId="20" xfId="0" applyFont="1" applyBorder="1"/>
    <xf numFmtId="0" fontId="5" fillId="6" borderId="16" xfId="0" applyFont="1" applyFill="1" applyBorder="1"/>
    <xf numFmtId="0" fontId="4" fillId="0" borderId="2" xfId="0" applyFont="1" applyBorder="1"/>
    <xf numFmtId="164" fontId="4" fillId="0" borderId="13" xfId="0" applyNumberFormat="1" applyFont="1" applyBorder="1"/>
    <xf numFmtId="0" fontId="5" fillId="6" borderId="20" xfId="0" applyFont="1" applyFill="1" applyBorder="1"/>
    <xf numFmtId="0" fontId="5" fillId="6" borderId="21" xfId="0" applyFont="1" applyFill="1" applyBorder="1"/>
    <xf numFmtId="0" fontId="5" fillId="6" borderId="2" xfId="0" applyFont="1" applyFill="1" applyBorder="1"/>
    <xf numFmtId="9" fontId="4" fillId="0" borderId="1" xfId="0" applyNumberFormat="1" applyFont="1" applyBorder="1"/>
    <xf numFmtId="0" fontId="4" fillId="8" borderId="2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4" borderId="7" xfId="0" applyFont="1" applyFill="1" applyBorder="1"/>
    <xf numFmtId="2" fontId="4" fillId="4" borderId="22" xfId="0" applyNumberFormat="1" applyFont="1" applyFill="1" applyBorder="1"/>
    <xf numFmtId="0" fontId="4" fillId="4" borderId="10" xfId="0" applyFont="1" applyFill="1" applyBorder="1"/>
    <xf numFmtId="165" fontId="4" fillId="4" borderId="23" xfId="0" applyNumberFormat="1" applyFont="1" applyFill="1" applyBorder="1"/>
    <xf numFmtId="0" fontId="8" fillId="0" borderId="1" xfId="0" applyFont="1" applyBorder="1"/>
    <xf numFmtId="0" fontId="9" fillId="0" borderId="1" xfId="0" applyFont="1" applyBorder="1"/>
    <xf numFmtId="0" fontId="8" fillId="0" borderId="13" xfId="0" applyFont="1" applyBorder="1"/>
    <xf numFmtId="164" fontId="4" fillId="0" borderId="24" xfId="0" applyNumberFormat="1" applyFont="1" applyBorder="1"/>
    <xf numFmtId="0" fontId="5" fillId="0" borderId="0" xfId="0" applyFont="1" applyBorder="1"/>
    <xf numFmtId="164" fontId="4" fillId="0" borderId="0" xfId="0" applyNumberFormat="1" applyFont="1" applyBorder="1"/>
    <xf numFmtId="0" fontId="5" fillId="11" borderId="2" xfId="0" applyFont="1" applyFill="1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164" fontId="0" fillId="0" borderId="6" xfId="0" applyNumberFormat="1" applyBorder="1"/>
    <xf numFmtId="0" fontId="0" fillId="0" borderId="16" xfId="0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0" fontId="4" fillId="0" borderId="26" xfId="0" applyFont="1" applyBorder="1"/>
    <xf numFmtId="0" fontId="0" fillId="0" borderId="26" xfId="0" applyBorder="1"/>
    <xf numFmtId="164" fontId="5" fillId="0" borderId="1" xfId="0" applyNumberFormat="1" applyFont="1" applyBorder="1"/>
    <xf numFmtId="17" fontId="4" fillId="11" borderId="1" xfId="0" applyNumberFormat="1" applyFont="1" applyFill="1" applyBorder="1"/>
    <xf numFmtId="0" fontId="5" fillId="2" borderId="6" xfId="0" applyFont="1" applyFill="1" applyBorder="1"/>
    <xf numFmtId="0" fontId="7" fillId="5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165" fontId="4" fillId="3" borderId="11" xfId="0" applyNumberFormat="1" applyFont="1" applyFill="1" applyBorder="1" applyAlignment="1">
      <alignment horizontal="center"/>
    </xf>
    <xf numFmtId="165" fontId="4" fillId="3" borderId="12" xfId="0" applyNumberFormat="1" applyFont="1" applyFill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5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6" fontId="5" fillId="9" borderId="14" xfId="0" applyNumberFormat="1" applyFont="1" applyFill="1" applyBorder="1" applyAlignment="1">
      <alignment horizontal="center"/>
    </xf>
    <xf numFmtId="0" fontId="5" fillId="9" borderId="14" xfId="0" applyFont="1" applyFill="1" applyBorder="1" applyAlignment="1">
      <alignment horizontal="center"/>
    </xf>
    <xf numFmtId="0" fontId="5" fillId="9" borderId="15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11" fillId="2" borderId="25" xfId="0" applyFont="1" applyFill="1" applyBorder="1" applyAlignment="1"/>
    <xf numFmtId="0" fontId="11" fillId="2" borderId="27" xfId="0" applyFont="1" applyFill="1" applyBorder="1" applyAlignment="1"/>
    <xf numFmtId="0" fontId="11" fillId="10" borderId="25" xfId="0" applyFont="1" applyFill="1" applyBorder="1" applyAlignment="1"/>
    <xf numFmtId="0" fontId="12" fillId="0" borderId="1" xfId="0" applyFont="1" applyBorder="1"/>
    <xf numFmtId="0" fontId="4" fillId="11" borderId="0" xfId="0" applyFont="1" applyFill="1"/>
    <xf numFmtId="0" fontId="0" fillId="12" borderId="0" xfId="0" applyFill="1"/>
    <xf numFmtId="0" fontId="10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6" xfId="0" applyBorder="1"/>
    <xf numFmtId="0" fontId="2" fillId="0" borderId="13" xfId="0" applyFont="1" applyBorder="1"/>
    <xf numFmtId="17" fontId="5" fillId="7" borderId="6" xfId="0" applyNumberFormat="1" applyFont="1" applyFill="1" applyBorder="1"/>
    <xf numFmtId="0" fontId="0" fillId="14" borderId="1" xfId="0" applyFill="1" applyBorder="1"/>
    <xf numFmtId="0" fontId="13" fillId="10" borderId="0" xfId="0" applyFont="1" applyFill="1" applyAlignment="1">
      <alignment horizontal="center" wrapText="1"/>
    </xf>
    <xf numFmtId="0" fontId="7" fillId="13" borderId="0" xfId="0" applyFont="1" applyFill="1" applyAlignment="1">
      <alignment horizontal="left" wrapText="1"/>
    </xf>
    <xf numFmtId="0" fontId="14" fillId="13" borderId="0" xfId="0" applyFont="1" applyFill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DCF!$A$90</c:f>
              <c:strCache>
                <c:ptCount val="1"/>
                <c:pt idx="0">
                  <c:v>EPS</c:v>
                </c:pt>
              </c:strCache>
            </c:strRef>
          </c:tx>
          <c:invertIfNegative val="0"/>
          <c:cat>
            <c:numRef>
              <c:f>DCF!$B$89:$Y$89</c:f>
              <c:numCache>
                <c:formatCode>mmm\-yy</c:formatCode>
                <c:ptCount val="24"/>
                <c:pt idx="0">
                  <c:v>45017</c:v>
                </c:pt>
                <c:pt idx="1">
                  <c:v>45047</c:v>
                </c:pt>
                <c:pt idx="2">
                  <c:v>45078</c:v>
                </c:pt>
                <c:pt idx="3">
                  <c:v>45108</c:v>
                </c:pt>
                <c:pt idx="4">
                  <c:v>45139</c:v>
                </c:pt>
                <c:pt idx="5">
                  <c:v>45170</c:v>
                </c:pt>
                <c:pt idx="6">
                  <c:v>45200</c:v>
                </c:pt>
                <c:pt idx="7">
                  <c:v>45231</c:v>
                </c:pt>
                <c:pt idx="8">
                  <c:v>45261</c:v>
                </c:pt>
                <c:pt idx="9">
                  <c:v>45292</c:v>
                </c:pt>
                <c:pt idx="10">
                  <c:v>45323</c:v>
                </c:pt>
                <c:pt idx="11">
                  <c:v>45352</c:v>
                </c:pt>
                <c:pt idx="12">
                  <c:v>45383</c:v>
                </c:pt>
                <c:pt idx="13">
                  <c:v>45413</c:v>
                </c:pt>
                <c:pt idx="14">
                  <c:v>45444</c:v>
                </c:pt>
                <c:pt idx="15">
                  <c:v>45474</c:v>
                </c:pt>
                <c:pt idx="16">
                  <c:v>45505</c:v>
                </c:pt>
                <c:pt idx="17">
                  <c:v>45536</c:v>
                </c:pt>
                <c:pt idx="18">
                  <c:v>45566</c:v>
                </c:pt>
                <c:pt idx="19">
                  <c:v>45597</c:v>
                </c:pt>
                <c:pt idx="20">
                  <c:v>45627</c:v>
                </c:pt>
                <c:pt idx="21">
                  <c:v>45658</c:v>
                </c:pt>
                <c:pt idx="22">
                  <c:v>45689</c:v>
                </c:pt>
                <c:pt idx="23">
                  <c:v>45717</c:v>
                </c:pt>
              </c:numCache>
            </c:numRef>
          </c:cat>
          <c:val>
            <c:numRef>
              <c:f>DCF!$B$90:$Y$90</c:f>
              <c:numCache>
                <c:formatCode>_ [$₹-4009]\ * #,##0.00_ ;_ [$₹-4009]\ * \-#,##0.00_ ;_ [$₹-4009]\ * "-"??_ ;_ @_ </c:formatCode>
                <c:ptCount val="24"/>
                <c:pt idx="0">
                  <c:v>-7.5111111111111115E-2</c:v>
                </c:pt>
                <c:pt idx="1">
                  <c:v>-5.6611111111111112E-2</c:v>
                </c:pt>
                <c:pt idx="2">
                  <c:v>-3.6261111111111112E-2</c:v>
                </c:pt>
                <c:pt idx="3">
                  <c:v>-1.3876111111111112E-2</c:v>
                </c:pt>
                <c:pt idx="4">
                  <c:v>-4.2526111111111115E-3</c:v>
                </c:pt>
                <c:pt idx="5">
                  <c:v>2.2833238888888868E-2</c:v>
                </c:pt>
                <c:pt idx="6">
                  <c:v>5.262767388888881E-2</c:v>
                </c:pt>
                <c:pt idx="7">
                  <c:v>8.5401552388888857E-2</c:v>
                </c:pt>
                <c:pt idx="8">
                  <c:v>0.10645281873888879</c:v>
                </c:pt>
                <c:pt idx="9">
                  <c:v>0.14610921172388883</c:v>
                </c:pt>
                <c:pt idx="10">
                  <c:v>0.18973124400738883</c:v>
                </c:pt>
                <c:pt idx="11">
                  <c:v>0.2377154795192388</c:v>
                </c:pt>
                <c:pt idx="12">
                  <c:v>0.21473288286165174</c:v>
                </c:pt>
                <c:pt idx="13">
                  <c:v>0.27561839337003907</c:v>
                </c:pt>
                <c:pt idx="14">
                  <c:v>0.34259245492926521</c:v>
                </c:pt>
                <c:pt idx="15">
                  <c:v>0.41626392264441403</c:v>
                </c:pt>
                <c:pt idx="16">
                  <c:v>0.46640253713107771</c:v>
                </c:pt>
                <c:pt idx="17">
                  <c:v>0.55554501306640769</c:v>
                </c:pt>
                <c:pt idx="18">
                  <c:v>0.65360173659527043</c:v>
                </c:pt>
                <c:pt idx="19">
                  <c:v>0.76146413247701994</c:v>
                </c:pt>
                <c:pt idx="20">
                  <c:v>0.84921276794694434</c:v>
                </c:pt>
                <c:pt idx="21">
                  <c:v>0.979726266963861</c:v>
                </c:pt>
                <c:pt idx="22">
                  <c:v>1.1232911158824692</c:v>
                </c:pt>
                <c:pt idx="23">
                  <c:v>1.2812124496929385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11008"/>
        <c:axId val="45574400"/>
      </c:barChart>
      <c:dateAx>
        <c:axId val="14001100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crossAx val="45574400"/>
        <c:crosses val="autoZero"/>
        <c:auto val="1"/>
        <c:lblOffset val="100"/>
        <c:baseTimeUnit val="months"/>
      </c:dateAx>
      <c:valAx>
        <c:axId val="45574400"/>
        <c:scaling>
          <c:orientation val="minMax"/>
        </c:scaling>
        <c:delete val="0"/>
        <c:axPos val="l"/>
        <c:majorGridlines/>
        <c:numFmt formatCode="_ [$₹-4009]\ * #,##0.00_ ;_ [$₹-4009]\ * \-#,##0.00_ ;_ [$₹-4009]\ * &quot;-&quot;??_ ;_ @_ " sourceLinked="1"/>
        <c:majorTickMark val="none"/>
        <c:minorTickMark val="none"/>
        <c:tickLblPos val="nextTo"/>
        <c:crossAx val="140011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gradFill rotWithShape="1">
      <a:gsLst>
        <a:gs pos="0">
          <a:schemeClr val="accent4">
            <a:tint val="50000"/>
            <a:satMod val="300000"/>
          </a:schemeClr>
        </a:gs>
        <a:gs pos="35000">
          <a:schemeClr val="accent4">
            <a:tint val="37000"/>
            <a:satMod val="300000"/>
          </a:schemeClr>
        </a:gs>
        <a:gs pos="100000">
          <a:schemeClr val="accent4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4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1076955</xdr:colOff>
      <xdr:row>68</xdr:row>
      <xdr:rowOff>171366</xdr:rowOff>
    </xdr:from>
    <xdr:to>
      <xdr:col>11</xdr:col>
      <xdr:colOff>643403</xdr:colOff>
      <xdr:row>84</xdr:row>
      <xdr:rowOff>53712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@20k%20p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4@20k%20pm" TargetMode="External"/><Relationship Id="rId1" Type="http://schemas.openxmlformats.org/officeDocument/2006/relationships/hyperlink" Target="mailto:4@20k%20pm" TargetMode="External"/><Relationship Id="rId6" Type="http://schemas.openxmlformats.org/officeDocument/2006/relationships/hyperlink" Target="mailto:4@20k%20pm" TargetMode="External"/><Relationship Id="rId5" Type="http://schemas.openxmlformats.org/officeDocument/2006/relationships/hyperlink" Target="mailto:4@20k%20pm" TargetMode="External"/><Relationship Id="rId4" Type="http://schemas.openxmlformats.org/officeDocument/2006/relationships/hyperlink" Target="mailto:4@20k%20p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4@20k%20p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4@20k%20pm" TargetMode="External"/><Relationship Id="rId1" Type="http://schemas.openxmlformats.org/officeDocument/2006/relationships/hyperlink" Target="mailto:4@20k%20pm" TargetMode="External"/><Relationship Id="rId6" Type="http://schemas.openxmlformats.org/officeDocument/2006/relationships/hyperlink" Target="mailto:4@20k%20pm" TargetMode="External"/><Relationship Id="rId5" Type="http://schemas.openxmlformats.org/officeDocument/2006/relationships/hyperlink" Target="mailto:4@20k%20pm" TargetMode="External"/><Relationship Id="rId4" Type="http://schemas.openxmlformats.org/officeDocument/2006/relationships/hyperlink" Target="mailto:4@20k%20p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147"/>
  <sheetViews>
    <sheetView zoomScale="145" zoomScaleNormal="145" workbookViewId="0">
      <selection activeCell="A61" sqref="A61"/>
    </sheetView>
  </sheetViews>
  <sheetFormatPr defaultRowHeight="13.8" x14ac:dyDescent="0.25"/>
  <cols>
    <col min="1" max="1" width="78.6640625" style="2" bestFit="1" customWidth="1"/>
    <col min="2" max="2" width="16.5546875" style="2" customWidth="1"/>
    <col min="3" max="3" width="16.21875" style="2" bestFit="1" customWidth="1"/>
    <col min="4" max="4" width="16.109375" style="2" customWidth="1"/>
    <col min="5" max="5" width="18.5546875" style="2" customWidth="1"/>
    <col min="6" max="6" width="21" style="2" customWidth="1"/>
    <col min="7" max="13" width="16.21875" style="2" bestFit="1" customWidth="1"/>
    <col min="14" max="14" width="18.88671875" style="2" customWidth="1"/>
    <col min="15" max="25" width="16.21875" style="2" bestFit="1" customWidth="1"/>
    <col min="26" max="16384" width="8.88671875" style="2"/>
  </cols>
  <sheetData>
    <row r="1" spans="1:26" ht="22.8" x14ac:dyDescent="0.4">
      <c r="A1" s="91" t="s">
        <v>95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</row>
    <row r="2" spans="1:26" s="36" customFormat="1" ht="14.4" x14ac:dyDescent="0.3">
      <c r="A2" s="37"/>
      <c r="B2" s="37">
        <v>1</v>
      </c>
      <c r="C2" s="37">
        <v>2</v>
      </c>
      <c r="D2" s="37">
        <v>3</v>
      </c>
      <c r="E2" s="37">
        <v>4</v>
      </c>
      <c r="F2" s="37">
        <v>5</v>
      </c>
      <c r="G2" s="37">
        <v>6</v>
      </c>
      <c r="H2" s="37">
        <v>7</v>
      </c>
      <c r="I2" s="37">
        <v>8</v>
      </c>
      <c r="J2" s="37">
        <v>9</v>
      </c>
      <c r="K2" s="37">
        <v>10</v>
      </c>
      <c r="L2" s="37">
        <v>11</v>
      </c>
      <c r="M2" s="37">
        <v>12</v>
      </c>
      <c r="N2" s="37">
        <v>13</v>
      </c>
      <c r="O2" s="37">
        <v>14</v>
      </c>
      <c r="P2" s="37">
        <v>15</v>
      </c>
      <c r="Q2" s="37">
        <v>16</v>
      </c>
      <c r="R2" s="37">
        <v>17</v>
      </c>
      <c r="S2" s="37">
        <v>18</v>
      </c>
      <c r="T2" s="37">
        <v>19</v>
      </c>
      <c r="U2" s="37">
        <v>20</v>
      </c>
      <c r="V2" s="37">
        <v>21</v>
      </c>
      <c r="W2" s="37">
        <v>22</v>
      </c>
      <c r="X2" s="37">
        <v>23</v>
      </c>
      <c r="Y2" s="37">
        <v>24</v>
      </c>
    </row>
    <row r="3" spans="1:26" s="36" customFormat="1" x14ac:dyDescent="0.25">
      <c r="A3" s="38" t="s">
        <v>0</v>
      </c>
      <c r="B3" s="39">
        <v>45017</v>
      </c>
      <c r="C3" s="39">
        <v>45047</v>
      </c>
      <c r="D3" s="39">
        <v>45078</v>
      </c>
      <c r="E3" s="39">
        <v>45108</v>
      </c>
      <c r="F3" s="39">
        <v>45139</v>
      </c>
      <c r="G3" s="39">
        <v>45170</v>
      </c>
      <c r="H3" s="39">
        <v>45200</v>
      </c>
      <c r="I3" s="39">
        <v>45231</v>
      </c>
      <c r="J3" s="39">
        <v>45261</v>
      </c>
      <c r="K3" s="39">
        <v>45292</v>
      </c>
      <c r="L3" s="39">
        <v>45323</v>
      </c>
      <c r="M3" s="39">
        <v>45352</v>
      </c>
      <c r="N3" s="39">
        <v>45383</v>
      </c>
      <c r="O3" s="39">
        <v>45413</v>
      </c>
      <c r="P3" s="39">
        <v>45444</v>
      </c>
      <c r="Q3" s="39">
        <v>45474</v>
      </c>
      <c r="R3" s="39">
        <v>45505</v>
      </c>
      <c r="S3" s="39">
        <v>45536</v>
      </c>
      <c r="T3" s="39">
        <v>45566</v>
      </c>
      <c r="U3" s="39">
        <v>45597</v>
      </c>
      <c r="V3" s="39">
        <v>45627</v>
      </c>
      <c r="W3" s="39">
        <v>45658</v>
      </c>
      <c r="X3" s="39">
        <v>45689</v>
      </c>
      <c r="Y3" s="39">
        <v>45717</v>
      </c>
    </row>
    <row r="4" spans="1:26" x14ac:dyDescent="0.25">
      <c r="A4" s="9" t="s">
        <v>97</v>
      </c>
      <c r="B4" s="6">
        <v>100</v>
      </c>
      <c r="C4" s="18">
        <f>B4+(B4*10%)</f>
        <v>110</v>
      </c>
      <c r="D4" s="18">
        <f t="shared" ref="D4:X4" si="0">C4+(C4*10%)</f>
        <v>121</v>
      </c>
      <c r="E4" s="18">
        <f t="shared" si="0"/>
        <v>133.1</v>
      </c>
      <c r="F4" s="18">
        <f t="shared" si="0"/>
        <v>146.41</v>
      </c>
      <c r="G4" s="18">
        <f t="shared" si="0"/>
        <v>161.05099999999999</v>
      </c>
      <c r="H4" s="18">
        <f t="shared" si="0"/>
        <v>177.15609999999998</v>
      </c>
      <c r="I4" s="18">
        <f t="shared" si="0"/>
        <v>194.87170999999998</v>
      </c>
      <c r="J4" s="18">
        <f t="shared" si="0"/>
        <v>214.35888099999997</v>
      </c>
      <c r="K4" s="18">
        <f t="shared" si="0"/>
        <v>235.79476909999997</v>
      </c>
      <c r="L4" s="18">
        <f t="shared" si="0"/>
        <v>259.37424600999998</v>
      </c>
      <c r="M4" s="18">
        <f t="shared" si="0"/>
        <v>285.31167061099995</v>
      </c>
      <c r="N4" s="18">
        <f t="shared" si="0"/>
        <v>313.84283767209996</v>
      </c>
      <c r="O4" s="18">
        <f t="shared" si="0"/>
        <v>345.22712143930994</v>
      </c>
      <c r="P4" s="18">
        <f>O4+(O4*10%)</f>
        <v>379.74983358324096</v>
      </c>
      <c r="Q4" s="18">
        <f t="shared" si="0"/>
        <v>417.72481694156505</v>
      </c>
      <c r="R4" s="18">
        <f t="shared" si="0"/>
        <v>459.49729863572156</v>
      </c>
      <c r="S4" s="18">
        <f t="shared" si="0"/>
        <v>505.44702849929371</v>
      </c>
      <c r="T4" s="18">
        <f t="shared" si="0"/>
        <v>555.99173134922307</v>
      </c>
      <c r="U4" s="18">
        <f t="shared" si="0"/>
        <v>611.59090448414543</v>
      </c>
      <c r="V4" s="18">
        <f t="shared" si="0"/>
        <v>672.74999493255996</v>
      </c>
      <c r="W4" s="18">
        <f t="shared" si="0"/>
        <v>740.02499442581598</v>
      </c>
      <c r="X4" s="18">
        <f t="shared" si="0"/>
        <v>814.02749386839753</v>
      </c>
      <c r="Y4" s="18">
        <f>X4+(X4*10%)</f>
        <v>895.43024325523731</v>
      </c>
    </row>
    <row r="5" spans="1:26" ht="14.4" thickBot="1" x14ac:dyDescent="0.3">
      <c r="A5" s="12" t="s">
        <v>98</v>
      </c>
      <c r="B5" s="21">
        <v>3200</v>
      </c>
      <c r="C5" s="21">
        <v>3200</v>
      </c>
      <c r="D5" s="21">
        <v>3200</v>
      </c>
      <c r="E5" s="21">
        <v>3200</v>
      </c>
      <c r="F5" s="21">
        <v>3200</v>
      </c>
      <c r="G5" s="21">
        <v>3200</v>
      </c>
      <c r="H5" s="21">
        <v>3200</v>
      </c>
      <c r="I5" s="21">
        <v>3200</v>
      </c>
      <c r="J5" s="21">
        <v>3200</v>
      </c>
      <c r="K5" s="21">
        <v>3200</v>
      </c>
      <c r="L5" s="21">
        <v>3200</v>
      </c>
      <c r="M5" s="21">
        <v>3200</v>
      </c>
      <c r="N5" s="21">
        <f>$M$5*1.05</f>
        <v>3360</v>
      </c>
      <c r="O5" s="21">
        <f t="shared" ref="O5:Y5" si="1">$M$5*1.05</f>
        <v>3360</v>
      </c>
      <c r="P5" s="21">
        <f t="shared" si="1"/>
        <v>3360</v>
      </c>
      <c r="Q5" s="21">
        <f t="shared" si="1"/>
        <v>3360</v>
      </c>
      <c r="R5" s="21">
        <f>$M$5*1.05</f>
        <v>3360</v>
      </c>
      <c r="S5" s="21">
        <f t="shared" si="1"/>
        <v>3360</v>
      </c>
      <c r="T5" s="21">
        <f t="shared" si="1"/>
        <v>3360</v>
      </c>
      <c r="U5" s="21">
        <f>$M$5*1.05</f>
        <v>3360</v>
      </c>
      <c r="V5" s="21">
        <f t="shared" si="1"/>
        <v>3360</v>
      </c>
      <c r="W5" s="21">
        <f>$M$5*1.05</f>
        <v>3360</v>
      </c>
      <c r="X5" s="21">
        <f t="shared" si="1"/>
        <v>3360</v>
      </c>
      <c r="Y5" s="21">
        <f t="shared" si="1"/>
        <v>3360</v>
      </c>
    </row>
    <row r="6" spans="1:26" ht="14.4" x14ac:dyDescent="0.3">
      <c r="A6" s="40" t="s">
        <v>99</v>
      </c>
      <c r="B6" s="28">
        <f>B4*B5</f>
        <v>320000</v>
      </c>
      <c r="C6" s="28">
        <f t="shared" ref="C6:G6" si="2">C4*C5</f>
        <v>352000</v>
      </c>
      <c r="D6" s="28">
        <f t="shared" si="2"/>
        <v>387200</v>
      </c>
      <c r="E6" s="28">
        <f t="shared" si="2"/>
        <v>425920</v>
      </c>
      <c r="F6" s="28">
        <f t="shared" si="2"/>
        <v>468512</v>
      </c>
      <c r="G6" s="28">
        <f t="shared" si="2"/>
        <v>515363.19999999995</v>
      </c>
      <c r="H6" s="28">
        <f t="shared" ref="H6" si="3">H4*H5</f>
        <v>566899.5199999999</v>
      </c>
      <c r="I6" s="28">
        <f t="shared" ref="I6" si="4">I4*I5</f>
        <v>623589.47199999995</v>
      </c>
      <c r="J6" s="28">
        <f t="shared" ref="J6" si="5">J4*J5</f>
        <v>685948.41919999989</v>
      </c>
      <c r="K6" s="28">
        <f t="shared" ref="K6" si="6">K4*K5</f>
        <v>754543.26111999992</v>
      </c>
      <c r="L6" s="28">
        <f t="shared" ref="L6" si="7">L4*L5</f>
        <v>829997.58723199996</v>
      </c>
      <c r="M6" s="28">
        <f t="shared" ref="M6" si="8">M4*M5</f>
        <v>912997.34595519979</v>
      </c>
      <c r="N6" s="28">
        <f t="shared" ref="N6" si="9">N4*N5</f>
        <v>1054511.934578256</v>
      </c>
      <c r="O6" s="28">
        <f t="shared" ref="O6" si="10">O4*O5</f>
        <v>1159963.1280360813</v>
      </c>
      <c r="P6" s="28">
        <f t="shared" ref="P6" si="11">P4*P5</f>
        <v>1275959.4408396897</v>
      </c>
      <c r="Q6" s="28">
        <f t="shared" ref="Q6" si="12">Q4*Q5</f>
        <v>1403555.3849236586</v>
      </c>
      <c r="R6" s="28">
        <f t="shared" ref="R6" si="13">R4*R5</f>
        <v>1543910.9234160245</v>
      </c>
      <c r="S6" s="28">
        <f>S4*S5</f>
        <v>1698302.0157576269</v>
      </c>
      <c r="T6" s="28">
        <f t="shared" ref="T6" si="14">T4*T5</f>
        <v>1868132.2173333894</v>
      </c>
      <c r="U6" s="28">
        <f t="shared" ref="U6" si="15">U4*U5</f>
        <v>2054945.4390667286</v>
      </c>
      <c r="V6" s="28">
        <f t="shared" ref="V6" si="16">V4*V5</f>
        <v>2260439.9829734014</v>
      </c>
      <c r="W6" s="28">
        <f t="shared" ref="W6" si="17">W4*W5</f>
        <v>2486483.9812707417</v>
      </c>
      <c r="X6" s="28">
        <f t="shared" ref="X6" si="18">X4*X5</f>
        <v>2735132.3793978156</v>
      </c>
      <c r="Y6" s="29">
        <f t="shared" ref="Y6" si="19">Y4*Y5</f>
        <v>3008645.6173375975</v>
      </c>
    </row>
    <row r="7" spans="1:26" ht="14.4" thickBot="1" x14ac:dyDescent="0.3">
      <c r="A7" s="12" t="s">
        <v>100</v>
      </c>
      <c r="B7" s="21">
        <v>200</v>
      </c>
      <c r="C7" s="21">
        <v>200</v>
      </c>
      <c r="D7" s="21">
        <v>200</v>
      </c>
      <c r="E7" s="21">
        <v>200</v>
      </c>
      <c r="F7" s="21">
        <v>200</v>
      </c>
      <c r="G7" s="21">
        <v>200</v>
      </c>
      <c r="H7" s="21">
        <v>200</v>
      </c>
      <c r="I7" s="21">
        <v>200</v>
      </c>
      <c r="J7" s="21">
        <v>200</v>
      </c>
      <c r="K7" s="21">
        <v>200</v>
      </c>
      <c r="L7" s="21">
        <v>200</v>
      </c>
      <c r="M7" s="21">
        <v>200</v>
      </c>
      <c r="N7" s="21">
        <f>$M$7*1.05</f>
        <v>210</v>
      </c>
      <c r="O7" s="21">
        <f t="shared" ref="O7:X7" si="20">$M$7*1.05</f>
        <v>210</v>
      </c>
      <c r="P7" s="21">
        <f t="shared" si="20"/>
        <v>210</v>
      </c>
      <c r="Q7" s="21">
        <f t="shared" si="20"/>
        <v>210</v>
      </c>
      <c r="R7" s="21">
        <f>$M$7*1.05</f>
        <v>210</v>
      </c>
      <c r="S7" s="21">
        <f t="shared" si="20"/>
        <v>210</v>
      </c>
      <c r="T7" s="21">
        <f t="shared" si="20"/>
        <v>210</v>
      </c>
      <c r="U7" s="21">
        <f t="shared" si="20"/>
        <v>210</v>
      </c>
      <c r="V7" s="21">
        <f>$M$7*1.05</f>
        <v>210</v>
      </c>
      <c r="W7" s="21">
        <f t="shared" si="20"/>
        <v>210</v>
      </c>
      <c r="X7" s="21">
        <f t="shared" si="20"/>
        <v>210</v>
      </c>
      <c r="Y7" s="21">
        <f>$M$7*1.05</f>
        <v>210</v>
      </c>
    </row>
    <row r="8" spans="1:26" ht="14.4" thickBot="1" x14ac:dyDescent="0.3">
      <c r="A8" s="24" t="s">
        <v>1</v>
      </c>
      <c r="B8" s="27">
        <f t="shared" ref="B8:Y8" si="21">(B4*B5)+(B4*B7)</f>
        <v>340000</v>
      </c>
      <c r="C8" s="16">
        <f t="shared" si="21"/>
        <v>374000</v>
      </c>
      <c r="D8" s="16">
        <f t="shared" si="21"/>
        <v>411400</v>
      </c>
      <c r="E8" s="16">
        <f t="shared" si="21"/>
        <v>452540</v>
      </c>
      <c r="F8" s="16">
        <f t="shared" si="21"/>
        <v>497794</v>
      </c>
      <c r="G8" s="16">
        <f t="shared" si="21"/>
        <v>547573.39999999991</v>
      </c>
      <c r="H8" s="16">
        <f t="shared" si="21"/>
        <v>602330.73999999987</v>
      </c>
      <c r="I8" s="16">
        <f t="shared" si="21"/>
        <v>662563.8139999999</v>
      </c>
      <c r="J8" s="16">
        <f t="shared" si="21"/>
        <v>728820.19539999985</v>
      </c>
      <c r="K8" s="16">
        <f t="shared" si="21"/>
        <v>801702.21493999986</v>
      </c>
      <c r="L8" s="16">
        <f t="shared" si="21"/>
        <v>881872.43643399992</v>
      </c>
      <c r="M8" s="16">
        <f t="shared" si="21"/>
        <v>970059.68007739983</v>
      </c>
      <c r="N8" s="16">
        <f t="shared" si="21"/>
        <v>1120418.9304893969</v>
      </c>
      <c r="O8" s="16">
        <f t="shared" si="21"/>
        <v>1232460.8235383364</v>
      </c>
      <c r="P8" s="16">
        <f t="shared" si="21"/>
        <v>1355706.9058921703</v>
      </c>
      <c r="Q8" s="16">
        <f t="shared" si="21"/>
        <v>1491277.5964813873</v>
      </c>
      <c r="R8" s="16">
        <f t="shared" si="21"/>
        <v>1640405.3561295262</v>
      </c>
      <c r="S8" s="16">
        <f t="shared" si="21"/>
        <v>1804445.8917424786</v>
      </c>
      <c r="T8" s="16">
        <f t="shared" si="21"/>
        <v>1984890.4809167264</v>
      </c>
      <c r="U8" s="16">
        <f t="shared" si="21"/>
        <v>2183379.5290083992</v>
      </c>
      <c r="V8" s="16">
        <f t="shared" si="21"/>
        <v>2401717.4819092392</v>
      </c>
      <c r="W8" s="16">
        <f t="shared" si="21"/>
        <v>2641889.2301001633</v>
      </c>
      <c r="X8" s="16">
        <f t="shared" si="21"/>
        <v>2906078.1531101791</v>
      </c>
      <c r="Y8" s="17">
        <f t="shared" si="21"/>
        <v>3196685.9684211975</v>
      </c>
    </row>
    <row r="9" spans="1:26" x14ac:dyDescent="0.25">
      <c r="A9" s="4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6" x14ac:dyDescent="0.25">
      <c r="A10" s="19" t="s">
        <v>50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6" x14ac:dyDescent="0.25">
      <c r="A11" s="22" t="s">
        <v>101</v>
      </c>
      <c r="B11" s="23">
        <v>1500</v>
      </c>
      <c r="C11" s="23">
        <v>1500</v>
      </c>
      <c r="D11" s="23">
        <v>1500</v>
      </c>
      <c r="E11" s="23">
        <v>1500</v>
      </c>
      <c r="F11" s="23">
        <v>1500</v>
      </c>
      <c r="G11" s="23">
        <v>1500</v>
      </c>
      <c r="H11" s="23">
        <v>1500</v>
      </c>
      <c r="I11" s="23">
        <v>1500</v>
      </c>
      <c r="J11" s="23">
        <v>1500</v>
      </c>
      <c r="K11" s="23">
        <v>1500</v>
      </c>
      <c r="L11" s="23">
        <v>1500</v>
      </c>
      <c r="M11" s="23">
        <v>1500</v>
      </c>
      <c r="N11" s="23">
        <f>$M$11*1.05</f>
        <v>1575</v>
      </c>
      <c r="O11" s="23">
        <f t="shared" ref="O11:Y11" si="22">$M$11*1.05</f>
        <v>1575</v>
      </c>
      <c r="P11" s="23">
        <f t="shared" si="22"/>
        <v>1575</v>
      </c>
      <c r="Q11" s="23">
        <f t="shared" si="22"/>
        <v>1575</v>
      </c>
      <c r="R11" s="23">
        <f t="shared" si="22"/>
        <v>1575</v>
      </c>
      <c r="S11" s="23">
        <f t="shared" si="22"/>
        <v>1575</v>
      </c>
      <c r="T11" s="23">
        <f t="shared" si="22"/>
        <v>1575</v>
      </c>
      <c r="U11" s="23">
        <f t="shared" si="22"/>
        <v>1575</v>
      </c>
      <c r="V11" s="23">
        <f t="shared" si="22"/>
        <v>1575</v>
      </c>
      <c r="W11" s="23">
        <f t="shared" si="22"/>
        <v>1575</v>
      </c>
      <c r="X11" s="23">
        <f>$M$11*1.05</f>
        <v>1575</v>
      </c>
      <c r="Y11" s="23">
        <f t="shared" si="22"/>
        <v>1575</v>
      </c>
    </row>
    <row r="12" spans="1:26" ht="14.4" thickBot="1" x14ac:dyDescent="0.3">
      <c r="A12" s="6" t="s">
        <v>102</v>
      </c>
      <c r="B12" s="21">
        <v>50</v>
      </c>
      <c r="C12" s="21">
        <v>50</v>
      </c>
      <c r="D12" s="21">
        <v>50</v>
      </c>
      <c r="E12" s="21">
        <v>50</v>
      </c>
      <c r="F12" s="21">
        <v>50</v>
      </c>
      <c r="G12" s="21">
        <v>50</v>
      </c>
      <c r="H12" s="21">
        <v>50</v>
      </c>
      <c r="I12" s="21">
        <v>50</v>
      </c>
      <c r="J12" s="21">
        <v>50</v>
      </c>
      <c r="K12" s="21">
        <v>50</v>
      </c>
      <c r="L12" s="21">
        <v>50</v>
      </c>
      <c r="M12" s="21">
        <v>50</v>
      </c>
      <c r="N12" s="21">
        <f>$M$12*1.1</f>
        <v>55.000000000000007</v>
      </c>
      <c r="O12" s="21">
        <f t="shared" ref="O12:X12" si="23">$M$12*1.1</f>
        <v>55.000000000000007</v>
      </c>
      <c r="P12" s="21">
        <f t="shared" si="23"/>
        <v>55.000000000000007</v>
      </c>
      <c r="Q12" s="21">
        <f t="shared" si="23"/>
        <v>55.000000000000007</v>
      </c>
      <c r="R12" s="21">
        <f t="shared" si="23"/>
        <v>55.000000000000007</v>
      </c>
      <c r="S12" s="21">
        <f>$M$12*1.1</f>
        <v>55.000000000000007</v>
      </c>
      <c r="T12" s="21">
        <f t="shared" si="23"/>
        <v>55.000000000000007</v>
      </c>
      <c r="U12" s="21">
        <f t="shared" si="23"/>
        <v>55.000000000000007</v>
      </c>
      <c r="V12" s="21">
        <f>$M$12*1.1</f>
        <v>55.000000000000007</v>
      </c>
      <c r="W12" s="21">
        <f t="shared" si="23"/>
        <v>55.000000000000007</v>
      </c>
      <c r="X12" s="21">
        <f t="shared" si="23"/>
        <v>55.000000000000007</v>
      </c>
      <c r="Y12" s="21">
        <f>$M$12*1.1</f>
        <v>55.000000000000007</v>
      </c>
    </row>
    <row r="13" spans="1:26" ht="14.4" thickBot="1" x14ac:dyDescent="0.3">
      <c r="A13" s="42"/>
      <c r="B13" s="43">
        <f t="shared" ref="B13:Y13" si="24">(B4*B11)+(B4*B12)</f>
        <v>155000</v>
      </c>
      <c r="C13" s="16">
        <f>(C4*C11)+(C4*C12)</f>
        <v>170500</v>
      </c>
      <c r="D13" s="16">
        <f t="shared" si="24"/>
        <v>187550</v>
      </c>
      <c r="E13" s="16">
        <f t="shared" si="24"/>
        <v>206305</v>
      </c>
      <c r="F13" s="16">
        <f t="shared" si="24"/>
        <v>226935.5</v>
      </c>
      <c r="G13" s="16">
        <f t="shared" si="24"/>
        <v>249629.04999999996</v>
      </c>
      <c r="H13" s="16">
        <f t="shared" si="24"/>
        <v>274591.95499999996</v>
      </c>
      <c r="I13" s="16">
        <f t="shared" si="24"/>
        <v>302051.15049999993</v>
      </c>
      <c r="J13" s="16">
        <f t="shared" si="24"/>
        <v>332256.26554999995</v>
      </c>
      <c r="K13" s="16">
        <f t="shared" si="24"/>
        <v>365481.89210499992</v>
      </c>
      <c r="L13" s="16">
        <f t="shared" si="24"/>
        <v>402030.08131549996</v>
      </c>
      <c r="M13" s="16">
        <f t="shared" si="24"/>
        <v>442233.08944704995</v>
      </c>
      <c r="N13" s="16">
        <f t="shared" si="24"/>
        <v>511563.82540552289</v>
      </c>
      <c r="O13" s="16">
        <f t="shared" si="24"/>
        <v>562720.20794607513</v>
      </c>
      <c r="P13" s="16">
        <f t="shared" si="24"/>
        <v>618992.22874068283</v>
      </c>
      <c r="Q13" s="16">
        <f t="shared" si="24"/>
        <v>680891.45161475101</v>
      </c>
      <c r="R13" s="16">
        <f t="shared" si="24"/>
        <v>748980.59677622619</v>
      </c>
      <c r="S13" s="16">
        <f t="shared" si="24"/>
        <v>823878.6564538487</v>
      </c>
      <c r="T13" s="16">
        <f t="shared" si="24"/>
        <v>906266.52209923358</v>
      </c>
      <c r="U13" s="16">
        <f t="shared" si="24"/>
        <v>996893.17430915707</v>
      </c>
      <c r="V13" s="16">
        <f t="shared" si="24"/>
        <v>1096582.4917400726</v>
      </c>
      <c r="W13" s="16">
        <f t="shared" si="24"/>
        <v>1206240.7409140801</v>
      </c>
      <c r="X13" s="16">
        <f t="shared" si="24"/>
        <v>1326864.8150054878</v>
      </c>
      <c r="Y13" s="17">
        <f t="shared" si="24"/>
        <v>1459551.2965060368</v>
      </c>
      <c r="Z13" s="3"/>
    </row>
    <row r="14" spans="1:26" ht="14.4" thickBot="1" x14ac:dyDescent="0.3">
      <c r="A14" s="12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3"/>
    </row>
    <row r="15" spans="1:26" ht="14.4" thickBot="1" x14ac:dyDescent="0.3">
      <c r="A15" s="33" t="s">
        <v>52</v>
      </c>
      <c r="B15" s="16">
        <f t="shared" ref="B15:Y15" si="25">B8-B13</f>
        <v>185000</v>
      </c>
      <c r="C15" s="16">
        <f t="shared" si="25"/>
        <v>203500</v>
      </c>
      <c r="D15" s="16">
        <f t="shared" si="25"/>
        <v>223850</v>
      </c>
      <c r="E15" s="16">
        <f t="shared" si="25"/>
        <v>246235</v>
      </c>
      <c r="F15" s="16">
        <f t="shared" si="25"/>
        <v>270858.5</v>
      </c>
      <c r="G15" s="16">
        <f t="shared" si="25"/>
        <v>297944.34999999998</v>
      </c>
      <c r="H15" s="16">
        <f t="shared" si="25"/>
        <v>327738.78499999992</v>
      </c>
      <c r="I15" s="16">
        <f t="shared" si="25"/>
        <v>360512.66349999997</v>
      </c>
      <c r="J15" s="16">
        <f t="shared" si="25"/>
        <v>396563.9298499999</v>
      </c>
      <c r="K15" s="16">
        <f t="shared" si="25"/>
        <v>436220.32283499994</v>
      </c>
      <c r="L15" s="16">
        <f t="shared" si="25"/>
        <v>479842.35511849995</v>
      </c>
      <c r="M15" s="16">
        <f t="shared" si="25"/>
        <v>527826.59063034994</v>
      </c>
      <c r="N15" s="16">
        <f t="shared" si="25"/>
        <v>608855.10508387396</v>
      </c>
      <c r="O15" s="16">
        <f t="shared" si="25"/>
        <v>669740.61559226131</v>
      </c>
      <c r="P15" s="16">
        <f t="shared" si="25"/>
        <v>736714.67715148744</v>
      </c>
      <c r="Q15" s="16">
        <f t="shared" si="25"/>
        <v>810386.14486663626</v>
      </c>
      <c r="R15" s="16">
        <f t="shared" si="25"/>
        <v>891424.75935329997</v>
      </c>
      <c r="S15" s="16">
        <f t="shared" si="25"/>
        <v>980567.23528862989</v>
      </c>
      <c r="T15" s="16">
        <f t="shared" si="25"/>
        <v>1078623.9588174927</v>
      </c>
      <c r="U15" s="16">
        <f t="shared" si="25"/>
        <v>1186486.3546992422</v>
      </c>
      <c r="V15" s="16">
        <f t="shared" si="25"/>
        <v>1305134.9901691666</v>
      </c>
      <c r="W15" s="16">
        <f t="shared" si="25"/>
        <v>1435648.4891860832</v>
      </c>
      <c r="X15" s="16">
        <f t="shared" si="25"/>
        <v>1579213.3381046914</v>
      </c>
      <c r="Y15" s="17">
        <f t="shared" si="25"/>
        <v>1737134.6719151607</v>
      </c>
      <c r="Z15" s="3"/>
    </row>
    <row r="16" spans="1:26" x14ac:dyDescent="0.25">
      <c r="A16" s="31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3"/>
    </row>
    <row r="17" spans="1:25" x14ac:dyDescent="0.25">
      <c r="A17" s="20" t="s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6" t="s">
        <v>12</v>
      </c>
      <c r="B18" s="7">
        <v>40000</v>
      </c>
      <c r="C18" s="7">
        <v>40000</v>
      </c>
      <c r="D18" s="7">
        <v>40000</v>
      </c>
      <c r="E18" s="7">
        <v>40000</v>
      </c>
      <c r="F18" s="7">
        <v>40000</v>
      </c>
      <c r="G18" s="7">
        <v>40000</v>
      </c>
      <c r="H18" s="7">
        <v>40000</v>
      </c>
      <c r="I18" s="7">
        <v>40000</v>
      </c>
      <c r="J18" s="7">
        <v>40000</v>
      </c>
      <c r="K18" s="7">
        <v>40000</v>
      </c>
      <c r="L18" s="7">
        <v>40000</v>
      </c>
      <c r="M18" s="7">
        <v>40000</v>
      </c>
      <c r="N18" s="7">
        <f>$M$18*1.06</f>
        <v>42400</v>
      </c>
      <c r="O18" s="7">
        <f t="shared" ref="O18:Y18" si="26">$M$18*1.06</f>
        <v>42400</v>
      </c>
      <c r="P18" s="7">
        <f t="shared" si="26"/>
        <v>42400</v>
      </c>
      <c r="Q18" s="7">
        <f t="shared" si="26"/>
        <v>42400</v>
      </c>
      <c r="R18" s="7">
        <f t="shared" si="26"/>
        <v>42400</v>
      </c>
      <c r="S18" s="7">
        <f>$M$18*1.06</f>
        <v>42400</v>
      </c>
      <c r="T18" s="7">
        <f t="shared" si="26"/>
        <v>42400</v>
      </c>
      <c r="U18" s="7">
        <f t="shared" si="26"/>
        <v>42400</v>
      </c>
      <c r="V18" s="7">
        <f t="shared" si="26"/>
        <v>42400</v>
      </c>
      <c r="W18" s="7">
        <f>$M$18*1.06</f>
        <v>42400</v>
      </c>
      <c r="X18" s="7">
        <f t="shared" si="26"/>
        <v>42400</v>
      </c>
      <c r="Y18" s="7">
        <f t="shared" si="26"/>
        <v>42400</v>
      </c>
    </row>
    <row r="19" spans="1:25" x14ac:dyDescent="0.25">
      <c r="A19" s="6" t="s">
        <v>14</v>
      </c>
      <c r="B19" s="7">
        <v>40000</v>
      </c>
      <c r="C19" s="7">
        <v>40000</v>
      </c>
      <c r="D19" s="7">
        <v>40000</v>
      </c>
      <c r="E19" s="7">
        <v>40000</v>
      </c>
      <c r="F19" s="7">
        <v>40000</v>
      </c>
      <c r="G19" s="7">
        <v>40000</v>
      </c>
      <c r="H19" s="7">
        <v>40000</v>
      </c>
      <c r="I19" s="7">
        <v>40000</v>
      </c>
      <c r="J19" s="7">
        <v>40000</v>
      </c>
      <c r="K19" s="7">
        <v>40000</v>
      </c>
      <c r="L19" s="7">
        <v>40000</v>
      </c>
      <c r="M19" s="7">
        <v>40000</v>
      </c>
      <c r="N19" s="7">
        <f>$M$19*1.06</f>
        <v>42400</v>
      </c>
      <c r="O19" s="7">
        <f t="shared" ref="O19:Y19" si="27">$M$19*1.06</f>
        <v>42400</v>
      </c>
      <c r="P19" s="7">
        <f t="shared" si="27"/>
        <v>42400</v>
      </c>
      <c r="Q19" s="7">
        <f t="shared" si="27"/>
        <v>42400</v>
      </c>
      <c r="R19" s="7">
        <f t="shared" si="27"/>
        <v>42400</v>
      </c>
      <c r="S19" s="7">
        <f t="shared" si="27"/>
        <v>42400</v>
      </c>
      <c r="T19" s="7">
        <f t="shared" si="27"/>
        <v>42400</v>
      </c>
      <c r="U19" s="7">
        <f t="shared" si="27"/>
        <v>42400</v>
      </c>
      <c r="V19" s="7">
        <f t="shared" si="27"/>
        <v>42400</v>
      </c>
      <c r="W19" s="7">
        <f t="shared" si="27"/>
        <v>42400</v>
      </c>
      <c r="X19" s="7">
        <f t="shared" si="27"/>
        <v>42400</v>
      </c>
      <c r="Y19" s="7">
        <f t="shared" si="27"/>
        <v>42400</v>
      </c>
    </row>
    <row r="20" spans="1:25" x14ac:dyDescent="0.25">
      <c r="A20" s="6" t="s">
        <v>2</v>
      </c>
      <c r="B20" s="7">
        <v>20000</v>
      </c>
      <c r="C20" s="7">
        <v>20000</v>
      </c>
      <c r="D20" s="7">
        <v>20000</v>
      </c>
      <c r="E20" s="7">
        <v>20000</v>
      </c>
      <c r="F20" s="7">
        <v>20000</v>
      </c>
      <c r="G20" s="7">
        <v>20000</v>
      </c>
      <c r="H20" s="7">
        <v>20000</v>
      </c>
      <c r="I20" s="7">
        <v>20000</v>
      </c>
      <c r="J20" s="7">
        <v>20000</v>
      </c>
      <c r="K20" s="7">
        <v>20000</v>
      </c>
      <c r="L20" s="7">
        <v>20000</v>
      </c>
      <c r="M20" s="7">
        <v>20000</v>
      </c>
      <c r="N20" s="7">
        <f>($M$20*1.06)+20000</f>
        <v>41200</v>
      </c>
      <c r="O20" s="7">
        <f>($M$20*1.06)+20000</f>
        <v>41200</v>
      </c>
      <c r="P20" s="7">
        <f t="shared" ref="P20:R20" si="28">($M$20*1.06)+20000</f>
        <v>41200</v>
      </c>
      <c r="Q20" s="7">
        <f t="shared" si="28"/>
        <v>41200</v>
      </c>
      <c r="R20" s="7">
        <f t="shared" si="28"/>
        <v>41200</v>
      </c>
      <c r="S20" s="7">
        <f>($M$20*1.06)+20000</f>
        <v>41200</v>
      </c>
      <c r="T20" s="7">
        <f>($M$20*1.06)+20000</f>
        <v>41200</v>
      </c>
      <c r="U20" s="7">
        <f>($M$20*1.06)+20000</f>
        <v>41200</v>
      </c>
      <c r="V20" s="7">
        <f>($M$20*1.06)+20000</f>
        <v>41200</v>
      </c>
      <c r="W20" s="7">
        <f t="shared" ref="W20:Y20" si="29">($M$20*1.06)+20000</f>
        <v>41200</v>
      </c>
      <c r="X20" s="7">
        <f t="shared" si="29"/>
        <v>41200</v>
      </c>
      <c r="Y20" s="7">
        <f t="shared" si="29"/>
        <v>41200</v>
      </c>
    </row>
    <row r="21" spans="1:25" x14ac:dyDescent="0.25">
      <c r="A21" s="6" t="s">
        <v>3</v>
      </c>
      <c r="B21" s="7">
        <v>20000</v>
      </c>
      <c r="C21" s="7">
        <v>20000</v>
      </c>
      <c r="D21" s="7">
        <v>20000</v>
      </c>
      <c r="E21" s="7">
        <v>20000</v>
      </c>
      <c r="F21" s="7">
        <v>20000</v>
      </c>
      <c r="G21" s="7">
        <v>20000</v>
      </c>
      <c r="H21" s="7">
        <v>20000</v>
      </c>
      <c r="I21" s="7">
        <v>20000</v>
      </c>
      <c r="J21" s="7">
        <v>20000</v>
      </c>
      <c r="K21" s="7">
        <v>20000</v>
      </c>
      <c r="L21" s="7">
        <v>20000</v>
      </c>
      <c r="M21" s="7">
        <v>20000</v>
      </c>
      <c r="N21" s="7">
        <f>$M$21*1.06</f>
        <v>21200</v>
      </c>
      <c r="O21" s="7">
        <f t="shared" ref="O21:Y21" si="30">$M$21*1.06</f>
        <v>21200</v>
      </c>
      <c r="P21" s="7">
        <f t="shared" si="30"/>
        <v>21200</v>
      </c>
      <c r="Q21" s="7">
        <f t="shared" si="30"/>
        <v>21200</v>
      </c>
      <c r="R21" s="7">
        <f t="shared" si="30"/>
        <v>21200</v>
      </c>
      <c r="S21" s="7">
        <f t="shared" si="30"/>
        <v>21200</v>
      </c>
      <c r="T21" s="7">
        <f>$M$21*1.06</f>
        <v>21200</v>
      </c>
      <c r="U21" s="7">
        <f t="shared" si="30"/>
        <v>21200</v>
      </c>
      <c r="V21" s="7">
        <f t="shared" si="30"/>
        <v>21200</v>
      </c>
      <c r="W21" s="7">
        <f t="shared" si="30"/>
        <v>21200</v>
      </c>
      <c r="X21" s="7">
        <f t="shared" si="30"/>
        <v>21200</v>
      </c>
      <c r="Y21" s="7">
        <f t="shared" si="30"/>
        <v>21200</v>
      </c>
    </row>
    <row r="22" spans="1:25" x14ac:dyDescent="0.25">
      <c r="A22" s="6" t="s">
        <v>4</v>
      </c>
      <c r="B22" s="7">
        <f>20000*2</f>
        <v>40000</v>
      </c>
      <c r="C22" s="7">
        <f t="shared" ref="C22:M22" si="31">20000*2</f>
        <v>40000</v>
      </c>
      <c r="D22" s="7">
        <f t="shared" si="31"/>
        <v>40000</v>
      </c>
      <c r="E22" s="7">
        <f t="shared" si="31"/>
        <v>40000</v>
      </c>
      <c r="F22" s="7">
        <f t="shared" si="31"/>
        <v>40000</v>
      </c>
      <c r="G22" s="7">
        <f t="shared" si="31"/>
        <v>40000</v>
      </c>
      <c r="H22" s="7">
        <f>20000*2</f>
        <v>40000</v>
      </c>
      <c r="I22" s="7">
        <f t="shared" si="31"/>
        <v>40000</v>
      </c>
      <c r="J22" s="7">
        <f t="shared" si="31"/>
        <v>40000</v>
      </c>
      <c r="K22" s="7">
        <f>20000*2</f>
        <v>40000</v>
      </c>
      <c r="L22" s="7">
        <f t="shared" si="31"/>
        <v>40000</v>
      </c>
      <c r="M22" s="7">
        <f t="shared" si="31"/>
        <v>40000</v>
      </c>
      <c r="N22" s="7">
        <f>($M$22*1.06)+20000*2</f>
        <v>82400</v>
      </c>
      <c r="O22" s="7">
        <f t="shared" ref="O22:Y22" si="32">($M$22*1.06)+20000*2</f>
        <v>82400</v>
      </c>
      <c r="P22" s="7">
        <f t="shared" si="32"/>
        <v>82400</v>
      </c>
      <c r="Q22" s="7">
        <f t="shared" si="32"/>
        <v>82400</v>
      </c>
      <c r="R22" s="7">
        <f t="shared" si="32"/>
        <v>82400</v>
      </c>
      <c r="S22" s="7">
        <f t="shared" si="32"/>
        <v>82400</v>
      </c>
      <c r="T22" s="7">
        <f>($M$22*1.06)+20000*2</f>
        <v>82400</v>
      </c>
      <c r="U22" s="7">
        <f t="shared" si="32"/>
        <v>82400</v>
      </c>
      <c r="V22" s="7">
        <f t="shared" si="32"/>
        <v>82400</v>
      </c>
      <c r="W22" s="7">
        <f t="shared" si="32"/>
        <v>82400</v>
      </c>
      <c r="X22" s="7">
        <f t="shared" si="32"/>
        <v>82400</v>
      </c>
      <c r="Y22" s="7">
        <f t="shared" si="32"/>
        <v>82400</v>
      </c>
    </row>
    <row r="23" spans="1:25" ht="14.4" thickBot="1" x14ac:dyDescent="0.3">
      <c r="A23" s="12" t="s">
        <v>5</v>
      </c>
      <c r="B23" s="21">
        <f>15000</f>
        <v>15000</v>
      </c>
      <c r="C23" s="21">
        <f>15000</f>
        <v>15000</v>
      </c>
      <c r="D23" s="21">
        <f>15000</f>
        <v>15000</v>
      </c>
      <c r="E23" s="21">
        <f>15000</f>
        <v>15000</v>
      </c>
      <c r="F23" s="21">
        <f>15000*2</f>
        <v>30000</v>
      </c>
      <c r="G23" s="21">
        <f t="shared" ref="G23:H23" si="33">15000*2</f>
        <v>30000</v>
      </c>
      <c r="H23" s="21">
        <f t="shared" si="33"/>
        <v>30000</v>
      </c>
      <c r="I23" s="21">
        <f>15000*2</f>
        <v>30000</v>
      </c>
      <c r="J23" s="21">
        <f>15000*3</f>
        <v>45000</v>
      </c>
      <c r="K23" s="21">
        <f t="shared" ref="K23:L23" si="34">15000*3</f>
        <v>45000</v>
      </c>
      <c r="L23" s="21">
        <f t="shared" si="34"/>
        <v>45000</v>
      </c>
      <c r="M23" s="21">
        <f>15000*3</f>
        <v>45000</v>
      </c>
      <c r="N23" s="21">
        <f>($B$23*1.06)+(15000*3)</f>
        <v>60900</v>
      </c>
      <c r="O23" s="21">
        <f t="shared" ref="O23:Q23" si="35">($B$23*1.06)+(15000*3)</f>
        <v>60900</v>
      </c>
      <c r="P23" s="21">
        <f t="shared" si="35"/>
        <v>60900</v>
      </c>
      <c r="Q23" s="21">
        <f t="shared" si="35"/>
        <v>60900</v>
      </c>
      <c r="R23" s="21">
        <f>($F$23*1.06)+(15000*4)</f>
        <v>91800</v>
      </c>
      <c r="S23" s="21">
        <f t="shared" ref="S23:U23" si="36">($F$23*1.06)+(15000*4)</f>
        <v>91800</v>
      </c>
      <c r="T23" s="21">
        <f t="shared" si="36"/>
        <v>91800</v>
      </c>
      <c r="U23" s="21">
        <f t="shared" si="36"/>
        <v>91800</v>
      </c>
      <c r="V23" s="21">
        <f>($J$23*1.06)+(15000*5)</f>
        <v>122700</v>
      </c>
      <c r="W23" s="21">
        <f t="shared" ref="W23:Y23" si="37">($J$23*1.06)+(15000*5)</f>
        <v>122700</v>
      </c>
      <c r="X23" s="21">
        <f t="shared" si="37"/>
        <v>122700</v>
      </c>
      <c r="Y23" s="21">
        <f t="shared" si="37"/>
        <v>122700</v>
      </c>
    </row>
    <row r="24" spans="1:25" ht="14.4" thickBot="1" x14ac:dyDescent="0.3">
      <c r="A24" s="44"/>
      <c r="B24" s="43">
        <f>SUM(B18:B23)</f>
        <v>175000</v>
      </c>
      <c r="C24" s="16">
        <f t="shared" ref="C24:F24" si="38">SUM(C18:C23)</f>
        <v>175000</v>
      </c>
      <c r="D24" s="16">
        <f t="shared" si="38"/>
        <v>175000</v>
      </c>
      <c r="E24" s="16">
        <f t="shared" si="38"/>
        <v>175000</v>
      </c>
      <c r="F24" s="16">
        <f t="shared" si="38"/>
        <v>190000</v>
      </c>
      <c r="G24" s="16">
        <f>SUM(G18:G23)</f>
        <v>190000</v>
      </c>
      <c r="H24" s="16">
        <f t="shared" ref="H24" si="39">SUM(H18:H23)</f>
        <v>190000</v>
      </c>
      <c r="I24" s="16">
        <f t="shared" ref="I24" si="40">SUM(I18:I23)</f>
        <v>190000</v>
      </c>
      <c r="J24" s="16">
        <f t="shared" ref="J24" si="41">SUM(J18:J23)</f>
        <v>205000</v>
      </c>
      <c r="K24" s="16">
        <f t="shared" ref="K24" si="42">SUM(K18:K23)</f>
        <v>205000</v>
      </c>
      <c r="L24" s="16">
        <f>SUM(L18:L23)</f>
        <v>205000</v>
      </c>
      <c r="M24" s="16">
        <f t="shared" ref="M24" si="43">SUM(M18:M23)</f>
        <v>205000</v>
      </c>
      <c r="N24" s="16">
        <f t="shared" ref="N24" si="44">SUM(N18:N23)</f>
        <v>290500</v>
      </c>
      <c r="O24" s="16">
        <f t="shared" ref="O24" si="45">SUM(O18:O23)</f>
        <v>290500</v>
      </c>
      <c r="P24" s="16">
        <f t="shared" ref="P24" si="46">SUM(P18:P23)</f>
        <v>290500</v>
      </c>
      <c r="Q24" s="16">
        <f>SUM(Q18:Q23)</f>
        <v>290500</v>
      </c>
      <c r="R24" s="16">
        <f>SUM(R18:R23)</f>
        <v>321400</v>
      </c>
      <c r="S24" s="16">
        <f t="shared" ref="S24" si="47">SUM(S18:S23)</f>
        <v>321400</v>
      </c>
      <c r="T24" s="16">
        <f t="shared" ref="T24" si="48">SUM(T18:T23)</f>
        <v>321400</v>
      </c>
      <c r="U24" s="16">
        <f t="shared" ref="U24" si="49">SUM(U18:U23)</f>
        <v>321400</v>
      </c>
      <c r="V24" s="16">
        <f>SUM(V18:V23)</f>
        <v>352300</v>
      </c>
      <c r="W24" s="16">
        <f t="shared" ref="W24" si="50">SUM(W18:W23)</f>
        <v>352300</v>
      </c>
      <c r="X24" s="16">
        <f t="shared" ref="X24" si="51">SUM(X18:X23)</f>
        <v>352300</v>
      </c>
      <c r="Y24" s="17">
        <f t="shared" ref="Y24" si="52">SUM(Y18:Y23)</f>
        <v>352300</v>
      </c>
    </row>
    <row r="25" spans="1:25" x14ac:dyDescent="0.25">
      <c r="A25" s="19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spans="1:25" x14ac:dyDescent="0.25">
      <c r="A26" s="25" t="s">
        <v>15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x14ac:dyDescent="0.25">
      <c r="A27" s="6" t="s">
        <v>6</v>
      </c>
      <c r="B27" s="7">
        <v>20000</v>
      </c>
      <c r="C27" s="7">
        <v>20000</v>
      </c>
      <c r="D27" s="7">
        <v>20000</v>
      </c>
      <c r="E27" s="7">
        <v>20000</v>
      </c>
      <c r="F27" s="7">
        <v>20000</v>
      </c>
      <c r="G27" s="7">
        <v>20000</v>
      </c>
      <c r="H27" s="7">
        <v>20000</v>
      </c>
      <c r="I27" s="7">
        <v>20000</v>
      </c>
      <c r="J27" s="7">
        <v>20000</v>
      </c>
      <c r="K27" s="7">
        <v>20000</v>
      </c>
      <c r="L27" s="7">
        <v>20000</v>
      </c>
      <c r="M27" s="7">
        <v>20000</v>
      </c>
      <c r="N27" s="7">
        <f>$M$27*1.1</f>
        <v>22000</v>
      </c>
      <c r="O27" s="7">
        <f t="shared" ref="O27:Y27" si="53">$M$27*1.1</f>
        <v>22000</v>
      </c>
      <c r="P27" s="7">
        <f t="shared" si="53"/>
        <v>22000</v>
      </c>
      <c r="Q27" s="7">
        <f t="shared" si="53"/>
        <v>22000</v>
      </c>
      <c r="R27" s="7">
        <f t="shared" si="53"/>
        <v>22000</v>
      </c>
      <c r="S27" s="7">
        <f t="shared" si="53"/>
        <v>22000</v>
      </c>
      <c r="T27" s="7">
        <f t="shared" si="53"/>
        <v>22000</v>
      </c>
      <c r="U27" s="7">
        <f t="shared" si="53"/>
        <v>22000</v>
      </c>
      <c r="V27" s="7">
        <f t="shared" si="53"/>
        <v>22000</v>
      </c>
      <c r="W27" s="7">
        <f t="shared" si="53"/>
        <v>22000</v>
      </c>
      <c r="X27" s="7">
        <f>$M$27*1.1</f>
        <v>22000</v>
      </c>
      <c r="Y27" s="7">
        <f t="shared" si="53"/>
        <v>22000</v>
      </c>
    </row>
    <row r="28" spans="1:25" x14ac:dyDescent="0.25">
      <c r="A28" s="6" t="s">
        <v>7</v>
      </c>
      <c r="B28" s="7">
        <v>5000</v>
      </c>
      <c r="C28" s="7">
        <v>5000</v>
      </c>
      <c r="D28" s="7">
        <v>5000</v>
      </c>
      <c r="E28" s="7">
        <v>5000</v>
      </c>
      <c r="F28" s="7">
        <v>5000</v>
      </c>
      <c r="G28" s="7">
        <v>5000</v>
      </c>
      <c r="H28" s="7">
        <v>5000</v>
      </c>
      <c r="I28" s="7">
        <v>5000</v>
      </c>
      <c r="J28" s="7">
        <v>5000</v>
      </c>
      <c r="K28" s="7">
        <v>5000</v>
      </c>
      <c r="L28" s="7">
        <v>5000</v>
      </c>
      <c r="M28" s="7">
        <v>5000</v>
      </c>
      <c r="N28" s="7">
        <f>$M$28*1.1</f>
        <v>5500</v>
      </c>
      <c r="O28" s="7">
        <f t="shared" ref="O28:Y28" si="54">$M$28*1.1</f>
        <v>5500</v>
      </c>
      <c r="P28" s="7">
        <f t="shared" si="54"/>
        <v>5500</v>
      </c>
      <c r="Q28" s="7">
        <f t="shared" si="54"/>
        <v>5500</v>
      </c>
      <c r="R28" s="7">
        <f t="shared" si="54"/>
        <v>5500</v>
      </c>
      <c r="S28" s="7">
        <f t="shared" si="54"/>
        <v>5500</v>
      </c>
      <c r="T28" s="7">
        <f t="shared" si="54"/>
        <v>5500</v>
      </c>
      <c r="U28" s="7">
        <f t="shared" si="54"/>
        <v>5500</v>
      </c>
      <c r="V28" s="7">
        <f t="shared" si="54"/>
        <v>5500</v>
      </c>
      <c r="W28" s="7">
        <f t="shared" si="54"/>
        <v>5500</v>
      </c>
      <c r="X28" s="7">
        <f>$M$28*1.1</f>
        <v>5500</v>
      </c>
      <c r="Y28" s="7">
        <f t="shared" si="54"/>
        <v>5500</v>
      </c>
    </row>
    <row r="29" spans="1:25" x14ac:dyDescent="0.25">
      <c r="A29" s="6" t="s">
        <v>8</v>
      </c>
      <c r="B29" s="7">
        <v>10000</v>
      </c>
      <c r="C29" s="7">
        <v>10000</v>
      </c>
      <c r="D29" s="7">
        <v>10000</v>
      </c>
      <c r="E29" s="7">
        <v>10000</v>
      </c>
      <c r="F29" s="7">
        <v>10000</v>
      </c>
      <c r="G29" s="7">
        <v>10000</v>
      </c>
      <c r="H29" s="7">
        <v>10000</v>
      </c>
      <c r="I29" s="7">
        <v>10000</v>
      </c>
      <c r="J29" s="7">
        <v>10000</v>
      </c>
      <c r="K29" s="7">
        <v>10000</v>
      </c>
      <c r="L29" s="7">
        <v>10000</v>
      </c>
      <c r="M29" s="7">
        <v>10000</v>
      </c>
      <c r="N29" s="7">
        <f>$M$29*1.1</f>
        <v>11000</v>
      </c>
      <c r="O29" s="7">
        <f t="shared" ref="O29:Y29" si="55">$M$29*1.1</f>
        <v>11000</v>
      </c>
      <c r="P29" s="7">
        <f t="shared" si="55"/>
        <v>11000</v>
      </c>
      <c r="Q29" s="7">
        <f t="shared" si="55"/>
        <v>11000</v>
      </c>
      <c r="R29" s="7">
        <f t="shared" si="55"/>
        <v>11000</v>
      </c>
      <c r="S29" s="7">
        <f t="shared" si="55"/>
        <v>11000</v>
      </c>
      <c r="T29" s="7">
        <f t="shared" si="55"/>
        <v>11000</v>
      </c>
      <c r="U29" s="7">
        <f t="shared" si="55"/>
        <v>11000</v>
      </c>
      <c r="V29" s="7">
        <f t="shared" si="55"/>
        <v>11000</v>
      </c>
      <c r="W29" s="7">
        <f t="shared" si="55"/>
        <v>11000</v>
      </c>
      <c r="X29" s="7">
        <f>$M$29*1.1</f>
        <v>11000</v>
      </c>
      <c r="Y29" s="7">
        <f t="shared" si="55"/>
        <v>11000</v>
      </c>
    </row>
    <row r="30" spans="1:25" x14ac:dyDescent="0.25">
      <c r="A30" s="6" t="s">
        <v>9</v>
      </c>
      <c r="B30" s="7">
        <v>10000</v>
      </c>
      <c r="C30" s="7">
        <v>10000</v>
      </c>
      <c r="D30" s="7">
        <v>10000</v>
      </c>
      <c r="E30" s="7">
        <v>10000</v>
      </c>
      <c r="F30" s="7">
        <v>10000</v>
      </c>
      <c r="G30" s="7">
        <v>10000</v>
      </c>
      <c r="H30" s="7">
        <v>10000</v>
      </c>
      <c r="I30" s="7">
        <v>10000</v>
      </c>
      <c r="J30" s="7">
        <v>10000</v>
      </c>
      <c r="K30" s="7">
        <v>10000</v>
      </c>
      <c r="L30" s="7">
        <v>10000</v>
      </c>
      <c r="M30" s="7">
        <v>10000</v>
      </c>
      <c r="N30" s="7">
        <f>$M$30*1.1</f>
        <v>11000</v>
      </c>
      <c r="O30" s="7">
        <f t="shared" ref="O30:Y30" si="56">$M$30*1.1</f>
        <v>11000</v>
      </c>
      <c r="P30" s="7">
        <f t="shared" si="56"/>
        <v>11000</v>
      </c>
      <c r="Q30" s="7">
        <f t="shared" si="56"/>
        <v>11000</v>
      </c>
      <c r="R30" s="7">
        <f t="shared" si="56"/>
        <v>11000</v>
      </c>
      <c r="S30" s="7">
        <f t="shared" si="56"/>
        <v>11000</v>
      </c>
      <c r="T30" s="7">
        <f t="shared" si="56"/>
        <v>11000</v>
      </c>
      <c r="U30" s="7">
        <f t="shared" si="56"/>
        <v>11000</v>
      </c>
      <c r="V30" s="7">
        <f t="shared" si="56"/>
        <v>11000</v>
      </c>
      <c r="W30" s="7">
        <f t="shared" si="56"/>
        <v>11000</v>
      </c>
      <c r="X30" s="7">
        <f>$M$30*1.1</f>
        <v>11000</v>
      </c>
      <c r="Y30" s="7">
        <f t="shared" si="56"/>
        <v>11000</v>
      </c>
    </row>
    <row r="31" spans="1:25" x14ac:dyDescent="0.25">
      <c r="A31" s="6" t="s">
        <v>10</v>
      </c>
      <c r="B31" s="7">
        <v>4000</v>
      </c>
      <c r="C31" s="7">
        <v>4000</v>
      </c>
      <c r="D31" s="7">
        <v>4000</v>
      </c>
      <c r="E31" s="7">
        <v>4000</v>
      </c>
      <c r="F31" s="7">
        <v>4000</v>
      </c>
      <c r="G31" s="7">
        <v>4000</v>
      </c>
      <c r="H31" s="7">
        <v>4000</v>
      </c>
      <c r="I31" s="7">
        <v>4000</v>
      </c>
      <c r="J31" s="7">
        <v>4000</v>
      </c>
      <c r="K31" s="7">
        <v>4000</v>
      </c>
      <c r="L31" s="7">
        <v>4000</v>
      </c>
      <c r="M31" s="7">
        <v>4000</v>
      </c>
      <c r="N31" s="7">
        <f>$M$31*1.1</f>
        <v>4400</v>
      </c>
      <c r="O31" s="7">
        <f t="shared" ref="O31:Y31" si="57">$M$31*1.1</f>
        <v>4400</v>
      </c>
      <c r="P31" s="7">
        <f t="shared" si="57"/>
        <v>4400</v>
      </c>
      <c r="Q31" s="7">
        <f t="shared" si="57"/>
        <v>4400</v>
      </c>
      <c r="R31" s="7">
        <f t="shared" si="57"/>
        <v>4400</v>
      </c>
      <c r="S31" s="7">
        <f t="shared" si="57"/>
        <v>4400</v>
      </c>
      <c r="T31" s="7">
        <f t="shared" si="57"/>
        <v>4400</v>
      </c>
      <c r="U31" s="7">
        <f t="shared" si="57"/>
        <v>4400</v>
      </c>
      <c r="V31" s="7">
        <f t="shared" si="57"/>
        <v>4400</v>
      </c>
      <c r="W31" s="7">
        <f t="shared" si="57"/>
        <v>4400</v>
      </c>
      <c r="X31" s="7">
        <f>$M$31*1.1</f>
        <v>4400</v>
      </c>
      <c r="Y31" s="7">
        <f t="shared" si="57"/>
        <v>4400</v>
      </c>
    </row>
    <row r="32" spans="1:25" ht="14.4" thickBot="1" x14ac:dyDescent="0.3">
      <c r="A32" s="12" t="s">
        <v>11</v>
      </c>
      <c r="B32" s="21">
        <v>25000</v>
      </c>
      <c r="C32" s="21">
        <v>25000</v>
      </c>
      <c r="D32" s="21">
        <v>25000</v>
      </c>
      <c r="E32" s="21">
        <v>25000</v>
      </c>
      <c r="F32" s="21">
        <v>25000</v>
      </c>
      <c r="G32" s="21">
        <v>25000</v>
      </c>
      <c r="H32" s="21">
        <v>25000</v>
      </c>
      <c r="I32" s="21">
        <v>25000</v>
      </c>
      <c r="J32" s="21">
        <v>25000</v>
      </c>
      <c r="K32" s="21">
        <v>25000</v>
      </c>
      <c r="L32" s="21">
        <v>25000</v>
      </c>
      <c r="M32" s="21">
        <v>25000</v>
      </c>
      <c r="N32" s="21">
        <f>$M$32*1.1</f>
        <v>27500.000000000004</v>
      </c>
      <c r="O32" s="21">
        <f t="shared" ref="O32:Y32" si="58">$M$32*1.1</f>
        <v>27500.000000000004</v>
      </c>
      <c r="P32" s="21">
        <f t="shared" si="58"/>
        <v>27500.000000000004</v>
      </c>
      <c r="Q32" s="21">
        <f t="shared" si="58"/>
        <v>27500.000000000004</v>
      </c>
      <c r="R32" s="21">
        <f t="shared" si="58"/>
        <v>27500.000000000004</v>
      </c>
      <c r="S32" s="21">
        <f t="shared" si="58"/>
        <v>27500.000000000004</v>
      </c>
      <c r="T32" s="21">
        <f t="shared" si="58"/>
        <v>27500.000000000004</v>
      </c>
      <c r="U32" s="21">
        <f t="shared" si="58"/>
        <v>27500.000000000004</v>
      </c>
      <c r="V32" s="21">
        <f t="shared" si="58"/>
        <v>27500.000000000004</v>
      </c>
      <c r="W32" s="21">
        <f t="shared" si="58"/>
        <v>27500.000000000004</v>
      </c>
      <c r="X32" s="21">
        <f>$M$32*1.1</f>
        <v>27500.000000000004</v>
      </c>
      <c r="Y32" s="21">
        <f t="shared" si="58"/>
        <v>27500.000000000004</v>
      </c>
    </row>
    <row r="33" spans="1:27" ht="14.4" thickBot="1" x14ac:dyDescent="0.3">
      <c r="A33" s="46"/>
      <c r="B33" s="43">
        <f>SUM(B27:B32)</f>
        <v>74000</v>
      </c>
      <c r="C33" s="16">
        <f t="shared" ref="C33:H33" si="59">SUM(C27:C32)</f>
        <v>74000</v>
      </c>
      <c r="D33" s="16">
        <f t="shared" si="59"/>
        <v>74000</v>
      </c>
      <c r="E33" s="16">
        <f t="shared" si="59"/>
        <v>74000</v>
      </c>
      <c r="F33" s="16">
        <f t="shared" si="59"/>
        <v>74000</v>
      </c>
      <c r="G33" s="16">
        <f t="shared" si="59"/>
        <v>74000</v>
      </c>
      <c r="H33" s="16">
        <f t="shared" si="59"/>
        <v>74000</v>
      </c>
      <c r="I33" s="16">
        <f>SUM(I27:I32)</f>
        <v>74000</v>
      </c>
      <c r="J33" s="16">
        <f t="shared" ref="J33" si="60">SUM(J27:J32)</f>
        <v>74000</v>
      </c>
      <c r="K33" s="16">
        <f t="shared" ref="K33" si="61">SUM(K27:K32)</f>
        <v>74000</v>
      </c>
      <c r="L33" s="16">
        <f t="shared" ref="L33" si="62">SUM(L27:L32)</f>
        <v>74000</v>
      </c>
      <c r="M33" s="16">
        <f t="shared" ref="M33" si="63">SUM(M27:M32)</f>
        <v>74000</v>
      </c>
      <c r="N33" s="16">
        <f t="shared" ref="N33" si="64">SUM(N27:N32)</f>
        <v>81400</v>
      </c>
      <c r="O33" s="16">
        <f t="shared" ref="O33" si="65">SUM(O27:O32)</f>
        <v>81400</v>
      </c>
      <c r="P33" s="16">
        <f>SUM(P27:P32)</f>
        <v>81400</v>
      </c>
      <c r="Q33" s="16">
        <f t="shared" ref="Q33" si="66">SUM(Q27:Q32)</f>
        <v>81400</v>
      </c>
      <c r="R33" s="16">
        <f t="shared" ref="R33" si="67">SUM(R27:R32)</f>
        <v>81400</v>
      </c>
      <c r="S33" s="16">
        <f t="shared" ref="S33" si="68">SUM(S27:S32)</f>
        <v>81400</v>
      </c>
      <c r="T33" s="16">
        <f>SUM(T27:T32)</f>
        <v>81400</v>
      </c>
      <c r="U33" s="16">
        <f t="shared" ref="U33" si="69">SUM(U27:U32)</f>
        <v>81400</v>
      </c>
      <c r="V33" s="16">
        <f t="shared" ref="V33" si="70">SUM(V27:V32)</f>
        <v>81400</v>
      </c>
      <c r="W33" s="16">
        <f t="shared" ref="W33" si="71">SUM(W27:W32)</f>
        <v>81400</v>
      </c>
      <c r="X33" s="16">
        <f t="shared" ref="X33" si="72">SUM(X27:X32)</f>
        <v>81400</v>
      </c>
      <c r="Y33" s="17">
        <f t="shared" ref="Y33" si="73">SUM(Y27:Y32)</f>
        <v>81400</v>
      </c>
    </row>
    <row r="34" spans="1:27" ht="14.4" thickBot="1" x14ac:dyDescent="0.3">
      <c r="A34" s="45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9"/>
    </row>
    <row r="35" spans="1:27" ht="14.4" thickBot="1" x14ac:dyDescent="0.3">
      <c r="A35" s="30" t="s">
        <v>53</v>
      </c>
      <c r="B35" s="16">
        <f>B24+B33</f>
        <v>249000</v>
      </c>
      <c r="C35" s="16">
        <f t="shared" ref="C35:Y35" si="74">C24+C33</f>
        <v>249000</v>
      </c>
      <c r="D35" s="16">
        <f t="shared" si="74"/>
        <v>249000</v>
      </c>
      <c r="E35" s="16">
        <f t="shared" si="74"/>
        <v>249000</v>
      </c>
      <c r="F35" s="16">
        <f t="shared" si="74"/>
        <v>264000</v>
      </c>
      <c r="G35" s="16">
        <f t="shared" si="74"/>
        <v>264000</v>
      </c>
      <c r="H35" s="16">
        <f t="shared" si="74"/>
        <v>264000</v>
      </c>
      <c r="I35" s="16">
        <f t="shared" si="74"/>
        <v>264000</v>
      </c>
      <c r="J35" s="16">
        <f t="shared" si="74"/>
        <v>279000</v>
      </c>
      <c r="K35" s="16">
        <f t="shared" si="74"/>
        <v>279000</v>
      </c>
      <c r="L35" s="16">
        <f t="shared" si="74"/>
        <v>279000</v>
      </c>
      <c r="M35" s="16">
        <f t="shared" si="74"/>
        <v>279000</v>
      </c>
      <c r="N35" s="16">
        <f t="shared" si="74"/>
        <v>371900</v>
      </c>
      <c r="O35" s="16">
        <f t="shared" si="74"/>
        <v>371900</v>
      </c>
      <c r="P35" s="16">
        <f t="shared" si="74"/>
        <v>371900</v>
      </c>
      <c r="Q35" s="16">
        <f t="shared" si="74"/>
        <v>371900</v>
      </c>
      <c r="R35" s="16">
        <f t="shared" si="74"/>
        <v>402800</v>
      </c>
      <c r="S35" s="16">
        <f t="shared" si="74"/>
        <v>402800</v>
      </c>
      <c r="T35" s="16">
        <f t="shared" si="74"/>
        <v>402800</v>
      </c>
      <c r="U35" s="16">
        <f t="shared" si="74"/>
        <v>402800</v>
      </c>
      <c r="V35" s="16">
        <f t="shared" si="74"/>
        <v>433700</v>
      </c>
      <c r="W35" s="16">
        <f t="shared" si="74"/>
        <v>433700</v>
      </c>
      <c r="X35" s="16">
        <f t="shared" si="74"/>
        <v>433700</v>
      </c>
      <c r="Y35" s="16">
        <f t="shared" si="74"/>
        <v>433700</v>
      </c>
    </row>
    <row r="36" spans="1:27" x14ac:dyDescent="0.25">
      <c r="A36" s="25" t="s">
        <v>18</v>
      </c>
      <c r="B36" s="23">
        <f>B15-B35</f>
        <v>-64000</v>
      </c>
      <c r="C36" s="23">
        <f t="shared" ref="C36:Y36" si="75">C15-C35</f>
        <v>-45500</v>
      </c>
      <c r="D36" s="23">
        <f t="shared" si="75"/>
        <v>-25150</v>
      </c>
      <c r="E36" s="23">
        <f t="shared" si="75"/>
        <v>-2765</v>
      </c>
      <c r="F36" s="23">
        <f t="shared" si="75"/>
        <v>6858.5</v>
      </c>
      <c r="G36" s="23">
        <f t="shared" si="75"/>
        <v>33944.349999999977</v>
      </c>
      <c r="H36" s="23">
        <f t="shared" si="75"/>
        <v>63738.784999999916</v>
      </c>
      <c r="I36" s="23">
        <f t="shared" si="75"/>
        <v>96512.663499999966</v>
      </c>
      <c r="J36" s="23">
        <f t="shared" si="75"/>
        <v>117563.9298499999</v>
      </c>
      <c r="K36" s="23">
        <f t="shared" si="75"/>
        <v>157220.32283499994</v>
      </c>
      <c r="L36" s="23">
        <f t="shared" si="75"/>
        <v>200842.35511849995</v>
      </c>
      <c r="M36" s="23">
        <f t="shared" si="75"/>
        <v>248826.59063034994</v>
      </c>
      <c r="N36" s="23">
        <f t="shared" si="75"/>
        <v>236955.10508387396</v>
      </c>
      <c r="O36" s="23">
        <f t="shared" si="75"/>
        <v>297840.61559226131</v>
      </c>
      <c r="P36" s="23">
        <f t="shared" si="75"/>
        <v>364814.67715148744</v>
      </c>
      <c r="Q36" s="23">
        <f t="shared" si="75"/>
        <v>438486.14486663626</v>
      </c>
      <c r="R36" s="23">
        <f t="shared" si="75"/>
        <v>488624.75935329997</v>
      </c>
      <c r="S36" s="23">
        <f t="shared" si="75"/>
        <v>577767.23528862989</v>
      </c>
      <c r="T36" s="23">
        <f t="shared" si="75"/>
        <v>675823.9588174927</v>
      </c>
      <c r="U36" s="23">
        <f t="shared" si="75"/>
        <v>783686.35469924216</v>
      </c>
      <c r="V36" s="23">
        <f t="shared" si="75"/>
        <v>871434.99016916659</v>
      </c>
      <c r="W36" s="23">
        <f t="shared" si="75"/>
        <v>1001948.4891860832</v>
      </c>
      <c r="X36" s="23">
        <f t="shared" si="75"/>
        <v>1145513.3381046914</v>
      </c>
      <c r="Y36" s="23">
        <f t="shared" si="75"/>
        <v>1303434.6719151607</v>
      </c>
    </row>
    <row r="37" spans="1:27" x14ac:dyDescent="0.25">
      <c r="A37" s="25" t="s">
        <v>16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7" x14ac:dyDescent="0.25">
      <c r="A38" s="6" t="s">
        <v>17</v>
      </c>
      <c r="B38" s="7">
        <f>B45</f>
        <v>11111.111111111111</v>
      </c>
      <c r="C38" s="7">
        <f>C45</f>
        <v>11111.111111111111</v>
      </c>
      <c r="D38" s="7">
        <f>D45</f>
        <v>11111.111111111111</v>
      </c>
      <c r="E38" s="7">
        <f>E45</f>
        <v>11111.111111111111</v>
      </c>
      <c r="F38" s="7">
        <f>F45</f>
        <v>11111.111111111111</v>
      </c>
      <c r="G38" s="7">
        <f>G45</f>
        <v>11111.111111111111</v>
      </c>
      <c r="H38" s="7">
        <f>H45</f>
        <v>11111.111111111111</v>
      </c>
      <c r="I38" s="7">
        <f>I45</f>
        <v>11111.111111111111</v>
      </c>
      <c r="J38" s="7">
        <f>J45</f>
        <v>11111.111111111111</v>
      </c>
      <c r="K38" s="7">
        <f>K45</f>
        <v>11111.111111111111</v>
      </c>
      <c r="L38" s="7">
        <f>L45</f>
        <v>11111.111111111111</v>
      </c>
      <c r="M38" s="7">
        <f>M45</f>
        <v>11111.111111111111</v>
      </c>
      <c r="N38" s="7">
        <f>N45</f>
        <v>22222.222222222223</v>
      </c>
      <c r="O38" s="7">
        <f>O45</f>
        <v>22222.222222222223</v>
      </c>
      <c r="P38" s="7">
        <f>P45</f>
        <v>22222.222222222223</v>
      </c>
      <c r="Q38" s="7">
        <f>Q45</f>
        <v>22222.222222222223</v>
      </c>
      <c r="R38" s="7">
        <f>R45</f>
        <v>22222.222222222223</v>
      </c>
      <c r="S38" s="7">
        <f>S45</f>
        <v>22222.222222222223</v>
      </c>
      <c r="T38" s="7">
        <f>T45</f>
        <v>22222.222222222223</v>
      </c>
      <c r="U38" s="7">
        <f>U45</f>
        <v>22222.222222222223</v>
      </c>
      <c r="V38" s="7">
        <f>V45</f>
        <v>22222.222222222223</v>
      </c>
      <c r="W38" s="7">
        <f>W45</f>
        <v>22222.222222222223</v>
      </c>
      <c r="X38" s="7">
        <f>X45</f>
        <v>22222.222222222223</v>
      </c>
      <c r="Y38" s="7">
        <f>Y45</f>
        <v>22222.222222222223</v>
      </c>
    </row>
    <row r="39" spans="1:27" x14ac:dyDescent="0.25">
      <c r="A39" s="20" t="s">
        <v>19</v>
      </c>
      <c r="B39" s="7">
        <f t="shared" ref="B39:Y39" si="76">B36-B38</f>
        <v>-75111.111111111109</v>
      </c>
      <c r="C39" s="7">
        <f t="shared" si="76"/>
        <v>-56611.111111111109</v>
      </c>
      <c r="D39" s="7">
        <f t="shared" si="76"/>
        <v>-36261.111111111109</v>
      </c>
      <c r="E39" s="7">
        <f t="shared" si="76"/>
        <v>-13876.111111111111</v>
      </c>
      <c r="F39" s="7">
        <f t="shared" si="76"/>
        <v>-4252.6111111111113</v>
      </c>
      <c r="G39" s="7">
        <f t="shared" si="76"/>
        <v>22833.238888888867</v>
      </c>
      <c r="H39" s="7">
        <f t="shared" si="76"/>
        <v>52627.673888888807</v>
      </c>
      <c r="I39" s="7">
        <f t="shared" si="76"/>
        <v>85401.552388888857</v>
      </c>
      <c r="J39" s="7">
        <f t="shared" si="76"/>
        <v>106452.81873888879</v>
      </c>
      <c r="K39" s="7">
        <f t="shared" si="76"/>
        <v>146109.21172388882</v>
      </c>
      <c r="L39" s="7">
        <f t="shared" si="76"/>
        <v>189731.24400738883</v>
      </c>
      <c r="M39" s="7">
        <f t="shared" si="76"/>
        <v>237715.47951923881</v>
      </c>
      <c r="N39" s="7">
        <f t="shared" si="76"/>
        <v>214732.88286165174</v>
      </c>
      <c r="O39" s="7">
        <f t="shared" si="76"/>
        <v>275618.39337003906</v>
      </c>
      <c r="P39" s="7">
        <f t="shared" si="76"/>
        <v>342592.45492926519</v>
      </c>
      <c r="Q39" s="7">
        <f t="shared" si="76"/>
        <v>416263.92264441401</v>
      </c>
      <c r="R39" s="7">
        <f t="shared" si="76"/>
        <v>466402.53713107773</v>
      </c>
      <c r="S39" s="7">
        <f t="shared" si="76"/>
        <v>555545.01306640764</v>
      </c>
      <c r="T39" s="7">
        <f t="shared" si="76"/>
        <v>653601.73659527046</v>
      </c>
      <c r="U39" s="7">
        <f t="shared" si="76"/>
        <v>761464.13247701991</v>
      </c>
      <c r="V39" s="7">
        <f t="shared" si="76"/>
        <v>849212.76794694434</v>
      </c>
      <c r="W39" s="7">
        <f t="shared" si="76"/>
        <v>979726.26696386095</v>
      </c>
      <c r="X39" s="7">
        <f t="shared" si="76"/>
        <v>1123291.1158824691</v>
      </c>
      <c r="Y39" s="7">
        <f t="shared" si="76"/>
        <v>1281212.4496929385</v>
      </c>
    </row>
    <row r="40" spans="1:27" ht="14.4" thickBot="1" x14ac:dyDescent="0.3">
      <c r="A40" s="12" t="s">
        <v>20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</row>
    <row r="41" spans="1:27" ht="14.4" thickBot="1" x14ac:dyDescent="0.3">
      <c r="A41" s="26" t="s">
        <v>94</v>
      </c>
      <c r="B41" s="16">
        <f>B39-B40</f>
        <v>-75111.111111111109</v>
      </c>
      <c r="C41" s="16">
        <f t="shared" ref="C41:G41" si="77">C39-C40</f>
        <v>-56611.111111111109</v>
      </c>
      <c r="D41" s="16">
        <f t="shared" si="77"/>
        <v>-36261.111111111109</v>
      </c>
      <c r="E41" s="16">
        <f t="shared" si="77"/>
        <v>-13876.111111111111</v>
      </c>
      <c r="F41" s="16">
        <f t="shared" si="77"/>
        <v>-4252.6111111111113</v>
      </c>
      <c r="G41" s="16">
        <f t="shared" si="77"/>
        <v>22833.238888888867</v>
      </c>
      <c r="H41" s="16">
        <f t="shared" ref="H41" si="78">H39-H40</f>
        <v>52627.673888888807</v>
      </c>
      <c r="I41" s="16">
        <f t="shared" ref="I41" si="79">I39-I40</f>
        <v>85401.552388888857</v>
      </c>
      <c r="J41" s="16">
        <f t="shared" ref="J41" si="80">J39-J40</f>
        <v>106452.81873888879</v>
      </c>
      <c r="K41" s="16">
        <f t="shared" ref="K41" si="81">K39-K40</f>
        <v>146109.21172388882</v>
      </c>
      <c r="L41" s="16">
        <f t="shared" ref="L41" si="82">L39-L40</f>
        <v>189731.24400738883</v>
      </c>
      <c r="M41" s="16">
        <f t="shared" ref="M41" si="83">M39-M40</f>
        <v>237715.47951923881</v>
      </c>
      <c r="N41" s="16">
        <f t="shared" ref="N41" si="84">N39-N40</f>
        <v>214732.88286165174</v>
      </c>
      <c r="O41" s="16">
        <f t="shared" ref="O41" si="85">O39-O40</f>
        <v>275618.39337003906</v>
      </c>
      <c r="P41" s="16">
        <f t="shared" ref="P41" si="86">P39-P40</f>
        <v>342592.45492926519</v>
      </c>
      <c r="Q41" s="16">
        <f t="shared" ref="Q41" si="87">Q39-Q40</f>
        <v>416263.92264441401</v>
      </c>
      <c r="R41" s="16">
        <f t="shared" ref="R41" si="88">R39-R40</f>
        <v>466402.53713107773</v>
      </c>
      <c r="S41" s="16">
        <f t="shared" ref="S41" si="89">S39-S40</f>
        <v>555545.01306640764</v>
      </c>
      <c r="T41" s="16">
        <f t="shared" ref="T41" si="90">T39-T40</f>
        <v>653601.73659527046</v>
      </c>
      <c r="U41" s="16">
        <f t="shared" ref="U41" si="91">U39-U40</f>
        <v>761464.13247701991</v>
      </c>
      <c r="V41" s="16">
        <f t="shared" ref="V41" si="92">V39-V40</f>
        <v>849212.76794694434</v>
      </c>
      <c r="W41" s="16">
        <f t="shared" ref="W41" si="93">W39-W40</f>
        <v>979726.26696386095</v>
      </c>
      <c r="X41" s="16">
        <f t="shared" ref="X41" si="94">X39-X40</f>
        <v>1123291.1158824691</v>
      </c>
      <c r="Y41" s="17">
        <f t="shared" ref="Y41" si="95">Y39-Y40</f>
        <v>1281212.4496929385</v>
      </c>
      <c r="Z41" s="3"/>
      <c r="AA41" s="3"/>
    </row>
    <row r="42" spans="1:27" ht="14.4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s="3"/>
      <c r="AA42" s="3"/>
    </row>
    <row r="43" spans="1:27" ht="14.4" x14ac:dyDescent="0.3">
      <c r="A43" s="94" t="s">
        <v>112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7" x14ac:dyDescent="0.25">
      <c r="A44" s="61" t="s">
        <v>111</v>
      </c>
      <c r="B44" s="74">
        <v>45017</v>
      </c>
      <c r="C44" s="74">
        <v>45047</v>
      </c>
      <c r="D44" s="74">
        <v>45078</v>
      </c>
      <c r="E44" s="74">
        <v>45108</v>
      </c>
      <c r="F44" s="74">
        <v>45139</v>
      </c>
      <c r="G44" s="74">
        <v>45170</v>
      </c>
      <c r="H44" s="74">
        <v>45200</v>
      </c>
      <c r="I44" s="74">
        <v>45231</v>
      </c>
      <c r="J44" s="74">
        <v>45261</v>
      </c>
      <c r="K44" s="74">
        <v>45292</v>
      </c>
      <c r="L44" s="74">
        <v>45323</v>
      </c>
      <c r="M44" s="74">
        <v>45352</v>
      </c>
      <c r="N44" s="74">
        <v>45383</v>
      </c>
      <c r="O44" s="74">
        <v>45413</v>
      </c>
      <c r="P44" s="74">
        <v>45444</v>
      </c>
      <c r="Q44" s="74">
        <v>45474</v>
      </c>
      <c r="R44" s="74">
        <v>45505</v>
      </c>
      <c r="S44" s="74">
        <v>45536</v>
      </c>
      <c r="T44" s="74">
        <v>45566</v>
      </c>
      <c r="U44" s="74">
        <v>45597</v>
      </c>
      <c r="V44" s="74">
        <v>45627</v>
      </c>
      <c r="W44" s="74">
        <v>45658</v>
      </c>
      <c r="X44" s="74">
        <v>45689</v>
      </c>
      <c r="Y44" s="74">
        <v>45717</v>
      </c>
    </row>
    <row r="45" spans="1:27" x14ac:dyDescent="0.25">
      <c r="A45" s="7">
        <f>400000/36</f>
        <v>11111.111111111111</v>
      </c>
      <c r="B45" s="7">
        <f>A45</f>
        <v>11111.111111111111</v>
      </c>
      <c r="C45" s="7">
        <f>B45</f>
        <v>11111.111111111111</v>
      </c>
      <c r="D45" s="7">
        <f>C45</f>
        <v>11111.111111111111</v>
      </c>
      <c r="E45" s="7">
        <f>D45</f>
        <v>11111.111111111111</v>
      </c>
      <c r="F45" s="7">
        <f>E45</f>
        <v>11111.111111111111</v>
      </c>
      <c r="G45" s="7">
        <f>F45</f>
        <v>11111.111111111111</v>
      </c>
      <c r="H45" s="7">
        <f>G45</f>
        <v>11111.111111111111</v>
      </c>
      <c r="I45" s="7">
        <f>H45</f>
        <v>11111.111111111111</v>
      </c>
      <c r="J45" s="7">
        <f>I45</f>
        <v>11111.111111111111</v>
      </c>
      <c r="K45" s="7">
        <f>J45</f>
        <v>11111.111111111111</v>
      </c>
      <c r="L45" s="7">
        <f>K45</f>
        <v>11111.111111111111</v>
      </c>
      <c r="M45" s="7">
        <f>L45</f>
        <v>11111.111111111111</v>
      </c>
      <c r="N45" s="7">
        <f>$M$45+(400000/36)</f>
        <v>22222.222222222223</v>
      </c>
      <c r="O45" s="7">
        <f>$M$45+(400000/36)</f>
        <v>22222.222222222223</v>
      </c>
      <c r="P45" s="7">
        <f>$M$45+(400000/36)</f>
        <v>22222.222222222223</v>
      </c>
      <c r="Q45" s="7">
        <f>$M$45+(400000/36)</f>
        <v>22222.222222222223</v>
      </c>
      <c r="R45" s="7">
        <f>$M$45+(400000/36)</f>
        <v>22222.222222222223</v>
      </c>
      <c r="S45" s="7">
        <f>$M$45+(400000/36)</f>
        <v>22222.222222222223</v>
      </c>
      <c r="T45" s="7">
        <f>$M$45+(400000/36)</f>
        <v>22222.222222222223</v>
      </c>
      <c r="U45" s="7">
        <f>$M$45+(400000/36)</f>
        <v>22222.222222222223</v>
      </c>
      <c r="V45" s="7">
        <f>$M$45+(400000/36)</f>
        <v>22222.222222222223</v>
      </c>
      <c r="W45" s="7">
        <f>$M$45+(400000/36)</f>
        <v>22222.222222222223</v>
      </c>
      <c r="X45" s="7">
        <f>$M$45+(400000/36)</f>
        <v>22222.222222222223</v>
      </c>
      <c r="Y45" s="7">
        <f>$M$45+(400000/36)</f>
        <v>22222.222222222223</v>
      </c>
    </row>
    <row r="46" spans="1:27" x14ac:dyDescent="0.25">
      <c r="A46" s="73" t="s">
        <v>91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7" x14ac:dyDescent="0.25">
      <c r="A47" s="73">
        <f>400000</f>
        <v>400000</v>
      </c>
      <c r="B47" s="7">
        <f>A47-B45</f>
        <v>388888.88888888888</v>
      </c>
      <c r="C47" s="7">
        <f>B47-C45</f>
        <v>377777.77777777775</v>
      </c>
      <c r="D47" s="7">
        <f>C47-D45</f>
        <v>366666.66666666663</v>
      </c>
      <c r="E47" s="7">
        <f>D47-E45</f>
        <v>355555.5555555555</v>
      </c>
      <c r="F47" s="7">
        <f>E47-F45</f>
        <v>344444.44444444438</v>
      </c>
      <c r="G47" s="7">
        <f>F47-G45</f>
        <v>333333.33333333326</v>
      </c>
      <c r="H47" s="7">
        <f>G47-H45</f>
        <v>322222.22222222213</v>
      </c>
      <c r="I47" s="7">
        <f>H47-I45</f>
        <v>311111.11111111101</v>
      </c>
      <c r="J47" s="7">
        <f>I47-J45</f>
        <v>299999.99999999988</v>
      </c>
      <c r="K47" s="7">
        <f>J47-K45</f>
        <v>288888.88888888876</v>
      </c>
      <c r="L47" s="7">
        <f>K47-L45</f>
        <v>277777.77777777764</v>
      </c>
      <c r="M47" s="7">
        <f>L47-M45</f>
        <v>266666.66666666651</v>
      </c>
      <c r="N47" s="7">
        <f>(M47+400000)-N45</f>
        <v>644444.44444444426</v>
      </c>
      <c r="O47" s="7">
        <f>N47-O45</f>
        <v>622222.22222222202</v>
      </c>
      <c r="P47" s="7">
        <f>O47-P45</f>
        <v>599999.99999999977</v>
      </c>
      <c r="Q47" s="7">
        <f>P47-Q45</f>
        <v>577777.77777777752</v>
      </c>
      <c r="R47" s="7">
        <f>Q47-R45</f>
        <v>555555.55555555527</v>
      </c>
      <c r="S47" s="7">
        <f>R47-S45</f>
        <v>533333.33333333302</v>
      </c>
      <c r="T47" s="7">
        <f>S47-T45</f>
        <v>511111.11111111077</v>
      </c>
      <c r="U47" s="7">
        <f>T47-U45</f>
        <v>488888.88888888853</v>
      </c>
      <c r="V47" s="7">
        <f>U47-V45</f>
        <v>466666.66666666628</v>
      </c>
      <c r="W47" s="7">
        <f>V47-W45</f>
        <v>444444.44444444403</v>
      </c>
      <c r="X47" s="7">
        <f>W47-X45</f>
        <v>422222.22222222178</v>
      </c>
      <c r="Y47" s="7">
        <f>X47-Y45</f>
        <v>399999.99999999953</v>
      </c>
    </row>
    <row r="48" spans="1:27" ht="14.4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ht="14.4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ht="14.4" x14ac:dyDescent="0.3">
      <c r="A50" s="93" t="s">
        <v>110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ht="14.4" x14ac:dyDescent="0.3">
      <c r="A51" s="6" t="s">
        <v>98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ht="14.4" x14ac:dyDescent="0.3">
      <c r="A52" s="6" t="s">
        <v>100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ht="14.4" x14ac:dyDescent="0.3">
      <c r="A53" s="6" t="s">
        <v>101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25">
      <c r="A54" s="6" t="s">
        <v>102</v>
      </c>
    </row>
    <row r="55" spans="1:25" x14ac:dyDescent="0.25">
      <c r="A55" s="6" t="s">
        <v>20</v>
      </c>
    </row>
    <row r="56" spans="1:25" ht="14.4" x14ac:dyDescent="0.3">
      <c r="A56" s="6" t="s">
        <v>108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ht="15" x14ac:dyDescent="0.35">
      <c r="A57" s="92" t="s">
        <v>109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4.4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ht="14.4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ht="14.4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ht="14.4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ht="14.4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ht="14.4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ht="14.4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ht="14.4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ht="14.4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74" spans="1:25" ht="14.4" x14ac:dyDescent="0.3">
      <c r="A74"/>
      <c r="B74"/>
      <c r="C74"/>
      <c r="D74"/>
      <c r="E74"/>
      <c r="F74"/>
      <c r="G74"/>
    </row>
    <row r="75" spans="1:25" ht="14.4" x14ac:dyDescent="0.3">
      <c r="A75"/>
      <c r="B75"/>
      <c r="C75"/>
      <c r="D75"/>
      <c r="E75"/>
      <c r="F75"/>
      <c r="G75"/>
    </row>
    <row r="76" spans="1:25" ht="14.4" x14ac:dyDescent="0.3">
      <c r="A76"/>
      <c r="B76"/>
      <c r="C76"/>
      <c r="D76"/>
      <c r="E76"/>
      <c r="F76"/>
      <c r="G76"/>
    </row>
    <row r="77" spans="1:25" ht="14.4" x14ac:dyDescent="0.3">
      <c r="A77"/>
      <c r="B77"/>
      <c r="C77"/>
      <c r="D77"/>
      <c r="E77"/>
      <c r="F77"/>
      <c r="G77"/>
      <c r="H77" s="4"/>
    </row>
    <row r="78" spans="1:25" ht="14.4" x14ac:dyDescent="0.3">
      <c r="A78"/>
      <c r="B78"/>
      <c r="C78"/>
      <c r="D78"/>
      <c r="E78"/>
      <c r="F78"/>
      <c r="G78"/>
    </row>
    <row r="79" spans="1:25" ht="14.4" x14ac:dyDescent="0.3">
      <c r="A79"/>
      <c r="B79"/>
      <c r="C79"/>
      <c r="D79"/>
      <c r="E79"/>
      <c r="F79"/>
      <c r="G79"/>
    </row>
    <row r="80" spans="1:25" ht="14.4" x14ac:dyDescent="0.3">
      <c r="A80"/>
      <c r="B80"/>
      <c r="C80"/>
      <c r="D80"/>
      <c r="E80"/>
      <c r="F80"/>
      <c r="G80"/>
    </row>
    <row r="81" spans="1:25" ht="14.4" x14ac:dyDescent="0.3">
      <c r="A81"/>
      <c r="B81"/>
      <c r="C81"/>
      <c r="D81"/>
      <c r="E81"/>
      <c r="F81"/>
      <c r="G81"/>
    </row>
    <row r="82" spans="1:25" ht="14.4" x14ac:dyDescent="0.3">
      <c r="A82"/>
      <c r="B82"/>
      <c r="C82"/>
      <c r="D82"/>
      <c r="E82"/>
      <c r="F82"/>
      <c r="G82"/>
    </row>
    <row r="83" spans="1:25" ht="14.4" x14ac:dyDescent="0.3">
      <c r="A83"/>
      <c r="B83"/>
      <c r="C83"/>
      <c r="D83"/>
      <c r="E83"/>
      <c r="F83"/>
      <c r="G83"/>
    </row>
    <row r="84" spans="1:25" ht="14.4" x14ac:dyDescent="0.3">
      <c r="A84"/>
      <c r="B84"/>
      <c r="C84"/>
      <c r="D84"/>
      <c r="E84"/>
      <c r="F84"/>
      <c r="G84"/>
    </row>
    <row r="87" spans="1:25" ht="14.4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ht="14.4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ht="14.4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ht="14.4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ht="14.4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ht="14.4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ht="14.4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ht="14.4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ht="14.4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ht="14.4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ht="14.4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112" spans="1:2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3" spans="1:2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43" spans="1:25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7" spans="3:25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</sheetData>
  <mergeCells count="1">
    <mergeCell ref="A1:Y1"/>
  </mergeCells>
  <hyperlinks>
    <hyperlink ref="B22" r:id="rId1" display="4@20k pm"/>
    <hyperlink ref="C22:G22" r:id="rId2" display="4@20k pm"/>
    <hyperlink ref="H22" r:id="rId3" display="4@20k pm"/>
    <hyperlink ref="I22:J22" r:id="rId4" display="4@20k pm"/>
    <hyperlink ref="K22" r:id="rId5" display="4@20k pm"/>
    <hyperlink ref="L22:M22" r:id="rId6" display="4@20k pm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143"/>
  <sheetViews>
    <sheetView tabSelected="1" topLeftCell="A69" zoomScale="145" zoomScaleNormal="145" workbookViewId="0">
      <selection activeCell="F94" sqref="F94"/>
    </sheetView>
  </sheetViews>
  <sheetFormatPr defaultRowHeight="13.8" x14ac:dyDescent="0.25"/>
  <cols>
    <col min="1" max="1" width="78.6640625" style="2" bestFit="1" customWidth="1"/>
    <col min="2" max="2" width="16.5546875" style="2" customWidth="1"/>
    <col min="3" max="3" width="16.21875" style="2" bestFit="1" customWidth="1"/>
    <col min="4" max="4" width="16.109375" style="2" customWidth="1"/>
    <col min="5" max="5" width="18.5546875" style="2" customWidth="1"/>
    <col min="6" max="6" width="19.33203125" style="2" customWidth="1"/>
    <col min="7" max="7" width="18" style="2" customWidth="1"/>
    <col min="8" max="8" width="24.33203125" style="2" customWidth="1"/>
    <col min="9" max="13" width="16.21875" style="2" bestFit="1" customWidth="1"/>
    <col min="14" max="14" width="18.88671875" style="2" customWidth="1"/>
    <col min="15" max="25" width="16.21875" style="2" bestFit="1" customWidth="1"/>
    <col min="26" max="16384" width="8.88671875" style="2"/>
  </cols>
  <sheetData>
    <row r="1" spans="1:26" ht="22.8" x14ac:dyDescent="0.4">
      <c r="A1" s="91" t="s">
        <v>107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</row>
    <row r="2" spans="1:26" s="36" customFormat="1" ht="14.4" x14ac:dyDescent="0.3">
      <c r="A2" s="37"/>
      <c r="B2" s="37">
        <v>1</v>
      </c>
      <c r="C2" s="37">
        <v>2</v>
      </c>
      <c r="D2" s="37">
        <v>3</v>
      </c>
      <c r="E2" s="37">
        <v>4</v>
      </c>
      <c r="F2" s="37">
        <v>5</v>
      </c>
      <c r="G2" s="37">
        <v>6</v>
      </c>
      <c r="H2" s="37">
        <v>7</v>
      </c>
      <c r="I2" s="37">
        <v>8</v>
      </c>
      <c r="J2" s="37">
        <v>9</v>
      </c>
      <c r="K2" s="37">
        <v>10</v>
      </c>
      <c r="L2" s="37">
        <v>11</v>
      </c>
      <c r="M2" s="37">
        <v>12</v>
      </c>
      <c r="N2" s="37">
        <v>13</v>
      </c>
      <c r="O2" s="37">
        <v>14</v>
      </c>
      <c r="P2" s="37">
        <v>15</v>
      </c>
      <c r="Q2" s="37">
        <v>16</v>
      </c>
      <c r="R2" s="37">
        <v>17</v>
      </c>
      <c r="S2" s="37">
        <v>18</v>
      </c>
      <c r="T2" s="37">
        <v>19</v>
      </c>
      <c r="U2" s="37">
        <v>20</v>
      </c>
      <c r="V2" s="37">
        <v>21</v>
      </c>
      <c r="W2" s="37">
        <v>22</v>
      </c>
      <c r="X2" s="37">
        <v>23</v>
      </c>
      <c r="Y2" s="37">
        <v>24</v>
      </c>
    </row>
    <row r="3" spans="1:26" s="36" customFormat="1" x14ac:dyDescent="0.25">
      <c r="A3" s="38" t="s">
        <v>0</v>
      </c>
      <c r="B3" s="39">
        <v>45017</v>
      </c>
      <c r="C3" s="39">
        <v>45047</v>
      </c>
      <c r="D3" s="39">
        <v>45078</v>
      </c>
      <c r="E3" s="39">
        <v>45108</v>
      </c>
      <c r="F3" s="39">
        <v>45139</v>
      </c>
      <c r="G3" s="39">
        <v>45170</v>
      </c>
      <c r="H3" s="39">
        <v>45200</v>
      </c>
      <c r="I3" s="39">
        <v>45231</v>
      </c>
      <c r="J3" s="39">
        <v>45261</v>
      </c>
      <c r="K3" s="39">
        <v>45292</v>
      </c>
      <c r="L3" s="39">
        <v>45323</v>
      </c>
      <c r="M3" s="39">
        <v>45352</v>
      </c>
      <c r="N3" s="39">
        <v>45383</v>
      </c>
      <c r="O3" s="39">
        <v>45413</v>
      </c>
      <c r="P3" s="39">
        <v>45444</v>
      </c>
      <c r="Q3" s="39">
        <v>45474</v>
      </c>
      <c r="R3" s="39">
        <v>45505</v>
      </c>
      <c r="S3" s="39">
        <v>45536</v>
      </c>
      <c r="T3" s="39">
        <v>45566</v>
      </c>
      <c r="U3" s="39">
        <v>45597</v>
      </c>
      <c r="V3" s="39">
        <v>45627</v>
      </c>
      <c r="W3" s="39">
        <v>45658</v>
      </c>
      <c r="X3" s="39">
        <v>45689</v>
      </c>
      <c r="Y3" s="39">
        <v>45717</v>
      </c>
    </row>
    <row r="4" spans="1:26" x14ac:dyDescent="0.25">
      <c r="A4" s="9" t="s">
        <v>97</v>
      </c>
      <c r="B4" s="6">
        <v>100</v>
      </c>
      <c r="C4" s="18">
        <f>B4+(B4*10%)</f>
        <v>110</v>
      </c>
      <c r="D4" s="18">
        <f t="shared" ref="D4:X4" si="0">C4+(C4*10%)</f>
        <v>121</v>
      </c>
      <c r="E4" s="18">
        <f t="shared" si="0"/>
        <v>133.1</v>
      </c>
      <c r="F4" s="18">
        <f t="shared" si="0"/>
        <v>146.41</v>
      </c>
      <c r="G4" s="18">
        <f t="shared" si="0"/>
        <v>161.05099999999999</v>
      </c>
      <c r="H4" s="18">
        <f t="shared" si="0"/>
        <v>177.15609999999998</v>
      </c>
      <c r="I4" s="18">
        <f t="shared" si="0"/>
        <v>194.87170999999998</v>
      </c>
      <c r="J4" s="18">
        <f t="shared" si="0"/>
        <v>214.35888099999997</v>
      </c>
      <c r="K4" s="18">
        <f t="shared" si="0"/>
        <v>235.79476909999997</v>
      </c>
      <c r="L4" s="18">
        <f t="shared" si="0"/>
        <v>259.37424600999998</v>
      </c>
      <c r="M4" s="18">
        <f t="shared" si="0"/>
        <v>285.31167061099995</v>
      </c>
      <c r="N4" s="18">
        <f t="shared" si="0"/>
        <v>313.84283767209996</v>
      </c>
      <c r="O4" s="18">
        <f t="shared" si="0"/>
        <v>345.22712143930994</v>
      </c>
      <c r="P4" s="18">
        <f>O4+(O4*10%)</f>
        <v>379.74983358324096</v>
      </c>
      <c r="Q4" s="18">
        <f t="shared" si="0"/>
        <v>417.72481694156505</v>
      </c>
      <c r="R4" s="18">
        <f t="shared" si="0"/>
        <v>459.49729863572156</v>
      </c>
      <c r="S4" s="18">
        <f t="shared" si="0"/>
        <v>505.44702849929371</v>
      </c>
      <c r="T4" s="18">
        <f t="shared" si="0"/>
        <v>555.99173134922307</v>
      </c>
      <c r="U4" s="18">
        <f t="shared" si="0"/>
        <v>611.59090448414543</v>
      </c>
      <c r="V4" s="18">
        <f t="shared" si="0"/>
        <v>672.74999493255996</v>
      </c>
      <c r="W4" s="18">
        <f t="shared" si="0"/>
        <v>740.02499442581598</v>
      </c>
      <c r="X4" s="18">
        <f t="shared" si="0"/>
        <v>814.02749386839753</v>
      </c>
      <c r="Y4" s="18">
        <f>X4+(X4*10%)</f>
        <v>895.43024325523731</v>
      </c>
    </row>
    <row r="5" spans="1:26" ht="14.4" thickBot="1" x14ac:dyDescent="0.3">
      <c r="A5" s="12" t="s">
        <v>98</v>
      </c>
      <c r="B5" s="21">
        <v>3200</v>
      </c>
      <c r="C5" s="21">
        <v>3200</v>
      </c>
      <c r="D5" s="21">
        <v>3200</v>
      </c>
      <c r="E5" s="21">
        <v>3200</v>
      </c>
      <c r="F5" s="21">
        <v>3200</v>
      </c>
      <c r="G5" s="21">
        <v>3200</v>
      </c>
      <c r="H5" s="21">
        <v>3200</v>
      </c>
      <c r="I5" s="21">
        <v>3200</v>
      </c>
      <c r="J5" s="21">
        <v>3200</v>
      </c>
      <c r="K5" s="21">
        <v>3200</v>
      </c>
      <c r="L5" s="21">
        <v>3200</v>
      </c>
      <c r="M5" s="21">
        <v>3200</v>
      </c>
      <c r="N5" s="21">
        <f>$M$5*1.05</f>
        <v>3360</v>
      </c>
      <c r="O5" s="21">
        <f t="shared" ref="O5:Y5" si="1">$M$5*1.05</f>
        <v>3360</v>
      </c>
      <c r="P5" s="21">
        <f t="shared" si="1"/>
        <v>3360</v>
      </c>
      <c r="Q5" s="21">
        <f t="shared" si="1"/>
        <v>3360</v>
      </c>
      <c r="R5" s="21">
        <f>$M$5*1.05</f>
        <v>3360</v>
      </c>
      <c r="S5" s="21">
        <f t="shared" si="1"/>
        <v>3360</v>
      </c>
      <c r="T5" s="21">
        <f t="shared" si="1"/>
        <v>3360</v>
      </c>
      <c r="U5" s="21">
        <f>$M$5*1.05</f>
        <v>3360</v>
      </c>
      <c r="V5" s="21">
        <f t="shared" si="1"/>
        <v>3360</v>
      </c>
      <c r="W5" s="21">
        <f>$M$5*1.05</f>
        <v>3360</v>
      </c>
      <c r="X5" s="21">
        <f t="shared" si="1"/>
        <v>3360</v>
      </c>
      <c r="Y5" s="21">
        <f t="shared" si="1"/>
        <v>3360</v>
      </c>
    </row>
    <row r="6" spans="1:26" ht="14.4" x14ac:dyDescent="0.3">
      <c r="A6" s="40" t="s">
        <v>99</v>
      </c>
      <c r="B6" s="28">
        <f>B4*B5</f>
        <v>320000</v>
      </c>
      <c r="C6" s="28">
        <f t="shared" ref="C6:R6" si="2">C4*C5</f>
        <v>352000</v>
      </c>
      <c r="D6" s="28">
        <f t="shared" si="2"/>
        <v>387200</v>
      </c>
      <c r="E6" s="28">
        <f t="shared" si="2"/>
        <v>425920</v>
      </c>
      <c r="F6" s="28">
        <f t="shared" si="2"/>
        <v>468512</v>
      </c>
      <c r="G6" s="28">
        <f t="shared" si="2"/>
        <v>515363.19999999995</v>
      </c>
      <c r="H6" s="28">
        <f t="shared" si="2"/>
        <v>566899.5199999999</v>
      </c>
      <c r="I6" s="28">
        <f t="shared" si="2"/>
        <v>623589.47199999995</v>
      </c>
      <c r="J6" s="28">
        <f t="shared" si="2"/>
        <v>685948.41919999989</v>
      </c>
      <c r="K6" s="28">
        <f t="shared" si="2"/>
        <v>754543.26111999992</v>
      </c>
      <c r="L6" s="28">
        <f t="shared" si="2"/>
        <v>829997.58723199996</v>
      </c>
      <c r="M6" s="28">
        <f t="shared" si="2"/>
        <v>912997.34595519979</v>
      </c>
      <c r="N6" s="28">
        <f t="shared" si="2"/>
        <v>1054511.934578256</v>
      </c>
      <c r="O6" s="28">
        <f t="shared" si="2"/>
        <v>1159963.1280360813</v>
      </c>
      <c r="P6" s="28">
        <f t="shared" si="2"/>
        <v>1275959.4408396897</v>
      </c>
      <c r="Q6" s="28">
        <f t="shared" si="2"/>
        <v>1403555.3849236586</v>
      </c>
      <c r="R6" s="28">
        <f t="shared" si="2"/>
        <v>1543910.9234160245</v>
      </c>
      <c r="S6" s="28">
        <f>S4*S5</f>
        <v>1698302.0157576269</v>
      </c>
      <c r="T6" s="28">
        <f t="shared" ref="T6:Y6" si="3">T4*T5</f>
        <v>1868132.2173333894</v>
      </c>
      <c r="U6" s="28">
        <f t="shared" si="3"/>
        <v>2054945.4390667286</v>
      </c>
      <c r="V6" s="28">
        <f t="shared" si="3"/>
        <v>2260439.9829734014</v>
      </c>
      <c r="W6" s="28">
        <f t="shared" si="3"/>
        <v>2486483.9812707417</v>
      </c>
      <c r="X6" s="28">
        <f t="shared" si="3"/>
        <v>2735132.3793978156</v>
      </c>
      <c r="Y6" s="29">
        <f t="shared" si="3"/>
        <v>3008645.6173375975</v>
      </c>
    </row>
    <row r="7" spans="1:26" ht="14.4" thickBot="1" x14ac:dyDescent="0.3">
      <c r="A7" s="12" t="s">
        <v>100</v>
      </c>
      <c r="B7" s="21">
        <v>200</v>
      </c>
      <c r="C7" s="21">
        <v>200</v>
      </c>
      <c r="D7" s="21">
        <v>200</v>
      </c>
      <c r="E7" s="21">
        <v>200</v>
      </c>
      <c r="F7" s="21">
        <v>200</v>
      </c>
      <c r="G7" s="21">
        <v>200</v>
      </c>
      <c r="H7" s="21">
        <v>200</v>
      </c>
      <c r="I7" s="21">
        <v>200</v>
      </c>
      <c r="J7" s="21">
        <v>200</v>
      </c>
      <c r="K7" s="21">
        <v>200</v>
      </c>
      <c r="L7" s="21">
        <v>200</v>
      </c>
      <c r="M7" s="21">
        <v>200</v>
      </c>
      <c r="N7" s="21">
        <f>$M$7*1.05</f>
        <v>210</v>
      </c>
      <c r="O7" s="21">
        <f t="shared" ref="O7:X7" si="4">$M$7*1.05</f>
        <v>210</v>
      </c>
      <c r="P7" s="21">
        <f t="shared" si="4"/>
        <v>210</v>
      </c>
      <c r="Q7" s="21">
        <f t="shared" si="4"/>
        <v>210</v>
      </c>
      <c r="R7" s="21">
        <f>$M$7*1.05</f>
        <v>210</v>
      </c>
      <c r="S7" s="21">
        <f t="shared" si="4"/>
        <v>210</v>
      </c>
      <c r="T7" s="21">
        <f t="shared" si="4"/>
        <v>210</v>
      </c>
      <c r="U7" s="21">
        <f t="shared" si="4"/>
        <v>210</v>
      </c>
      <c r="V7" s="21">
        <f>$M$7*1.05</f>
        <v>210</v>
      </c>
      <c r="W7" s="21">
        <f t="shared" si="4"/>
        <v>210</v>
      </c>
      <c r="X7" s="21">
        <f t="shared" si="4"/>
        <v>210</v>
      </c>
      <c r="Y7" s="21">
        <f>$M$7*1.05</f>
        <v>210</v>
      </c>
    </row>
    <row r="8" spans="1:26" ht="14.4" thickBot="1" x14ac:dyDescent="0.3">
      <c r="A8" s="24" t="s">
        <v>1</v>
      </c>
      <c r="B8" s="27">
        <f t="shared" ref="B8:Y8" si="5">(B4*B5)+(B4*B7)</f>
        <v>340000</v>
      </c>
      <c r="C8" s="16">
        <f t="shared" si="5"/>
        <v>374000</v>
      </c>
      <c r="D8" s="16">
        <f t="shared" si="5"/>
        <v>411400</v>
      </c>
      <c r="E8" s="16">
        <f t="shared" si="5"/>
        <v>452540</v>
      </c>
      <c r="F8" s="16">
        <f t="shared" si="5"/>
        <v>497794</v>
      </c>
      <c r="G8" s="16">
        <f t="shared" si="5"/>
        <v>547573.39999999991</v>
      </c>
      <c r="H8" s="16">
        <f t="shared" si="5"/>
        <v>602330.73999999987</v>
      </c>
      <c r="I8" s="16">
        <f t="shared" si="5"/>
        <v>662563.8139999999</v>
      </c>
      <c r="J8" s="16">
        <f t="shared" si="5"/>
        <v>728820.19539999985</v>
      </c>
      <c r="K8" s="16">
        <f t="shared" si="5"/>
        <v>801702.21493999986</v>
      </c>
      <c r="L8" s="16">
        <f t="shared" si="5"/>
        <v>881872.43643399992</v>
      </c>
      <c r="M8" s="16">
        <f t="shared" si="5"/>
        <v>970059.68007739983</v>
      </c>
      <c r="N8" s="16">
        <f t="shared" si="5"/>
        <v>1120418.9304893969</v>
      </c>
      <c r="O8" s="16">
        <f t="shared" si="5"/>
        <v>1232460.8235383364</v>
      </c>
      <c r="P8" s="16">
        <f t="shared" si="5"/>
        <v>1355706.9058921703</v>
      </c>
      <c r="Q8" s="16">
        <f t="shared" si="5"/>
        <v>1491277.5964813873</v>
      </c>
      <c r="R8" s="16">
        <f t="shared" si="5"/>
        <v>1640405.3561295262</v>
      </c>
      <c r="S8" s="16">
        <f t="shared" si="5"/>
        <v>1804445.8917424786</v>
      </c>
      <c r="T8" s="16">
        <f t="shared" si="5"/>
        <v>1984890.4809167264</v>
      </c>
      <c r="U8" s="16">
        <f t="shared" si="5"/>
        <v>2183379.5290083992</v>
      </c>
      <c r="V8" s="16">
        <f t="shared" si="5"/>
        <v>2401717.4819092392</v>
      </c>
      <c r="W8" s="16">
        <f t="shared" si="5"/>
        <v>2641889.2301001633</v>
      </c>
      <c r="X8" s="16">
        <f t="shared" si="5"/>
        <v>2906078.1531101791</v>
      </c>
      <c r="Y8" s="17">
        <f t="shared" si="5"/>
        <v>3196685.9684211975</v>
      </c>
    </row>
    <row r="9" spans="1:26" x14ac:dyDescent="0.25">
      <c r="A9" s="4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6" x14ac:dyDescent="0.25">
      <c r="A10" s="19" t="s">
        <v>50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6" x14ac:dyDescent="0.25">
      <c r="A11" s="22" t="s">
        <v>101</v>
      </c>
      <c r="B11" s="23">
        <v>1500</v>
      </c>
      <c r="C11" s="23">
        <v>1500</v>
      </c>
      <c r="D11" s="23">
        <v>1500</v>
      </c>
      <c r="E11" s="23">
        <v>1500</v>
      </c>
      <c r="F11" s="23">
        <v>1500</v>
      </c>
      <c r="G11" s="23">
        <v>1500</v>
      </c>
      <c r="H11" s="23">
        <v>1500</v>
      </c>
      <c r="I11" s="23">
        <v>1500</v>
      </c>
      <c r="J11" s="23">
        <v>1500</v>
      </c>
      <c r="K11" s="23">
        <v>1500</v>
      </c>
      <c r="L11" s="23">
        <v>1500</v>
      </c>
      <c r="M11" s="23">
        <v>1500</v>
      </c>
      <c r="N11" s="23">
        <f>$M$11*1.05</f>
        <v>1575</v>
      </c>
      <c r="O11" s="23">
        <f t="shared" ref="O11:Y11" si="6">$M$11*1.05</f>
        <v>1575</v>
      </c>
      <c r="P11" s="23">
        <f t="shared" si="6"/>
        <v>1575</v>
      </c>
      <c r="Q11" s="23">
        <f t="shared" si="6"/>
        <v>1575</v>
      </c>
      <c r="R11" s="23">
        <f t="shared" si="6"/>
        <v>1575</v>
      </c>
      <c r="S11" s="23">
        <f t="shared" si="6"/>
        <v>1575</v>
      </c>
      <c r="T11" s="23">
        <f t="shared" si="6"/>
        <v>1575</v>
      </c>
      <c r="U11" s="23">
        <f t="shared" si="6"/>
        <v>1575</v>
      </c>
      <c r="V11" s="23">
        <f t="shared" si="6"/>
        <v>1575</v>
      </c>
      <c r="W11" s="23">
        <f t="shared" si="6"/>
        <v>1575</v>
      </c>
      <c r="X11" s="23">
        <f>$M$11*1.05</f>
        <v>1575</v>
      </c>
      <c r="Y11" s="23">
        <f t="shared" si="6"/>
        <v>1575</v>
      </c>
    </row>
    <row r="12" spans="1:26" ht="14.4" thickBot="1" x14ac:dyDescent="0.3">
      <c r="A12" s="6" t="s">
        <v>102</v>
      </c>
      <c r="B12" s="21">
        <v>50</v>
      </c>
      <c r="C12" s="21">
        <v>50</v>
      </c>
      <c r="D12" s="21">
        <v>50</v>
      </c>
      <c r="E12" s="21">
        <v>50</v>
      </c>
      <c r="F12" s="21">
        <v>50</v>
      </c>
      <c r="G12" s="21">
        <v>50</v>
      </c>
      <c r="H12" s="21">
        <v>50</v>
      </c>
      <c r="I12" s="21">
        <v>50</v>
      </c>
      <c r="J12" s="21">
        <v>50</v>
      </c>
      <c r="K12" s="21">
        <v>50</v>
      </c>
      <c r="L12" s="21">
        <v>50</v>
      </c>
      <c r="M12" s="21">
        <v>50</v>
      </c>
      <c r="N12" s="21">
        <f>$M$12*1.1</f>
        <v>55.000000000000007</v>
      </c>
      <c r="O12" s="21">
        <f t="shared" ref="O12:X12" si="7">$M$12*1.1</f>
        <v>55.000000000000007</v>
      </c>
      <c r="P12" s="21">
        <f t="shared" si="7"/>
        <v>55.000000000000007</v>
      </c>
      <c r="Q12" s="21">
        <f t="shared" si="7"/>
        <v>55.000000000000007</v>
      </c>
      <c r="R12" s="21">
        <f t="shared" si="7"/>
        <v>55.000000000000007</v>
      </c>
      <c r="S12" s="21">
        <f>$M$12*1.1</f>
        <v>55.000000000000007</v>
      </c>
      <c r="T12" s="21">
        <f t="shared" si="7"/>
        <v>55.000000000000007</v>
      </c>
      <c r="U12" s="21">
        <f t="shared" si="7"/>
        <v>55.000000000000007</v>
      </c>
      <c r="V12" s="21">
        <f>$M$12*1.1</f>
        <v>55.000000000000007</v>
      </c>
      <c r="W12" s="21">
        <f t="shared" si="7"/>
        <v>55.000000000000007</v>
      </c>
      <c r="X12" s="21">
        <f t="shared" si="7"/>
        <v>55.000000000000007</v>
      </c>
      <c r="Y12" s="21">
        <f>$M$12*1.1</f>
        <v>55.000000000000007</v>
      </c>
    </row>
    <row r="13" spans="1:26" ht="14.4" thickBot="1" x14ac:dyDescent="0.3">
      <c r="A13" s="42"/>
      <c r="B13" s="43">
        <f t="shared" ref="B13:Y13" si="8">(B4*B11)+(B4*B12)</f>
        <v>155000</v>
      </c>
      <c r="C13" s="16">
        <f>(C4*C11)+(C4*C12)</f>
        <v>170500</v>
      </c>
      <c r="D13" s="16">
        <f t="shared" si="8"/>
        <v>187550</v>
      </c>
      <c r="E13" s="16">
        <f t="shared" si="8"/>
        <v>206305</v>
      </c>
      <c r="F13" s="16">
        <f t="shared" si="8"/>
        <v>226935.5</v>
      </c>
      <c r="G13" s="16">
        <f t="shared" si="8"/>
        <v>249629.04999999996</v>
      </c>
      <c r="H13" s="16">
        <f t="shared" si="8"/>
        <v>274591.95499999996</v>
      </c>
      <c r="I13" s="16">
        <f t="shared" si="8"/>
        <v>302051.15049999993</v>
      </c>
      <c r="J13" s="16">
        <f t="shared" si="8"/>
        <v>332256.26554999995</v>
      </c>
      <c r="K13" s="16">
        <f t="shared" si="8"/>
        <v>365481.89210499992</v>
      </c>
      <c r="L13" s="16">
        <f t="shared" si="8"/>
        <v>402030.08131549996</v>
      </c>
      <c r="M13" s="16">
        <f t="shared" si="8"/>
        <v>442233.08944704995</v>
      </c>
      <c r="N13" s="16">
        <f t="shared" si="8"/>
        <v>511563.82540552289</v>
      </c>
      <c r="O13" s="16">
        <f t="shared" si="8"/>
        <v>562720.20794607513</v>
      </c>
      <c r="P13" s="16">
        <f t="shared" si="8"/>
        <v>618992.22874068283</v>
      </c>
      <c r="Q13" s="16">
        <f t="shared" si="8"/>
        <v>680891.45161475101</v>
      </c>
      <c r="R13" s="16">
        <f t="shared" si="8"/>
        <v>748980.59677622619</v>
      </c>
      <c r="S13" s="16">
        <f t="shared" si="8"/>
        <v>823878.6564538487</v>
      </c>
      <c r="T13" s="16">
        <f t="shared" si="8"/>
        <v>906266.52209923358</v>
      </c>
      <c r="U13" s="16">
        <f t="shared" si="8"/>
        <v>996893.17430915707</v>
      </c>
      <c r="V13" s="16">
        <f t="shared" si="8"/>
        <v>1096582.4917400726</v>
      </c>
      <c r="W13" s="16">
        <f t="shared" si="8"/>
        <v>1206240.7409140801</v>
      </c>
      <c r="X13" s="16">
        <f t="shared" si="8"/>
        <v>1326864.8150054878</v>
      </c>
      <c r="Y13" s="17">
        <f t="shared" si="8"/>
        <v>1459551.2965060368</v>
      </c>
      <c r="Z13" s="3"/>
    </row>
    <row r="14" spans="1:26" ht="14.4" thickBot="1" x14ac:dyDescent="0.3">
      <c r="A14" s="12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3"/>
    </row>
    <row r="15" spans="1:26" ht="14.4" thickBot="1" x14ac:dyDescent="0.3">
      <c r="A15" s="33" t="s">
        <v>52</v>
      </c>
      <c r="B15" s="16">
        <f t="shared" ref="B15:Y15" si="9">B8-B13</f>
        <v>185000</v>
      </c>
      <c r="C15" s="16">
        <f t="shared" si="9"/>
        <v>203500</v>
      </c>
      <c r="D15" s="16">
        <f t="shared" si="9"/>
        <v>223850</v>
      </c>
      <c r="E15" s="16">
        <f t="shared" si="9"/>
        <v>246235</v>
      </c>
      <c r="F15" s="16">
        <f t="shared" si="9"/>
        <v>270858.5</v>
      </c>
      <c r="G15" s="16">
        <f t="shared" si="9"/>
        <v>297944.34999999998</v>
      </c>
      <c r="H15" s="16">
        <f t="shared" si="9"/>
        <v>327738.78499999992</v>
      </c>
      <c r="I15" s="16">
        <f t="shared" si="9"/>
        <v>360512.66349999997</v>
      </c>
      <c r="J15" s="16">
        <f t="shared" si="9"/>
        <v>396563.9298499999</v>
      </c>
      <c r="K15" s="16">
        <f t="shared" si="9"/>
        <v>436220.32283499994</v>
      </c>
      <c r="L15" s="16">
        <f t="shared" si="9"/>
        <v>479842.35511849995</v>
      </c>
      <c r="M15" s="16">
        <f t="shared" si="9"/>
        <v>527826.59063034994</v>
      </c>
      <c r="N15" s="16">
        <f t="shared" si="9"/>
        <v>608855.10508387396</v>
      </c>
      <c r="O15" s="16">
        <f t="shared" si="9"/>
        <v>669740.61559226131</v>
      </c>
      <c r="P15" s="16">
        <f t="shared" si="9"/>
        <v>736714.67715148744</v>
      </c>
      <c r="Q15" s="16">
        <f t="shared" si="9"/>
        <v>810386.14486663626</v>
      </c>
      <c r="R15" s="16">
        <f t="shared" si="9"/>
        <v>891424.75935329997</v>
      </c>
      <c r="S15" s="16">
        <f t="shared" si="9"/>
        <v>980567.23528862989</v>
      </c>
      <c r="T15" s="16">
        <f t="shared" si="9"/>
        <v>1078623.9588174927</v>
      </c>
      <c r="U15" s="16">
        <f t="shared" si="9"/>
        <v>1186486.3546992422</v>
      </c>
      <c r="V15" s="16">
        <f t="shared" si="9"/>
        <v>1305134.9901691666</v>
      </c>
      <c r="W15" s="16">
        <f t="shared" si="9"/>
        <v>1435648.4891860832</v>
      </c>
      <c r="X15" s="16">
        <f t="shared" si="9"/>
        <v>1579213.3381046914</v>
      </c>
      <c r="Y15" s="17">
        <f t="shared" si="9"/>
        <v>1737134.6719151607</v>
      </c>
      <c r="Z15" s="3"/>
    </row>
    <row r="16" spans="1:26" x14ac:dyDescent="0.25">
      <c r="A16" s="31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3"/>
    </row>
    <row r="17" spans="1:25" x14ac:dyDescent="0.25">
      <c r="A17" s="20" t="s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6" t="s">
        <v>12</v>
      </c>
      <c r="B18" s="7">
        <v>40000</v>
      </c>
      <c r="C18" s="7">
        <v>40000</v>
      </c>
      <c r="D18" s="7">
        <v>40000</v>
      </c>
      <c r="E18" s="7">
        <v>40000</v>
      </c>
      <c r="F18" s="7">
        <v>40000</v>
      </c>
      <c r="G18" s="7">
        <v>40000</v>
      </c>
      <c r="H18" s="7">
        <v>40000</v>
      </c>
      <c r="I18" s="7">
        <v>40000</v>
      </c>
      <c r="J18" s="7">
        <v>40000</v>
      </c>
      <c r="K18" s="7">
        <v>40000</v>
      </c>
      <c r="L18" s="7">
        <v>40000</v>
      </c>
      <c r="M18" s="7">
        <v>40000</v>
      </c>
      <c r="N18" s="7">
        <f>$M$18*1.06</f>
        <v>42400</v>
      </c>
      <c r="O18" s="7">
        <f t="shared" ref="O18:Y18" si="10">$M$18*1.06</f>
        <v>42400</v>
      </c>
      <c r="P18" s="7">
        <f t="shared" si="10"/>
        <v>42400</v>
      </c>
      <c r="Q18" s="7">
        <f t="shared" si="10"/>
        <v>42400</v>
      </c>
      <c r="R18" s="7">
        <f t="shared" si="10"/>
        <v>42400</v>
      </c>
      <c r="S18" s="7">
        <f>$M$18*1.06</f>
        <v>42400</v>
      </c>
      <c r="T18" s="7">
        <f t="shared" si="10"/>
        <v>42400</v>
      </c>
      <c r="U18" s="7">
        <f t="shared" si="10"/>
        <v>42400</v>
      </c>
      <c r="V18" s="7">
        <f t="shared" si="10"/>
        <v>42400</v>
      </c>
      <c r="W18" s="7">
        <f>$M$18*1.06</f>
        <v>42400</v>
      </c>
      <c r="X18" s="7">
        <f t="shared" si="10"/>
        <v>42400</v>
      </c>
      <c r="Y18" s="7">
        <f t="shared" si="10"/>
        <v>42400</v>
      </c>
    </row>
    <row r="19" spans="1:25" x14ac:dyDescent="0.25">
      <c r="A19" s="6" t="s">
        <v>14</v>
      </c>
      <c r="B19" s="7">
        <v>40000</v>
      </c>
      <c r="C19" s="7">
        <v>40000</v>
      </c>
      <c r="D19" s="7">
        <v>40000</v>
      </c>
      <c r="E19" s="7">
        <v>40000</v>
      </c>
      <c r="F19" s="7">
        <v>40000</v>
      </c>
      <c r="G19" s="7">
        <v>40000</v>
      </c>
      <c r="H19" s="7">
        <v>40000</v>
      </c>
      <c r="I19" s="7">
        <v>40000</v>
      </c>
      <c r="J19" s="7">
        <v>40000</v>
      </c>
      <c r="K19" s="7">
        <v>40000</v>
      </c>
      <c r="L19" s="7">
        <v>40000</v>
      </c>
      <c r="M19" s="7">
        <v>40000</v>
      </c>
      <c r="N19" s="7">
        <f>$M$19*1.06</f>
        <v>42400</v>
      </c>
      <c r="O19" s="7">
        <f t="shared" ref="O19:Y19" si="11">$M$19*1.06</f>
        <v>42400</v>
      </c>
      <c r="P19" s="7">
        <f t="shared" si="11"/>
        <v>42400</v>
      </c>
      <c r="Q19" s="7">
        <f t="shared" si="11"/>
        <v>42400</v>
      </c>
      <c r="R19" s="7">
        <f t="shared" si="11"/>
        <v>42400</v>
      </c>
      <c r="S19" s="7">
        <f t="shared" si="11"/>
        <v>42400</v>
      </c>
      <c r="T19" s="7">
        <f t="shared" si="11"/>
        <v>42400</v>
      </c>
      <c r="U19" s="7">
        <f t="shared" si="11"/>
        <v>42400</v>
      </c>
      <c r="V19" s="7">
        <f t="shared" si="11"/>
        <v>42400</v>
      </c>
      <c r="W19" s="7">
        <f t="shared" si="11"/>
        <v>42400</v>
      </c>
      <c r="X19" s="7">
        <f t="shared" si="11"/>
        <v>42400</v>
      </c>
      <c r="Y19" s="7">
        <f t="shared" si="11"/>
        <v>42400</v>
      </c>
    </row>
    <row r="20" spans="1:25" x14ac:dyDescent="0.25">
      <c r="A20" s="6" t="s">
        <v>2</v>
      </c>
      <c r="B20" s="7">
        <v>20000</v>
      </c>
      <c r="C20" s="7">
        <v>20000</v>
      </c>
      <c r="D20" s="7">
        <v>20000</v>
      </c>
      <c r="E20" s="7">
        <v>20000</v>
      </c>
      <c r="F20" s="7">
        <v>20000</v>
      </c>
      <c r="G20" s="7">
        <v>20000</v>
      </c>
      <c r="H20" s="7">
        <v>20000</v>
      </c>
      <c r="I20" s="7">
        <v>20000</v>
      </c>
      <c r="J20" s="7">
        <v>20000</v>
      </c>
      <c r="K20" s="7">
        <v>20000</v>
      </c>
      <c r="L20" s="7">
        <v>20000</v>
      </c>
      <c r="M20" s="7">
        <v>20000</v>
      </c>
      <c r="N20" s="7">
        <f>($M$20*1.06)+20000</f>
        <v>41200</v>
      </c>
      <c r="O20" s="7">
        <f>($M$20*1.06)+20000</f>
        <v>41200</v>
      </c>
      <c r="P20" s="7">
        <f t="shared" ref="P20:R20" si="12">($M$20*1.06)+20000</f>
        <v>41200</v>
      </c>
      <c r="Q20" s="7">
        <f t="shared" si="12"/>
        <v>41200</v>
      </c>
      <c r="R20" s="7">
        <f t="shared" si="12"/>
        <v>41200</v>
      </c>
      <c r="S20" s="7">
        <f>($M$20*1.06)+20000</f>
        <v>41200</v>
      </c>
      <c r="T20" s="7">
        <f>($M$20*1.06)+20000</f>
        <v>41200</v>
      </c>
      <c r="U20" s="7">
        <f>($M$20*1.06)+20000</f>
        <v>41200</v>
      </c>
      <c r="V20" s="7">
        <f>($M$20*1.06)+20000</f>
        <v>41200</v>
      </c>
      <c r="W20" s="7">
        <f t="shared" ref="W20:Y20" si="13">($M$20*1.06)+20000</f>
        <v>41200</v>
      </c>
      <c r="X20" s="7">
        <f t="shared" si="13"/>
        <v>41200</v>
      </c>
      <c r="Y20" s="7">
        <f t="shared" si="13"/>
        <v>41200</v>
      </c>
    </row>
    <row r="21" spans="1:25" x14ac:dyDescent="0.25">
      <c r="A21" s="6" t="s">
        <v>3</v>
      </c>
      <c r="B21" s="7">
        <v>20000</v>
      </c>
      <c r="C21" s="7">
        <v>20000</v>
      </c>
      <c r="D21" s="7">
        <v>20000</v>
      </c>
      <c r="E21" s="7">
        <v>20000</v>
      </c>
      <c r="F21" s="7">
        <v>20000</v>
      </c>
      <c r="G21" s="7">
        <v>20000</v>
      </c>
      <c r="H21" s="7">
        <v>20000</v>
      </c>
      <c r="I21" s="7">
        <v>20000</v>
      </c>
      <c r="J21" s="7">
        <v>20000</v>
      </c>
      <c r="K21" s="7">
        <v>20000</v>
      </c>
      <c r="L21" s="7">
        <v>20000</v>
      </c>
      <c r="M21" s="7">
        <v>20000</v>
      </c>
      <c r="N21" s="7">
        <f>$M$21*1.06</f>
        <v>21200</v>
      </c>
      <c r="O21" s="7">
        <f t="shared" ref="O21:Y21" si="14">$M$21*1.06</f>
        <v>21200</v>
      </c>
      <c r="P21" s="7">
        <f t="shared" si="14"/>
        <v>21200</v>
      </c>
      <c r="Q21" s="7">
        <f t="shared" si="14"/>
        <v>21200</v>
      </c>
      <c r="R21" s="7">
        <f t="shared" si="14"/>
        <v>21200</v>
      </c>
      <c r="S21" s="7">
        <f t="shared" si="14"/>
        <v>21200</v>
      </c>
      <c r="T21" s="7">
        <f>$M$21*1.06</f>
        <v>21200</v>
      </c>
      <c r="U21" s="7">
        <f t="shared" si="14"/>
        <v>21200</v>
      </c>
      <c r="V21" s="7">
        <f t="shared" si="14"/>
        <v>21200</v>
      </c>
      <c r="W21" s="7">
        <f t="shared" si="14"/>
        <v>21200</v>
      </c>
      <c r="X21" s="7">
        <f t="shared" si="14"/>
        <v>21200</v>
      </c>
      <c r="Y21" s="7">
        <f t="shared" si="14"/>
        <v>21200</v>
      </c>
    </row>
    <row r="22" spans="1:25" x14ac:dyDescent="0.25">
      <c r="A22" s="6" t="s">
        <v>4</v>
      </c>
      <c r="B22" s="7">
        <f>20000*2</f>
        <v>40000</v>
      </c>
      <c r="C22" s="7">
        <f t="shared" ref="C22:M22" si="15">20000*2</f>
        <v>40000</v>
      </c>
      <c r="D22" s="7">
        <f t="shared" si="15"/>
        <v>40000</v>
      </c>
      <c r="E22" s="7">
        <f t="shared" si="15"/>
        <v>40000</v>
      </c>
      <c r="F22" s="7">
        <f t="shared" si="15"/>
        <v>40000</v>
      </c>
      <c r="G22" s="7">
        <f t="shared" si="15"/>
        <v>40000</v>
      </c>
      <c r="H22" s="7">
        <f>20000*2</f>
        <v>40000</v>
      </c>
      <c r="I22" s="7">
        <f t="shared" si="15"/>
        <v>40000</v>
      </c>
      <c r="J22" s="7">
        <f t="shared" si="15"/>
        <v>40000</v>
      </c>
      <c r="K22" s="7">
        <f>20000*2</f>
        <v>40000</v>
      </c>
      <c r="L22" s="7">
        <f t="shared" si="15"/>
        <v>40000</v>
      </c>
      <c r="M22" s="7">
        <f t="shared" si="15"/>
        <v>40000</v>
      </c>
      <c r="N22" s="7">
        <f>($M$22*1.06)+20000*2</f>
        <v>82400</v>
      </c>
      <c r="O22" s="7">
        <f t="shared" ref="O22:Y22" si="16">($M$22*1.06)+20000*2</f>
        <v>82400</v>
      </c>
      <c r="P22" s="7">
        <f t="shared" si="16"/>
        <v>82400</v>
      </c>
      <c r="Q22" s="7">
        <f t="shared" si="16"/>
        <v>82400</v>
      </c>
      <c r="R22" s="7">
        <f t="shared" si="16"/>
        <v>82400</v>
      </c>
      <c r="S22" s="7">
        <f t="shared" si="16"/>
        <v>82400</v>
      </c>
      <c r="T22" s="7">
        <f>($M$22*1.06)+20000*2</f>
        <v>82400</v>
      </c>
      <c r="U22" s="7">
        <f t="shared" si="16"/>
        <v>82400</v>
      </c>
      <c r="V22" s="7">
        <f t="shared" si="16"/>
        <v>82400</v>
      </c>
      <c r="W22" s="7">
        <f t="shared" si="16"/>
        <v>82400</v>
      </c>
      <c r="X22" s="7">
        <f t="shared" si="16"/>
        <v>82400</v>
      </c>
      <c r="Y22" s="7">
        <f t="shared" si="16"/>
        <v>82400</v>
      </c>
    </row>
    <row r="23" spans="1:25" ht="14.4" thickBot="1" x14ac:dyDescent="0.3">
      <c r="A23" s="12" t="s">
        <v>5</v>
      </c>
      <c r="B23" s="21">
        <f>15000</f>
        <v>15000</v>
      </c>
      <c r="C23" s="21">
        <f>15000</f>
        <v>15000</v>
      </c>
      <c r="D23" s="21">
        <f>15000</f>
        <v>15000</v>
      </c>
      <c r="E23" s="21">
        <f>15000</f>
        <v>15000</v>
      </c>
      <c r="F23" s="21">
        <f>15000*2</f>
        <v>30000</v>
      </c>
      <c r="G23" s="21">
        <f t="shared" ref="G23:H23" si="17">15000*2</f>
        <v>30000</v>
      </c>
      <c r="H23" s="21">
        <f t="shared" si="17"/>
        <v>30000</v>
      </c>
      <c r="I23" s="21">
        <f>15000*2</f>
        <v>30000</v>
      </c>
      <c r="J23" s="21">
        <f>15000*3</f>
        <v>45000</v>
      </c>
      <c r="K23" s="21">
        <f t="shared" ref="K23:L23" si="18">15000*3</f>
        <v>45000</v>
      </c>
      <c r="L23" s="21">
        <f t="shared" si="18"/>
        <v>45000</v>
      </c>
      <c r="M23" s="21">
        <f>15000*3</f>
        <v>45000</v>
      </c>
      <c r="N23" s="21">
        <f>($B$23*1.06)+(15000*3)</f>
        <v>60900</v>
      </c>
      <c r="O23" s="21">
        <f t="shared" ref="O23:Q23" si="19">($B$23*1.06)+(15000*3)</f>
        <v>60900</v>
      </c>
      <c r="P23" s="21">
        <f t="shared" si="19"/>
        <v>60900</v>
      </c>
      <c r="Q23" s="21">
        <f t="shared" si="19"/>
        <v>60900</v>
      </c>
      <c r="R23" s="21">
        <f>($F$23*1.06)+(15000*4)</f>
        <v>91800</v>
      </c>
      <c r="S23" s="21">
        <f t="shared" ref="S23:U23" si="20">($F$23*1.06)+(15000*4)</f>
        <v>91800</v>
      </c>
      <c r="T23" s="21">
        <f t="shared" si="20"/>
        <v>91800</v>
      </c>
      <c r="U23" s="21">
        <f t="shared" si="20"/>
        <v>91800</v>
      </c>
      <c r="V23" s="21">
        <f>($J$23*1.06)+(15000*5)</f>
        <v>122700</v>
      </c>
      <c r="W23" s="21">
        <f t="shared" ref="W23:Y23" si="21">($J$23*1.06)+(15000*5)</f>
        <v>122700</v>
      </c>
      <c r="X23" s="21">
        <f t="shared" si="21"/>
        <v>122700</v>
      </c>
      <c r="Y23" s="21">
        <f t="shared" si="21"/>
        <v>122700</v>
      </c>
    </row>
    <row r="24" spans="1:25" ht="14.4" thickBot="1" x14ac:dyDescent="0.3">
      <c r="A24" s="44"/>
      <c r="B24" s="43">
        <f>SUM(B18:B23)</f>
        <v>175000</v>
      </c>
      <c r="C24" s="16">
        <f t="shared" ref="C24:F24" si="22">SUM(C18:C23)</f>
        <v>175000</v>
      </c>
      <c r="D24" s="16">
        <f t="shared" si="22"/>
        <v>175000</v>
      </c>
      <c r="E24" s="16">
        <f t="shared" si="22"/>
        <v>175000</v>
      </c>
      <c r="F24" s="16">
        <f t="shared" si="22"/>
        <v>190000</v>
      </c>
      <c r="G24" s="16">
        <f>SUM(G18:G23)</f>
        <v>190000</v>
      </c>
      <c r="H24" s="16">
        <f t="shared" ref="H24:K24" si="23">SUM(H18:H23)</f>
        <v>190000</v>
      </c>
      <c r="I24" s="16">
        <f t="shared" si="23"/>
        <v>190000</v>
      </c>
      <c r="J24" s="16">
        <f t="shared" si="23"/>
        <v>205000</v>
      </c>
      <c r="K24" s="16">
        <f t="shared" si="23"/>
        <v>205000</v>
      </c>
      <c r="L24" s="16">
        <f>SUM(L18:L23)</f>
        <v>205000</v>
      </c>
      <c r="M24" s="16">
        <f t="shared" ref="M24:P24" si="24">SUM(M18:M23)</f>
        <v>205000</v>
      </c>
      <c r="N24" s="16">
        <f t="shared" si="24"/>
        <v>290500</v>
      </c>
      <c r="O24" s="16">
        <f t="shared" si="24"/>
        <v>290500</v>
      </c>
      <c r="P24" s="16">
        <f t="shared" si="24"/>
        <v>290500</v>
      </c>
      <c r="Q24" s="16">
        <f>SUM(Q18:Q23)</f>
        <v>290500</v>
      </c>
      <c r="R24" s="16">
        <f>SUM(R18:R23)</f>
        <v>321400</v>
      </c>
      <c r="S24" s="16">
        <f t="shared" ref="S24:U24" si="25">SUM(S18:S23)</f>
        <v>321400</v>
      </c>
      <c r="T24" s="16">
        <f t="shared" si="25"/>
        <v>321400</v>
      </c>
      <c r="U24" s="16">
        <f t="shared" si="25"/>
        <v>321400</v>
      </c>
      <c r="V24" s="16">
        <f>SUM(V18:V23)</f>
        <v>352300</v>
      </c>
      <c r="W24" s="16">
        <f t="shared" ref="W24:Y24" si="26">SUM(W18:W23)</f>
        <v>352300</v>
      </c>
      <c r="X24" s="16">
        <f t="shared" si="26"/>
        <v>352300</v>
      </c>
      <c r="Y24" s="17">
        <f t="shared" si="26"/>
        <v>352300</v>
      </c>
    </row>
    <row r="25" spans="1:25" x14ac:dyDescent="0.25">
      <c r="A25" s="19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spans="1:25" x14ac:dyDescent="0.25">
      <c r="A26" s="25" t="s">
        <v>15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x14ac:dyDescent="0.25">
      <c r="A27" s="6" t="s">
        <v>6</v>
      </c>
      <c r="B27" s="7">
        <v>20000</v>
      </c>
      <c r="C27" s="7">
        <v>20000</v>
      </c>
      <c r="D27" s="7">
        <v>20000</v>
      </c>
      <c r="E27" s="7">
        <v>20000</v>
      </c>
      <c r="F27" s="7">
        <v>20000</v>
      </c>
      <c r="G27" s="7">
        <v>20000</v>
      </c>
      <c r="H27" s="7">
        <v>20000</v>
      </c>
      <c r="I27" s="7">
        <v>20000</v>
      </c>
      <c r="J27" s="7">
        <v>20000</v>
      </c>
      <c r="K27" s="7">
        <v>20000</v>
      </c>
      <c r="L27" s="7">
        <v>20000</v>
      </c>
      <c r="M27" s="7">
        <v>20000</v>
      </c>
      <c r="N27" s="7">
        <f>$M$27*1.1</f>
        <v>22000</v>
      </c>
      <c r="O27" s="7">
        <f t="shared" ref="O27:Y27" si="27">$M$27*1.1</f>
        <v>22000</v>
      </c>
      <c r="P27" s="7">
        <f t="shared" si="27"/>
        <v>22000</v>
      </c>
      <c r="Q27" s="7">
        <f t="shared" si="27"/>
        <v>22000</v>
      </c>
      <c r="R27" s="7">
        <f t="shared" si="27"/>
        <v>22000</v>
      </c>
      <c r="S27" s="7">
        <f t="shared" si="27"/>
        <v>22000</v>
      </c>
      <c r="T27" s="7">
        <f t="shared" si="27"/>
        <v>22000</v>
      </c>
      <c r="U27" s="7">
        <f t="shared" si="27"/>
        <v>22000</v>
      </c>
      <c r="V27" s="7">
        <f t="shared" si="27"/>
        <v>22000</v>
      </c>
      <c r="W27" s="7">
        <f t="shared" si="27"/>
        <v>22000</v>
      </c>
      <c r="X27" s="7">
        <f>$M$27*1.1</f>
        <v>22000</v>
      </c>
      <c r="Y27" s="7">
        <f t="shared" si="27"/>
        <v>22000</v>
      </c>
    </row>
    <row r="28" spans="1:25" x14ac:dyDescent="0.25">
      <c r="A28" s="6" t="s">
        <v>7</v>
      </c>
      <c r="B28" s="7">
        <v>5000</v>
      </c>
      <c r="C28" s="7">
        <v>5000</v>
      </c>
      <c r="D28" s="7">
        <v>5000</v>
      </c>
      <c r="E28" s="7">
        <v>5000</v>
      </c>
      <c r="F28" s="7">
        <v>5000</v>
      </c>
      <c r="G28" s="7">
        <v>5000</v>
      </c>
      <c r="H28" s="7">
        <v>5000</v>
      </c>
      <c r="I28" s="7">
        <v>5000</v>
      </c>
      <c r="J28" s="7">
        <v>5000</v>
      </c>
      <c r="K28" s="7">
        <v>5000</v>
      </c>
      <c r="L28" s="7">
        <v>5000</v>
      </c>
      <c r="M28" s="7">
        <v>5000</v>
      </c>
      <c r="N28" s="7">
        <f>$M$28*1.1</f>
        <v>5500</v>
      </c>
      <c r="O28" s="7">
        <f t="shared" ref="O28:Y28" si="28">$M$28*1.1</f>
        <v>5500</v>
      </c>
      <c r="P28" s="7">
        <f t="shared" si="28"/>
        <v>5500</v>
      </c>
      <c r="Q28" s="7">
        <f t="shared" si="28"/>
        <v>5500</v>
      </c>
      <c r="R28" s="7">
        <f t="shared" si="28"/>
        <v>5500</v>
      </c>
      <c r="S28" s="7">
        <f t="shared" si="28"/>
        <v>5500</v>
      </c>
      <c r="T28" s="7">
        <f t="shared" si="28"/>
        <v>5500</v>
      </c>
      <c r="U28" s="7">
        <f t="shared" si="28"/>
        <v>5500</v>
      </c>
      <c r="V28" s="7">
        <f t="shared" si="28"/>
        <v>5500</v>
      </c>
      <c r="W28" s="7">
        <f t="shared" si="28"/>
        <v>5500</v>
      </c>
      <c r="X28" s="7">
        <f>$M$28*1.1</f>
        <v>5500</v>
      </c>
      <c r="Y28" s="7">
        <f t="shared" si="28"/>
        <v>5500</v>
      </c>
    </row>
    <row r="29" spans="1:25" x14ac:dyDescent="0.25">
      <c r="A29" s="6" t="s">
        <v>8</v>
      </c>
      <c r="B29" s="7">
        <v>10000</v>
      </c>
      <c r="C29" s="7">
        <v>10000</v>
      </c>
      <c r="D29" s="7">
        <v>10000</v>
      </c>
      <c r="E29" s="7">
        <v>10000</v>
      </c>
      <c r="F29" s="7">
        <v>10000</v>
      </c>
      <c r="G29" s="7">
        <v>10000</v>
      </c>
      <c r="H29" s="7">
        <v>10000</v>
      </c>
      <c r="I29" s="7">
        <v>10000</v>
      </c>
      <c r="J29" s="7">
        <v>10000</v>
      </c>
      <c r="K29" s="7">
        <v>10000</v>
      </c>
      <c r="L29" s="7">
        <v>10000</v>
      </c>
      <c r="M29" s="7">
        <v>10000</v>
      </c>
      <c r="N29" s="7">
        <f>$M$29*1.1</f>
        <v>11000</v>
      </c>
      <c r="O29" s="7">
        <f t="shared" ref="O29:Y29" si="29">$M$29*1.1</f>
        <v>11000</v>
      </c>
      <c r="P29" s="7">
        <f t="shared" si="29"/>
        <v>11000</v>
      </c>
      <c r="Q29" s="7">
        <f t="shared" si="29"/>
        <v>11000</v>
      </c>
      <c r="R29" s="7">
        <f t="shared" si="29"/>
        <v>11000</v>
      </c>
      <c r="S29" s="7">
        <f t="shared" si="29"/>
        <v>11000</v>
      </c>
      <c r="T29" s="7">
        <f t="shared" si="29"/>
        <v>11000</v>
      </c>
      <c r="U29" s="7">
        <f t="shared" si="29"/>
        <v>11000</v>
      </c>
      <c r="V29" s="7">
        <f t="shared" si="29"/>
        <v>11000</v>
      </c>
      <c r="W29" s="7">
        <f t="shared" si="29"/>
        <v>11000</v>
      </c>
      <c r="X29" s="7">
        <f>$M$29*1.1</f>
        <v>11000</v>
      </c>
      <c r="Y29" s="7">
        <f t="shared" si="29"/>
        <v>11000</v>
      </c>
    </row>
    <row r="30" spans="1:25" x14ac:dyDescent="0.25">
      <c r="A30" s="6" t="s">
        <v>9</v>
      </c>
      <c r="B30" s="7">
        <v>10000</v>
      </c>
      <c r="C30" s="7">
        <v>10000</v>
      </c>
      <c r="D30" s="7">
        <v>10000</v>
      </c>
      <c r="E30" s="7">
        <v>10000</v>
      </c>
      <c r="F30" s="7">
        <v>10000</v>
      </c>
      <c r="G30" s="7">
        <v>10000</v>
      </c>
      <c r="H30" s="7">
        <v>10000</v>
      </c>
      <c r="I30" s="7">
        <v>10000</v>
      </c>
      <c r="J30" s="7">
        <v>10000</v>
      </c>
      <c r="K30" s="7">
        <v>10000</v>
      </c>
      <c r="L30" s="7">
        <v>10000</v>
      </c>
      <c r="M30" s="7">
        <v>10000</v>
      </c>
      <c r="N30" s="7">
        <f>$M$30*1.1</f>
        <v>11000</v>
      </c>
      <c r="O30" s="7">
        <f t="shared" ref="O30:Y30" si="30">$M$30*1.1</f>
        <v>11000</v>
      </c>
      <c r="P30" s="7">
        <f t="shared" si="30"/>
        <v>11000</v>
      </c>
      <c r="Q30" s="7">
        <f t="shared" si="30"/>
        <v>11000</v>
      </c>
      <c r="R30" s="7">
        <f t="shared" si="30"/>
        <v>11000</v>
      </c>
      <c r="S30" s="7">
        <f t="shared" si="30"/>
        <v>11000</v>
      </c>
      <c r="T30" s="7">
        <f t="shared" si="30"/>
        <v>11000</v>
      </c>
      <c r="U30" s="7">
        <f t="shared" si="30"/>
        <v>11000</v>
      </c>
      <c r="V30" s="7">
        <f t="shared" si="30"/>
        <v>11000</v>
      </c>
      <c r="W30" s="7">
        <f t="shared" si="30"/>
        <v>11000</v>
      </c>
      <c r="X30" s="7">
        <f>$M$30*1.1</f>
        <v>11000</v>
      </c>
      <c r="Y30" s="7">
        <f t="shared" si="30"/>
        <v>11000</v>
      </c>
    </row>
    <row r="31" spans="1:25" x14ac:dyDescent="0.25">
      <c r="A31" s="6" t="s">
        <v>10</v>
      </c>
      <c r="B31" s="7">
        <v>4000</v>
      </c>
      <c r="C31" s="7">
        <v>4000</v>
      </c>
      <c r="D31" s="7">
        <v>4000</v>
      </c>
      <c r="E31" s="7">
        <v>4000</v>
      </c>
      <c r="F31" s="7">
        <v>4000</v>
      </c>
      <c r="G31" s="7">
        <v>4000</v>
      </c>
      <c r="H31" s="7">
        <v>4000</v>
      </c>
      <c r="I31" s="7">
        <v>4000</v>
      </c>
      <c r="J31" s="7">
        <v>4000</v>
      </c>
      <c r="K31" s="7">
        <v>4000</v>
      </c>
      <c r="L31" s="7">
        <v>4000</v>
      </c>
      <c r="M31" s="7">
        <v>4000</v>
      </c>
      <c r="N31" s="7">
        <f>$M$31*1.1</f>
        <v>4400</v>
      </c>
      <c r="O31" s="7">
        <f t="shared" ref="O31:Y31" si="31">$M$31*1.1</f>
        <v>4400</v>
      </c>
      <c r="P31" s="7">
        <f t="shared" si="31"/>
        <v>4400</v>
      </c>
      <c r="Q31" s="7">
        <f t="shared" si="31"/>
        <v>4400</v>
      </c>
      <c r="R31" s="7">
        <f t="shared" si="31"/>
        <v>4400</v>
      </c>
      <c r="S31" s="7">
        <f t="shared" si="31"/>
        <v>4400</v>
      </c>
      <c r="T31" s="7">
        <f t="shared" si="31"/>
        <v>4400</v>
      </c>
      <c r="U31" s="7">
        <f t="shared" si="31"/>
        <v>4400</v>
      </c>
      <c r="V31" s="7">
        <f t="shared" si="31"/>
        <v>4400</v>
      </c>
      <c r="W31" s="7">
        <f t="shared" si="31"/>
        <v>4400</v>
      </c>
      <c r="X31" s="7">
        <f>$M$31*1.1</f>
        <v>4400</v>
      </c>
      <c r="Y31" s="7">
        <f t="shared" si="31"/>
        <v>4400</v>
      </c>
    </row>
    <row r="32" spans="1:25" ht="14.4" thickBot="1" x14ac:dyDescent="0.3">
      <c r="A32" s="12" t="s">
        <v>11</v>
      </c>
      <c r="B32" s="21">
        <v>25000</v>
      </c>
      <c r="C32" s="21">
        <v>25000</v>
      </c>
      <c r="D32" s="21">
        <v>25000</v>
      </c>
      <c r="E32" s="21">
        <v>25000</v>
      </c>
      <c r="F32" s="21">
        <v>25000</v>
      </c>
      <c r="G32" s="21">
        <v>25000</v>
      </c>
      <c r="H32" s="21">
        <v>25000</v>
      </c>
      <c r="I32" s="21">
        <v>25000</v>
      </c>
      <c r="J32" s="21">
        <v>25000</v>
      </c>
      <c r="K32" s="21">
        <v>25000</v>
      </c>
      <c r="L32" s="21">
        <v>25000</v>
      </c>
      <c r="M32" s="21">
        <v>25000</v>
      </c>
      <c r="N32" s="21">
        <f>$M$32*1.1</f>
        <v>27500.000000000004</v>
      </c>
      <c r="O32" s="21">
        <f t="shared" ref="O32:Y32" si="32">$M$32*1.1</f>
        <v>27500.000000000004</v>
      </c>
      <c r="P32" s="21">
        <f t="shared" si="32"/>
        <v>27500.000000000004</v>
      </c>
      <c r="Q32" s="21">
        <f t="shared" si="32"/>
        <v>27500.000000000004</v>
      </c>
      <c r="R32" s="21">
        <f t="shared" si="32"/>
        <v>27500.000000000004</v>
      </c>
      <c r="S32" s="21">
        <f t="shared" si="32"/>
        <v>27500.000000000004</v>
      </c>
      <c r="T32" s="21">
        <f t="shared" si="32"/>
        <v>27500.000000000004</v>
      </c>
      <c r="U32" s="21">
        <f t="shared" si="32"/>
        <v>27500.000000000004</v>
      </c>
      <c r="V32" s="21">
        <f t="shared" si="32"/>
        <v>27500.000000000004</v>
      </c>
      <c r="W32" s="21">
        <f t="shared" si="32"/>
        <v>27500.000000000004</v>
      </c>
      <c r="X32" s="21">
        <f>$M$32*1.1</f>
        <v>27500.000000000004</v>
      </c>
      <c r="Y32" s="21">
        <f t="shared" si="32"/>
        <v>27500.000000000004</v>
      </c>
    </row>
    <row r="33" spans="1:27" ht="14.4" thickBot="1" x14ac:dyDescent="0.3">
      <c r="A33" s="46"/>
      <c r="B33" s="43">
        <f>SUM(B27:B32)</f>
        <v>74000</v>
      </c>
      <c r="C33" s="16">
        <f t="shared" ref="C33:H33" si="33">SUM(C27:C32)</f>
        <v>74000</v>
      </c>
      <c r="D33" s="16">
        <f t="shared" si="33"/>
        <v>74000</v>
      </c>
      <c r="E33" s="16">
        <f t="shared" si="33"/>
        <v>74000</v>
      </c>
      <c r="F33" s="16">
        <f t="shared" si="33"/>
        <v>74000</v>
      </c>
      <c r="G33" s="16">
        <f t="shared" si="33"/>
        <v>74000</v>
      </c>
      <c r="H33" s="16">
        <f t="shared" si="33"/>
        <v>74000</v>
      </c>
      <c r="I33" s="16">
        <f>SUM(I27:I32)</f>
        <v>74000</v>
      </c>
      <c r="J33" s="16">
        <f t="shared" ref="J33:O33" si="34">SUM(J27:J32)</f>
        <v>74000</v>
      </c>
      <c r="K33" s="16">
        <f t="shared" si="34"/>
        <v>74000</v>
      </c>
      <c r="L33" s="16">
        <f t="shared" si="34"/>
        <v>74000</v>
      </c>
      <c r="M33" s="16">
        <f t="shared" si="34"/>
        <v>74000</v>
      </c>
      <c r="N33" s="16">
        <f t="shared" si="34"/>
        <v>81400</v>
      </c>
      <c r="O33" s="16">
        <f t="shared" si="34"/>
        <v>81400</v>
      </c>
      <c r="P33" s="16">
        <f>SUM(P27:P32)</f>
        <v>81400</v>
      </c>
      <c r="Q33" s="16">
        <f t="shared" ref="Q33:S33" si="35">SUM(Q27:Q32)</f>
        <v>81400</v>
      </c>
      <c r="R33" s="16">
        <f t="shared" si="35"/>
        <v>81400</v>
      </c>
      <c r="S33" s="16">
        <f t="shared" si="35"/>
        <v>81400</v>
      </c>
      <c r="T33" s="16">
        <f>SUM(T27:T32)</f>
        <v>81400</v>
      </c>
      <c r="U33" s="16">
        <f t="shared" ref="U33:Y33" si="36">SUM(U27:U32)</f>
        <v>81400</v>
      </c>
      <c r="V33" s="16">
        <f t="shared" si="36"/>
        <v>81400</v>
      </c>
      <c r="W33" s="16">
        <f t="shared" si="36"/>
        <v>81400</v>
      </c>
      <c r="X33" s="16">
        <f t="shared" si="36"/>
        <v>81400</v>
      </c>
      <c r="Y33" s="17">
        <f t="shared" si="36"/>
        <v>81400</v>
      </c>
    </row>
    <row r="34" spans="1:27" ht="14.4" thickBot="1" x14ac:dyDescent="0.3">
      <c r="A34" s="45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9"/>
    </row>
    <row r="35" spans="1:27" ht="14.4" thickBot="1" x14ac:dyDescent="0.3">
      <c r="A35" s="30" t="s">
        <v>53</v>
      </c>
      <c r="B35" s="16">
        <f>B24+B33</f>
        <v>249000</v>
      </c>
      <c r="C35" s="16">
        <f t="shared" ref="C35:Y35" si="37">C24+C33</f>
        <v>249000</v>
      </c>
      <c r="D35" s="16">
        <f t="shared" si="37"/>
        <v>249000</v>
      </c>
      <c r="E35" s="16">
        <f t="shared" si="37"/>
        <v>249000</v>
      </c>
      <c r="F35" s="16">
        <f t="shared" si="37"/>
        <v>264000</v>
      </c>
      <c r="G35" s="16">
        <f t="shared" si="37"/>
        <v>264000</v>
      </c>
      <c r="H35" s="16">
        <f t="shared" si="37"/>
        <v>264000</v>
      </c>
      <c r="I35" s="16">
        <f t="shared" si="37"/>
        <v>264000</v>
      </c>
      <c r="J35" s="16">
        <f t="shared" si="37"/>
        <v>279000</v>
      </c>
      <c r="K35" s="16">
        <f t="shared" si="37"/>
        <v>279000</v>
      </c>
      <c r="L35" s="16">
        <f t="shared" si="37"/>
        <v>279000</v>
      </c>
      <c r="M35" s="16">
        <f t="shared" si="37"/>
        <v>279000</v>
      </c>
      <c r="N35" s="16">
        <f t="shared" si="37"/>
        <v>371900</v>
      </c>
      <c r="O35" s="16">
        <f t="shared" si="37"/>
        <v>371900</v>
      </c>
      <c r="P35" s="16">
        <f t="shared" si="37"/>
        <v>371900</v>
      </c>
      <c r="Q35" s="16">
        <f t="shared" si="37"/>
        <v>371900</v>
      </c>
      <c r="R35" s="16">
        <f t="shared" si="37"/>
        <v>402800</v>
      </c>
      <c r="S35" s="16">
        <f t="shared" si="37"/>
        <v>402800</v>
      </c>
      <c r="T35" s="16">
        <f t="shared" si="37"/>
        <v>402800</v>
      </c>
      <c r="U35" s="16">
        <f t="shared" si="37"/>
        <v>402800</v>
      </c>
      <c r="V35" s="16">
        <f t="shared" si="37"/>
        <v>433700</v>
      </c>
      <c r="W35" s="16">
        <f t="shared" si="37"/>
        <v>433700</v>
      </c>
      <c r="X35" s="16">
        <f t="shared" si="37"/>
        <v>433700</v>
      </c>
      <c r="Y35" s="16">
        <f t="shared" si="37"/>
        <v>433700</v>
      </c>
    </row>
    <row r="36" spans="1:27" x14ac:dyDescent="0.25">
      <c r="A36" s="25" t="s">
        <v>18</v>
      </c>
      <c r="B36" s="23">
        <f>B15-B35</f>
        <v>-64000</v>
      </c>
      <c r="C36" s="23">
        <f t="shared" ref="C36:Y36" si="38">C15-C35</f>
        <v>-45500</v>
      </c>
      <c r="D36" s="23">
        <f t="shared" si="38"/>
        <v>-25150</v>
      </c>
      <c r="E36" s="23">
        <f t="shared" si="38"/>
        <v>-2765</v>
      </c>
      <c r="F36" s="23">
        <f t="shared" si="38"/>
        <v>6858.5</v>
      </c>
      <c r="G36" s="23">
        <f t="shared" si="38"/>
        <v>33944.349999999977</v>
      </c>
      <c r="H36" s="23">
        <f t="shared" si="38"/>
        <v>63738.784999999916</v>
      </c>
      <c r="I36" s="23">
        <f t="shared" si="38"/>
        <v>96512.663499999966</v>
      </c>
      <c r="J36" s="23">
        <f t="shared" si="38"/>
        <v>117563.9298499999</v>
      </c>
      <c r="K36" s="23">
        <f t="shared" si="38"/>
        <v>157220.32283499994</v>
      </c>
      <c r="L36" s="23">
        <f t="shared" si="38"/>
        <v>200842.35511849995</v>
      </c>
      <c r="M36" s="23">
        <f t="shared" si="38"/>
        <v>248826.59063034994</v>
      </c>
      <c r="N36" s="23">
        <f t="shared" si="38"/>
        <v>236955.10508387396</v>
      </c>
      <c r="O36" s="23">
        <f t="shared" si="38"/>
        <v>297840.61559226131</v>
      </c>
      <c r="P36" s="23">
        <f t="shared" si="38"/>
        <v>364814.67715148744</v>
      </c>
      <c r="Q36" s="23">
        <f t="shared" si="38"/>
        <v>438486.14486663626</v>
      </c>
      <c r="R36" s="23">
        <f t="shared" si="38"/>
        <v>488624.75935329997</v>
      </c>
      <c r="S36" s="23">
        <f t="shared" si="38"/>
        <v>577767.23528862989</v>
      </c>
      <c r="T36" s="23">
        <f t="shared" si="38"/>
        <v>675823.9588174927</v>
      </c>
      <c r="U36" s="23">
        <f t="shared" si="38"/>
        <v>783686.35469924216</v>
      </c>
      <c r="V36" s="23">
        <f t="shared" si="38"/>
        <v>871434.99016916659</v>
      </c>
      <c r="W36" s="23">
        <f t="shared" si="38"/>
        <v>1001948.4891860832</v>
      </c>
      <c r="X36" s="23">
        <f t="shared" si="38"/>
        <v>1145513.3381046914</v>
      </c>
      <c r="Y36" s="23">
        <f t="shared" si="38"/>
        <v>1303434.6719151607</v>
      </c>
    </row>
    <row r="37" spans="1:27" x14ac:dyDescent="0.25">
      <c r="A37" s="25" t="s">
        <v>16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7" x14ac:dyDescent="0.25">
      <c r="A38" s="6" t="s">
        <v>17</v>
      </c>
      <c r="B38" s="7">
        <f>'P&amp;L Account'!B45</f>
        <v>11111.111111111111</v>
      </c>
      <c r="C38" s="7">
        <f>'P&amp;L Account'!C45</f>
        <v>11111.111111111111</v>
      </c>
      <c r="D38" s="7">
        <f>'P&amp;L Account'!D45</f>
        <v>11111.111111111111</v>
      </c>
      <c r="E38" s="7">
        <f>'P&amp;L Account'!E45</f>
        <v>11111.111111111111</v>
      </c>
      <c r="F38" s="7">
        <f>'P&amp;L Account'!F45</f>
        <v>11111.111111111111</v>
      </c>
      <c r="G38" s="7">
        <f>'P&amp;L Account'!G45</f>
        <v>11111.111111111111</v>
      </c>
      <c r="H38" s="7">
        <f>'P&amp;L Account'!H45</f>
        <v>11111.111111111111</v>
      </c>
      <c r="I38" s="7">
        <f>'P&amp;L Account'!I45</f>
        <v>11111.111111111111</v>
      </c>
      <c r="J38" s="7">
        <f>'P&amp;L Account'!J45</f>
        <v>11111.111111111111</v>
      </c>
      <c r="K38" s="7">
        <f>'P&amp;L Account'!K45</f>
        <v>11111.111111111111</v>
      </c>
      <c r="L38" s="7">
        <f>'P&amp;L Account'!L45</f>
        <v>11111.111111111111</v>
      </c>
      <c r="M38" s="7">
        <f>'P&amp;L Account'!M45</f>
        <v>11111.111111111111</v>
      </c>
      <c r="N38" s="7">
        <f>'P&amp;L Account'!N45</f>
        <v>22222.222222222223</v>
      </c>
      <c r="O38" s="7">
        <f>'P&amp;L Account'!O45</f>
        <v>22222.222222222223</v>
      </c>
      <c r="P38" s="7">
        <f>'P&amp;L Account'!P45</f>
        <v>22222.222222222223</v>
      </c>
      <c r="Q38" s="7">
        <f>'P&amp;L Account'!Q45</f>
        <v>22222.222222222223</v>
      </c>
      <c r="R38" s="7">
        <f>'P&amp;L Account'!R45</f>
        <v>22222.222222222223</v>
      </c>
      <c r="S38" s="7">
        <f>'P&amp;L Account'!S45</f>
        <v>22222.222222222223</v>
      </c>
      <c r="T38" s="7">
        <f>'P&amp;L Account'!T45</f>
        <v>22222.222222222223</v>
      </c>
      <c r="U38" s="7">
        <f>'P&amp;L Account'!U45</f>
        <v>22222.222222222223</v>
      </c>
      <c r="V38" s="7">
        <f>'P&amp;L Account'!V45</f>
        <v>22222.222222222223</v>
      </c>
      <c r="W38" s="7">
        <f>'P&amp;L Account'!W45</f>
        <v>22222.222222222223</v>
      </c>
      <c r="X38" s="7">
        <f>'P&amp;L Account'!X45</f>
        <v>22222.222222222223</v>
      </c>
      <c r="Y38" s="7">
        <f>'P&amp;L Account'!Y45</f>
        <v>22222.222222222223</v>
      </c>
    </row>
    <row r="39" spans="1:27" x14ac:dyDescent="0.25">
      <c r="A39" s="20" t="s">
        <v>19</v>
      </c>
      <c r="B39" s="7">
        <f t="shared" ref="B39:Y39" si="39">B36-B38</f>
        <v>-75111.111111111109</v>
      </c>
      <c r="C39" s="7">
        <f t="shared" si="39"/>
        <v>-56611.111111111109</v>
      </c>
      <c r="D39" s="7">
        <f t="shared" si="39"/>
        <v>-36261.111111111109</v>
      </c>
      <c r="E39" s="7">
        <f t="shared" si="39"/>
        <v>-13876.111111111111</v>
      </c>
      <c r="F39" s="7">
        <f t="shared" si="39"/>
        <v>-4252.6111111111113</v>
      </c>
      <c r="G39" s="7">
        <f t="shared" si="39"/>
        <v>22833.238888888867</v>
      </c>
      <c r="H39" s="7">
        <f t="shared" si="39"/>
        <v>52627.673888888807</v>
      </c>
      <c r="I39" s="7">
        <f t="shared" si="39"/>
        <v>85401.552388888857</v>
      </c>
      <c r="J39" s="7">
        <f t="shared" si="39"/>
        <v>106452.81873888879</v>
      </c>
      <c r="K39" s="7">
        <f t="shared" si="39"/>
        <v>146109.21172388882</v>
      </c>
      <c r="L39" s="7">
        <f t="shared" si="39"/>
        <v>189731.24400738883</v>
      </c>
      <c r="M39" s="7">
        <f t="shared" si="39"/>
        <v>237715.47951923881</v>
      </c>
      <c r="N39" s="7">
        <f t="shared" si="39"/>
        <v>214732.88286165174</v>
      </c>
      <c r="O39" s="7">
        <f t="shared" si="39"/>
        <v>275618.39337003906</v>
      </c>
      <c r="P39" s="7">
        <f t="shared" si="39"/>
        <v>342592.45492926519</v>
      </c>
      <c r="Q39" s="7">
        <f t="shared" si="39"/>
        <v>416263.92264441401</v>
      </c>
      <c r="R39" s="7">
        <f t="shared" si="39"/>
        <v>466402.53713107773</v>
      </c>
      <c r="S39" s="7">
        <f t="shared" si="39"/>
        <v>555545.01306640764</v>
      </c>
      <c r="T39" s="7">
        <f t="shared" si="39"/>
        <v>653601.73659527046</v>
      </c>
      <c r="U39" s="7">
        <f t="shared" si="39"/>
        <v>761464.13247701991</v>
      </c>
      <c r="V39" s="7">
        <f t="shared" si="39"/>
        <v>849212.76794694434</v>
      </c>
      <c r="W39" s="7">
        <f t="shared" si="39"/>
        <v>979726.26696386095</v>
      </c>
      <c r="X39" s="7">
        <f t="shared" si="39"/>
        <v>1123291.1158824691</v>
      </c>
      <c r="Y39" s="7">
        <f t="shared" si="39"/>
        <v>1281212.4496929385</v>
      </c>
    </row>
    <row r="40" spans="1:27" ht="14.4" thickBot="1" x14ac:dyDescent="0.3">
      <c r="A40" s="12" t="s">
        <v>20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</row>
    <row r="41" spans="1:27" ht="14.4" thickBot="1" x14ac:dyDescent="0.3">
      <c r="A41" s="26" t="s">
        <v>21</v>
      </c>
      <c r="B41" s="16">
        <f>B39-B40</f>
        <v>-75111.111111111109</v>
      </c>
      <c r="C41" s="16">
        <f t="shared" ref="C41:Y41" si="40">C39-C40</f>
        <v>-56611.111111111109</v>
      </c>
      <c r="D41" s="16">
        <f t="shared" si="40"/>
        <v>-36261.111111111109</v>
      </c>
      <c r="E41" s="16">
        <f t="shared" si="40"/>
        <v>-13876.111111111111</v>
      </c>
      <c r="F41" s="16">
        <f t="shared" si="40"/>
        <v>-4252.6111111111113</v>
      </c>
      <c r="G41" s="16">
        <f t="shared" si="40"/>
        <v>22833.238888888867</v>
      </c>
      <c r="H41" s="16">
        <f t="shared" si="40"/>
        <v>52627.673888888807</v>
      </c>
      <c r="I41" s="16">
        <f t="shared" si="40"/>
        <v>85401.552388888857</v>
      </c>
      <c r="J41" s="16">
        <f t="shared" si="40"/>
        <v>106452.81873888879</v>
      </c>
      <c r="K41" s="16">
        <f t="shared" si="40"/>
        <v>146109.21172388882</v>
      </c>
      <c r="L41" s="16">
        <f t="shared" si="40"/>
        <v>189731.24400738883</v>
      </c>
      <c r="M41" s="16">
        <f t="shared" si="40"/>
        <v>237715.47951923881</v>
      </c>
      <c r="N41" s="16">
        <f t="shared" si="40"/>
        <v>214732.88286165174</v>
      </c>
      <c r="O41" s="16">
        <f t="shared" si="40"/>
        <v>275618.39337003906</v>
      </c>
      <c r="P41" s="16">
        <f t="shared" si="40"/>
        <v>342592.45492926519</v>
      </c>
      <c r="Q41" s="16">
        <f t="shared" si="40"/>
        <v>416263.92264441401</v>
      </c>
      <c r="R41" s="16">
        <f t="shared" si="40"/>
        <v>466402.53713107773</v>
      </c>
      <c r="S41" s="16">
        <f t="shared" si="40"/>
        <v>555545.01306640764</v>
      </c>
      <c r="T41" s="16">
        <f t="shared" si="40"/>
        <v>653601.73659527046</v>
      </c>
      <c r="U41" s="16">
        <f t="shared" si="40"/>
        <v>761464.13247701991</v>
      </c>
      <c r="V41" s="16">
        <f t="shared" si="40"/>
        <v>849212.76794694434</v>
      </c>
      <c r="W41" s="16">
        <f t="shared" si="40"/>
        <v>979726.26696386095</v>
      </c>
      <c r="X41" s="16">
        <f t="shared" si="40"/>
        <v>1123291.1158824691</v>
      </c>
      <c r="Y41" s="17">
        <f t="shared" si="40"/>
        <v>1281212.4496929385</v>
      </c>
      <c r="Z41" s="3"/>
      <c r="AA41" s="3"/>
    </row>
    <row r="42" spans="1:27" x14ac:dyDescent="0.25">
      <c r="A42" s="22" t="s">
        <v>22</v>
      </c>
      <c r="B42" s="23">
        <f>B38</f>
        <v>11111.111111111111</v>
      </c>
      <c r="C42" s="23">
        <f t="shared" ref="C42:X42" si="41">C38</f>
        <v>11111.111111111111</v>
      </c>
      <c r="D42" s="23">
        <f t="shared" si="41"/>
        <v>11111.111111111111</v>
      </c>
      <c r="E42" s="23">
        <f t="shared" si="41"/>
        <v>11111.111111111111</v>
      </c>
      <c r="F42" s="23">
        <f t="shared" si="41"/>
        <v>11111.111111111111</v>
      </c>
      <c r="G42" s="23">
        <f t="shared" si="41"/>
        <v>11111.111111111111</v>
      </c>
      <c r="H42" s="23">
        <f t="shared" si="41"/>
        <v>11111.111111111111</v>
      </c>
      <c r="I42" s="23">
        <f t="shared" si="41"/>
        <v>11111.111111111111</v>
      </c>
      <c r="J42" s="23">
        <f t="shared" si="41"/>
        <v>11111.111111111111</v>
      </c>
      <c r="K42" s="23">
        <f t="shared" si="41"/>
        <v>11111.111111111111</v>
      </c>
      <c r="L42" s="23">
        <f t="shared" si="41"/>
        <v>11111.111111111111</v>
      </c>
      <c r="M42" s="23">
        <f t="shared" si="41"/>
        <v>11111.111111111111</v>
      </c>
      <c r="N42" s="23">
        <f t="shared" si="41"/>
        <v>22222.222222222223</v>
      </c>
      <c r="O42" s="23">
        <f t="shared" si="41"/>
        <v>22222.222222222223</v>
      </c>
      <c r="P42" s="23">
        <f>P38</f>
        <v>22222.222222222223</v>
      </c>
      <c r="Q42" s="23">
        <f t="shared" si="41"/>
        <v>22222.222222222223</v>
      </c>
      <c r="R42" s="23">
        <f t="shared" si="41"/>
        <v>22222.222222222223</v>
      </c>
      <c r="S42" s="23">
        <f t="shared" si="41"/>
        <v>22222.222222222223</v>
      </c>
      <c r="T42" s="23">
        <f>T38</f>
        <v>22222.222222222223</v>
      </c>
      <c r="U42" s="23">
        <f t="shared" si="41"/>
        <v>22222.222222222223</v>
      </c>
      <c r="V42" s="23">
        <f t="shared" si="41"/>
        <v>22222.222222222223</v>
      </c>
      <c r="W42" s="23">
        <f t="shared" si="41"/>
        <v>22222.222222222223</v>
      </c>
      <c r="X42" s="23">
        <f t="shared" si="41"/>
        <v>22222.222222222223</v>
      </c>
      <c r="Y42" s="23">
        <f>Y38</f>
        <v>22222.222222222223</v>
      </c>
      <c r="Z42" s="3"/>
      <c r="AA42" s="3"/>
    </row>
    <row r="43" spans="1:27" x14ac:dyDescent="0.25">
      <c r="A43" s="9" t="s">
        <v>23</v>
      </c>
      <c r="B43" s="7">
        <f>B41+B42</f>
        <v>-64000</v>
      </c>
      <c r="C43" s="7">
        <f t="shared" ref="C43:Y43" si="42">C41+C42</f>
        <v>-45500</v>
      </c>
      <c r="D43" s="7">
        <f t="shared" si="42"/>
        <v>-25150</v>
      </c>
      <c r="E43" s="7">
        <f t="shared" si="42"/>
        <v>-2765</v>
      </c>
      <c r="F43" s="7">
        <f t="shared" si="42"/>
        <v>6858.5</v>
      </c>
      <c r="G43" s="7">
        <f t="shared" si="42"/>
        <v>33944.349999999977</v>
      </c>
      <c r="H43" s="7">
        <f t="shared" si="42"/>
        <v>63738.784999999916</v>
      </c>
      <c r="I43" s="7">
        <f t="shared" si="42"/>
        <v>96512.663499999966</v>
      </c>
      <c r="J43" s="7">
        <f t="shared" si="42"/>
        <v>117563.9298499999</v>
      </c>
      <c r="K43" s="7">
        <f t="shared" si="42"/>
        <v>157220.32283499994</v>
      </c>
      <c r="L43" s="7">
        <f t="shared" si="42"/>
        <v>200842.35511849995</v>
      </c>
      <c r="M43" s="7">
        <f t="shared" si="42"/>
        <v>248826.59063034994</v>
      </c>
      <c r="N43" s="7">
        <f t="shared" si="42"/>
        <v>236955.10508387396</v>
      </c>
      <c r="O43" s="7">
        <f t="shared" si="42"/>
        <v>297840.61559226131</v>
      </c>
      <c r="P43" s="7">
        <f t="shared" si="42"/>
        <v>364814.67715148744</v>
      </c>
      <c r="Q43" s="7">
        <f t="shared" si="42"/>
        <v>438486.14486663626</v>
      </c>
      <c r="R43" s="7">
        <f t="shared" si="42"/>
        <v>488624.75935329997</v>
      </c>
      <c r="S43" s="7">
        <f t="shared" si="42"/>
        <v>577767.23528862989</v>
      </c>
      <c r="T43" s="7">
        <f t="shared" si="42"/>
        <v>675823.9588174927</v>
      </c>
      <c r="U43" s="7">
        <f t="shared" si="42"/>
        <v>783686.35469924216</v>
      </c>
      <c r="V43" s="7">
        <f t="shared" si="42"/>
        <v>871434.99016916659</v>
      </c>
      <c r="W43" s="7">
        <f t="shared" si="42"/>
        <v>1001948.4891860832</v>
      </c>
      <c r="X43" s="7">
        <f t="shared" si="42"/>
        <v>1145513.3381046914</v>
      </c>
      <c r="Y43" s="7">
        <f t="shared" si="42"/>
        <v>1303434.6719151607</v>
      </c>
    </row>
    <row r="44" spans="1:27" x14ac:dyDescent="0.25">
      <c r="A44" s="6" t="s">
        <v>30</v>
      </c>
      <c r="B44" s="7">
        <f t="shared" ref="B44:Y44" si="43">B63</f>
        <v>170000</v>
      </c>
      <c r="C44" s="7">
        <f t="shared" si="43"/>
        <v>17000</v>
      </c>
      <c r="D44" s="7">
        <f t="shared" si="43"/>
        <v>18700</v>
      </c>
      <c r="E44" s="7">
        <f t="shared" si="43"/>
        <v>20570</v>
      </c>
      <c r="F44" s="7">
        <f t="shared" si="43"/>
        <v>22627</v>
      </c>
      <c r="G44" s="7">
        <f t="shared" si="43"/>
        <v>24889.699999999983</v>
      </c>
      <c r="H44" s="7">
        <f t="shared" si="43"/>
        <v>27378.669999999955</v>
      </c>
      <c r="I44" s="7">
        <f t="shared" si="43"/>
        <v>30116.537000000069</v>
      </c>
      <c r="J44" s="7">
        <f t="shared" si="43"/>
        <v>33128.190699999919</v>
      </c>
      <c r="K44" s="7">
        <f t="shared" si="43"/>
        <v>36441.009770000062</v>
      </c>
      <c r="L44" s="7">
        <f t="shared" si="43"/>
        <v>40085.110747000028</v>
      </c>
      <c r="M44" s="7">
        <f t="shared" si="43"/>
        <v>44093.621821699839</v>
      </c>
      <c r="N44" s="7">
        <f t="shared" si="43"/>
        <v>75179.625205998716</v>
      </c>
      <c r="O44" s="7">
        <f t="shared" si="43"/>
        <v>56020.946524469648</v>
      </c>
      <c r="P44" s="7">
        <f t="shared" si="43"/>
        <v>61623.041176916915</v>
      </c>
      <c r="Q44" s="7">
        <f t="shared" si="43"/>
        <v>67785.345294608502</v>
      </c>
      <c r="R44" s="7">
        <f t="shared" si="43"/>
        <v>74563.879824069445</v>
      </c>
      <c r="S44" s="7">
        <f t="shared" si="43"/>
        <v>82020.267806476215</v>
      </c>
      <c r="T44" s="7">
        <f t="shared" si="43"/>
        <v>90222.29458712379</v>
      </c>
      <c r="U44" s="7">
        <f t="shared" si="43"/>
        <v>99244.524045836413</v>
      </c>
      <c r="V44" s="7">
        <f t="shared" si="43"/>
        <v>109168.9764504201</v>
      </c>
      <c r="W44" s="7">
        <f t="shared" si="43"/>
        <v>120085.8740954618</v>
      </c>
      <c r="X44" s="7">
        <f t="shared" si="43"/>
        <v>132094.46150500816</v>
      </c>
      <c r="Y44" s="7">
        <f t="shared" si="43"/>
        <v>145303.90765550919</v>
      </c>
    </row>
    <row r="45" spans="1:27" ht="14.4" thickBot="1" x14ac:dyDescent="0.3">
      <c r="A45" s="12" t="s">
        <v>31</v>
      </c>
      <c r="B45" s="21">
        <f t="shared" ref="B45:Y45" si="44">B66</f>
        <v>400000</v>
      </c>
      <c r="C45" s="21">
        <f t="shared" si="44"/>
        <v>0</v>
      </c>
      <c r="D45" s="21">
        <f t="shared" si="44"/>
        <v>0</v>
      </c>
      <c r="E45" s="21">
        <f t="shared" si="44"/>
        <v>0</v>
      </c>
      <c r="F45" s="21">
        <f t="shared" si="44"/>
        <v>0</v>
      </c>
      <c r="G45" s="21">
        <f t="shared" si="44"/>
        <v>0</v>
      </c>
      <c r="H45" s="21">
        <f t="shared" si="44"/>
        <v>0</v>
      </c>
      <c r="I45" s="21">
        <f t="shared" si="44"/>
        <v>0</v>
      </c>
      <c r="J45" s="21">
        <f t="shared" si="44"/>
        <v>0</v>
      </c>
      <c r="K45" s="21">
        <f t="shared" si="44"/>
        <v>0</v>
      </c>
      <c r="L45" s="21">
        <f t="shared" si="44"/>
        <v>0</v>
      </c>
      <c r="M45" s="21">
        <f t="shared" si="44"/>
        <v>0</v>
      </c>
      <c r="N45" s="21">
        <f t="shared" si="44"/>
        <v>400000</v>
      </c>
      <c r="O45" s="21">
        <f t="shared" si="44"/>
        <v>0</v>
      </c>
      <c r="P45" s="21">
        <f t="shared" si="44"/>
        <v>0</v>
      </c>
      <c r="Q45" s="21">
        <f t="shared" si="44"/>
        <v>0</v>
      </c>
      <c r="R45" s="21">
        <f t="shared" si="44"/>
        <v>0</v>
      </c>
      <c r="S45" s="21">
        <f t="shared" si="44"/>
        <v>0</v>
      </c>
      <c r="T45" s="21">
        <f t="shared" si="44"/>
        <v>0</v>
      </c>
      <c r="U45" s="21">
        <f t="shared" si="44"/>
        <v>0</v>
      </c>
      <c r="V45" s="21">
        <f t="shared" si="44"/>
        <v>0</v>
      </c>
      <c r="W45" s="21">
        <f t="shared" si="44"/>
        <v>0</v>
      </c>
      <c r="X45" s="21">
        <f t="shared" si="44"/>
        <v>0</v>
      </c>
      <c r="Y45" s="21">
        <f t="shared" si="44"/>
        <v>0</v>
      </c>
    </row>
    <row r="46" spans="1:27" ht="14.4" thickBot="1" x14ac:dyDescent="0.3">
      <c r="A46" s="33" t="s">
        <v>32</v>
      </c>
      <c r="B46" s="16">
        <f>B43-B44-B45</f>
        <v>-634000</v>
      </c>
      <c r="C46" s="16">
        <f t="shared" ref="C46:Y46" si="45">C43-C44-C45</f>
        <v>-62500</v>
      </c>
      <c r="D46" s="16">
        <f t="shared" si="45"/>
        <v>-43850</v>
      </c>
      <c r="E46" s="16">
        <f t="shared" si="45"/>
        <v>-23335</v>
      </c>
      <c r="F46" s="16">
        <f t="shared" si="45"/>
        <v>-15768.5</v>
      </c>
      <c r="G46" s="16">
        <f t="shared" si="45"/>
        <v>9054.6499999999942</v>
      </c>
      <c r="H46" s="16">
        <f t="shared" si="45"/>
        <v>36360.114999999962</v>
      </c>
      <c r="I46" s="16">
        <f t="shared" si="45"/>
        <v>66396.126499999897</v>
      </c>
      <c r="J46" s="16">
        <f t="shared" si="45"/>
        <v>84435.739149999979</v>
      </c>
      <c r="K46" s="16">
        <f t="shared" si="45"/>
        <v>120779.31306499988</v>
      </c>
      <c r="L46" s="16">
        <f t="shared" si="45"/>
        <v>160757.24437149992</v>
      </c>
      <c r="M46" s="16">
        <f t="shared" si="45"/>
        <v>204732.9688086501</v>
      </c>
      <c r="N46" s="16">
        <f t="shared" si="45"/>
        <v>-238224.52012212476</v>
      </c>
      <c r="O46" s="16">
        <f t="shared" si="45"/>
        <v>241819.66906779166</v>
      </c>
      <c r="P46" s="16">
        <f t="shared" si="45"/>
        <v>303191.63597457053</v>
      </c>
      <c r="Q46" s="16">
        <f t="shared" si="45"/>
        <v>370700.79957202775</v>
      </c>
      <c r="R46" s="16">
        <f t="shared" si="45"/>
        <v>414060.87952923053</v>
      </c>
      <c r="S46" s="16">
        <f t="shared" si="45"/>
        <v>495746.96748215368</v>
      </c>
      <c r="T46" s="16">
        <f t="shared" si="45"/>
        <v>585601.66423036892</v>
      </c>
      <c r="U46" s="16">
        <f t="shared" si="45"/>
        <v>684441.83065340575</v>
      </c>
      <c r="V46" s="16">
        <f t="shared" si="45"/>
        <v>762266.01371874649</v>
      </c>
      <c r="W46" s="16">
        <f t="shared" si="45"/>
        <v>881862.6150906214</v>
      </c>
      <c r="X46" s="16">
        <f t="shared" si="45"/>
        <v>1013418.8765996832</v>
      </c>
      <c r="Y46" s="17">
        <f t="shared" si="45"/>
        <v>1158130.7642596515</v>
      </c>
    </row>
    <row r="47" spans="1:27" ht="14.4" x14ac:dyDescent="0.3">
      <c r="A47" s="31" t="s">
        <v>41</v>
      </c>
      <c r="B47" s="32">
        <f>$B$76</f>
        <v>1.2083333333333333E-2</v>
      </c>
      <c r="C47" s="32">
        <f>$B$76</f>
        <v>1.2083333333333333E-2</v>
      </c>
      <c r="D47" s="32">
        <f>$B$76</f>
        <v>1.2083333333333333E-2</v>
      </c>
      <c r="E47" s="32">
        <f>$B$76</f>
        <v>1.2083333333333333E-2</v>
      </c>
      <c r="F47" s="32">
        <f>$B$76</f>
        <v>1.2083333333333333E-2</v>
      </c>
      <c r="G47" s="32">
        <f>$B$76</f>
        <v>1.2083333333333333E-2</v>
      </c>
      <c r="H47" s="32">
        <f>$B$76</f>
        <v>1.2083333333333333E-2</v>
      </c>
      <c r="I47" s="32">
        <f>$B$76</f>
        <v>1.2083333333333333E-2</v>
      </c>
      <c r="J47" s="32">
        <f>$B$76</f>
        <v>1.2083333333333333E-2</v>
      </c>
      <c r="K47" s="32">
        <f>$B$76</f>
        <v>1.2083333333333333E-2</v>
      </c>
      <c r="L47" s="32">
        <f>$B$76</f>
        <v>1.2083333333333333E-2</v>
      </c>
      <c r="M47" s="32">
        <f>$B$76</f>
        <v>1.2083333333333333E-2</v>
      </c>
      <c r="N47" s="32">
        <f>$B$76</f>
        <v>1.2083333333333333E-2</v>
      </c>
      <c r="O47" s="32">
        <f>$B$76</f>
        <v>1.2083333333333333E-2</v>
      </c>
      <c r="P47" s="32">
        <f>$B$76</f>
        <v>1.2083333333333333E-2</v>
      </c>
      <c r="Q47" s="32">
        <f>$B$76</f>
        <v>1.2083333333333333E-2</v>
      </c>
      <c r="R47" s="32">
        <f>$B$76</f>
        <v>1.2083333333333333E-2</v>
      </c>
      <c r="S47" s="32">
        <f>$B$76</f>
        <v>1.2083333333333333E-2</v>
      </c>
      <c r="T47" s="32">
        <f>$B$76</f>
        <v>1.2083333333333333E-2</v>
      </c>
      <c r="U47" s="32">
        <f>$B$76</f>
        <v>1.2083333333333333E-2</v>
      </c>
      <c r="V47" s="32">
        <f>$B$76</f>
        <v>1.2083333333333333E-2</v>
      </c>
      <c r="W47" s="32">
        <f>$B$76</f>
        <v>1.2083333333333333E-2</v>
      </c>
      <c r="X47" s="32">
        <f>$B$76</f>
        <v>1.2083333333333333E-2</v>
      </c>
      <c r="Y47" s="32">
        <f>$B$76</f>
        <v>1.2083333333333333E-2</v>
      </c>
    </row>
    <row r="48" spans="1:27" x14ac:dyDescent="0.25">
      <c r="A48" s="9" t="s">
        <v>40</v>
      </c>
      <c r="B48" s="7">
        <f t="shared" ref="B48:Y48" si="46">B46/(1+B47)^B2</f>
        <v>-626430.62988884316</v>
      </c>
      <c r="C48" s="7">
        <f t="shared" si="46"/>
        <v>-61016.525139401594</v>
      </c>
      <c r="D48" s="7">
        <f t="shared" si="46"/>
        <v>-42298.092091696162</v>
      </c>
      <c r="E48" s="7">
        <f t="shared" si="46"/>
        <v>-22240.406091759472</v>
      </c>
      <c r="F48" s="7">
        <f t="shared" si="46"/>
        <v>-14849.403792788822</v>
      </c>
      <c r="G48" s="7">
        <f t="shared" si="46"/>
        <v>8425.0799171911294</v>
      </c>
      <c r="H48" s="7">
        <f t="shared" si="46"/>
        <v>33428.072582910936</v>
      </c>
      <c r="I48" s="7">
        <f t="shared" si="46"/>
        <v>60313.226076951993</v>
      </c>
      <c r="J48" s="7">
        <f t="shared" si="46"/>
        <v>75784.406131220545</v>
      </c>
      <c r="K48" s="7">
        <f t="shared" si="46"/>
        <v>107109.95190076984</v>
      </c>
      <c r="L48" s="7">
        <f t="shared" si="46"/>
        <v>140861.25359368112</v>
      </c>
      <c r="M48" s="7">
        <f t="shared" si="46"/>
        <v>177252.55621971819</v>
      </c>
      <c r="N48" s="7">
        <f t="shared" si="46"/>
        <v>-203786.26544224328</v>
      </c>
      <c r="O48" s="7">
        <f t="shared" si="46"/>
        <v>204391.95570673686</v>
      </c>
      <c r="P48" s="7">
        <f t="shared" si="46"/>
        <v>253205.49128132773</v>
      </c>
      <c r="Q48" s="7">
        <f t="shared" si="46"/>
        <v>305888.50243358262</v>
      </c>
      <c r="R48" s="7">
        <f t="shared" si="46"/>
        <v>337588.43299960409</v>
      </c>
      <c r="S48" s="7">
        <f t="shared" si="46"/>
        <v>399362.37884256884</v>
      </c>
      <c r="T48" s="7">
        <f t="shared" si="46"/>
        <v>466115.03687615902</v>
      </c>
      <c r="U48" s="7">
        <f t="shared" si="46"/>
        <v>538283.51828357182</v>
      </c>
      <c r="V48" s="7">
        <f t="shared" si="46"/>
        <v>592331.49038503086</v>
      </c>
      <c r="W48" s="7">
        <f t="shared" si="46"/>
        <v>677084.58093218668</v>
      </c>
      <c r="X48" s="7">
        <f t="shared" si="46"/>
        <v>768802.36090312258</v>
      </c>
      <c r="Y48" s="7">
        <f t="shared" si="46"/>
        <v>868094.57862537552</v>
      </c>
    </row>
    <row r="49" spans="1:25" x14ac:dyDescent="0.25">
      <c r="A49" s="9" t="s">
        <v>43</v>
      </c>
      <c r="B49" s="81">
        <f>SUM(B48:Y48)</f>
        <v>5043701.5512449779</v>
      </c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</row>
    <row r="50" spans="1:25" x14ac:dyDescent="0.25">
      <c r="A50" s="9" t="s">
        <v>44</v>
      </c>
      <c r="B50" s="82">
        <f>(Y46*(1+B80)/(B76-B80))</f>
        <v>311408494.38981742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</row>
    <row r="51" spans="1:25" x14ac:dyDescent="0.25">
      <c r="A51" s="9" t="s">
        <v>47</v>
      </c>
      <c r="B51" s="81">
        <f>B50/(1+B76)^24</f>
        <v>233420986.69704542</v>
      </c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</row>
    <row r="52" spans="1:25" ht="14.4" thickBot="1" x14ac:dyDescent="0.3">
      <c r="A52" s="34" t="s">
        <v>48</v>
      </c>
      <c r="B52" s="83">
        <f>B80</f>
        <v>8.3333333333333332E-3</v>
      </c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</row>
    <row r="53" spans="1:25" ht="14.4" thickBot="1" x14ac:dyDescent="0.3">
      <c r="A53" s="35" t="s">
        <v>49</v>
      </c>
      <c r="B53" s="85">
        <f>B49+B51</f>
        <v>238464688.24829039</v>
      </c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7"/>
    </row>
    <row r="56" spans="1:25" x14ac:dyDescent="0.25">
      <c r="A56" s="8" t="s">
        <v>24</v>
      </c>
      <c r="B56" s="5">
        <v>45017</v>
      </c>
      <c r="C56" s="5">
        <v>45047</v>
      </c>
      <c r="D56" s="5">
        <v>45078</v>
      </c>
      <c r="E56" s="5">
        <v>45108</v>
      </c>
      <c r="F56" s="5">
        <v>45139</v>
      </c>
      <c r="G56" s="5">
        <v>45170</v>
      </c>
      <c r="H56" s="5">
        <v>45200</v>
      </c>
      <c r="I56" s="5">
        <v>45231</v>
      </c>
      <c r="J56" s="5">
        <v>45261</v>
      </c>
      <c r="K56" s="5">
        <v>45292</v>
      </c>
      <c r="L56" s="5">
        <v>45323</v>
      </c>
      <c r="M56" s="5">
        <v>45352</v>
      </c>
      <c r="N56" s="5">
        <v>45383</v>
      </c>
      <c r="O56" s="5">
        <v>45413</v>
      </c>
      <c r="P56" s="5">
        <v>45444</v>
      </c>
      <c r="Q56" s="5">
        <v>45474</v>
      </c>
      <c r="R56" s="5">
        <v>45505</v>
      </c>
      <c r="S56" s="5">
        <v>45536</v>
      </c>
      <c r="T56" s="5">
        <v>45566</v>
      </c>
      <c r="U56" s="5">
        <v>45597</v>
      </c>
      <c r="V56" s="5">
        <v>45627</v>
      </c>
      <c r="W56" s="5">
        <v>45658</v>
      </c>
      <c r="X56" s="5">
        <v>45689</v>
      </c>
      <c r="Y56" s="5">
        <v>45717</v>
      </c>
    </row>
    <row r="57" spans="1:25" x14ac:dyDescent="0.25">
      <c r="A57" s="6" t="s">
        <v>103</v>
      </c>
      <c r="B57" s="7">
        <f t="shared" ref="B57:Y57" si="47">B6</f>
        <v>320000</v>
      </c>
      <c r="C57" s="7">
        <f t="shared" si="47"/>
        <v>352000</v>
      </c>
      <c r="D57" s="7">
        <f t="shared" si="47"/>
        <v>387200</v>
      </c>
      <c r="E57" s="7">
        <f t="shared" si="47"/>
        <v>425920</v>
      </c>
      <c r="F57" s="7">
        <f t="shared" si="47"/>
        <v>468512</v>
      </c>
      <c r="G57" s="7">
        <f t="shared" si="47"/>
        <v>515363.19999999995</v>
      </c>
      <c r="H57" s="7">
        <f t="shared" si="47"/>
        <v>566899.5199999999</v>
      </c>
      <c r="I57" s="7">
        <f t="shared" si="47"/>
        <v>623589.47199999995</v>
      </c>
      <c r="J57" s="7">
        <f t="shared" si="47"/>
        <v>685948.41919999989</v>
      </c>
      <c r="K57" s="7">
        <f t="shared" si="47"/>
        <v>754543.26111999992</v>
      </c>
      <c r="L57" s="7">
        <f t="shared" si="47"/>
        <v>829997.58723199996</v>
      </c>
      <c r="M57" s="7">
        <f t="shared" si="47"/>
        <v>912997.34595519979</v>
      </c>
      <c r="N57" s="7">
        <f t="shared" si="47"/>
        <v>1054511.934578256</v>
      </c>
      <c r="O57" s="7">
        <f t="shared" si="47"/>
        <v>1159963.1280360813</v>
      </c>
      <c r="P57" s="7">
        <f t="shared" si="47"/>
        <v>1275959.4408396897</v>
      </c>
      <c r="Q57" s="7">
        <f t="shared" si="47"/>
        <v>1403555.3849236586</v>
      </c>
      <c r="R57" s="7">
        <f t="shared" si="47"/>
        <v>1543910.9234160245</v>
      </c>
      <c r="S57" s="7">
        <f t="shared" si="47"/>
        <v>1698302.0157576269</v>
      </c>
      <c r="T57" s="7">
        <f t="shared" si="47"/>
        <v>1868132.2173333894</v>
      </c>
      <c r="U57" s="7">
        <f t="shared" si="47"/>
        <v>2054945.4390667286</v>
      </c>
      <c r="V57" s="7">
        <f t="shared" si="47"/>
        <v>2260439.9829734014</v>
      </c>
      <c r="W57" s="7">
        <f t="shared" si="47"/>
        <v>2486483.9812707417</v>
      </c>
      <c r="X57" s="7">
        <f t="shared" si="47"/>
        <v>2735132.3793978156</v>
      </c>
      <c r="Y57" s="7">
        <f t="shared" si="47"/>
        <v>3008645.6173375975</v>
      </c>
    </row>
    <row r="58" spans="1:25" x14ac:dyDescent="0.25">
      <c r="A58" s="6" t="s">
        <v>25</v>
      </c>
      <c r="B58" s="7">
        <f>B57-0</f>
        <v>320000</v>
      </c>
      <c r="C58" s="7">
        <f>C57-B57</f>
        <v>32000</v>
      </c>
      <c r="D58" s="7">
        <f>D57-C57</f>
        <v>35200</v>
      </c>
      <c r="E58" s="7">
        <f>E57-D57</f>
        <v>38720</v>
      </c>
      <c r="F58" s="7">
        <f>F57-E57</f>
        <v>42592</v>
      </c>
      <c r="G58" s="7">
        <f t="shared" ref="G58:Y58" si="48">G57-F57</f>
        <v>46851.199999999953</v>
      </c>
      <c r="H58" s="7">
        <f t="shared" si="48"/>
        <v>51536.319999999949</v>
      </c>
      <c r="I58" s="7">
        <f t="shared" si="48"/>
        <v>56689.952000000048</v>
      </c>
      <c r="J58" s="7">
        <f t="shared" si="48"/>
        <v>62358.947199999937</v>
      </c>
      <c r="K58" s="7">
        <f t="shared" si="48"/>
        <v>68594.841920000035</v>
      </c>
      <c r="L58" s="7">
        <f t="shared" si="48"/>
        <v>75454.326112000039</v>
      </c>
      <c r="M58" s="7">
        <f t="shared" si="48"/>
        <v>82999.758723199833</v>
      </c>
      <c r="N58" s="7">
        <f t="shared" si="48"/>
        <v>141514.58862305619</v>
      </c>
      <c r="O58" s="7">
        <f t="shared" si="48"/>
        <v>105451.19345782534</v>
      </c>
      <c r="P58" s="7">
        <f t="shared" si="48"/>
        <v>115996.31280360837</v>
      </c>
      <c r="Q58" s="7">
        <f t="shared" si="48"/>
        <v>127595.94408396888</v>
      </c>
      <c r="R58" s="7">
        <f t="shared" si="48"/>
        <v>140355.53849236597</v>
      </c>
      <c r="S58" s="7">
        <f t="shared" si="48"/>
        <v>154391.09234160231</v>
      </c>
      <c r="T58" s="7">
        <f t="shared" si="48"/>
        <v>169830.20157576259</v>
      </c>
      <c r="U58" s="7">
        <f t="shared" si="48"/>
        <v>186813.22173333913</v>
      </c>
      <c r="V58" s="7">
        <f t="shared" si="48"/>
        <v>205494.54390667286</v>
      </c>
      <c r="W58" s="7">
        <f t="shared" si="48"/>
        <v>226043.99829734024</v>
      </c>
      <c r="X58" s="7">
        <f t="shared" si="48"/>
        <v>248648.39812707389</v>
      </c>
      <c r="Y58" s="7">
        <f t="shared" si="48"/>
        <v>273513.23793978198</v>
      </c>
    </row>
    <row r="59" spans="1:2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x14ac:dyDescent="0.25">
      <c r="A60" s="6" t="s">
        <v>51</v>
      </c>
      <c r="B60" s="7">
        <f t="shared" ref="B60:Y60" si="49">B4*B11</f>
        <v>150000</v>
      </c>
      <c r="C60" s="7">
        <f t="shared" si="49"/>
        <v>165000</v>
      </c>
      <c r="D60" s="7">
        <f t="shared" si="49"/>
        <v>181500</v>
      </c>
      <c r="E60" s="7">
        <f t="shared" si="49"/>
        <v>199650</v>
      </c>
      <c r="F60" s="7">
        <f t="shared" si="49"/>
        <v>219615</v>
      </c>
      <c r="G60" s="7">
        <f t="shared" si="49"/>
        <v>241576.49999999997</v>
      </c>
      <c r="H60" s="7">
        <f t="shared" si="49"/>
        <v>265734.14999999997</v>
      </c>
      <c r="I60" s="7">
        <f t="shared" si="49"/>
        <v>292307.56499999994</v>
      </c>
      <c r="J60" s="7">
        <f t="shared" si="49"/>
        <v>321538.32149999996</v>
      </c>
      <c r="K60" s="7">
        <f t="shared" si="49"/>
        <v>353692.15364999993</v>
      </c>
      <c r="L60" s="7">
        <f t="shared" si="49"/>
        <v>389061.36901499995</v>
      </c>
      <c r="M60" s="7">
        <f t="shared" si="49"/>
        <v>427967.50591649994</v>
      </c>
      <c r="N60" s="7">
        <f t="shared" si="49"/>
        <v>494302.46933355741</v>
      </c>
      <c r="O60" s="7">
        <f t="shared" si="49"/>
        <v>543732.71626691311</v>
      </c>
      <c r="P60" s="7">
        <f t="shared" si="49"/>
        <v>598105.98789360456</v>
      </c>
      <c r="Q60" s="7">
        <f t="shared" si="49"/>
        <v>657916.58668296493</v>
      </c>
      <c r="R60" s="7">
        <f t="shared" si="49"/>
        <v>723708.24535126146</v>
      </c>
      <c r="S60" s="7">
        <f t="shared" si="49"/>
        <v>796079.06988638756</v>
      </c>
      <c r="T60" s="7">
        <f t="shared" si="49"/>
        <v>875686.97687502636</v>
      </c>
      <c r="U60" s="7">
        <f t="shared" si="49"/>
        <v>963255.67456252908</v>
      </c>
      <c r="V60" s="7">
        <f t="shared" si="49"/>
        <v>1059581.2420187818</v>
      </c>
      <c r="W60" s="7">
        <f t="shared" si="49"/>
        <v>1165539.3662206603</v>
      </c>
      <c r="X60" s="7">
        <f t="shared" si="49"/>
        <v>1282093.302842726</v>
      </c>
      <c r="Y60" s="7">
        <f t="shared" si="49"/>
        <v>1410302.6331269988</v>
      </c>
    </row>
    <row r="61" spans="1:25" x14ac:dyDescent="0.25">
      <c r="A61" s="6" t="s">
        <v>26</v>
      </c>
      <c r="B61" s="7">
        <f>B60-0</f>
        <v>150000</v>
      </c>
      <c r="C61" s="7">
        <f>C60-B60</f>
        <v>15000</v>
      </c>
      <c r="D61" s="7">
        <f t="shared" ref="D61:I61" si="50">D60-C60</f>
        <v>16500</v>
      </c>
      <c r="E61" s="7">
        <f t="shared" si="50"/>
        <v>18150</v>
      </c>
      <c r="F61" s="7">
        <f t="shared" si="50"/>
        <v>19965</v>
      </c>
      <c r="G61" s="7">
        <f t="shared" si="50"/>
        <v>21961.499999999971</v>
      </c>
      <c r="H61" s="7">
        <f t="shared" si="50"/>
        <v>24157.649999999994</v>
      </c>
      <c r="I61" s="7">
        <f t="shared" si="50"/>
        <v>26573.414999999979</v>
      </c>
      <c r="J61" s="7">
        <f>J60-I60</f>
        <v>29230.756500000018</v>
      </c>
      <c r="K61" s="7">
        <f>K60-J60</f>
        <v>32153.832149999973</v>
      </c>
      <c r="L61" s="7">
        <f t="shared" ref="L61:Y61" si="51">L60-K60</f>
        <v>35369.215365000011</v>
      </c>
      <c r="M61" s="7">
        <f t="shared" si="51"/>
        <v>38906.136901499995</v>
      </c>
      <c r="N61" s="7">
        <f t="shared" si="51"/>
        <v>66334.963417057472</v>
      </c>
      <c r="O61" s="7">
        <f t="shared" si="51"/>
        <v>49430.246933355695</v>
      </c>
      <c r="P61" s="7">
        <f t="shared" si="51"/>
        <v>54373.27162669145</v>
      </c>
      <c r="Q61" s="7">
        <f t="shared" si="51"/>
        <v>59810.598789360374</v>
      </c>
      <c r="R61" s="7">
        <f t="shared" si="51"/>
        <v>65791.658668296528</v>
      </c>
      <c r="S61" s="7">
        <f t="shared" si="51"/>
        <v>72370.824535126099</v>
      </c>
      <c r="T61" s="7">
        <f t="shared" si="51"/>
        <v>79607.906988638802</v>
      </c>
      <c r="U61" s="7">
        <f t="shared" si="51"/>
        <v>87568.697687502718</v>
      </c>
      <c r="V61" s="7">
        <f t="shared" si="51"/>
        <v>96325.567456252757</v>
      </c>
      <c r="W61" s="7">
        <f t="shared" si="51"/>
        <v>105958.12420187844</v>
      </c>
      <c r="X61" s="7">
        <f t="shared" si="51"/>
        <v>116553.93662206572</v>
      </c>
      <c r="Y61" s="7">
        <f t="shared" si="51"/>
        <v>128209.33028427279</v>
      </c>
    </row>
    <row r="62" spans="1:25" ht="14.4" thickBot="1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4.4" thickBot="1" x14ac:dyDescent="0.3">
      <c r="A63" s="15" t="s">
        <v>27</v>
      </c>
      <c r="B63" s="16">
        <f>B58-B61</f>
        <v>170000</v>
      </c>
      <c r="C63" s="16">
        <f>C58-C61</f>
        <v>17000</v>
      </c>
      <c r="D63" s="16">
        <f t="shared" ref="D63:Y63" si="52">D58-D61</f>
        <v>18700</v>
      </c>
      <c r="E63" s="16">
        <f t="shared" si="52"/>
        <v>20570</v>
      </c>
      <c r="F63" s="16">
        <f t="shared" si="52"/>
        <v>22627</v>
      </c>
      <c r="G63" s="16">
        <f t="shared" si="52"/>
        <v>24889.699999999983</v>
      </c>
      <c r="H63" s="16">
        <f t="shared" si="52"/>
        <v>27378.669999999955</v>
      </c>
      <c r="I63" s="16">
        <f t="shared" si="52"/>
        <v>30116.537000000069</v>
      </c>
      <c r="J63" s="16">
        <f t="shared" si="52"/>
        <v>33128.190699999919</v>
      </c>
      <c r="K63" s="16">
        <f t="shared" si="52"/>
        <v>36441.009770000062</v>
      </c>
      <c r="L63" s="16">
        <f t="shared" si="52"/>
        <v>40085.110747000028</v>
      </c>
      <c r="M63" s="16">
        <f t="shared" si="52"/>
        <v>44093.621821699839</v>
      </c>
      <c r="N63" s="16">
        <f t="shared" si="52"/>
        <v>75179.625205998716</v>
      </c>
      <c r="O63" s="16">
        <f t="shared" si="52"/>
        <v>56020.946524469648</v>
      </c>
      <c r="P63" s="16">
        <f t="shared" si="52"/>
        <v>61623.041176916915</v>
      </c>
      <c r="Q63" s="16">
        <f t="shared" si="52"/>
        <v>67785.345294608502</v>
      </c>
      <c r="R63" s="16">
        <f t="shared" si="52"/>
        <v>74563.879824069445</v>
      </c>
      <c r="S63" s="16">
        <f t="shared" si="52"/>
        <v>82020.267806476215</v>
      </c>
      <c r="T63" s="16">
        <f t="shared" si="52"/>
        <v>90222.29458712379</v>
      </c>
      <c r="U63" s="16">
        <f t="shared" si="52"/>
        <v>99244.524045836413</v>
      </c>
      <c r="V63" s="16">
        <f t="shared" si="52"/>
        <v>109168.9764504201</v>
      </c>
      <c r="W63" s="16">
        <f t="shared" si="52"/>
        <v>120085.8740954618</v>
      </c>
      <c r="X63" s="16">
        <f t="shared" si="52"/>
        <v>132094.46150500816</v>
      </c>
      <c r="Y63" s="17">
        <f t="shared" si="52"/>
        <v>145303.90765550919</v>
      </c>
    </row>
    <row r="65" spans="1:25" ht="14.4" thickBot="1" x14ac:dyDescent="0.3">
      <c r="A65" s="75" t="s">
        <v>29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4.4" thickBot="1" x14ac:dyDescent="0.3">
      <c r="A66" s="15" t="s">
        <v>28</v>
      </c>
      <c r="B66" s="16">
        <v>400000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400000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7">
        <v>0</v>
      </c>
    </row>
    <row r="68" spans="1:25" ht="14.4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70" spans="1:25" ht="13.8" customHeight="1" x14ac:dyDescent="0.3">
      <c r="A70" s="6" t="s">
        <v>33</v>
      </c>
      <c r="B70" s="10">
        <f>0.07+(1.5*(0.12-0.07))</f>
        <v>0.14499999999999999</v>
      </c>
      <c r="C70" s="6"/>
      <c r="E70" s="76" t="s">
        <v>104</v>
      </c>
      <c r="F70" s="76"/>
      <c r="K70"/>
      <c r="L70"/>
      <c r="M70" s="102" t="s">
        <v>115</v>
      </c>
      <c r="N70" s="102"/>
      <c r="O70" s="102"/>
    </row>
    <row r="71" spans="1:25" ht="14.4" x14ac:dyDescent="0.3">
      <c r="A71" s="48" t="s">
        <v>34</v>
      </c>
      <c r="B71" s="49"/>
      <c r="C71" s="50"/>
      <c r="E71" s="11" t="s">
        <v>96</v>
      </c>
      <c r="F71" s="11" t="s">
        <v>54</v>
      </c>
      <c r="K71"/>
      <c r="L71"/>
      <c r="M71" s="102"/>
      <c r="N71" s="102"/>
      <c r="O71" s="102"/>
    </row>
    <row r="72" spans="1:25" ht="14.4" x14ac:dyDescent="0.3">
      <c r="B72" s="11" t="s">
        <v>35</v>
      </c>
      <c r="C72" s="11" t="s">
        <v>36</v>
      </c>
      <c r="E72" s="6"/>
      <c r="F72" s="7">
        <f>B53</f>
        <v>238464688.24829039</v>
      </c>
      <c r="K72"/>
      <c r="L72"/>
      <c r="M72" s="102"/>
      <c r="N72" s="102"/>
      <c r="O72" s="102"/>
    </row>
    <row r="73" spans="1:25" ht="14.4" x14ac:dyDescent="0.3">
      <c r="A73" s="6" t="s">
        <v>37</v>
      </c>
      <c r="B73" s="6">
        <v>1</v>
      </c>
      <c r="C73" s="6">
        <f>B70</f>
        <v>0.14499999999999999</v>
      </c>
      <c r="E73" s="47">
        <v>0.05</v>
      </c>
      <c r="F73" s="88">
        <f t="dataTable" ref="F73:F76" dt2D="0" dtr="0" r1="B79"/>
        <v>115154645.47162157</v>
      </c>
      <c r="K73"/>
      <c r="L73"/>
      <c r="M73" s="102"/>
      <c r="N73" s="102"/>
      <c r="O73" s="102"/>
    </row>
    <row r="74" spans="1:25" ht="15" thickBot="1" x14ac:dyDescent="0.35">
      <c r="A74" s="12" t="s">
        <v>38</v>
      </c>
      <c r="B74" s="12">
        <v>0</v>
      </c>
      <c r="C74" s="12">
        <v>0</v>
      </c>
      <c r="E74" s="47">
        <v>7.0000000000000007E-2</v>
      </c>
      <c r="F74" s="7">
        <v>144749055.73802209</v>
      </c>
      <c r="K74"/>
      <c r="L74"/>
      <c r="M74" s="102"/>
      <c r="N74" s="102"/>
      <c r="O74" s="102"/>
    </row>
    <row r="75" spans="1:25" ht="14.4" x14ac:dyDescent="0.3">
      <c r="A75" s="13" t="s">
        <v>39</v>
      </c>
      <c r="B75" s="77">
        <f>(C73*B73)+(C74*B74)*(1-0)</f>
        <v>0.14499999999999999</v>
      </c>
      <c r="C75" s="78"/>
      <c r="E75" s="47">
        <v>0.1</v>
      </c>
      <c r="F75" s="7">
        <v>238464688.24829039</v>
      </c>
      <c r="K75"/>
      <c r="L75"/>
      <c r="M75" s="102"/>
      <c r="N75" s="102"/>
      <c r="O75" s="102"/>
    </row>
    <row r="76" spans="1:25" ht="15" thickBot="1" x14ac:dyDescent="0.35">
      <c r="A76" s="14" t="s">
        <v>42</v>
      </c>
      <c r="B76" s="79">
        <f>B75/12</f>
        <v>1.2083333333333333E-2</v>
      </c>
      <c r="C76" s="80"/>
      <c r="E76" s="47">
        <v>0.12</v>
      </c>
      <c r="F76" s="7">
        <v>425895953.26882708</v>
      </c>
      <c r="K76"/>
      <c r="L76"/>
      <c r="M76" s="102"/>
      <c r="N76" s="102"/>
      <c r="O76" s="102"/>
    </row>
    <row r="77" spans="1:25" ht="14.4" x14ac:dyDescent="0.3">
      <c r="E77"/>
      <c r="F77"/>
      <c r="K77"/>
      <c r="L77"/>
      <c r="M77" s="102"/>
      <c r="N77" s="102"/>
      <c r="O77" s="102"/>
    </row>
    <row r="78" spans="1:25" ht="15" customHeight="1" thickBot="1" x14ac:dyDescent="0.35">
      <c r="C78"/>
      <c r="D78" s="104" t="s">
        <v>113</v>
      </c>
      <c r="E78" s="103"/>
      <c r="F78" s="103"/>
      <c r="G78" s="103"/>
    </row>
    <row r="79" spans="1:25" ht="13.8" customHeight="1" x14ac:dyDescent="0.3">
      <c r="A79" s="51" t="s">
        <v>45</v>
      </c>
      <c r="B79" s="52">
        <v>0.1</v>
      </c>
      <c r="C79"/>
      <c r="D79" s="103"/>
      <c r="E79" s="103"/>
      <c r="F79" s="103"/>
      <c r="G79" s="103"/>
    </row>
    <row r="80" spans="1:25" ht="14.4" customHeight="1" thickBot="1" x14ac:dyDescent="0.35">
      <c r="A80" s="53" t="s">
        <v>46</v>
      </c>
      <c r="B80" s="54">
        <f>B79/12</f>
        <v>8.3333333333333332E-3</v>
      </c>
      <c r="C80"/>
      <c r="D80" s="103"/>
      <c r="E80" s="103"/>
      <c r="F80" s="103"/>
      <c r="G80" s="103"/>
    </row>
    <row r="81" spans="1:25" ht="13.8" customHeight="1" x14ac:dyDescent="0.3">
      <c r="C81"/>
      <c r="D81" s="103"/>
      <c r="E81" s="103"/>
      <c r="F81" s="103"/>
      <c r="G81" s="103"/>
      <c r="K81"/>
      <c r="L81"/>
    </row>
    <row r="82" spans="1:25" ht="13.8" customHeight="1" x14ac:dyDescent="0.3">
      <c r="A82"/>
      <c r="C82"/>
      <c r="D82" s="103"/>
      <c r="E82" s="103"/>
      <c r="F82" s="103"/>
      <c r="G82" s="103"/>
      <c r="K82"/>
      <c r="L82"/>
    </row>
    <row r="83" spans="1:25" ht="14.4" customHeight="1" x14ac:dyDescent="0.3">
      <c r="A83"/>
      <c r="B83"/>
      <c r="C83"/>
      <c r="D83" s="103"/>
      <c r="E83" s="103"/>
      <c r="F83" s="103"/>
      <c r="G83" s="103"/>
      <c r="H83"/>
      <c r="I83"/>
      <c r="J83"/>
      <c r="K83"/>
      <c r="L83"/>
      <c r="P83"/>
      <c r="Q83"/>
      <c r="R83"/>
      <c r="S83"/>
      <c r="T83"/>
      <c r="U83"/>
      <c r="V83"/>
      <c r="W83"/>
      <c r="X83"/>
      <c r="Y83"/>
    </row>
    <row r="84" spans="1:25" ht="14.4" customHeight="1" x14ac:dyDescent="0.3">
      <c r="A84"/>
      <c r="B84"/>
      <c r="C84"/>
      <c r="D84" s="103"/>
      <c r="E84" s="103"/>
      <c r="F84" s="103"/>
      <c r="G84" s="103"/>
      <c r="H84"/>
      <c r="I84"/>
      <c r="J84"/>
      <c r="K84"/>
      <c r="L84"/>
      <c r="P84"/>
      <c r="Q84"/>
      <c r="R84"/>
      <c r="S84"/>
      <c r="T84"/>
      <c r="U84"/>
      <c r="V84"/>
      <c r="W84"/>
      <c r="X84"/>
      <c r="Y84"/>
    </row>
    <row r="85" spans="1:25" ht="14.4" customHeight="1" x14ac:dyDescent="0.3">
      <c r="A85"/>
      <c r="B85"/>
      <c r="C85"/>
      <c r="D85" s="103"/>
      <c r="E85" s="103"/>
      <c r="F85" s="103"/>
      <c r="G85" s="103"/>
      <c r="H85"/>
      <c r="I85"/>
      <c r="J85"/>
      <c r="K85"/>
      <c r="L85"/>
      <c r="P85"/>
      <c r="Q85"/>
      <c r="R85"/>
      <c r="S85"/>
      <c r="T85"/>
      <c r="U85"/>
      <c r="V85"/>
      <c r="W85"/>
      <c r="X85"/>
      <c r="Y85"/>
    </row>
    <row r="86" spans="1:25" ht="14.4" x14ac:dyDescent="0.3">
      <c r="A86"/>
      <c r="B86"/>
      <c r="C86"/>
      <c r="D86" s="103"/>
      <c r="E86" s="103"/>
      <c r="F86" s="103"/>
      <c r="G86" s="103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ht="14.4" x14ac:dyDescent="0.3">
      <c r="A87"/>
      <c r="B87"/>
      <c r="C87"/>
      <c r="D87" s="103"/>
      <c r="E87" s="103"/>
      <c r="F87" s="103"/>
      <c r="G87" s="103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ht="14.4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ht="14.4" x14ac:dyDescent="0.3">
      <c r="A89" s="1"/>
      <c r="B89" s="100">
        <v>45017</v>
      </c>
      <c r="C89" s="100">
        <v>45047</v>
      </c>
      <c r="D89" s="100">
        <v>45078</v>
      </c>
      <c r="E89" s="100">
        <v>45108</v>
      </c>
      <c r="F89" s="100">
        <v>45139</v>
      </c>
      <c r="G89" s="100">
        <v>45170</v>
      </c>
      <c r="H89" s="100">
        <v>45200</v>
      </c>
      <c r="I89" s="100">
        <v>45231</v>
      </c>
      <c r="J89" s="100">
        <v>45261</v>
      </c>
      <c r="K89" s="100">
        <v>45292</v>
      </c>
      <c r="L89" s="100">
        <v>45323</v>
      </c>
      <c r="M89" s="100">
        <v>45352</v>
      </c>
      <c r="N89" s="100">
        <v>45383</v>
      </c>
      <c r="O89" s="100">
        <v>45413</v>
      </c>
      <c r="P89" s="100">
        <v>45444</v>
      </c>
      <c r="Q89" s="100">
        <v>45474</v>
      </c>
      <c r="R89" s="100">
        <v>45505</v>
      </c>
      <c r="S89" s="100">
        <v>45536</v>
      </c>
      <c r="T89" s="100">
        <v>45566</v>
      </c>
      <c r="U89" s="100">
        <v>45597</v>
      </c>
      <c r="V89" s="100">
        <v>45627</v>
      </c>
      <c r="W89" s="100">
        <v>45658</v>
      </c>
      <c r="X89" s="100">
        <v>45689</v>
      </c>
      <c r="Y89" s="100">
        <v>45717</v>
      </c>
    </row>
    <row r="90" spans="1:25" ht="14.4" x14ac:dyDescent="0.3">
      <c r="A90" s="101" t="s">
        <v>114</v>
      </c>
      <c r="B90" s="65">
        <f>B41/1000000</f>
        <v>-7.5111111111111115E-2</v>
      </c>
      <c r="C90" s="65">
        <f t="shared" ref="C90:Y90" si="53">C41/1000000</f>
        <v>-5.6611111111111112E-2</v>
      </c>
      <c r="D90" s="65">
        <f t="shared" si="53"/>
        <v>-3.6261111111111112E-2</v>
      </c>
      <c r="E90" s="65">
        <f t="shared" si="53"/>
        <v>-1.3876111111111112E-2</v>
      </c>
      <c r="F90" s="65">
        <f>F41/1000000</f>
        <v>-4.2526111111111115E-3</v>
      </c>
      <c r="G90" s="65">
        <f t="shared" si="53"/>
        <v>2.2833238888888868E-2</v>
      </c>
      <c r="H90" s="65">
        <f t="shared" si="53"/>
        <v>5.262767388888881E-2</v>
      </c>
      <c r="I90" s="65">
        <f t="shared" si="53"/>
        <v>8.5401552388888857E-2</v>
      </c>
      <c r="J90" s="65">
        <f t="shared" si="53"/>
        <v>0.10645281873888879</v>
      </c>
      <c r="K90" s="65">
        <f t="shared" si="53"/>
        <v>0.14610921172388883</v>
      </c>
      <c r="L90" s="65">
        <f t="shared" si="53"/>
        <v>0.18973124400738883</v>
      </c>
      <c r="M90" s="65">
        <f t="shared" si="53"/>
        <v>0.2377154795192388</v>
      </c>
      <c r="N90" s="65">
        <f t="shared" si="53"/>
        <v>0.21473288286165174</v>
      </c>
      <c r="O90" s="65">
        <f t="shared" si="53"/>
        <v>0.27561839337003907</v>
      </c>
      <c r="P90" s="65">
        <f t="shared" si="53"/>
        <v>0.34259245492926521</v>
      </c>
      <c r="Q90" s="65">
        <f t="shared" si="53"/>
        <v>0.41626392264441403</v>
      </c>
      <c r="R90" s="65">
        <f t="shared" si="53"/>
        <v>0.46640253713107771</v>
      </c>
      <c r="S90" s="65">
        <f t="shared" si="53"/>
        <v>0.55554501306640769</v>
      </c>
      <c r="T90" s="65">
        <f t="shared" si="53"/>
        <v>0.65360173659527043</v>
      </c>
      <c r="U90" s="65">
        <f t="shared" si="53"/>
        <v>0.76146413247701994</v>
      </c>
      <c r="V90" s="65">
        <f t="shared" si="53"/>
        <v>0.84921276794694434</v>
      </c>
      <c r="W90" s="65">
        <f t="shared" si="53"/>
        <v>0.979726266963861</v>
      </c>
      <c r="X90" s="65">
        <f t="shared" si="53"/>
        <v>1.1232911158824692</v>
      </c>
      <c r="Y90" s="65">
        <f t="shared" si="53"/>
        <v>1.2812124496929385</v>
      </c>
    </row>
    <row r="91" spans="1:25" ht="14.4" customHeight="1" x14ac:dyDescent="0.3">
      <c r="A9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4" x14ac:dyDescent="0.3">
      <c r="A92"/>
      <c r="B92"/>
      <c r="C92"/>
      <c r="D9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4" x14ac:dyDescent="0.3">
      <c r="A93"/>
      <c r="B93"/>
      <c r="C93"/>
      <c r="D9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4" customHeight="1" x14ac:dyDescent="0.3">
      <c r="A94"/>
      <c r="B94"/>
      <c r="C94"/>
      <c r="D94"/>
    </row>
    <row r="95" spans="1:25" ht="14.4" customHeight="1" x14ac:dyDescent="0.3">
      <c r="A95"/>
      <c r="B95"/>
      <c r="C95"/>
      <c r="D95"/>
    </row>
    <row r="96" spans="1:25" ht="14.4" x14ac:dyDescent="0.3">
      <c r="A96"/>
      <c r="B96"/>
      <c r="C96"/>
      <c r="D96"/>
    </row>
    <row r="97" spans="1:25" ht="14.4" x14ac:dyDescent="0.3">
      <c r="A97"/>
      <c r="B97"/>
      <c r="C97"/>
      <c r="D97"/>
    </row>
    <row r="98" spans="1:25" ht="14.4" x14ac:dyDescent="0.3">
      <c r="A98"/>
      <c r="B98"/>
      <c r="C98"/>
      <c r="D98"/>
    </row>
    <row r="99" spans="1:25" ht="14.4" x14ac:dyDescent="0.3">
      <c r="A99"/>
      <c r="B99"/>
      <c r="C99"/>
      <c r="D99"/>
    </row>
    <row r="100" spans="1:25" ht="14.4" x14ac:dyDescent="0.3">
      <c r="A100"/>
      <c r="B100"/>
      <c r="C100"/>
      <c r="D100"/>
    </row>
    <row r="101" spans="1:25" ht="14.4" x14ac:dyDescent="0.3">
      <c r="A101"/>
      <c r="B101"/>
      <c r="C101"/>
      <c r="D101"/>
    </row>
    <row r="108" spans="1:2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9" spans="1:2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9" spans="1:25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3" spans="1:25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</sheetData>
  <mergeCells count="11">
    <mergeCell ref="M70:O77"/>
    <mergeCell ref="D78:G87"/>
    <mergeCell ref="B75:C75"/>
    <mergeCell ref="B76:C76"/>
    <mergeCell ref="E70:F70"/>
    <mergeCell ref="A1:Y1"/>
    <mergeCell ref="B49:Y49"/>
    <mergeCell ref="B50:Y50"/>
    <mergeCell ref="B51:Y51"/>
    <mergeCell ref="B52:Y52"/>
    <mergeCell ref="B53:Y53"/>
  </mergeCells>
  <hyperlinks>
    <hyperlink ref="B22" r:id="rId1" display="4@20k pm"/>
    <hyperlink ref="C22:G22" r:id="rId2" display="4@20k pm"/>
    <hyperlink ref="H22" r:id="rId3" display="4@20k pm"/>
    <hyperlink ref="I22:J22" r:id="rId4" display="4@20k pm"/>
    <hyperlink ref="K22" r:id="rId5" display="4@20k pm"/>
    <hyperlink ref="L22:M22" r:id="rId6" display="4@20k pm"/>
  </hyperlinks>
  <pageMargins left="0.7" right="0.7" top="0.75" bottom="0.75" header="0.3" footer="0.3"/>
  <pageSetup paperSize="9" orientation="portrait" verticalDpi="0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zoomScale="130" zoomScaleNormal="130" workbookViewId="0">
      <selection sqref="A1:Y1"/>
    </sheetView>
  </sheetViews>
  <sheetFormatPr defaultRowHeight="14.4" x14ac:dyDescent="0.3"/>
  <cols>
    <col min="1" max="1" width="44.5546875" customWidth="1"/>
    <col min="2" max="2" width="16" bestFit="1" customWidth="1"/>
    <col min="3" max="15" width="14.5546875" bestFit="1" customWidth="1"/>
    <col min="16" max="25" width="16" bestFit="1" customWidth="1"/>
  </cols>
  <sheetData>
    <row r="1" spans="1:25" s="1" customFormat="1" ht="22.8" x14ac:dyDescent="0.4">
      <c r="A1" s="90" t="s">
        <v>67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</row>
    <row r="2" spans="1:25" x14ac:dyDescent="0.3">
      <c r="A2" s="38" t="s">
        <v>0</v>
      </c>
      <c r="B2" s="39">
        <v>45017</v>
      </c>
      <c r="C2" s="39">
        <v>45047</v>
      </c>
      <c r="D2" s="39">
        <v>45078</v>
      </c>
      <c r="E2" s="39">
        <v>45108</v>
      </c>
      <c r="F2" s="39">
        <v>45139</v>
      </c>
      <c r="G2" s="39">
        <v>45170</v>
      </c>
      <c r="H2" s="39">
        <v>45200</v>
      </c>
      <c r="I2" s="39">
        <v>45231</v>
      </c>
      <c r="J2" s="39">
        <v>45261</v>
      </c>
      <c r="K2" s="39">
        <v>45292</v>
      </c>
      <c r="L2" s="39">
        <v>45323</v>
      </c>
      <c r="M2" s="39">
        <v>45352</v>
      </c>
      <c r="N2" s="39">
        <v>45383</v>
      </c>
      <c r="O2" s="39">
        <v>45413</v>
      </c>
      <c r="P2" s="39">
        <v>45444</v>
      </c>
      <c r="Q2" s="39">
        <v>45474</v>
      </c>
      <c r="R2" s="39">
        <v>45505</v>
      </c>
      <c r="S2" s="39">
        <v>45536</v>
      </c>
      <c r="T2" s="39">
        <v>45566</v>
      </c>
      <c r="U2" s="39">
        <v>45597</v>
      </c>
      <c r="V2" s="39">
        <v>45627</v>
      </c>
      <c r="W2" s="39">
        <v>45658</v>
      </c>
      <c r="X2" s="39">
        <v>45689</v>
      </c>
      <c r="Y2" s="39">
        <v>45717</v>
      </c>
    </row>
    <row r="3" spans="1:25" x14ac:dyDescent="0.3">
      <c r="A3" s="55" t="s">
        <v>56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</row>
    <row r="4" spans="1:25" x14ac:dyDescent="0.3">
      <c r="A4" s="56" t="s">
        <v>19</v>
      </c>
      <c r="B4" s="64">
        <f>'P&amp;L Account'!B39</f>
        <v>-75111.111111111109</v>
      </c>
      <c r="C4" s="64">
        <f>'P&amp;L Account'!C39</f>
        <v>-56611.111111111109</v>
      </c>
      <c r="D4" s="64">
        <f>'P&amp;L Account'!D39</f>
        <v>-36261.111111111109</v>
      </c>
      <c r="E4" s="64">
        <f>'P&amp;L Account'!E39</f>
        <v>-13876.111111111111</v>
      </c>
      <c r="F4" s="64">
        <f>'P&amp;L Account'!F39</f>
        <v>-4252.6111111111113</v>
      </c>
      <c r="G4" s="64">
        <f>'P&amp;L Account'!G39</f>
        <v>22833.238888888867</v>
      </c>
      <c r="H4" s="64">
        <f>'P&amp;L Account'!H39</f>
        <v>52627.673888888807</v>
      </c>
      <c r="I4" s="64">
        <f>'P&amp;L Account'!I39</f>
        <v>85401.552388888857</v>
      </c>
      <c r="J4" s="64">
        <f>'P&amp;L Account'!J39</f>
        <v>106452.81873888879</v>
      </c>
      <c r="K4" s="64">
        <f>'P&amp;L Account'!K39</f>
        <v>146109.21172388882</v>
      </c>
      <c r="L4" s="64">
        <f>'P&amp;L Account'!L39</f>
        <v>189731.24400738883</v>
      </c>
      <c r="M4" s="64">
        <f>'P&amp;L Account'!M39</f>
        <v>237715.47951923881</v>
      </c>
      <c r="N4" s="64">
        <f>'P&amp;L Account'!N39</f>
        <v>214732.88286165174</v>
      </c>
      <c r="O4" s="64">
        <f>'P&amp;L Account'!O39</f>
        <v>275618.39337003906</v>
      </c>
      <c r="P4" s="64">
        <f>'P&amp;L Account'!P39</f>
        <v>342592.45492926519</v>
      </c>
      <c r="Q4" s="64">
        <f>'P&amp;L Account'!Q39</f>
        <v>416263.92264441401</v>
      </c>
      <c r="R4" s="64">
        <f>'P&amp;L Account'!R39</f>
        <v>466402.53713107773</v>
      </c>
      <c r="S4" s="64">
        <f>'P&amp;L Account'!S39</f>
        <v>555545.01306640764</v>
      </c>
      <c r="T4" s="64">
        <f>'P&amp;L Account'!T39</f>
        <v>653601.73659527046</v>
      </c>
      <c r="U4" s="64">
        <f>'P&amp;L Account'!U39</f>
        <v>761464.13247701991</v>
      </c>
      <c r="V4" s="64">
        <f>'P&amp;L Account'!V39</f>
        <v>849212.76794694434</v>
      </c>
      <c r="W4" s="64">
        <f>'P&amp;L Account'!W39</f>
        <v>979726.26696386095</v>
      </c>
      <c r="X4" s="64">
        <f>'P&amp;L Account'!X39</f>
        <v>1123291.1158824691</v>
      </c>
      <c r="Y4" s="64">
        <f>'P&amp;L Account'!Y39</f>
        <v>1281212.4496929385</v>
      </c>
    </row>
    <row r="5" spans="1:25" x14ac:dyDescent="0.3">
      <c r="A5" s="6" t="s">
        <v>22</v>
      </c>
      <c r="B5" s="65">
        <f>'P&amp;L Account'!B45</f>
        <v>11111.111111111111</v>
      </c>
      <c r="C5" s="65">
        <f>'P&amp;L Account'!C45</f>
        <v>11111.111111111111</v>
      </c>
      <c r="D5" s="65">
        <f>'P&amp;L Account'!D45</f>
        <v>11111.111111111111</v>
      </c>
      <c r="E5" s="65">
        <f>'P&amp;L Account'!E45</f>
        <v>11111.111111111111</v>
      </c>
      <c r="F5" s="65">
        <f>'P&amp;L Account'!F45</f>
        <v>11111.111111111111</v>
      </c>
      <c r="G5" s="65">
        <f>'P&amp;L Account'!G45</f>
        <v>11111.111111111111</v>
      </c>
      <c r="H5" s="65">
        <f>'P&amp;L Account'!H45</f>
        <v>11111.111111111111</v>
      </c>
      <c r="I5" s="65">
        <f>'P&amp;L Account'!I45</f>
        <v>11111.111111111111</v>
      </c>
      <c r="J5" s="65">
        <f>'P&amp;L Account'!J45</f>
        <v>11111.111111111111</v>
      </c>
      <c r="K5" s="65">
        <f>'P&amp;L Account'!K45</f>
        <v>11111.111111111111</v>
      </c>
      <c r="L5" s="65">
        <f>'P&amp;L Account'!L45</f>
        <v>11111.111111111111</v>
      </c>
      <c r="M5" s="65">
        <f>'P&amp;L Account'!M45</f>
        <v>11111.111111111111</v>
      </c>
      <c r="N5" s="65">
        <f>'P&amp;L Account'!N45</f>
        <v>22222.222222222223</v>
      </c>
      <c r="O5" s="65">
        <f>'P&amp;L Account'!O45</f>
        <v>22222.222222222223</v>
      </c>
      <c r="P5" s="65">
        <f>'P&amp;L Account'!P45</f>
        <v>22222.222222222223</v>
      </c>
      <c r="Q5" s="65">
        <f>'P&amp;L Account'!Q45</f>
        <v>22222.222222222223</v>
      </c>
      <c r="R5" s="65">
        <f>'P&amp;L Account'!R45</f>
        <v>22222.222222222223</v>
      </c>
      <c r="S5" s="65">
        <f>'P&amp;L Account'!S45</f>
        <v>22222.222222222223</v>
      </c>
      <c r="T5" s="65">
        <f>'P&amp;L Account'!T45</f>
        <v>22222.222222222223</v>
      </c>
      <c r="U5" s="65">
        <f>'P&amp;L Account'!U45</f>
        <v>22222.222222222223</v>
      </c>
      <c r="V5" s="65">
        <f>'P&amp;L Account'!V45</f>
        <v>22222.222222222223</v>
      </c>
      <c r="W5" s="65">
        <f>'P&amp;L Account'!W45</f>
        <v>22222.222222222223</v>
      </c>
      <c r="X5" s="65">
        <f>'P&amp;L Account'!X45</f>
        <v>22222.222222222223</v>
      </c>
      <c r="Y5" s="65">
        <f>'P&amp;L Account'!Y45</f>
        <v>22222.222222222223</v>
      </c>
    </row>
    <row r="6" spans="1:25" x14ac:dyDescent="0.3">
      <c r="A6" s="6" t="s">
        <v>57</v>
      </c>
      <c r="B6" s="65">
        <f>-(BS!B35-0)</f>
        <v>-320000</v>
      </c>
      <c r="C6" s="65">
        <f>-(BS!C35-BS!B35)</f>
        <v>-32000</v>
      </c>
      <c r="D6" s="65">
        <f>-(BS!D35-BS!C35)</f>
        <v>-35200</v>
      </c>
      <c r="E6" s="65">
        <f>-(BS!E35-BS!D35)</f>
        <v>-38720</v>
      </c>
      <c r="F6" s="65">
        <f>-(BS!F35-BS!E35)</f>
        <v>-42592</v>
      </c>
      <c r="G6" s="65">
        <f>-(BS!G35-BS!F35)</f>
        <v>-46851.199999999953</v>
      </c>
      <c r="H6" s="65">
        <f>-(BS!H35-BS!G35)</f>
        <v>-51536.319999999832</v>
      </c>
      <c r="I6" s="65">
        <f>-(BS!I35-BS!H35)</f>
        <v>-56689.951999999932</v>
      </c>
      <c r="J6" s="65">
        <f>-(BS!J35-BS!I35)</f>
        <v>-62358.94719999982</v>
      </c>
      <c r="K6" s="65">
        <f>-(BS!K35-BS!J35)</f>
        <v>-68594.841919999919</v>
      </c>
      <c r="L6" s="65">
        <f>-(BS!L35-BS!K35)</f>
        <v>-75454.326112000039</v>
      </c>
      <c r="M6" s="65">
        <f>-(BS!M35-BS!L35)</f>
        <v>-82999.758723199833</v>
      </c>
      <c r="N6" s="65">
        <f>-(BS!N35-BS!M35)</f>
        <v>-141514.58862305619</v>
      </c>
      <c r="O6" s="65">
        <f>-(BS!O35-BS!N35)</f>
        <v>-105451.19345782511</v>
      </c>
      <c r="P6" s="65">
        <f>-(BS!P35-BS!O35)</f>
        <v>-115996.31280360813</v>
      </c>
      <c r="Q6" s="65">
        <f>-(BS!Q35-BS!P35)</f>
        <v>-127595.94408396911</v>
      </c>
      <c r="R6" s="65">
        <f>-(BS!R35-BS!Q35)</f>
        <v>-140355.53849236597</v>
      </c>
      <c r="S6" s="65">
        <f>-(BS!S35-BS!R35)</f>
        <v>-154391.09234160255</v>
      </c>
      <c r="T6" s="65">
        <f>-(BS!T35-BS!S35)</f>
        <v>-169830.20157576259</v>
      </c>
      <c r="U6" s="65">
        <f>-(BS!U35-BS!T35)</f>
        <v>-186813.22173333913</v>
      </c>
      <c r="V6" s="65">
        <f>-(BS!V35-BS!U35)</f>
        <v>-205494.54390667239</v>
      </c>
      <c r="W6" s="65">
        <f>-(BS!W35-BS!V35)</f>
        <v>-226043.99829734024</v>
      </c>
      <c r="X6" s="65">
        <f>-(BS!X35-BS!W35)</f>
        <v>-248648.39812707435</v>
      </c>
      <c r="Y6" s="65">
        <f>-(BS!Y35-BS!X35)</f>
        <v>-273513.23793978198</v>
      </c>
    </row>
    <row r="7" spans="1:25" ht="15" thickBot="1" x14ac:dyDescent="0.35">
      <c r="A7" s="12" t="s">
        <v>58</v>
      </c>
      <c r="B7" s="66">
        <f>BS!B42-0</f>
        <v>150000</v>
      </c>
      <c r="C7" s="66">
        <f>BS!C42-BS!B42</f>
        <v>165000</v>
      </c>
      <c r="D7" s="66">
        <f>BS!D42-BS!C42</f>
        <v>31500</v>
      </c>
      <c r="E7" s="66">
        <f>BS!E42-BS!D42</f>
        <v>34650</v>
      </c>
      <c r="F7" s="66">
        <f>BS!F42-BS!E42</f>
        <v>38115</v>
      </c>
      <c r="G7" s="66">
        <f>BS!G42-BS!F42</f>
        <v>41926.5</v>
      </c>
      <c r="H7" s="66">
        <f>BS!H42-BS!G42</f>
        <v>46119.149999999907</v>
      </c>
      <c r="I7" s="66">
        <f>BS!I42-BS!H42</f>
        <v>50731.064999999944</v>
      </c>
      <c r="J7" s="66">
        <f>BS!J42-BS!I42</f>
        <v>55804.171499999939</v>
      </c>
      <c r="K7" s="66">
        <f>BS!K42-BS!J42</f>
        <v>61384.588650000049</v>
      </c>
      <c r="L7" s="66">
        <f>BS!L42-BS!K42</f>
        <v>67523.047514999867</v>
      </c>
      <c r="M7" s="66">
        <f>BS!M42-BS!L42</f>
        <v>74275.352266499889</v>
      </c>
      <c r="N7" s="66">
        <f>BS!N42-BS!M42</f>
        <v>105241.10031855747</v>
      </c>
      <c r="O7" s="66">
        <f>BS!O42-BS!N42</f>
        <v>115765.21035041322</v>
      </c>
      <c r="P7" s="66">
        <f>BS!P42-BS!O42</f>
        <v>103803.51856004726</v>
      </c>
      <c r="Q7" s="66">
        <f>BS!Q42-BS!P42</f>
        <v>114183.87041605194</v>
      </c>
      <c r="R7" s="66">
        <f>BS!R42-BS!Q42</f>
        <v>125602.25745765702</v>
      </c>
      <c r="S7" s="66">
        <f>BS!S42-BS!R42</f>
        <v>138162.48320342228</v>
      </c>
      <c r="T7" s="66">
        <f>BS!T42-BS!S42</f>
        <v>151978.73152376479</v>
      </c>
      <c r="U7" s="66">
        <f>BS!U42-BS!T42</f>
        <v>167176.60467614164</v>
      </c>
      <c r="V7" s="66">
        <f>BS!V42-BS!U42</f>
        <v>183894.26514375559</v>
      </c>
      <c r="W7" s="66">
        <f>BS!W42-BS!V42</f>
        <v>202283.69165813085</v>
      </c>
      <c r="X7" s="66">
        <f>BS!X42-BS!W42</f>
        <v>222512.06082394393</v>
      </c>
      <c r="Y7" s="66">
        <f>BS!Y42-BS!X42</f>
        <v>244763.26690633874</v>
      </c>
    </row>
    <row r="8" spans="1:25" ht="15" thickBot="1" x14ac:dyDescent="0.35">
      <c r="A8" s="57" t="s">
        <v>61</v>
      </c>
      <c r="B8" s="68">
        <f>B4+B5+B6+B7</f>
        <v>-234000</v>
      </c>
      <c r="C8" s="68">
        <f t="shared" ref="C8:Y8" si="0">C4+C5+C6+C7</f>
        <v>87500</v>
      </c>
      <c r="D8" s="68">
        <f t="shared" si="0"/>
        <v>-28850</v>
      </c>
      <c r="E8" s="68">
        <f t="shared" si="0"/>
        <v>-6835</v>
      </c>
      <c r="F8" s="68">
        <f t="shared" si="0"/>
        <v>2381.5</v>
      </c>
      <c r="G8" s="68">
        <f t="shared" si="0"/>
        <v>29019.650000000023</v>
      </c>
      <c r="H8" s="68">
        <f t="shared" si="0"/>
        <v>58321.614999999991</v>
      </c>
      <c r="I8" s="68">
        <f t="shared" si="0"/>
        <v>90553.776499999978</v>
      </c>
      <c r="J8" s="68">
        <f t="shared" si="0"/>
        <v>111009.15415000002</v>
      </c>
      <c r="K8" s="68">
        <f t="shared" si="0"/>
        <v>150010.06956500007</v>
      </c>
      <c r="L8" s="68">
        <f t="shared" si="0"/>
        <v>192911.07652149978</v>
      </c>
      <c r="M8" s="68">
        <f t="shared" si="0"/>
        <v>240102.18417364999</v>
      </c>
      <c r="N8" s="68">
        <f t="shared" si="0"/>
        <v>200681.61677937524</v>
      </c>
      <c r="O8" s="68">
        <f t="shared" si="0"/>
        <v>308154.63248484943</v>
      </c>
      <c r="P8" s="68">
        <f t="shared" si="0"/>
        <v>352621.88290792657</v>
      </c>
      <c r="Q8" s="68">
        <f t="shared" si="0"/>
        <v>425074.07119871909</v>
      </c>
      <c r="R8" s="68">
        <f t="shared" si="0"/>
        <v>473871.47831859102</v>
      </c>
      <c r="S8" s="68">
        <f t="shared" si="0"/>
        <v>561538.62615044962</v>
      </c>
      <c r="T8" s="68">
        <f t="shared" si="0"/>
        <v>657972.4887654949</v>
      </c>
      <c r="U8" s="68">
        <f t="shared" si="0"/>
        <v>764049.73764204467</v>
      </c>
      <c r="V8" s="68">
        <f t="shared" si="0"/>
        <v>849834.71140624979</v>
      </c>
      <c r="W8" s="68">
        <f t="shared" si="0"/>
        <v>978188.18254687381</v>
      </c>
      <c r="X8" s="68">
        <f t="shared" si="0"/>
        <v>1119377.0008015609</v>
      </c>
      <c r="Y8" s="69">
        <f t="shared" si="0"/>
        <v>1274684.7008817175</v>
      </c>
    </row>
    <row r="9" spans="1:25" x14ac:dyDescent="0.3">
      <c r="A9" s="22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</row>
    <row r="10" spans="1:25" x14ac:dyDescent="0.3">
      <c r="A10" s="9" t="s">
        <v>59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</row>
    <row r="11" spans="1:25" ht="15" thickBot="1" x14ac:dyDescent="0.35">
      <c r="A11" s="12" t="s">
        <v>60</v>
      </c>
      <c r="B11" s="66">
        <f>-DCF!B66</f>
        <v>-400000</v>
      </c>
      <c r="C11" s="66">
        <f>-DCF!C66</f>
        <v>0</v>
      </c>
      <c r="D11" s="66">
        <f>-DCF!D66</f>
        <v>0</v>
      </c>
      <c r="E11" s="66">
        <f>-DCF!E66</f>
        <v>0</v>
      </c>
      <c r="F11" s="66">
        <f>-DCF!F66</f>
        <v>0</v>
      </c>
      <c r="G11" s="66">
        <f>-DCF!G66</f>
        <v>0</v>
      </c>
      <c r="H11" s="66">
        <f>-DCF!H66</f>
        <v>0</v>
      </c>
      <c r="I11" s="66">
        <f>-DCF!I66</f>
        <v>0</v>
      </c>
      <c r="J11" s="66">
        <f>-DCF!J66</f>
        <v>0</v>
      </c>
      <c r="K11" s="66">
        <f>-DCF!K66</f>
        <v>0</v>
      </c>
      <c r="L11" s="66">
        <f>-DCF!L66</f>
        <v>0</v>
      </c>
      <c r="M11" s="66">
        <f>-DCF!M66</f>
        <v>0</v>
      </c>
      <c r="N11" s="66">
        <f>-DCF!N66</f>
        <v>-400000</v>
      </c>
      <c r="O11" s="66">
        <f>-DCF!O66</f>
        <v>0</v>
      </c>
      <c r="P11" s="66">
        <f>-DCF!P66</f>
        <v>0</v>
      </c>
      <c r="Q11" s="66">
        <f>-DCF!Q66</f>
        <v>0</v>
      </c>
      <c r="R11" s="66">
        <f>-DCF!R66</f>
        <v>0</v>
      </c>
      <c r="S11" s="66">
        <f>-DCF!S66</f>
        <v>0</v>
      </c>
      <c r="T11" s="66">
        <f>-DCF!T66</f>
        <v>0</v>
      </c>
      <c r="U11" s="66">
        <f>-DCF!U66</f>
        <v>0</v>
      </c>
      <c r="V11" s="66">
        <f>-DCF!V66</f>
        <v>0</v>
      </c>
      <c r="W11" s="66">
        <f>-DCF!W66</f>
        <v>0</v>
      </c>
      <c r="X11" s="66">
        <f>-DCF!X66</f>
        <v>0</v>
      </c>
      <c r="Y11" s="66">
        <f>-DCF!Y66</f>
        <v>0</v>
      </c>
    </row>
    <row r="12" spans="1:25" ht="15" thickBot="1" x14ac:dyDescent="0.35">
      <c r="A12" s="33" t="s">
        <v>62</v>
      </c>
      <c r="B12" s="68">
        <f>B11</f>
        <v>-400000</v>
      </c>
      <c r="C12" s="68">
        <f t="shared" ref="C12:Y12" si="1">C11</f>
        <v>0</v>
      </c>
      <c r="D12" s="68">
        <f t="shared" si="1"/>
        <v>0</v>
      </c>
      <c r="E12" s="68">
        <f t="shared" si="1"/>
        <v>0</v>
      </c>
      <c r="F12" s="68">
        <f t="shared" si="1"/>
        <v>0</v>
      </c>
      <c r="G12" s="68">
        <f t="shared" si="1"/>
        <v>0</v>
      </c>
      <c r="H12" s="68">
        <f t="shared" si="1"/>
        <v>0</v>
      </c>
      <c r="I12" s="68">
        <f t="shared" si="1"/>
        <v>0</v>
      </c>
      <c r="J12" s="68">
        <f t="shared" si="1"/>
        <v>0</v>
      </c>
      <c r="K12" s="68">
        <f t="shared" si="1"/>
        <v>0</v>
      </c>
      <c r="L12" s="68">
        <f t="shared" si="1"/>
        <v>0</v>
      </c>
      <c r="M12" s="68">
        <f t="shared" si="1"/>
        <v>0</v>
      </c>
      <c r="N12" s="68">
        <f t="shared" si="1"/>
        <v>-400000</v>
      </c>
      <c r="O12" s="68">
        <f t="shared" si="1"/>
        <v>0</v>
      </c>
      <c r="P12" s="68">
        <f t="shared" si="1"/>
        <v>0</v>
      </c>
      <c r="Q12" s="68">
        <f t="shared" si="1"/>
        <v>0</v>
      </c>
      <c r="R12" s="68">
        <f t="shared" si="1"/>
        <v>0</v>
      </c>
      <c r="S12" s="68">
        <f t="shared" si="1"/>
        <v>0</v>
      </c>
      <c r="T12" s="68">
        <f t="shared" si="1"/>
        <v>0</v>
      </c>
      <c r="U12" s="68">
        <f t="shared" si="1"/>
        <v>0</v>
      </c>
      <c r="V12" s="68">
        <f t="shared" si="1"/>
        <v>0</v>
      </c>
      <c r="W12" s="68">
        <f t="shared" si="1"/>
        <v>0</v>
      </c>
      <c r="X12" s="68">
        <f t="shared" si="1"/>
        <v>0</v>
      </c>
      <c r="Y12" s="69">
        <f t="shared" si="1"/>
        <v>0</v>
      </c>
    </row>
    <row r="13" spans="1:25" x14ac:dyDescent="0.3">
      <c r="A13" s="22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</row>
    <row r="14" spans="1:25" x14ac:dyDescent="0.3">
      <c r="A14" s="9" t="s">
        <v>63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</row>
    <row r="15" spans="1:25" ht="15" thickBot="1" x14ac:dyDescent="0.35">
      <c r="A15" s="12" t="s">
        <v>64</v>
      </c>
      <c r="B15" s="66">
        <f>1000000*10</f>
        <v>10000000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6">
        <v>0</v>
      </c>
      <c r="I15" s="66">
        <v>0</v>
      </c>
      <c r="J15" s="66">
        <v>0</v>
      </c>
      <c r="K15" s="66">
        <v>0</v>
      </c>
      <c r="L15" s="66">
        <v>0</v>
      </c>
      <c r="M15" s="66">
        <v>0</v>
      </c>
      <c r="N15" s="66">
        <v>0</v>
      </c>
      <c r="O15" s="66">
        <v>0</v>
      </c>
      <c r="P15" s="66">
        <v>0</v>
      </c>
      <c r="Q15" s="66">
        <v>0</v>
      </c>
      <c r="R15" s="66">
        <v>0</v>
      </c>
      <c r="S15" s="66">
        <v>0</v>
      </c>
      <c r="T15" s="66">
        <v>0</v>
      </c>
      <c r="U15" s="66">
        <v>0</v>
      </c>
      <c r="V15" s="66">
        <v>0</v>
      </c>
      <c r="W15" s="66">
        <v>0</v>
      </c>
      <c r="X15" s="66">
        <v>0</v>
      </c>
      <c r="Y15" s="66">
        <v>0</v>
      </c>
    </row>
    <row r="16" spans="1:25" ht="15" thickBot="1" x14ac:dyDescent="0.35">
      <c r="A16" s="33" t="s">
        <v>65</v>
      </c>
      <c r="B16" s="68">
        <f>B15</f>
        <v>10000000</v>
      </c>
      <c r="C16" s="68">
        <f t="shared" ref="C16:Y16" si="2">C15</f>
        <v>0</v>
      </c>
      <c r="D16" s="68">
        <f t="shared" si="2"/>
        <v>0</v>
      </c>
      <c r="E16" s="68">
        <f t="shared" si="2"/>
        <v>0</v>
      </c>
      <c r="F16" s="68">
        <f t="shared" si="2"/>
        <v>0</v>
      </c>
      <c r="G16" s="68">
        <f t="shared" si="2"/>
        <v>0</v>
      </c>
      <c r="H16" s="68">
        <f t="shared" si="2"/>
        <v>0</v>
      </c>
      <c r="I16" s="68">
        <f t="shared" si="2"/>
        <v>0</v>
      </c>
      <c r="J16" s="68">
        <f t="shared" si="2"/>
        <v>0</v>
      </c>
      <c r="K16" s="68">
        <f t="shared" si="2"/>
        <v>0</v>
      </c>
      <c r="L16" s="68">
        <f t="shared" si="2"/>
        <v>0</v>
      </c>
      <c r="M16" s="68">
        <f t="shared" si="2"/>
        <v>0</v>
      </c>
      <c r="N16" s="68">
        <f t="shared" si="2"/>
        <v>0</v>
      </c>
      <c r="O16" s="68">
        <f t="shared" si="2"/>
        <v>0</v>
      </c>
      <c r="P16" s="68">
        <f t="shared" si="2"/>
        <v>0</v>
      </c>
      <c r="Q16" s="68">
        <f t="shared" si="2"/>
        <v>0</v>
      </c>
      <c r="R16" s="68">
        <f t="shared" si="2"/>
        <v>0</v>
      </c>
      <c r="S16" s="68">
        <f t="shared" si="2"/>
        <v>0</v>
      </c>
      <c r="T16" s="68">
        <f t="shared" si="2"/>
        <v>0</v>
      </c>
      <c r="U16" s="68">
        <f t="shared" si="2"/>
        <v>0</v>
      </c>
      <c r="V16" s="68">
        <f t="shared" si="2"/>
        <v>0</v>
      </c>
      <c r="W16" s="68">
        <f t="shared" si="2"/>
        <v>0</v>
      </c>
      <c r="X16" s="68">
        <f t="shared" si="2"/>
        <v>0</v>
      </c>
      <c r="Y16" s="69">
        <f t="shared" si="2"/>
        <v>0</v>
      </c>
    </row>
    <row r="17" spans="1:25" ht="15" thickBot="1" x14ac:dyDescent="0.35">
      <c r="A17" s="71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</row>
    <row r="18" spans="1:25" ht="15" thickTop="1" x14ac:dyDescent="0.3">
      <c r="A18" s="31" t="s">
        <v>66</v>
      </c>
      <c r="B18" s="70">
        <f>B8+B12+B16</f>
        <v>9366000</v>
      </c>
      <c r="C18" s="70">
        <f t="shared" ref="C18:Y18" si="3">C8+C12+C16</f>
        <v>87500</v>
      </c>
      <c r="D18" s="70">
        <f t="shared" si="3"/>
        <v>-28850</v>
      </c>
      <c r="E18" s="70">
        <f t="shared" si="3"/>
        <v>-6835</v>
      </c>
      <c r="F18" s="70">
        <f t="shared" si="3"/>
        <v>2381.5</v>
      </c>
      <c r="G18" s="70">
        <f t="shared" si="3"/>
        <v>29019.650000000023</v>
      </c>
      <c r="H18" s="70">
        <f t="shared" si="3"/>
        <v>58321.614999999991</v>
      </c>
      <c r="I18" s="70">
        <f t="shared" si="3"/>
        <v>90553.776499999978</v>
      </c>
      <c r="J18" s="70">
        <f t="shared" si="3"/>
        <v>111009.15415000002</v>
      </c>
      <c r="K18" s="70">
        <f t="shared" si="3"/>
        <v>150010.06956500007</v>
      </c>
      <c r="L18" s="70">
        <f t="shared" si="3"/>
        <v>192911.07652149978</v>
      </c>
      <c r="M18" s="70">
        <f t="shared" si="3"/>
        <v>240102.18417364999</v>
      </c>
      <c r="N18" s="70">
        <f t="shared" si="3"/>
        <v>-199318.38322062476</v>
      </c>
      <c r="O18" s="70">
        <f t="shared" si="3"/>
        <v>308154.63248484943</v>
      </c>
      <c r="P18" s="70">
        <f t="shared" si="3"/>
        <v>352621.88290792657</v>
      </c>
      <c r="Q18" s="70">
        <f t="shared" si="3"/>
        <v>425074.07119871909</v>
      </c>
      <c r="R18" s="70">
        <f t="shared" si="3"/>
        <v>473871.47831859102</v>
      </c>
      <c r="S18" s="70">
        <f t="shared" si="3"/>
        <v>561538.62615044962</v>
      </c>
      <c r="T18" s="70">
        <f t="shared" si="3"/>
        <v>657972.4887654949</v>
      </c>
      <c r="U18" s="70">
        <f t="shared" si="3"/>
        <v>764049.73764204467</v>
      </c>
      <c r="V18" s="70">
        <f t="shared" si="3"/>
        <v>849834.71140624979</v>
      </c>
      <c r="W18" s="70">
        <f t="shared" si="3"/>
        <v>978188.18254687381</v>
      </c>
      <c r="X18" s="70">
        <f t="shared" si="3"/>
        <v>1119377.0008015609</v>
      </c>
      <c r="Y18" s="70">
        <f t="shared" si="3"/>
        <v>1274684.7008817175</v>
      </c>
    </row>
    <row r="19" spans="1:25" ht="15" thickBot="1" x14ac:dyDescent="0.35">
      <c r="A19" s="12" t="s">
        <v>69</v>
      </c>
      <c r="B19" s="66">
        <f>0</f>
        <v>0</v>
      </c>
      <c r="C19" s="66">
        <f>B20</f>
        <v>9366000</v>
      </c>
      <c r="D19" s="66">
        <f t="shared" ref="D19:Y19" si="4">C20</f>
        <v>9453500</v>
      </c>
      <c r="E19" s="66">
        <f t="shared" si="4"/>
        <v>9424650</v>
      </c>
      <c r="F19" s="66">
        <f t="shared" si="4"/>
        <v>9417815</v>
      </c>
      <c r="G19" s="66">
        <f t="shared" si="4"/>
        <v>9420196.5</v>
      </c>
      <c r="H19" s="66">
        <f t="shared" si="4"/>
        <v>9449216.1500000004</v>
      </c>
      <c r="I19" s="66">
        <f t="shared" si="4"/>
        <v>9507537.7650000006</v>
      </c>
      <c r="J19" s="66">
        <f t="shared" si="4"/>
        <v>9598091.5415000003</v>
      </c>
      <c r="K19" s="66">
        <f t="shared" si="4"/>
        <v>9709100.6956500001</v>
      </c>
      <c r="L19" s="66">
        <f t="shared" si="4"/>
        <v>9859110.7652150001</v>
      </c>
      <c r="M19" s="66">
        <f t="shared" si="4"/>
        <v>10052021.841736499</v>
      </c>
      <c r="N19" s="66">
        <f t="shared" si="4"/>
        <v>10292124.025910148</v>
      </c>
      <c r="O19" s="66">
        <f t="shared" si="4"/>
        <v>10092805.642689524</v>
      </c>
      <c r="P19" s="66">
        <f t="shared" si="4"/>
        <v>10400960.275174374</v>
      </c>
      <c r="Q19" s="66">
        <f t="shared" si="4"/>
        <v>10753582.158082301</v>
      </c>
      <c r="R19" s="66">
        <f t="shared" si="4"/>
        <v>11178656.229281019</v>
      </c>
      <c r="S19" s="66">
        <f t="shared" si="4"/>
        <v>11652527.70759961</v>
      </c>
      <c r="T19" s="66">
        <f t="shared" si="4"/>
        <v>12214066.33375006</v>
      </c>
      <c r="U19" s="66">
        <f t="shared" si="4"/>
        <v>12872038.822515555</v>
      </c>
      <c r="V19" s="66">
        <f t="shared" si="4"/>
        <v>13636088.560157599</v>
      </c>
      <c r="W19" s="66">
        <f t="shared" si="4"/>
        <v>14485923.271563848</v>
      </c>
      <c r="X19" s="66">
        <f t="shared" si="4"/>
        <v>15464111.454110723</v>
      </c>
      <c r="Y19" s="66">
        <f t="shared" si="4"/>
        <v>16583488.454912284</v>
      </c>
    </row>
    <row r="20" spans="1:25" ht="15" thickBot="1" x14ac:dyDescent="0.35">
      <c r="A20" s="33" t="s">
        <v>70</v>
      </c>
      <c r="B20" s="68">
        <f>B18+B19</f>
        <v>9366000</v>
      </c>
      <c r="C20" s="68">
        <f t="shared" ref="C20:Y20" si="5">C18+C19</f>
        <v>9453500</v>
      </c>
      <c r="D20" s="68">
        <f t="shared" si="5"/>
        <v>9424650</v>
      </c>
      <c r="E20" s="68">
        <f t="shared" si="5"/>
        <v>9417815</v>
      </c>
      <c r="F20" s="68">
        <f t="shared" si="5"/>
        <v>9420196.5</v>
      </c>
      <c r="G20" s="68">
        <f t="shared" si="5"/>
        <v>9449216.1500000004</v>
      </c>
      <c r="H20" s="68">
        <f t="shared" si="5"/>
        <v>9507537.7650000006</v>
      </c>
      <c r="I20" s="68">
        <f t="shared" si="5"/>
        <v>9598091.5415000003</v>
      </c>
      <c r="J20" s="68">
        <f t="shared" si="5"/>
        <v>9709100.6956500001</v>
      </c>
      <c r="K20" s="68">
        <f t="shared" si="5"/>
        <v>9859110.7652150001</v>
      </c>
      <c r="L20" s="68">
        <f t="shared" si="5"/>
        <v>10052021.841736499</v>
      </c>
      <c r="M20" s="68">
        <f t="shared" si="5"/>
        <v>10292124.025910148</v>
      </c>
      <c r="N20" s="68">
        <f t="shared" si="5"/>
        <v>10092805.642689524</v>
      </c>
      <c r="O20" s="68">
        <f t="shared" si="5"/>
        <v>10400960.275174374</v>
      </c>
      <c r="P20" s="68">
        <f t="shared" si="5"/>
        <v>10753582.158082301</v>
      </c>
      <c r="Q20" s="68">
        <f t="shared" si="5"/>
        <v>11178656.229281019</v>
      </c>
      <c r="R20" s="68">
        <f t="shared" si="5"/>
        <v>11652527.70759961</v>
      </c>
      <c r="S20" s="68">
        <f t="shared" si="5"/>
        <v>12214066.33375006</v>
      </c>
      <c r="T20" s="68">
        <f t="shared" si="5"/>
        <v>12872038.822515555</v>
      </c>
      <c r="U20" s="68">
        <f t="shared" si="5"/>
        <v>13636088.560157599</v>
      </c>
      <c r="V20" s="68">
        <f t="shared" si="5"/>
        <v>14485923.271563848</v>
      </c>
      <c r="W20" s="68">
        <f t="shared" si="5"/>
        <v>15464111.454110723</v>
      </c>
      <c r="X20" s="68">
        <f t="shared" si="5"/>
        <v>16583488.454912284</v>
      </c>
      <c r="Y20" s="69">
        <f t="shared" si="5"/>
        <v>17858173.155794002</v>
      </c>
    </row>
  </sheetData>
  <mergeCells count="1">
    <mergeCell ref="A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Y42"/>
  <sheetViews>
    <sheetView zoomScale="115" zoomScaleNormal="115" workbookViewId="0">
      <selection activeCell="B46" sqref="B46"/>
    </sheetView>
  </sheetViews>
  <sheetFormatPr defaultRowHeight="14.4" x14ac:dyDescent="0.3"/>
  <cols>
    <col min="1" max="1" width="21.109375" bestFit="1" customWidth="1"/>
    <col min="2" max="25" width="16" bestFit="1" customWidth="1"/>
  </cols>
  <sheetData>
    <row r="1" spans="1:25" s="1" customFormat="1" ht="22.8" x14ac:dyDescent="0.4">
      <c r="A1" s="89" t="s">
        <v>90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</row>
    <row r="2" spans="1:25" x14ac:dyDescent="0.3">
      <c r="A2" s="39" t="s">
        <v>0</v>
      </c>
      <c r="B2" s="39">
        <v>45017</v>
      </c>
      <c r="C2" s="39">
        <v>45047</v>
      </c>
      <c r="D2" s="39">
        <v>45078</v>
      </c>
      <c r="E2" s="39">
        <v>45108</v>
      </c>
      <c r="F2" s="39">
        <v>45139</v>
      </c>
      <c r="G2" s="39">
        <v>45170</v>
      </c>
      <c r="H2" s="39">
        <v>45200</v>
      </c>
      <c r="I2" s="39">
        <v>45231</v>
      </c>
      <c r="J2" s="39">
        <v>45261</v>
      </c>
      <c r="K2" s="39">
        <v>45292</v>
      </c>
      <c r="L2" s="39">
        <v>45323</v>
      </c>
      <c r="M2" s="39">
        <v>45352</v>
      </c>
      <c r="N2" s="39">
        <v>45383</v>
      </c>
      <c r="O2" s="39">
        <v>45413</v>
      </c>
      <c r="P2" s="39">
        <v>45444</v>
      </c>
      <c r="Q2" s="39">
        <v>45474</v>
      </c>
      <c r="R2" s="39">
        <v>45505</v>
      </c>
      <c r="S2" s="39">
        <v>45536</v>
      </c>
      <c r="T2" s="39">
        <v>45566</v>
      </c>
      <c r="U2" s="39">
        <v>45597</v>
      </c>
      <c r="V2" s="39">
        <v>45627</v>
      </c>
      <c r="W2" s="39">
        <v>45658</v>
      </c>
      <c r="X2" s="39">
        <v>45689</v>
      </c>
      <c r="Y2" s="39">
        <v>45717</v>
      </c>
    </row>
    <row r="3" spans="1:25" x14ac:dyDescent="0.3">
      <c r="A3" s="95" t="s">
        <v>77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</row>
    <row r="4" spans="1:25" x14ac:dyDescent="0.3">
      <c r="A4" s="96" t="s">
        <v>78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</row>
    <row r="5" spans="1:25" x14ac:dyDescent="0.3">
      <c r="A5" s="63" t="s">
        <v>79</v>
      </c>
      <c r="B5" s="65">
        <f>1000000*10</f>
        <v>10000000</v>
      </c>
      <c r="C5" s="65">
        <f t="shared" ref="C5:Y5" si="0">1000000*10</f>
        <v>10000000</v>
      </c>
      <c r="D5" s="65">
        <f t="shared" si="0"/>
        <v>10000000</v>
      </c>
      <c r="E5" s="65">
        <f t="shared" si="0"/>
        <v>10000000</v>
      </c>
      <c r="F5" s="65">
        <f t="shared" si="0"/>
        <v>10000000</v>
      </c>
      <c r="G5" s="65">
        <f t="shared" si="0"/>
        <v>10000000</v>
      </c>
      <c r="H5" s="65">
        <f t="shared" si="0"/>
        <v>10000000</v>
      </c>
      <c r="I5" s="65">
        <f t="shared" si="0"/>
        <v>10000000</v>
      </c>
      <c r="J5" s="65">
        <f t="shared" si="0"/>
        <v>10000000</v>
      </c>
      <c r="K5" s="65">
        <f t="shared" si="0"/>
        <v>10000000</v>
      </c>
      <c r="L5" s="65">
        <f t="shared" si="0"/>
        <v>10000000</v>
      </c>
      <c r="M5" s="65">
        <f t="shared" si="0"/>
        <v>10000000</v>
      </c>
      <c r="N5" s="65">
        <f t="shared" si="0"/>
        <v>10000000</v>
      </c>
      <c r="O5" s="65">
        <f t="shared" si="0"/>
        <v>10000000</v>
      </c>
      <c r="P5" s="65">
        <f t="shared" si="0"/>
        <v>10000000</v>
      </c>
      <c r="Q5" s="65">
        <f t="shared" si="0"/>
        <v>10000000</v>
      </c>
      <c r="R5" s="65">
        <f t="shared" si="0"/>
        <v>10000000</v>
      </c>
      <c r="S5" s="65">
        <f t="shared" si="0"/>
        <v>10000000</v>
      </c>
      <c r="T5" s="65">
        <f t="shared" si="0"/>
        <v>10000000</v>
      </c>
      <c r="U5" s="65">
        <f t="shared" si="0"/>
        <v>10000000</v>
      </c>
      <c r="V5" s="65">
        <f t="shared" si="0"/>
        <v>10000000</v>
      </c>
      <c r="W5" s="65">
        <f t="shared" si="0"/>
        <v>10000000</v>
      </c>
      <c r="X5" s="65">
        <f t="shared" si="0"/>
        <v>10000000</v>
      </c>
      <c r="Y5" s="65">
        <f t="shared" si="0"/>
        <v>10000000</v>
      </c>
    </row>
    <row r="6" spans="1:25" x14ac:dyDescent="0.3">
      <c r="A6" s="63" t="s">
        <v>80</v>
      </c>
      <c r="B6" s="65">
        <f>'P&amp;L Account'!B41</f>
        <v>-75111.111111111109</v>
      </c>
      <c r="C6" s="65">
        <f>B6+'P&amp;L Account'!C41</f>
        <v>-131722.22222222222</v>
      </c>
      <c r="D6" s="65">
        <f>C6+'P&amp;L Account'!D41</f>
        <v>-167983.33333333331</v>
      </c>
      <c r="E6" s="65">
        <f>D6+'P&amp;L Account'!E41</f>
        <v>-181859.44444444444</v>
      </c>
      <c r="F6" s="65">
        <f>E6+'P&amp;L Account'!F41</f>
        <v>-186112.05555555556</v>
      </c>
      <c r="G6" s="65">
        <f>F6+'P&amp;L Account'!G41</f>
        <v>-163278.81666666671</v>
      </c>
      <c r="H6" s="65">
        <f>G6+'P&amp;L Account'!H41</f>
        <v>-110651.1427777779</v>
      </c>
      <c r="I6" s="65">
        <f>H6+'P&amp;L Account'!I41</f>
        <v>-25249.590388889046</v>
      </c>
      <c r="J6" s="65">
        <f>I6+'P&amp;L Account'!J41</f>
        <v>81203.228349999743</v>
      </c>
      <c r="K6" s="65">
        <f>J6+'P&amp;L Account'!K41</f>
        <v>227312.44007388857</v>
      </c>
      <c r="L6" s="65">
        <f>K6+'P&amp;L Account'!L41</f>
        <v>417043.6840812774</v>
      </c>
      <c r="M6" s="65">
        <f>L6+'P&amp;L Account'!M41</f>
        <v>654759.16360051627</v>
      </c>
      <c r="N6" s="65">
        <f>M6+'P&amp;L Account'!N41</f>
        <v>869492.04646216799</v>
      </c>
      <c r="O6" s="65">
        <f>N6+'P&amp;L Account'!O41</f>
        <v>1145110.439832207</v>
      </c>
      <c r="P6" s="65">
        <f>O6+'P&amp;L Account'!P41</f>
        <v>1487702.8947614722</v>
      </c>
      <c r="Q6" s="65">
        <f>P6+'P&amp;L Account'!Q41</f>
        <v>1903966.8174058862</v>
      </c>
      <c r="R6" s="65">
        <f>Q6+'P&amp;L Account'!R41</f>
        <v>2370369.3545369641</v>
      </c>
      <c r="S6" s="65">
        <f>R6+'P&amp;L Account'!S41</f>
        <v>2925914.3676033719</v>
      </c>
      <c r="T6" s="65">
        <f>S6+'P&amp;L Account'!T41</f>
        <v>3579516.1041986421</v>
      </c>
      <c r="U6" s="65">
        <f>T6+'P&amp;L Account'!U41</f>
        <v>4340980.236675662</v>
      </c>
      <c r="V6" s="65">
        <f>U6+'P&amp;L Account'!V41</f>
        <v>5190193.0046226066</v>
      </c>
      <c r="W6" s="65">
        <f>V6+'P&amp;L Account'!W41</f>
        <v>6169919.2715864675</v>
      </c>
      <c r="X6" s="65">
        <f>W6+'P&amp;L Account'!X41</f>
        <v>7293210.3874689369</v>
      </c>
      <c r="Y6" s="65">
        <f>X6+'P&amp;L Account'!Y41</f>
        <v>8574422.8371618763</v>
      </c>
    </row>
    <row r="7" spans="1:25" x14ac:dyDescent="0.3">
      <c r="A7" s="63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</row>
    <row r="8" spans="1:25" s="1" customFormat="1" x14ac:dyDescent="0.3">
      <c r="A8" s="63"/>
      <c r="B8" s="65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</row>
    <row r="9" spans="1:25" x14ac:dyDescent="0.3">
      <c r="A9" s="96" t="s">
        <v>81</v>
      </c>
      <c r="B9" s="65">
        <v>0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0</v>
      </c>
      <c r="S9" s="65">
        <v>0</v>
      </c>
      <c r="T9" s="65">
        <v>0</v>
      </c>
      <c r="U9" s="65">
        <v>0</v>
      </c>
      <c r="V9" s="65">
        <v>0</v>
      </c>
      <c r="W9" s="65">
        <v>0</v>
      </c>
      <c r="X9" s="65">
        <v>0</v>
      </c>
      <c r="Y9" s="65">
        <v>0</v>
      </c>
    </row>
    <row r="10" spans="1:25" x14ac:dyDescent="0.3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</row>
    <row r="11" spans="1:25" x14ac:dyDescent="0.3">
      <c r="A11" s="96" t="s">
        <v>82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</row>
    <row r="12" spans="1:25" x14ac:dyDescent="0.3">
      <c r="A12" s="63" t="s">
        <v>83</v>
      </c>
      <c r="B12" s="65">
        <f>B42</f>
        <v>150000</v>
      </c>
      <c r="C12" s="65">
        <f t="shared" ref="C12:Y12" si="1">C42</f>
        <v>315000</v>
      </c>
      <c r="D12" s="65">
        <f t="shared" si="1"/>
        <v>346500</v>
      </c>
      <c r="E12" s="65">
        <f t="shared" si="1"/>
        <v>381150</v>
      </c>
      <c r="F12" s="65">
        <f t="shared" si="1"/>
        <v>419265</v>
      </c>
      <c r="G12" s="65">
        <f t="shared" si="1"/>
        <v>461191.5</v>
      </c>
      <c r="H12" s="65">
        <f t="shared" si="1"/>
        <v>507310.64999999991</v>
      </c>
      <c r="I12" s="65">
        <f t="shared" si="1"/>
        <v>558041.71499999985</v>
      </c>
      <c r="J12" s="65">
        <f t="shared" si="1"/>
        <v>613845.88649999979</v>
      </c>
      <c r="K12" s="65">
        <f t="shared" si="1"/>
        <v>675230.47514999984</v>
      </c>
      <c r="L12" s="65">
        <f t="shared" si="1"/>
        <v>742753.52266499971</v>
      </c>
      <c r="M12" s="65">
        <f t="shared" si="1"/>
        <v>817028.87493149959</v>
      </c>
      <c r="N12" s="65">
        <f t="shared" si="1"/>
        <v>922269.97525005706</v>
      </c>
      <c r="O12" s="65">
        <f t="shared" si="1"/>
        <v>1038035.1856004703</v>
      </c>
      <c r="P12" s="65">
        <f t="shared" si="1"/>
        <v>1141838.7041605175</v>
      </c>
      <c r="Q12" s="65">
        <f t="shared" si="1"/>
        <v>1256022.5745765695</v>
      </c>
      <c r="R12" s="65">
        <f t="shared" si="1"/>
        <v>1381624.8320342265</v>
      </c>
      <c r="S12" s="65">
        <f t="shared" si="1"/>
        <v>1519787.3152376488</v>
      </c>
      <c r="T12" s="65">
        <f t="shared" si="1"/>
        <v>1671766.0467614136</v>
      </c>
      <c r="U12" s="65">
        <f t="shared" si="1"/>
        <v>1838942.6514375552</v>
      </c>
      <c r="V12" s="65">
        <f t="shared" si="1"/>
        <v>2022836.9165813108</v>
      </c>
      <c r="W12" s="65">
        <f t="shared" si="1"/>
        <v>2225120.6082394416</v>
      </c>
      <c r="X12" s="65">
        <f t="shared" si="1"/>
        <v>2447632.6690633856</v>
      </c>
      <c r="Y12" s="65">
        <f t="shared" si="1"/>
        <v>2692395.9359697243</v>
      </c>
    </row>
    <row r="13" spans="1:25" ht="15" thickBot="1" x14ac:dyDescent="0.35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</row>
    <row r="14" spans="1:25" ht="15" thickBot="1" x14ac:dyDescent="0.35">
      <c r="A14" s="99" t="s">
        <v>84</v>
      </c>
      <c r="B14" s="68">
        <f>B5+B6+B12</f>
        <v>10074888.888888888</v>
      </c>
      <c r="C14" s="68">
        <f t="shared" ref="C14:Y14" si="2">C5+C6+C12</f>
        <v>10183277.777777778</v>
      </c>
      <c r="D14" s="68">
        <f t="shared" si="2"/>
        <v>10178516.666666666</v>
      </c>
      <c r="E14" s="68">
        <f t="shared" si="2"/>
        <v>10199290.555555556</v>
      </c>
      <c r="F14" s="68">
        <f t="shared" si="2"/>
        <v>10233152.944444444</v>
      </c>
      <c r="G14" s="68">
        <f t="shared" si="2"/>
        <v>10297912.683333334</v>
      </c>
      <c r="H14" s="68">
        <f t="shared" si="2"/>
        <v>10396659.507222222</v>
      </c>
      <c r="I14" s="68">
        <f t="shared" si="2"/>
        <v>10532792.124611111</v>
      </c>
      <c r="J14" s="68">
        <f t="shared" si="2"/>
        <v>10695049.11485</v>
      </c>
      <c r="K14" s="68">
        <f t="shared" si="2"/>
        <v>10902542.915223889</v>
      </c>
      <c r="L14" s="68">
        <f t="shared" si="2"/>
        <v>11159797.206746276</v>
      </c>
      <c r="M14" s="68">
        <f t="shared" si="2"/>
        <v>11471788.038532015</v>
      </c>
      <c r="N14" s="68">
        <f t="shared" si="2"/>
        <v>11791762.021712225</v>
      </c>
      <c r="O14" s="68">
        <f t="shared" si="2"/>
        <v>12183145.625432678</v>
      </c>
      <c r="P14" s="68">
        <f t="shared" si="2"/>
        <v>12629541.59892199</v>
      </c>
      <c r="Q14" s="68">
        <f t="shared" si="2"/>
        <v>13159989.391982457</v>
      </c>
      <c r="R14" s="68">
        <f t="shared" si="2"/>
        <v>13751994.18657119</v>
      </c>
      <c r="S14" s="68">
        <f t="shared" si="2"/>
        <v>14445701.682841022</v>
      </c>
      <c r="T14" s="68">
        <f t="shared" si="2"/>
        <v>15251282.150960056</v>
      </c>
      <c r="U14" s="68">
        <f t="shared" si="2"/>
        <v>16179922.888113216</v>
      </c>
      <c r="V14" s="68">
        <f t="shared" si="2"/>
        <v>17213029.921203919</v>
      </c>
      <c r="W14" s="68">
        <f t="shared" si="2"/>
        <v>18395039.879825909</v>
      </c>
      <c r="X14" s="68">
        <f t="shared" si="2"/>
        <v>19740843.056532323</v>
      </c>
      <c r="Y14" s="69">
        <f t="shared" si="2"/>
        <v>21266818.773131602</v>
      </c>
    </row>
    <row r="15" spans="1:25" x14ac:dyDescent="0.3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</row>
    <row r="16" spans="1:25" x14ac:dyDescent="0.3">
      <c r="A16" s="95" t="s">
        <v>85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</row>
    <row r="17" spans="1:25" x14ac:dyDescent="0.3">
      <c r="A17" s="96" t="s">
        <v>86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</row>
    <row r="18" spans="1:25" x14ac:dyDescent="0.3">
      <c r="A18" s="97" t="s">
        <v>87</v>
      </c>
      <c r="B18" s="65">
        <f>'P&amp;L Account'!B47</f>
        <v>388888.88888888888</v>
      </c>
      <c r="C18" s="65">
        <f>'P&amp;L Account'!C47</f>
        <v>377777.77777777775</v>
      </c>
      <c r="D18" s="65">
        <f>'P&amp;L Account'!D47</f>
        <v>366666.66666666663</v>
      </c>
      <c r="E18" s="65">
        <f>'P&amp;L Account'!E47</f>
        <v>355555.5555555555</v>
      </c>
      <c r="F18" s="65">
        <f>'P&amp;L Account'!F47</f>
        <v>344444.44444444438</v>
      </c>
      <c r="G18" s="65">
        <f>'P&amp;L Account'!G47</f>
        <v>333333.33333333326</v>
      </c>
      <c r="H18" s="65">
        <f>'P&amp;L Account'!H47</f>
        <v>322222.22222222213</v>
      </c>
      <c r="I18" s="65">
        <f>'P&amp;L Account'!I47</f>
        <v>311111.11111111101</v>
      </c>
      <c r="J18" s="65">
        <f>'P&amp;L Account'!J47</f>
        <v>299999.99999999988</v>
      </c>
      <c r="K18" s="65">
        <f>'P&amp;L Account'!K47</f>
        <v>288888.88888888876</v>
      </c>
      <c r="L18" s="65">
        <f>'P&amp;L Account'!L47</f>
        <v>277777.77777777764</v>
      </c>
      <c r="M18" s="65">
        <f>'P&amp;L Account'!M47</f>
        <v>266666.66666666651</v>
      </c>
      <c r="N18" s="65">
        <f>'P&amp;L Account'!N47</f>
        <v>644444.44444444426</v>
      </c>
      <c r="O18" s="65">
        <f>'P&amp;L Account'!O47</f>
        <v>622222.22222222202</v>
      </c>
      <c r="P18" s="65">
        <f>'P&amp;L Account'!P47</f>
        <v>599999.99999999977</v>
      </c>
      <c r="Q18" s="65">
        <f>'P&amp;L Account'!Q47</f>
        <v>577777.77777777752</v>
      </c>
      <c r="R18" s="65">
        <f>'P&amp;L Account'!R47</f>
        <v>555555.55555555527</v>
      </c>
      <c r="S18" s="65">
        <f>'P&amp;L Account'!S47</f>
        <v>533333.33333333302</v>
      </c>
      <c r="T18" s="65">
        <f>'P&amp;L Account'!T47</f>
        <v>511111.11111111077</v>
      </c>
      <c r="U18" s="65">
        <f>'P&amp;L Account'!U47</f>
        <v>488888.88888888853</v>
      </c>
      <c r="V18" s="65">
        <f>'P&amp;L Account'!V47</f>
        <v>466666.66666666628</v>
      </c>
      <c r="W18" s="65">
        <f>'P&amp;L Account'!W47</f>
        <v>444444.44444444403</v>
      </c>
      <c r="X18" s="65">
        <f>'P&amp;L Account'!X47</f>
        <v>422222.22222222178</v>
      </c>
      <c r="Y18" s="65">
        <f>'P&amp;L Account'!Y47</f>
        <v>399999.99999999953</v>
      </c>
    </row>
    <row r="19" spans="1:25" x14ac:dyDescent="0.3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</row>
    <row r="20" spans="1:25" x14ac:dyDescent="0.3">
      <c r="A20" s="96" t="s">
        <v>55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</row>
    <row r="21" spans="1:25" x14ac:dyDescent="0.3">
      <c r="A21" s="97" t="s">
        <v>88</v>
      </c>
      <c r="B21" s="65">
        <f>B35</f>
        <v>320000</v>
      </c>
      <c r="C21" s="65">
        <f t="shared" ref="C21:Y21" si="3">C35</f>
        <v>352000</v>
      </c>
      <c r="D21" s="65">
        <f t="shared" si="3"/>
        <v>387200</v>
      </c>
      <c r="E21" s="65">
        <f t="shared" si="3"/>
        <v>425920</v>
      </c>
      <c r="F21" s="65">
        <f t="shared" si="3"/>
        <v>468512</v>
      </c>
      <c r="G21" s="65">
        <f t="shared" si="3"/>
        <v>515363.19999999995</v>
      </c>
      <c r="H21" s="65">
        <f t="shared" si="3"/>
        <v>566899.51999999979</v>
      </c>
      <c r="I21" s="65">
        <f t="shared" si="3"/>
        <v>623589.47199999972</v>
      </c>
      <c r="J21" s="65">
        <f t="shared" si="3"/>
        <v>685948.41919999954</v>
      </c>
      <c r="K21" s="65">
        <f t="shared" si="3"/>
        <v>754543.26111999946</v>
      </c>
      <c r="L21" s="65">
        <f t="shared" si="3"/>
        <v>829997.5872319995</v>
      </c>
      <c r="M21" s="65">
        <f t="shared" si="3"/>
        <v>912997.34595519933</v>
      </c>
      <c r="N21" s="65">
        <f t="shared" si="3"/>
        <v>1054511.9345782555</v>
      </c>
      <c r="O21" s="65">
        <f t="shared" si="3"/>
        <v>1159963.1280360806</v>
      </c>
      <c r="P21" s="65">
        <f t="shared" si="3"/>
        <v>1275959.4408396888</v>
      </c>
      <c r="Q21" s="65">
        <f t="shared" si="3"/>
        <v>1403555.3849236579</v>
      </c>
      <c r="R21" s="65">
        <f t="shared" si="3"/>
        <v>1543910.9234160238</v>
      </c>
      <c r="S21" s="65">
        <f t="shared" si="3"/>
        <v>1698302.0157576264</v>
      </c>
      <c r="T21" s="65">
        <f t="shared" si="3"/>
        <v>1868132.217333389</v>
      </c>
      <c r="U21" s="65">
        <f t="shared" si="3"/>
        <v>2054945.4390667281</v>
      </c>
      <c r="V21" s="65">
        <f t="shared" si="3"/>
        <v>2260439.9829734005</v>
      </c>
      <c r="W21" s="65">
        <f t="shared" si="3"/>
        <v>2486483.9812707407</v>
      </c>
      <c r="X21" s="65">
        <f t="shared" si="3"/>
        <v>2735132.3793978151</v>
      </c>
      <c r="Y21" s="65">
        <f t="shared" si="3"/>
        <v>3008645.6173375971</v>
      </c>
    </row>
    <row r="22" spans="1:25" x14ac:dyDescent="0.3">
      <c r="A22" s="97" t="s">
        <v>89</v>
      </c>
      <c r="B22" s="65">
        <f>CFS!B20</f>
        <v>9366000</v>
      </c>
      <c r="C22" s="65">
        <f>CFS!C20</f>
        <v>9453500</v>
      </c>
      <c r="D22" s="65">
        <f>CFS!D20</f>
        <v>9424650</v>
      </c>
      <c r="E22" s="65">
        <f>CFS!E20</f>
        <v>9417815</v>
      </c>
      <c r="F22" s="65">
        <f>CFS!F20</f>
        <v>9420196.5</v>
      </c>
      <c r="G22" s="65">
        <f>CFS!G20</f>
        <v>9449216.1500000004</v>
      </c>
      <c r="H22" s="65">
        <f>CFS!H20</f>
        <v>9507537.7650000006</v>
      </c>
      <c r="I22" s="65">
        <f>CFS!I20</f>
        <v>9598091.5415000003</v>
      </c>
      <c r="J22" s="65">
        <f>CFS!J20</f>
        <v>9709100.6956500001</v>
      </c>
      <c r="K22" s="65">
        <f>CFS!K20</f>
        <v>9859110.7652150001</v>
      </c>
      <c r="L22" s="65">
        <f>CFS!L20</f>
        <v>10052021.841736499</v>
      </c>
      <c r="M22" s="65">
        <f>CFS!M20</f>
        <v>10292124.025910148</v>
      </c>
      <c r="N22" s="65">
        <f>CFS!N20</f>
        <v>10092805.642689524</v>
      </c>
      <c r="O22" s="65">
        <f>CFS!O20</f>
        <v>10400960.275174374</v>
      </c>
      <c r="P22" s="65">
        <f>CFS!P20</f>
        <v>10753582.158082301</v>
      </c>
      <c r="Q22" s="65">
        <f>CFS!Q20</f>
        <v>11178656.229281019</v>
      </c>
      <c r="R22" s="65">
        <f>CFS!R20</f>
        <v>11652527.70759961</v>
      </c>
      <c r="S22" s="65">
        <f>CFS!S20</f>
        <v>12214066.33375006</v>
      </c>
      <c r="T22" s="65">
        <f>CFS!T20</f>
        <v>12872038.822515555</v>
      </c>
      <c r="U22" s="65">
        <f>CFS!U20</f>
        <v>13636088.560157599</v>
      </c>
      <c r="V22" s="65">
        <f>CFS!V20</f>
        <v>14485923.271563848</v>
      </c>
      <c r="W22" s="65">
        <f>CFS!W20</f>
        <v>15464111.454110723</v>
      </c>
      <c r="X22" s="65">
        <f>CFS!X20</f>
        <v>16583488.454912284</v>
      </c>
      <c r="Y22" s="65">
        <f>CFS!Y20</f>
        <v>17858173.155794002</v>
      </c>
    </row>
    <row r="23" spans="1:25" s="1" customFormat="1" x14ac:dyDescent="0.3">
      <c r="A23" s="97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</row>
    <row r="24" spans="1:25" ht="15" thickBot="1" x14ac:dyDescent="0.35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</row>
    <row r="25" spans="1:25" ht="15" thickBot="1" x14ac:dyDescent="0.35">
      <c r="A25" s="99" t="s">
        <v>68</v>
      </c>
      <c r="B25" s="68">
        <f>B18+B21+B22</f>
        <v>10074888.888888888</v>
      </c>
      <c r="C25" s="68">
        <f t="shared" ref="C25:Y25" si="4">C18+C21+C22</f>
        <v>10183277.777777778</v>
      </c>
      <c r="D25" s="68">
        <f t="shared" si="4"/>
        <v>10178516.666666666</v>
      </c>
      <c r="E25" s="68">
        <f t="shared" si="4"/>
        <v>10199290.555555556</v>
      </c>
      <c r="F25" s="68">
        <f t="shared" si="4"/>
        <v>10233152.944444444</v>
      </c>
      <c r="G25" s="68">
        <f t="shared" si="4"/>
        <v>10297912.683333334</v>
      </c>
      <c r="H25" s="68">
        <f t="shared" si="4"/>
        <v>10396659.507222222</v>
      </c>
      <c r="I25" s="68">
        <f t="shared" si="4"/>
        <v>10532792.124611111</v>
      </c>
      <c r="J25" s="68">
        <f t="shared" si="4"/>
        <v>10695049.11485</v>
      </c>
      <c r="K25" s="68">
        <f t="shared" si="4"/>
        <v>10902542.915223889</v>
      </c>
      <c r="L25" s="68">
        <f t="shared" si="4"/>
        <v>11159797.206746276</v>
      </c>
      <c r="M25" s="68">
        <f t="shared" si="4"/>
        <v>11471788.038532015</v>
      </c>
      <c r="N25" s="68">
        <f t="shared" si="4"/>
        <v>11791762.021712225</v>
      </c>
      <c r="O25" s="68">
        <f t="shared" si="4"/>
        <v>12183145.625432676</v>
      </c>
      <c r="P25" s="68">
        <f t="shared" si="4"/>
        <v>12629541.59892199</v>
      </c>
      <c r="Q25" s="68">
        <f t="shared" si="4"/>
        <v>13159989.391982455</v>
      </c>
      <c r="R25" s="68">
        <f t="shared" si="4"/>
        <v>13751994.186571188</v>
      </c>
      <c r="S25" s="68">
        <f t="shared" si="4"/>
        <v>14445701.68284102</v>
      </c>
      <c r="T25" s="68">
        <f t="shared" si="4"/>
        <v>15251282.150960054</v>
      </c>
      <c r="U25" s="68">
        <f t="shared" si="4"/>
        <v>16179922.888113216</v>
      </c>
      <c r="V25" s="68">
        <f t="shared" si="4"/>
        <v>17213029.921203915</v>
      </c>
      <c r="W25" s="68">
        <f t="shared" si="4"/>
        <v>18395039.879825909</v>
      </c>
      <c r="X25" s="68">
        <f t="shared" si="4"/>
        <v>19740843.056532323</v>
      </c>
      <c r="Y25" s="69">
        <f t="shared" si="4"/>
        <v>21266818.773131598</v>
      </c>
    </row>
    <row r="27" spans="1:25" x14ac:dyDescent="0.3"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</row>
    <row r="30" spans="1:25" x14ac:dyDescent="0.3">
      <c r="A30" t="s">
        <v>92</v>
      </c>
    </row>
    <row r="31" spans="1:25" x14ac:dyDescent="0.3">
      <c r="A31" s="8" t="s">
        <v>71</v>
      </c>
      <c r="B31" s="5">
        <v>45017</v>
      </c>
      <c r="C31" s="5">
        <v>45047</v>
      </c>
      <c r="D31" s="5">
        <v>45078</v>
      </c>
      <c r="E31" s="5">
        <v>45108</v>
      </c>
      <c r="F31" s="5">
        <v>45139</v>
      </c>
      <c r="G31" s="5">
        <v>45170</v>
      </c>
      <c r="H31" s="5">
        <v>45200</v>
      </c>
      <c r="I31" s="5">
        <v>45231</v>
      </c>
      <c r="J31" s="5">
        <v>45261</v>
      </c>
      <c r="K31" s="5">
        <v>45292</v>
      </c>
      <c r="L31" s="5">
        <v>45323</v>
      </c>
      <c r="M31" s="5">
        <v>45352</v>
      </c>
      <c r="N31" s="5">
        <v>45383</v>
      </c>
      <c r="O31" s="5">
        <v>45413</v>
      </c>
      <c r="P31" s="5">
        <v>45444</v>
      </c>
      <c r="Q31" s="5">
        <v>45474</v>
      </c>
      <c r="R31" s="5">
        <v>45505</v>
      </c>
      <c r="S31" s="5">
        <v>45536</v>
      </c>
      <c r="T31" s="5">
        <v>45566</v>
      </c>
      <c r="U31" s="5">
        <v>45597</v>
      </c>
      <c r="V31" s="5">
        <v>45627</v>
      </c>
      <c r="W31" s="5">
        <v>45658</v>
      </c>
      <c r="X31" s="5">
        <v>45689</v>
      </c>
      <c r="Y31" s="5">
        <v>45717</v>
      </c>
    </row>
    <row r="32" spans="1:25" x14ac:dyDescent="0.3">
      <c r="A32" s="6" t="s">
        <v>106</v>
      </c>
      <c r="B32" s="7">
        <v>0</v>
      </c>
      <c r="C32" s="7">
        <f>B35</f>
        <v>320000</v>
      </c>
      <c r="D32" s="7">
        <f>C35</f>
        <v>352000</v>
      </c>
      <c r="E32" s="7">
        <f>D35</f>
        <v>387200</v>
      </c>
      <c r="F32" s="7">
        <f>E35</f>
        <v>425920</v>
      </c>
      <c r="G32" s="7">
        <f>F35</f>
        <v>468512</v>
      </c>
      <c r="H32" s="7">
        <f t="shared" ref="H32:Y32" si="5">G35</f>
        <v>515363.19999999995</v>
      </c>
      <c r="I32" s="7">
        <f t="shared" si="5"/>
        <v>566899.51999999979</v>
      </c>
      <c r="J32" s="7">
        <f t="shared" si="5"/>
        <v>623589.47199999972</v>
      </c>
      <c r="K32" s="7">
        <f t="shared" si="5"/>
        <v>685948.41919999954</v>
      </c>
      <c r="L32" s="7">
        <f t="shared" si="5"/>
        <v>754543.26111999946</v>
      </c>
      <c r="M32" s="7">
        <f t="shared" si="5"/>
        <v>829997.5872319995</v>
      </c>
      <c r="N32" s="7">
        <f t="shared" si="5"/>
        <v>912997.34595519933</v>
      </c>
      <c r="O32" s="7">
        <f t="shared" si="5"/>
        <v>1054511.9345782555</v>
      </c>
      <c r="P32" s="7">
        <f t="shared" si="5"/>
        <v>1159963.1280360806</v>
      </c>
      <c r="Q32" s="7">
        <f t="shared" si="5"/>
        <v>1275959.4408396888</v>
      </c>
      <c r="R32" s="7">
        <f t="shared" si="5"/>
        <v>1403555.3849236579</v>
      </c>
      <c r="S32" s="7">
        <f t="shared" si="5"/>
        <v>1543910.9234160238</v>
      </c>
      <c r="T32" s="7">
        <f t="shared" si="5"/>
        <v>1698302.0157576264</v>
      </c>
      <c r="U32" s="7">
        <f t="shared" si="5"/>
        <v>1868132.217333389</v>
      </c>
      <c r="V32" s="7">
        <f t="shared" si="5"/>
        <v>2054945.4390667281</v>
      </c>
      <c r="W32" s="7">
        <f t="shared" si="5"/>
        <v>2260439.9829734005</v>
      </c>
      <c r="X32" s="7">
        <f t="shared" si="5"/>
        <v>2486483.9812707407</v>
      </c>
      <c r="Y32" s="7">
        <f t="shared" si="5"/>
        <v>2735132.3793978151</v>
      </c>
    </row>
    <row r="33" spans="1:25" x14ac:dyDescent="0.3">
      <c r="A33" s="6" t="s">
        <v>72</v>
      </c>
      <c r="B33" s="7">
        <f>DCF!B57</f>
        <v>320000</v>
      </c>
      <c r="C33" s="7">
        <f>DCF!C57</f>
        <v>352000</v>
      </c>
      <c r="D33" s="7">
        <f>DCF!D57</f>
        <v>387200</v>
      </c>
      <c r="E33" s="7">
        <f>DCF!E57</f>
        <v>425920</v>
      </c>
      <c r="F33" s="7">
        <f>DCF!F57</f>
        <v>468512</v>
      </c>
      <c r="G33" s="7">
        <f>DCF!G57</f>
        <v>515363.19999999995</v>
      </c>
      <c r="H33" s="7">
        <f>DCF!H57</f>
        <v>566899.5199999999</v>
      </c>
      <c r="I33" s="7">
        <f>DCF!I57</f>
        <v>623589.47199999995</v>
      </c>
      <c r="J33" s="7">
        <f>DCF!J57</f>
        <v>685948.41919999989</v>
      </c>
      <c r="K33" s="7">
        <f>DCF!K57</f>
        <v>754543.26111999992</v>
      </c>
      <c r="L33" s="7">
        <f>DCF!L57</f>
        <v>829997.58723199996</v>
      </c>
      <c r="M33" s="7">
        <f>DCF!M57</f>
        <v>912997.34595519979</v>
      </c>
      <c r="N33" s="7">
        <f>DCF!N57</f>
        <v>1054511.934578256</v>
      </c>
      <c r="O33" s="7">
        <f>DCF!O57</f>
        <v>1159963.1280360813</v>
      </c>
      <c r="P33" s="7">
        <f>DCF!P57</f>
        <v>1275959.4408396897</v>
      </c>
      <c r="Q33" s="7">
        <f>DCF!Q57</f>
        <v>1403555.3849236586</v>
      </c>
      <c r="R33" s="7">
        <f>DCF!R57</f>
        <v>1543910.9234160245</v>
      </c>
      <c r="S33" s="7">
        <f>DCF!S57</f>
        <v>1698302.0157576269</v>
      </c>
      <c r="T33" s="7">
        <f>DCF!T57</f>
        <v>1868132.2173333894</v>
      </c>
      <c r="U33" s="7">
        <f>DCF!U57</f>
        <v>2054945.4390667286</v>
      </c>
      <c r="V33" s="7">
        <f>DCF!V57</f>
        <v>2260439.9829734014</v>
      </c>
      <c r="W33" s="7">
        <f>DCF!W57</f>
        <v>2486483.9812707417</v>
      </c>
      <c r="X33" s="7">
        <f>DCF!X57</f>
        <v>2735132.3793978156</v>
      </c>
      <c r="Y33" s="7">
        <f>DCF!Y57</f>
        <v>3008645.6173375975</v>
      </c>
    </row>
    <row r="34" spans="1:25" ht="15" thickBot="1" x14ac:dyDescent="0.35">
      <c r="A34" s="12" t="s">
        <v>73</v>
      </c>
      <c r="B34" s="21">
        <v>0</v>
      </c>
      <c r="C34" s="21">
        <f>B33</f>
        <v>320000</v>
      </c>
      <c r="D34" s="21">
        <f t="shared" ref="D34:Y34" si="6">C33</f>
        <v>352000</v>
      </c>
      <c r="E34" s="21">
        <f t="shared" si="6"/>
        <v>387200</v>
      </c>
      <c r="F34" s="21">
        <f t="shared" si="6"/>
        <v>425920</v>
      </c>
      <c r="G34" s="21">
        <f t="shared" si="6"/>
        <v>468512</v>
      </c>
      <c r="H34" s="21">
        <f t="shared" si="6"/>
        <v>515363.19999999995</v>
      </c>
      <c r="I34" s="21">
        <f t="shared" si="6"/>
        <v>566899.5199999999</v>
      </c>
      <c r="J34" s="21">
        <f t="shared" si="6"/>
        <v>623589.47199999995</v>
      </c>
      <c r="K34" s="21">
        <f t="shared" si="6"/>
        <v>685948.41919999989</v>
      </c>
      <c r="L34" s="21">
        <f t="shared" si="6"/>
        <v>754543.26111999992</v>
      </c>
      <c r="M34" s="21">
        <f t="shared" si="6"/>
        <v>829997.58723199996</v>
      </c>
      <c r="N34" s="21">
        <f t="shared" si="6"/>
        <v>912997.34595519979</v>
      </c>
      <c r="O34" s="21">
        <f t="shared" si="6"/>
        <v>1054511.934578256</v>
      </c>
      <c r="P34" s="21">
        <f t="shared" si="6"/>
        <v>1159963.1280360813</v>
      </c>
      <c r="Q34" s="21">
        <f t="shared" si="6"/>
        <v>1275959.4408396897</v>
      </c>
      <c r="R34" s="21">
        <f t="shared" si="6"/>
        <v>1403555.3849236586</v>
      </c>
      <c r="S34" s="21">
        <f t="shared" si="6"/>
        <v>1543910.9234160245</v>
      </c>
      <c r="T34" s="21">
        <f t="shared" si="6"/>
        <v>1698302.0157576269</v>
      </c>
      <c r="U34" s="21">
        <f t="shared" si="6"/>
        <v>1868132.2173333894</v>
      </c>
      <c r="V34" s="21">
        <f t="shared" si="6"/>
        <v>2054945.4390667286</v>
      </c>
      <c r="W34" s="21">
        <f t="shared" si="6"/>
        <v>2260439.9829734014</v>
      </c>
      <c r="X34" s="21">
        <f t="shared" si="6"/>
        <v>2486483.9812707417</v>
      </c>
      <c r="Y34" s="21">
        <f t="shared" si="6"/>
        <v>2735132.3793978156</v>
      </c>
    </row>
    <row r="35" spans="1:25" ht="15" thickBot="1" x14ac:dyDescent="0.35">
      <c r="A35" s="33" t="s">
        <v>105</v>
      </c>
      <c r="B35" s="16">
        <f>B32+B33-B34</f>
        <v>320000</v>
      </c>
      <c r="C35" s="16">
        <f t="shared" ref="C35:Y35" si="7">C32+C33-C34</f>
        <v>352000</v>
      </c>
      <c r="D35" s="16">
        <f t="shared" si="7"/>
        <v>387200</v>
      </c>
      <c r="E35" s="16">
        <f t="shared" si="7"/>
        <v>425920</v>
      </c>
      <c r="F35" s="16">
        <f t="shared" si="7"/>
        <v>468512</v>
      </c>
      <c r="G35" s="16">
        <f t="shared" si="7"/>
        <v>515363.19999999995</v>
      </c>
      <c r="H35" s="16">
        <f t="shared" si="7"/>
        <v>566899.51999999979</v>
      </c>
      <c r="I35" s="16">
        <f t="shared" si="7"/>
        <v>623589.47199999972</v>
      </c>
      <c r="J35" s="16">
        <f t="shared" si="7"/>
        <v>685948.41919999954</v>
      </c>
      <c r="K35" s="16">
        <f t="shared" si="7"/>
        <v>754543.26111999946</v>
      </c>
      <c r="L35" s="16">
        <f t="shared" si="7"/>
        <v>829997.5872319995</v>
      </c>
      <c r="M35" s="16">
        <f t="shared" si="7"/>
        <v>912997.34595519933</v>
      </c>
      <c r="N35" s="16">
        <f t="shared" si="7"/>
        <v>1054511.9345782555</v>
      </c>
      <c r="O35" s="16">
        <f t="shared" si="7"/>
        <v>1159963.1280360806</v>
      </c>
      <c r="P35" s="16">
        <f t="shared" si="7"/>
        <v>1275959.4408396888</v>
      </c>
      <c r="Q35" s="16">
        <f t="shared" si="7"/>
        <v>1403555.3849236579</v>
      </c>
      <c r="R35" s="16">
        <f t="shared" si="7"/>
        <v>1543910.9234160238</v>
      </c>
      <c r="S35" s="16">
        <f t="shared" si="7"/>
        <v>1698302.0157576264</v>
      </c>
      <c r="T35" s="16">
        <f t="shared" si="7"/>
        <v>1868132.217333389</v>
      </c>
      <c r="U35" s="16">
        <f t="shared" si="7"/>
        <v>2054945.4390667281</v>
      </c>
      <c r="V35" s="16">
        <f t="shared" si="7"/>
        <v>2260439.9829734005</v>
      </c>
      <c r="W35" s="16">
        <f t="shared" si="7"/>
        <v>2486483.9812707407</v>
      </c>
      <c r="X35" s="16">
        <f t="shared" si="7"/>
        <v>2735132.3793978151</v>
      </c>
      <c r="Y35" s="17">
        <f t="shared" si="7"/>
        <v>3008645.6173375971</v>
      </c>
    </row>
    <row r="36" spans="1:25" s="1" customFormat="1" x14ac:dyDescent="0.3">
      <c r="A36" s="59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</row>
    <row r="37" spans="1:25" x14ac:dyDescent="0.3">
      <c r="A37" s="2" t="s">
        <v>93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">
      <c r="A38" s="8" t="s">
        <v>74</v>
      </c>
      <c r="B38" s="5">
        <v>45017</v>
      </c>
      <c r="C38" s="5">
        <v>45047</v>
      </c>
      <c r="D38" s="5">
        <v>45078</v>
      </c>
      <c r="E38" s="5">
        <v>45108</v>
      </c>
      <c r="F38" s="5">
        <v>45139</v>
      </c>
      <c r="G38" s="5">
        <v>45170</v>
      </c>
      <c r="H38" s="5">
        <v>45200</v>
      </c>
      <c r="I38" s="5">
        <v>45231</v>
      </c>
      <c r="J38" s="5">
        <v>45261</v>
      </c>
      <c r="K38" s="5">
        <v>45292</v>
      </c>
      <c r="L38" s="5">
        <v>45323</v>
      </c>
      <c r="M38" s="5">
        <v>45352</v>
      </c>
      <c r="N38" s="5">
        <v>45383</v>
      </c>
      <c r="O38" s="5">
        <v>45413</v>
      </c>
      <c r="P38" s="5">
        <v>45444</v>
      </c>
      <c r="Q38" s="5">
        <v>45474</v>
      </c>
      <c r="R38" s="5">
        <v>45505</v>
      </c>
      <c r="S38" s="5">
        <v>45536</v>
      </c>
      <c r="T38" s="5">
        <v>45566</v>
      </c>
      <c r="U38" s="5">
        <v>45597</v>
      </c>
      <c r="V38" s="5">
        <v>45627</v>
      </c>
      <c r="W38" s="5">
        <v>45658</v>
      </c>
      <c r="X38" s="5">
        <v>45689</v>
      </c>
      <c r="Y38" s="5">
        <v>45717</v>
      </c>
    </row>
    <row r="39" spans="1:25" x14ac:dyDescent="0.3">
      <c r="A39" s="6" t="s">
        <v>106</v>
      </c>
      <c r="B39" s="7">
        <v>0</v>
      </c>
      <c r="C39" s="7">
        <f>B42</f>
        <v>150000</v>
      </c>
      <c r="D39" s="7">
        <f t="shared" ref="D39:Y39" si="8">C42</f>
        <v>315000</v>
      </c>
      <c r="E39" s="7">
        <f t="shared" si="8"/>
        <v>346500</v>
      </c>
      <c r="F39" s="7">
        <f t="shared" si="8"/>
        <v>381150</v>
      </c>
      <c r="G39" s="7">
        <f t="shared" si="8"/>
        <v>419265</v>
      </c>
      <c r="H39" s="7">
        <f t="shared" si="8"/>
        <v>461191.5</v>
      </c>
      <c r="I39" s="7">
        <f t="shared" si="8"/>
        <v>507310.64999999991</v>
      </c>
      <c r="J39" s="7">
        <f t="shared" si="8"/>
        <v>558041.71499999985</v>
      </c>
      <c r="K39" s="7">
        <f t="shared" si="8"/>
        <v>613845.88649999979</v>
      </c>
      <c r="L39" s="7">
        <f t="shared" si="8"/>
        <v>675230.47514999984</v>
      </c>
      <c r="M39" s="7">
        <f t="shared" si="8"/>
        <v>742753.52266499971</v>
      </c>
      <c r="N39" s="7">
        <f t="shared" si="8"/>
        <v>817028.87493149959</v>
      </c>
      <c r="O39" s="7">
        <f t="shared" si="8"/>
        <v>922269.97525005706</v>
      </c>
      <c r="P39" s="7">
        <f t="shared" si="8"/>
        <v>1038035.1856004703</v>
      </c>
      <c r="Q39" s="7">
        <f t="shared" si="8"/>
        <v>1141838.7041605175</v>
      </c>
      <c r="R39" s="7">
        <f t="shared" si="8"/>
        <v>1256022.5745765695</v>
      </c>
      <c r="S39" s="7">
        <f t="shared" si="8"/>
        <v>1381624.8320342265</v>
      </c>
      <c r="T39" s="7">
        <f t="shared" si="8"/>
        <v>1519787.3152376488</v>
      </c>
      <c r="U39" s="7">
        <f t="shared" si="8"/>
        <v>1671766.0467614136</v>
      </c>
      <c r="V39" s="7">
        <f t="shared" si="8"/>
        <v>1838942.6514375552</v>
      </c>
      <c r="W39" s="7">
        <f t="shared" si="8"/>
        <v>2022836.9165813108</v>
      </c>
      <c r="X39" s="7">
        <f t="shared" si="8"/>
        <v>2225120.6082394416</v>
      </c>
      <c r="Y39" s="7">
        <f t="shared" si="8"/>
        <v>2447632.6690633856</v>
      </c>
    </row>
    <row r="40" spans="1:25" x14ac:dyDescent="0.3">
      <c r="A40" s="6" t="s">
        <v>75</v>
      </c>
      <c r="B40" s="7">
        <f>DCF!B60</f>
        <v>150000</v>
      </c>
      <c r="C40" s="7">
        <f>DCF!C60</f>
        <v>165000</v>
      </c>
      <c r="D40" s="7">
        <f>DCF!D60</f>
        <v>181500</v>
      </c>
      <c r="E40" s="7">
        <f>DCF!E60</f>
        <v>199650</v>
      </c>
      <c r="F40" s="7">
        <f>DCF!F60</f>
        <v>219615</v>
      </c>
      <c r="G40" s="7">
        <f>DCF!G60</f>
        <v>241576.49999999997</v>
      </c>
      <c r="H40" s="7">
        <f>DCF!H60</f>
        <v>265734.14999999997</v>
      </c>
      <c r="I40" s="7">
        <f>DCF!I60</f>
        <v>292307.56499999994</v>
      </c>
      <c r="J40" s="7">
        <f>DCF!J60</f>
        <v>321538.32149999996</v>
      </c>
      <c r="K40" s="7">
        <f>DCF!K60</f>
        <v>353692.15364999993</v>
      </c>
      <c r="L40" s="7">
        <f>DCF!L60</f>
        <v>389061.36901499995</v>
      </c>
      <c r="M40" s="7">
        <f>DCF!M60</f>
        <v>427967.50591649994</v>
      </c>
      <c r="N40" s="7">
        <f>DCF!N60</f>
        <v>494302.46933355741</v>
      </c>
      <c r="O40" s="7">
        <f>DCF!O60</f>
        <v>543732.71626691311</v>
      </c>
      <c r="P40" s="7">
        <f>DCF!P60</f>
        <v>598105.98789360456</v>
      </c>
      <c r="Q40" s="7">
        <f>DCF!Q60</f>
        <v>657916.58668296493</v>
      </c>
      <c r="R40" s="7">
        <f>DCF!R60</f>
        <v>723708.24535126146</v>
      </c>
      <c r="S40" s="7">
        <f>DCF!S60</f>
        <v>796079.06988638756</v>
      </c>
      <c r="T40" s="7">
        <f>DCF!T60</f>
        <v>875686.97687502636</v>
      </c>
      <c r="U40" s="7">
        <f>DCF!U60</f>
        <v>963255.67456252908</v>
      </c>
      <c r="V40" s="7">
        <f>DCF!V60</f>
        <v>1059581.2420187818</v>
      </c>
      <c r="W40" s="7">
        <f>DCF!W60</f>
        <v>1165539.3662206603</v>
      </c>
      <c r="X40" s="7">
        <f>DCF!X60</f>
        <v>1282093.302842726</v>
      </c>
      <c r="Y40" s="7">
        <f>DCF!Y60</f>
        <v>1410302.6331269988</v>
      </c>
    </row>
    <row r="41" spans="1:25" ht="15" thickBot="1" x14ac:dyDescent="0.35">
      <c r="A41" s="12" t="s">
        <v>76</v>
      </c>
      <c r="B41" s="21">
        <v>0</v>
      </c>
      <c r="C41" s="21">
        <v>0</v>
      </c>
      <c r="D41" s="21">
        <f>B40</f>
        <v>150000</v>
      </c>
      <c r="E41" s="21">
        <f t="shared" ref="E41:Y41" si="9">C40</f>
        <v>165000</v>
      </c>
      <c r="F41" s="21">
        <f t="shared" si="9"/>
        <v>181500</v>
      </c>
      <c r="G41" s="21">
        <f t="shared" si="9"/>
        <v>199650</v>
      </c>
      <c r="H41" s="21">
        <f t="shared" si="9"/>
        <v>219615</v>
      </c>
      <c r="I41" s="21">
        <f t="shared" si="9"/>
        <v>241576.49999999997</v>
      </c>
      <c r="J41" s="21">
        <f t="shared" si="9"/>
        <v>265734.14999999997</v>
      </c>
      <c r="K41" s="21">
        <f t="shared" si="9"/>
        <v>292307.56499999994</v>
      </c>
      <c r="L41" s="21">
        <f t="shared" si="9"/>
        <v>321538.32149999996</v>
      </c>
      <c r="M41" s="21">
        <f t="shared" si="9"/>
        <v>353692.15364999993</v>
      </c>
      <c r="N41" s="21">
        <f t="shared" si="9"/>
        <v>389061.36901499995</v>
      </c>
      <c r="O41" s="21">
        <f t="shared" si="9"/>
        <v>427967.50591649994</v>
      </c>
      <c r="P41" s="21">
        <f t="shared" si="9"/>
        <v>494302.46933355741</v>
      </c>
      <c r="Q41" s="21">
        <f t="shared" si="9"/>
        <v>543732.71626691311</v>
      </c>
      <c r="R41" s="21">
        <f t="shared" si="9"/>
        <v>598105.98789360456</v>
      </c>
      <c r="S41" s="21">
        <f t="shared" si="9"/>
        <v>657916.58668296493</v>
      </c>
      <c r="T41" s="21">
        <f t="shared" si="9"/>
        <v>723708.24535126146</v>
      </c>
      <c r="U41" s="21">
        <f t="shared" si="9"/>
        <v>796079.06988638756</v>
      </c>
      <c r="V41" s="21">
        <f t="shared" si="9"/>
        <v>875686.97687502636</v>
      </c>
      <c r="W41" s="21">
        <f t="shared" si="9"/>
        <v>963255.67456252908</v>
      </c>
      <c r="X41" s="21">
        <f t="shared" si="9"/>
        <v>1059581.2420187818</v>
      </c>
      <c r="Y41" s="21">
        <f t="shared" si="9"/>
        <v>1165539.3662206603</v>
      </c>
    </row>
    <row r="42" spans="1:25" ht="15" thickBot="1" x14ac:dyDescent="0.35">
      <c r="A42" s="33" t="s">
        <v>105</v>
      </c>
      <c r="B42" s="16">
        <f>B39+B40-B41</f>
        <v>150000</v>
      </c>
      <c r="C42" s="16">
        <f>C39+C40-C41</f>
        <v>315000</v>
      </c>
      <c r="D42" s="16">
        <f>D39+D40-D41</f>
        <v>346500</v>
      </c>
      <c r="E42" s="16">
        <f t="shared" ref="E42:Y42" si="10">E39+E40-E41</f>
        <v>381150</v>
      </c>
      <c r="F42" s="16">
        <f t="shared" si="10"/>
        <v>419265</v>
      </c>
      <c r="G42" s="16">
        <f t="shared" si="10"/>
        <v>461191.5</v>
      </c>
      <c r="H42" s="16">
        <f t="shared" si="10"/>
        <v>507310.64999999991</v>
      </c>
      <c r="I42" s="16">
        <f t="shared" si="10"/>
        <v>558041.71499999985</v>
      </c>
      <c r="J42" s="16">
        <f t="shared" si="10"/>
        <v>613845.88649999979</v>
      </c>
      <c r="K42" s="16">
        <f t="shared" si="10"/>
        <v>675230.47514999984</v>
      </c>
      <c r="L42" s="16">
        <f t="shared" si="10"/>
        <v>742753.52266499971</v>
      </c>
      <c r="M42" s="16">
        <f t="shared" si="10"/>
        <v>817028.87493149959</v>
      </c>
      <c r="N42" s="16">
        <f t="shared" si="10"/>
        <v>922269.97525005706</v>
      </c>
      <c r="O42" s="16">
        <f t="shared" si="10"/>
        <v>1038035.1856004703</v>
      </c>
      <c r="P42" s="16">
        <f t="shared" si="10"/>
        <v>1141838.7041605175</v>
      </c>
      <c r="Q42" s="16">
        <f t="shared" si="10"/>
        <v>1256022.5745765695</v>
      </c>
      <c r="R42" s="16">
        <f t="shared" si="10"/>
        <v>1381624.8320342265</v>
      </c>
      <c r="S42" s="16">
        <f t="shared" si="10"/>
        <v>1519787.3152376488</v>
      </c>
      <c r="T42" s="16">
        <f t="shared" si="10"/>
        <v>1671766.0467614136</v>
      </c>
      <c r="U42" s="16">
        <f t="shared" si="10"/>
        <v>1838942.6514375552</v>
      </c>
      <c r="V42" s="16">
        <f t="shared" si="10"/>
        <v>2022836.9165813108</v>
      </c>
      <c r="W42" s="16">
        <f t="shared" si="10"/>
        <v>2225120.6082394416</v>
      </c>
      <c r="X42" s="16">
        <f t="shared" si="10"/>
        <v>2447632.6690633856</v>
      </c>
      <c r="Y42" s="17">
        <f t="shared" si="10"/>
        <v>2692395.9359697243</v>
      </c>
    </row>
  </sheetData>
  <mergeCells count="1">
    <mergeCell ref="A1:Y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P&amp;L Account</vt:lpstr>
      <vt:lpstr>DCF</vt:lpstr>
      <vt:lpstr>CFS</vt:lpstr>
      <vt:lpstr>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2024-05-25T22:46:34Z</cp:lastPrinted>
  <dcterms:created xsi:type="dcterms:W3CDTF">2024-05-24T13:08:37Z</dcterms:created>
  <dcterms:modified xsi:type="dcterms:W3CDTF">2024-05-26T11:44:03Z</dcterms:modified>
</cp:coreProperties>
</file>